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Grégory PINCHINAT\Documents\88-mem-var\datasets\"/>
    </mc:Choice>
  </mc:AlternateContent>
  <xr:revisionPtr revIDLastSave="0" documentId="13_ncr:1_{21E109B8-CC4D-4B3B-8286-34F92D743D68}" xr6:coauthVersionLast="45" xr6:coauthVersionMax="45" xr10:uidLastSave="{00000000-0000-0000-0000-000000000000}"/>
  <bookViews>
    <workbookView xWindow="-108" yWindow="-108" windowWidth="23256" windowHeight="12576" activeTab="11" xr2:uid="{00000000-000D-0000-FFFF-FFFF00000000}"/>
  </bookViews>
  <sheets>
    <sheet name="2014" sheetId="1" r:id="rId1"/>
    <sheet name="2015" sheetId="2" r:id="rId2"/>
    <sheet name="2016" sheetId="3" r:id="rId3"/>
    <sheet name="2017" sheetId="6" r:id="rId4"/>
    <sheet name="2018" sheetId="18" r:id="rId5"/>
    <sheet name="DOMESTIC" sheetId="8" state="hidden" r:id="rId6"/>
    <sheet name="INT (&quot;NON-REG&quot;)" sheetId="9" state="hidden" r:id="rId7"/>
    <sheet name="DOMESTIC 2" sheetId="12" state="hidden" r:id="rId8"/>
    <sheet name="INTL" sheetId="13" state="hidden" r:id="rId9"/>
    <sheet name="2019" sheetId="17" r:id="rId10"/>
    <sheet name="regular_passengers" sheetId="19" r:id="rId11"/>
    <sheet name="Sheet1" sheetId="20" r:id="rId12"/>
  </sheets>
  <definedNames>
    <definedName name="_xlnm._FilterDatabase" localSheetId="7" hidden="1">'DOMESTIC 2'!$A$1:$H$592</definedName>
    <definedName name="_xlnm._FilterDatabase" localSheetId="8" hidden="1">INTL!$A$1:$G$354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A64" i="17" l="1"/>
  <c r="BC61" i="17"/>
  <c r="BA61" i="17"/>
  <c r="AZ61" i="17"/>
  <c r="AJ48" i="17"/>
  <c r="AA48" i="17"/>
  <c r="Z48" i="17"/>
  <c r="AJ45" i="17"/>
  <c r="AF45" i="17"/>
  <c r="AE45" i="17"/>
  <c r="AV44" i="17"/>
  <c r="BG63" i="17" s="1"/>
  <c r="AO43" i="17"/>
  <c r="AN43" i="17"/>
  <c r="J42" i="17"/>
  <c r="C41" i="17"/>
  <c r="B41" i="17"/>
  <c r="BI39" i="17"/>
  <c r="BA39" i="17"/>
  <c r="AZ39" i="17"/>
  <c r="J38" i="17"/>
  <c r="E38" i="17"/>
  <c r="C38" i="17"/>
  <c r="B38" i="17"/>
  <c r="BI35" i="17"/>
  <c r="BA35" i="17"/>
  <c r="AZ35" i="17"/>
  <c r="J34" i="17"/>
  <c r="C34" i="17"/>
  <c r="B34" i="17"/>
  <c r="AJ33" i="17"/>
  <c r="AF33" i="17"/>
  <c r="AF49" i="17" s="1"/>
  <c r="AE33" i="17"/>
  <c r="BI32" i="17"/>
  <c r="BA32" i="17"/>
  <c r="T32" i="17"/>
  <c r="S32" i="17"/>
  <c r="S38" i="17" s="1"/>
  <c r="BB72" i="17" s="1"/>
  <c r="O32" i="17"/>
  <c r="N32" i="17"/>
  <c r="AZ29" i="17"/>
  <c r="AZ32" i="17" s="1"/>
  <c r="AJ29" i="17"/>
  <c r="AA29" i="17"/>
  <c r="Z29" i="17"/>
  <c r="J29" i="17"/>
  <c r="C29" i="17"/>
  <c r="B29" i="17"/>
  <c r="T27" i="17"/>
  <c r="S27" i="17"/>
  <c r="O27" i="17"/>
  <c r="O38" i="17" s="1"/>
  <c r="N27" i="17"/>
  <c r="N38" i="17" s="1"/>
  <c r="AV26" i="17"/>
  <c r="AO26" i="17"/>
  <c r="AN26" i="17"/>
  <c r="AJ24" i="17"/>
  <c r="AA24" i="17"/>
  <c r="Z24" i="17"/>
  <c r="J23" i="17"/>
  <c r="E22" i="17"/>
  <c r="E43" i="17" s="1"/>
  <c r="C22" i="17"/>
  <c r="B22" i="17"/>
  <c r="B43" i="17" s="1"/>
  <c r="BA68" i="17" s="1"/>
  <c r="BI20" i="17"/>
  <c r="BF20" i="17"/>
  <c r="BF61" i="17" s="1"/>
  <c r="BE20" i="17"/>
  <c r="BE61" i="17" s="1"/>
  <c r="AJ20" i="17"/>
  <c r="AA20" i="17"/>
  <c r="Z20" i="17"/>
  <c r="J19" i="17"/>
  <c r="AJ17" i="17"/>
  <c r="AA17" i="17"/>
  <c r="AA49" i="17" s="1"/>
  <c r="BD69" i="17" s="1"/>
  <c r="Z17" i="17"/>
  <c r="J16" i="17"/>
  <c r="BI13" i="17"/>
  <c r="BA13" i="17"/>
  <c r="AZ13" i="17"/>
  <c r="AV12" i="17"/>
  <c r="AO12" i="17"/>
  <c r="AO44" i="17" s="1"/>
  <c r="BC66" i="17" s="1"/>
  <c r="AN12" i="17"/>
  <c r="AN44" i="17" s="1"/>
  <c r="BC65" i="17" s="1"/>
  <c r="AJ12" i="17"/>
  <c r="J12" i="17"/>
  <c r="C43" i="17" l="1"/>
  <c r="BA69" i="17" s="1"/>
  <c r="T38" i="17"/>
  <c r="BC72" i="17" s="1"/>
  <c r="BI61" i="17"/>
  <c r="AJ49" i="17"/>
  <c r="Z49" i="17"/>
  <c r="BD68" i="17" s="1"/>
  <c r="AZ62" i="17"/>
  <c r="BF71" i="17"/>
  <c r="BA62" i="17"/>
  <c r="BI66" i="17" s="1"/>
  <c r="J43" i="17"/>
  <c r="BG62" i="17" s="1"/>
  <c r="BH63" i="17" s="1"/>
  <c r="AZ72" i="17"/>
  <c r="AE49" i="17"/>
  <c r="AY72" i="17" s="1"/>
  <c r="BG68" i="17"/>
  <c r="BI68" i="17" s="1"/>
  <c r="BI65" i="17"/>
  <c r="BG69" i="17" l="1"/>
  <c r="BI69" i="17" s="1"/>
  <c r="BJ69" i="17" s="1"/>
  <c r="B12" i="6"/>
  <c r="B11" i="6"/>
  <c r="B9" i="6"/>
  <c r="B8" i="6"/>
  <c r="G88" i="13"/>
  <c r="G91" i="13"/>
  <c r="G90" i="13"/>
  <c r="G94" i="13"/>
  <c r="G93" i="13"/>
  <c r="G92" i="13"/>
  <c r="G96" i="13"/>
  <c r="G95" i="13"/>
  <c r="G98" i="13"/>
  <c r="G97" i="13"/>
  <c r="G100" i="13"/>
  <c r="G99" i="13"/>
  <c r="G102" i="13"/>
  <c r="G101" i="13"/>
  <c r="G103" i="13"/>
  <c r="G106" i="13"/>
  <c r="G105" i="13"/>
  <c r="G107" i="13"/>
  <c r="G110" i="13"/>
  <c r="G109" i="13"/>
  <c r="G112" i="13"/>
  <c r="G111" i="13"/>
  <c r="G2" i="13"/>
  <c r="G3" i="13"/>
  <c r="G4" i="13"/>
  <c r="G5" i="13"/>
  <c r="G6" i="13"/>
  <c r="G7" i="13"/>
  <c r="G8" i="13"/>
  <c r="G9" i="13"/>
  <c r="G10" i="13"/>
  <c r="G11" i="13"/>
  <c r="G12" i="13"/>
  <c r="G114" i="13"/>
  <c r="G113" i="13"/>
  <c r="G117" i="13"/>
  <c r="G115" i="13"/>
  <c r="G116" i="13"/>
  <c r="G120" i="13"/>
  <c r="G118" i="13"/>
  <c r="G119" i="13"/>
  <c r="G123" i="13"/>
  <c r="G121" i="13"/>
  <c r="G122" i="13"/>
  <c r="G126" i="13"/>
  <c r="G124" i="13"/>
  <c r="G129" i="13"/>
  <c r="G127" i="13"/>
  <c r="G128" i="13"/>
  <c r="G132" i="13"/>
  <c r="G130" i="13"/>
  <c r="G131" i="13"/>
  <c r="G135" i="13"/>
  <c r="G133" i="13"/>
  <c r="G138" i="13"/>
  <c r="G136" i="13"/>
  <c r="G141" i="13"/>
  <c r="G142" i="13"/>
  <c r="G139" i="13"/>
  <c r="G140" i="13"/>
  <c r="G145" i="13"/>
  <c r="G143" i="13"/>
  <c r="G144" i="13"/>
  <c r="G148" i="13"/>
  <c r="G146" i="13"/>
  <c r="G147" i="13"/>
  <c r="G149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32" i="13"/>
  <c r="G33" i="13"/>
  <c r="G34" i="13"/>
  <c r="G35" i="13"/>
  <c r="G36" i="13"/>
  <c r="G37" i="13"/>
  <c r="G38" i="13"/>
  <c r="G151" i="13"/>
  <c r="G156" i="13"/>
  <c r="G153" i="13"/>
  <c r="G155" i="13"/>
  <c r="G154" i="13"/>
  <c r="G160" i="13"/>
  <c r="G157" i="13"/>
  <c r="G159" i="13"/>
  <c r="G158" i="13"/>
  <c r="G164" i="13"/>
  <c r="G161" i="13"/>
  <c r="G162" i="13"/>
  <c r="G170" i="13"/>
  <c r="G166" i="13"/>
  <c r="G168" i="13"/>
  <c r="G167" i="13"/>
  <c r="G169" i="13"/>
  <c r="G176" i="13"/>
  <c r="G171" i="13"/>
  <c r="G172" i="13"/>
  <c r="G173" i="13"/>
  <c r="G175" i="13"/>
  <c r="G174" i="13"/>
  <c r="G182" i="13"/>
  <c r="G177" i="13"/>
  <c r="G178" i="13"/>
  <c r="G181" i="13"/>
  <c r="G180" i="13"/>
  <c r="G188" i="13"/>
  <c r="G189" i="13"/>
  <c r="G184" i="13"/>
  <c r="G185" i="13"/>
  <c r="G186" i="13"/>
  <c r="G183" i="13"/>
  <c r="G187" i="13"/>
  <c r="G193" i="13"/>
  <c r="G196" i="13"/>
  <c r="G195" i="13"/>
  <c r="G191" i="13"/>
  <c r="G190" i="13"/>
  <c r="G192" i="13"/>
  <c r="G194" i="13"/>
  <c r="G197" i="13"/>
  <c r="G198" i="13"/>
  <c r="G199" i="13"/>
  <c r="G200" i="13"/>
  <c r="G202" i="13"/>
  <c r="G201" i="13"/>
  <c r="G203" i="13"/>
  <c r="G204" i="13"/>
  <c r="G205" i="13"/>
  <c r="G206" i="13"/>
  <c r="G207" i="13"/>
  <c r="G209" i="13"/>
  <c r="G210" i="13"/>
  <c r="G208" i="13"/>
  <c r="G211" i="13"/>
  <c r="G212" i="13"/>
  <c r="G213" i="13"/>
  <c r="G214" i="13"/>
  <c r="G215" i="13"/>
  <c r="G216" i="13"/>
  <c r="G217" i="13"/>
  <c r="G218" i="13"/>
  <c r="G219" i="13"/>
  <c r="G220" i="13"/>
  <c r="G26" i="13"/>
  <c r="G27" i="13"/>
  <c r="G28" i="13"/>
  <c r="G29" i="13"/>
  <c r="G30" i="13"/>
  <c r="G224" i="13"/>
  <c r="G221" i="13"/>
  <c r="G222" i="13"/>
  <c r="G223" i="13"/>
  <c r="G229" i="13"/>
  <c r="G226" i="13"/>
  <c r="G225" i="13"/>
  <c r="G227" i="13"/>
  <c r="G228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7" i="13"/>
  <c r="G246" i="13"/>
  <c r="G244" i="13"/>
  <c r="G245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89" i="13"/>
  <c r="F179" i="13"/>
  <c r="G179" i="13" s="1"/>
  <c r="E179" i="13"/>
  <c r="F165" i="13"/>
  <c r="G165" i="13" s="1"/>
  <c r="F163" i="13"/>
  <c r="G163" i="13" s="1"/>
  <c r="E163" i="13"/>
  <c r="F150" i="13"/>
  <c r="E150" i="13"/>
  <c r="G150" i="13" s="1"/>
  <c r="E152" i="13"/>
  <c r="G152" i="13" s="1"/>
  <c r="F31" i="13"/>
  <c r="G31" i="13" s="1"/>
  <c r="E31" i="13"/>
  <c r="F13" i="13"/>
  <c r="G13" i="13" s="1"/>
  <c r="F137" i="13"/>
  <c r="G137" i="13" s="1"/>
  <c r="E137" i="13"/>
  <c r="F134" i="13"/>
  <c r="G134" i="13" s="1"/>
  <c r="F125" i="13"/>
  <c r="G125" i="13" s="1"/>
  <c r="E126" i="13"/>
  <c r="F108" i="13"/>
  <c r="G108" i="13" s="1"/>
  <c r="E104" i="13"/>
  <c r="G104" i="13" s="1"/>
  <c r="F88" i="13"/>
  <c r="G51" i="13"/>
  <c r="G85" i="13"/>
  <c r="G87" i="13"/>
  <c r="G86" i="13"/>
  <c r="G50" i="13"/>
  <c r="G83" i="13"/>
  <c r="G84" i="13"/>
  <c r="G49" i="13"/>
  <c r="G81" i="13"/>
  <c r="G82" i="13"/>
  <c r="G48" i="13"/>
  <c r="G80" i="13"/>
  <c r="G272" i="13"/>
  <c r="G47" i="13"/>
  <c r="G78" i="13"/>
  <c r="G79" i="13"/>
  <c r="G77" i="13"/>
  <c r="G271" i="13"/>
  <c r="G45" i="13"/>
  <c r="G76" i="13"/>
  <c r="G269" i="13"/>
  <c r="G270" i="13"/>
  <c r="G44" i="13"/>
  <c r="G75" i="13"/>
  <c r="G268" i="13"/>
  <c r="G43" i="13"/>
  <c r="G73" i="13"/>
  <c r="G74" i="13"/>
  <c r="G267" i="13"/>
  <c r="G42" i="13"/>
  <c r="G71" i="13"/>
  <c r="G72" i="13"/>
  <c r="G266" i="13"/>
  <c r="G41" i="13"/>
  <c r="G69" i="13"/>
  <c r="G70" i="13"/>
  <c r="G265" i="13"/>
  <c r="G264" i="13"/>
  <c r="G40" i="13"/>
  <c r="G67" i="13"/>
  <c r="G68" i="13"/>
  <c r="G262" i="13"/>
  <c r="G263" i="13"/>
  <c r="G39" i="13"/>
  <c r="G64" i="13"/>
  <c r="G66" i="13"/>
  <c r="G65" i="13"/>
  <c r="G260" i="13"/>
  <c r="G261" i="13"/>
  <c r="E46" i="13"/>
  <c r="G46" i="13" s="1"/>
  <c r="F64" i="13"/>
  <c r="G601" i="12"/>
  <c r="G53" i="12"/>
  <c r="G52" i="12"/>
  <c r="G59" i="12"/>
  <c r="G50" i="12"/>
  <c r="G55" i="12"/>
  <c r="G57" i="12"/>
  <c r="G54" i="12"/>
  <c r="G56" i="12"/>
  <c r="G58" i="12"/>
  <c r="G51" i="12"/>
  <c r="G60" i="12"/>
  <c r="G61" i="12"/>
  <c r="G63" i="12"/>
  <c r="G62" i="12"/>
  <c r="G64" i="12"/>
  <c r="G604" i="12"/>
  <c r="G605" i="12"/>
  <c r="G65" i="12"/>
  <c r="G68" i="12"/>
  <c r="G74" i="12"/>
  <c r="G66" i="12"/>
  <c r="G69" i="12"/>
  <c r="G71" i="12"/>
  <c r="G75" i="12"/>
  <c r="G70" i="12"/>
  <c r="G73" i="12"/>
  <c r="G72" i="12"/>
  <c r="G67" i="12"/>
  <c r="G76" i="12"/>
  <c r="G77" i="12"/>
  <c r="G78" i="12"/>
  <c r="G83" i="12"/>
  <c r="G81" i="12"/>
  <c r="G82" i="12"/>
  <c r="G84" i="12"/>
  <c r="G86" i="12"/>
  <c r="G80" i="12"/>
  <c r="G87" i="12"/>
  <c r="G85" i="12"/>
  <c r="G79" i="12"/>
  <c r="G88" i="12"/>
  <c r="G89" i="12"/>
  <c r="G92" i="12"/>
  <c r="G90" i="12"/>
  <c r="G93" i="12"/>
  <c r="G91" i="12"/>
  <c r="G98" i="12"/>
  <c r="G97" i="12"/>
  <c r="G102" i="12"/>
  <c r="G99" i="12"/>
  <c r="G94" i="12"/>
  <c r="G101" i="12"/>
  <c r="G96" i="12"/>
  <c r="G100" i="12"/>
  <c r="G103" i="12"/>
  <c r="G95" i="12"/>
  <c r="G104" i="12"/>
  <c r="G105" i="12"/>
  <c r="G107" i="12"/>
  <c r="G106" i="12"/>
  <c r="G108" i="12"/>
  <c r="G110" i="12"/>
  <c r="G109" i="12"/>
  <c r="G114" i="12"/>
  <c r="G113" i="12"/>
  <c r="G115" i="12"/>
  <c r="G111" i="12"/>
  <c r="G116" i="12"/>
  <c r="G117" i="12"/>
  <c r="G112" i="12"/>
  <c r="G118" i="12"/>
  <c r="G119" i="12"/>
  <c r="G121" i="12"/>
  <c r="G120" i="12"/>
  <c r="G123" i="12"/>
  <c r="G122" i="12"/>
  <c r="G124" i="12"/>
  <c r="G125" i="12"/>
  <c r="G128" i="12"/>
  <c r="G129" i="12"/>
  <c r="G126" i="12"/>
  <c r="G130" i="12"/>
  <c r="G127" i="12"/>
  <c r="G131" i="12"/>
  <c r="G132" i="12"/>
  <c r="G133" i="12"/>
  <c r="G135" i="12"/>
  <c r="G138" i="12"/>
  <c r="G140" i="12"/>
  <c r="G136" i="12"/>
  <c r="G134" i="12"/>
  <c r="G141" i="12"/>
  <c r="G142" i="12"/>
  <c r="G139" i="12"/>
  <c r="G143" i="12"/>
  <c r="G137" i="12"/>
  <c r="G144" i="12"/>
  <c r="G145" i="12"/>
  <c r="G146" i="12"/>
  <c r="G147" i="12"/>
  <c r="G148" i="12"/>
  <c r="G153" i="12"/>
  <c r="G149" i="12"/>
  <c r="G151" i="12"/>
  <c r="G154" i="12"/>
  <c r="G152" i="12"/>
  <c r="G150" i="12"/>
  <c r="G155" i="12"/>
  <c r="G156" i="12"/>
  <c r="G159" i="12"/>
  <c r="G157" i="12"/>
  <c r="G158" i="12"/>
  <c r="G164" i="12"/>
  <c r="G160" i="12"/>
  <c r="G162" i="12"/>
  <c r="G166" i="12"/>
  <c r="G163" i="12"/>
  <c r="G167" i="12"/>
  <c r="G165" i="12"/>
  <c r="G161" i="12"/>
  <c r="G168" i="12"/>
  <c r="G169" i="12"/>
  <c r="G170" i="12"/>
  <c r="G171" i="12"/>
  <c r="G172" i="12"/>
  <c r="G173" i="12"/>
  <c r="G176" i="12"/>
  <c r="G179" i="12"/>
  <c r="G175" i="12"/>
  <c r="G174" i="12"/>
  <c r="G177" i="12"/>
  <c r="G180" i="12"/>
  <c r="G178" i="12"/>
  <c r="G181" i="12"/>
  <c r="G182" i="12"/>
  <c r="G184" i="12"/>
  <c r="G183" i="12"/>
  <c r="G185" i="12"/>
  <c r="G189" i="12"/>
  <c r="G191" i="12"/>
  <c r="G186" i="12"/>
  <c r="G187" i="12"/>
  <c r="G192" i="12"/>
  <c r="G193" i="12"/>
  <c r="G194" i="12"/>
  <c r="G188" i="12"/>
  <c r="G190" i="12"/>
  <c r="G195" i="12"/>
  <c r="G198" i="12"/>
  <c r="G197" i="12"/>
  <c r="G200" i="12"/>
  <c r="G199" i="12"/>
  <c r="G201" i="12"/>
  <c r="G203" i="12"/>
  <c r="G207" i="12"/>
  <c r="G202" i="12"/>
  <c r="G204" i="12"/>
  <c r="G209" i="12"/>
  <c r="G205" i="12"/>
  <c r="G210" i="12"/>
  <c r="G208" i="12"/>
  <c r="G206" i="12"/>
  <c r="G211" i="12"/>
  <c r="G212" i="12"/>
  <c r="G214" i="12"/>
  <c r="G213" i="12"/>
  <c r="G215" i="12"/>
  <c r="G220" i="12"/>
  <c r="G217" i="12"/>
  <c r="G222" i="12"/>
  <c r="G219" i="12"/>
  <c r="G221" i="12"/>
  <c r="G224" i="12"/>
  <c r="G225" i="12"/>
  <c r="G218" i="12"/>
  <c r="G226" i="12"/>
  <c r="G223" i="12"/>
  <c r="G216" i="12"/>
  <c r="G227" i="12"/>
  <c r="G230" i="12"/>
  <c r="G229" i="12"/>
  <c r="G234" i="12"/>
  <c r="G231" i="12"/>
  <c r="G235" i="12"/>
  <c r="G233" i="12"/>
  <c r="G237" i="12"/>
  <c r="G232" i="12"/>
  <c r="G236" i="12"/>
  <c r="G228" i="12"/>
  <c r="G238" i="12"/>
  <c r="G242" i="12"/>
  <c r="G241" i="12"/>
  <c r="G240" i="12"/>
  <c r="G243" i="12"/>
  <c r="G244" i="12"/>
  <c r="G245" i="12"/>
  <c r="G239" i="12"/>
  <c r="G246" i="12"/>
  <c r="G250" i="12"/>
  <c r="G251" i="12"/>
  <c r="G254" i="12"/>
  <c r="G252" i="12"/>
  <c r="G249" i="12"/>
  <c r="G255" i="12"/>
  <c r="G247" i="12"/>
  <c r="G253" i="12"/>
  <c r="G248" i="12"/>
  <c r="G256" i="12"/>
  <c r="G260" i="12"/>
  <c r="G259" i="12"/>
  <c r="G264" i="12"/>
  <c r="G258" i="12"/>
  <c r="G262" i="12"/>
  <c r="G263" i="12"/>
  <c r="G261" i="12"/>
  <c r="G257" i="12"/>
  <c r="G270" i="12"/>
  <c r="G267" i="12"/>
  <c r="G266" i="12"/>
  <c r="G271" i="12"/>
  <c r="G273" i="12"/>
  <c r="G269" i="12"/>
  <c r="G272" i="12"/>
  <c r="G268" i="12"/>
  <c r="G274" i="12"/>
  <c r="G275" i="12"/>
  <c r="G276" i="12"/>
  <c r="G280" i="12"/>
  <c r="G279" i="12"/>
  <c r="G282" i="12"/>
  <c r="G284" i="12"/>
  <c r="G281" i="12"/>
  <c r="G283" i="12"/>
  <c r="G277" i="12"/>
  <c r="G285" i="12"/>
  <c r="G289" i="12"/>
  <c r="G287" i="12"/>
  <c r="G291" i="12"/>
  <c r="G288" i="12"/>
  <c r="G286" i="12"/>
  <c r="G290" i="12"/>
  <c r="G292" i="12"/>
  <c r="G297" i="12"/>
  <c r="G296" i="12"/>
  <c r="G294" i="12"/>
  <c r="G298" i="12"/>
  <c r="G299" i="12"/>
  <c r="G295" i="12"/>
  <c r="G293" i="12"/>
  <c r="G300" i="12"/>
  <c r="G301" i="12"/>
  <c r="G302" i="12"/>
  <c r="G305" i="12"/>
  <c r="G304" i="12"/>
  <c r="G307" i="12"/>
  <c r="G310" i="12"/>
  <c r="G306" i="12"/>
  <c r="G308" i="12"/>
  <c r="G309" i="12"/>
  <c r="G303" i="12"/>
  <c r="G312" i="12"/>
  <c r="G316" i="12"/>
  <c r="G314" i="12"/>
  <c r="G313" i="12"/>
  <c r="G319" i="12"/>
  <c r="G318" i="12"/>
  <c r="G317" i="12"/>
  <c r="G315" i="12"/>
  <c r="G320" i="12"/>
  <c r="G327" i="12"/>
  <c r="G324" i="12"/>
  <c r="G322" i="12"/>
  <c r="G323" i="12"/>
  <c r="G326" i="12"/>
  <c r="G325" i="12"/>
  <c r="G328" i="12"/>
  <c r="G321" i="12"/>
  <c r="G329" i="12"/>
  <c r="G331" i="12"/>
  <c r="G333" i="12"/>
  <c r="G332" i="12"/>
  <c r="G334" i="12"/>
  <c r="G337" i="12"/>
  <c r="G335" i="12"/>
  <c r="G338" i="12"/>
  <c r="G336" i="12"/>
  <c r="G330" i="12"/>
  <c r="G339" i="12"/>
  <c r="G341" i="12"/>
  <c r="G342" i="12"/>
  <c r="G346" i="12"/>
  <c r="G343" i="12"/>
  <c r="G344" i="12"/>
  <c r="G349" i="12"/>
  <c r="G348" i="12"/>
  <c r="G345" i="12"/>
  <c r="G347" i="12"/>
  <c r="G340" i="12"/>
  <c r="G350" i="12"/>
  <c r="G357" i="12"/>
  <c r="G351" i="12"/>
  <c r="G356" i="12"/>
  <c r="G353" i="12"/>
  <c r="G354" i="12"/>
  <c r="G355" i="12"/>
  <c r="G352" i="12"/>
  <c r="G358" i="12"/>
  <c r="G363" i="12"/>
  <c r="G364" i="12"/>
  <c r="G365" i="12"/>
  <c r="G359" i="12"/>
  <c r="G361" i="12"/>
  <c r="G366" i="12"/>
  <c r="G362" i="12"/>
  <c r="G367" i="12"/>
  <c r="G360" i="12"/>
  <c r="G369" i="12"/>
  <c r="G372" i="12"/>
  <c r="G371" i="12"/>
  <c r="G373" i="12"/>
  <c r="G374" i="12"/>
  <c r="G370" i="12"/>
  <c r="G375" i="12"/>
  <c r="G376" i="12"/>
  <c r="G378" i="12"/>
  <c r="G381" i="12"/>
  <c r="G379" i="12"/>
  <c r="G380" i="12"/>
  <c r="G382" i="12"/>
  <c r="G383" i="12"/>
  <c r="G385" i="12"/>
  <c r="G384" i="12"/>
  <c r="G377" i="12"/>
  <c r="G386" i="12"/>
  <c r="G388" i="12"/>
  <c r="G393" i="12"/>
  <c r="G389" i="12"/>
  <c r="G390" i="12"/>
  <c r="G391" i="12"/>
  <c r="G395" i="12"/>
  <c r="G392" i="12"/>
  <c r="G397" i="12"/>
  <c r="G394" i="12"/>
  <c r="G396" i="12"/>
  <c r="G387" i="12"/>
  <c r="G398" i="12"/>
  <c r="G402" i="12"/>
  <c r="G401" i="12"/>
  <c r="G400" i="12"/>
  <c r="G404" i="12"/>
  <c r="G403" i="12"/>
  <c r="G405" i="12"/>
  <c r="G407" i="12"/>
  <c r="G406" i="12"/>
  <c r="G399" i="12"/>
  <c r="G408" i="12"/>
  <c r="G412" i="12"/>
  <c r="G410" i="12"/>
  <c r="G413" i="12"/>
  <c r="G411" i="12"/>
  <c r="G415" i="12"/>
  <c r="G416" i="12"/>
  <c r="G414" i="12"/>
  <c r="G409" i="12"/>
  <c r="G417" i="12"/>
  <c r="G419" i="12"/>
  <c r="G420" i="12"/>
  <c r="G423" i="12"/>
  <c r="G422" i="12"/>
  <c r="G421" i="12"/>
  <c r="G425" i="12"/>
  <c r="G424" i="12"/>
  <c r="G426" i="12"/>
  <c r="G427" i="12"/>
  <c r="G418" i="12"/>
  <c r="G428" i="12"/>
  <c r="G429" i="12"/>
  <c r="G431" i="12"/>
  <c r="G434" i="12"/>
  <c r="G432" i="12"/>
  <c r="G435" i="12"/>
  <c r="G436" i="12"/>
  <c r="G433" i="12"/>
  <c r="G430" i="12"/>
  <c r="G439" i="12"/>
  <c r="G444" i="12"/>
  <c r="G443" i="12"/>
  <c r="G440" i="12"/>
  <c r="G441" i="12"/>
  <c r="G446" i="12"/>
  <c r="G445" i="12"/>
  <c r="G447" i="12"/>
  <c r="G442" i="12"/>
  <c r="G438" i="12"/>
  <c r="G450" i="12"/>
  <c r="G454" i="12"/>
  <c r="G452" i="12"/>
  <c r="G453" i="12"/>
  <c r="G455" i="12"/>
  <c r="G457" i="12"/>
  <c r="G456" i="12"/>
  <c r="G458" i="12"/>
  <c r="G459" i="12"/>
  <c r="G460" i="12"/>
  <c r="G462" i="12"/>
  <c r="G468" i="12"/>
  <c r="G463" i="12"/>
  <c r="G469" i="12"/>
  <c r="G467" i="12"/>
  <c r="G464" i="12"/>
  <c r="G465" i="12"/>
  <c r="G466" i="12"/>
  <c r="G461" i="12"/>
  <c r="G470" i="12"/>
  <c r="G472" i="12"/>
  <c r="G476" i="12"/>
  <c r="G477" i="12"/>
  <c r="G473" i="12"/>
  <c r="G475" i="12"/>
  <c r="G478" i="12"/>
  <c r="G474" i="12"/>
  <c r="G471" i="12"/>
  <c r="G479" i="12"/>
  <c r="G482" i="12"/>
  <c r="G485" i="12"/>
  <c r="G489" i="12"/>
  <c r="G484" i="12"/>
  <c r="G483" i="12"/>
  <c r="G486" i="12"/>
  <c r="G487" i="12"/>
  <c r="G481" i="12"/>
  <c r="G488" i="12"/>
  <c r="G480" i="12"/>
  <c r="G490" i="12"/>
  <c r="G492" i="12"/>
  <c r="G494" i="12"/>
  <c r="G496" i="12"/>
  <c r="G497" i="12"/>
  <c r="G495" i="12"/>
  <c r="G493" i="12"/>
  <c r="G498" i="12"/>
  <c r="G491" i="12"/>
  <c r="G499" i="12"/>
  <c r="G501" i="12"/>
  <c r="G502" i="12"/>
  <c r="G506" i="12"/>
  <c r="G505" i="12"/>
  <c r="G503" i="12"/>
  <c r="G504" i="12"/>
  <c r="G500" i="12"/>
  <c r="G507" i="12"/>
  <c r="G508" i="12"/>
  <c r="G512" i="12"/>
  <c r="G513" i="12"/>
  <c r="G510" i="12"/>
  <c r="G511" i="12"/>
  <c r="G515" i="12"/>
  <c r="G514" i="12"/>
  <c r="G509" i="12"/>
  <c r="G516" i="12"/>
  <c r="G522" i="12"/>
  <c r="G520" i="12"/>
  <c r="G517" i="12"/>
  <c r="G523" i="12"/>
  <c r="G524" i="12"/>
  <c r="G526" i="12"/>
  <c r="G519" i="12"/>
  <c r="G527" i="12"/>
  <c r="G521" i="12"/>
  <c r="G525" i="12"/>
  <c r="G518" i="12"/>
  <c r="G528" i="12"/>
  <c r="G537" i="12"/>
  <c r="G532" i="12"/>
  <c r="G534" i="12"/>
  <c r="G529" i="12"/>
  <c r="G533" i="12"/>
  <c r="G538" i="12"/>
  <c r="G530" i="12"/>
  <c r="G535" i="12"/>
  <c r="G536" i="12"/>
  <c r="G531" i="12"/>
  <c r="G539" i="12"/>
  <c r="G546" i="12"/>
  <c r="G544" i="12"/>
  <c r="G540" i="12"/>
  <c r="G547" i="12"/>
  <c r="G549" i="12"/>
  <c r="G542" i="12"/>
  <c r="G545" i="12"/>
  <c r="G543" i="12"/>
  <c r="G548" i="12"/>
  <c r="G541" i="12"/>
  <c r="G767" i="12"/>
  <c r="G550" i="12"/>
  <c r="G554" i="12"/>
  <c r="G557" i="12"/>
  <c r="G555" i="12"/>
  <c r="G552" i="12"/>
  <c r="G560" i="12"/>
  <c r="G553" i="12"/>
  <c r="G559" i="12"/>
  <c r="G556" i="12"/>
  <c r="G558" i="12"/>
  <c r="G551" i="12"/>
  <c r="G561" i="12"/>
  <c r="G562" i="12"/>
  <c r="G568" i="12"/>
  <c r="G570" i="12"/>
  <c r="G567" i="12"/>
  <c r="G563" i="12"/>
  <c r="G569" i="12"/>
  <c r="G571" i="12"/>
  <c r="G566" i="12"/>
  <c r="G565" i="12"/>
  <c r="G564" i="12"/>
  <c r="G572" i="12"/>
  <c r="G581" i="12"/>
  <c r="G574" i="12"/>
  <c r="G580" i="12"/>
  <c r="G579" i="12"/>
  <c r="G575" i="12"/>
  <c r="G573" i="12"/>
  <c r="G576" i="12"/>
  <c r="G577" i="12"/>
  <c r="G578" i="12"/>
  <c r="G582" i="12"/>
  <c r="G583" i="12"/>
  <c r="G590" i="12"/>
  <c r="G586" i="12"/>
  <c r="G591" i="12"/>
  <c r="G588" i="12"/>
  <c r="G589" i="12"/>
  <c r="G584" i="12"/>
  <c r="G585" i="12"/>
  <c r="G587" i="12"/>
  <c r="G592" i="12"/>
  <c r="G3" i="12"/>
  <c r="G10" i="12"/>
  <c r="G7" i="12"/>
  <c r="G2" i="12"/>
  <c r="G9" i="12"/>
  <c r="G6" i="12"/>
  <c r="G11" i="12"/>
  <c r="G8" i="12"/>
  <c r="G5" i="12"/>
  <c r="G12" i="12"/>
  <c r="G13" i="12"/>
  <c r="G15" i="12"/>
  <c r="G14" i="12"/>
  <c r="G16" i="12"/>
  <c r="G17" i="12"/>
  <c r="G21" i="12"/>
  <c r="G26" i="12"/>
  <c r="G18" i="12"/>
  <c r="G19" i="12"/>
  <c r="G22" i="12"/>
  <c r="G23" i="12"/>
  <c r="G24" i="12"/>
  <c r="G25" i="12"/>
  <c r="G20" i="12"/>
  <c r="G27" i="12"/>
  <c r="G28" i="12"/>
  <c r="G30" i="12"/>
  <c r="G29" i="12"/>
  <c r="G32" i="12"/>
  <c r="G31" i="12"/>
  <c r="G37" i="12"/>
  <c r="G36" i="12"/>
  <c r="G39" i="12"/>
  <c r="G34" i="12"/>
  <c r="G33" i="12"/>
  <c r="G42" i="12"/>
  <c r="G43" i="12"/>
  <c r="G35" i="12"/>
  <c r="G40" i="12"/>
  <c r="G41" i="12"/>
  <c r="G38" i="12"/>
  <c r="G44" i="12"/>
  <c r="G45" i="12"/>
  <c r="G47" i="12"/>
  <c r="G46" i="12"/>
  <c r="G49" i="12"/>
  <c r="G48" i="12"/>
  <c r="G4" i="12"/>
  <c r="E449" i="12"/>
  <c r="G449" i="12" s="1"/>
  <c r="F451" i="12"/>
  <c r="G451" i="12" s="1"/>
  <c r="E448" i="12"/>
  <c r="G448" i="12" s="1"/>
  <c r="F437" i="12"/>
  <c r="E437" i="12"/>
  <c r="G437" i="12" s="1"/>
  <c r="F368" i="12"/>
  <c r="G368" i="12" s="1"/>
  <c r="F311" i="12"/>
  <c r="G311" i="12" s="1"/>
  <c r="E278" i="12"/>
  <c r="G278" i="12" s="1"/>
  <c r="F265" i="12"/>
  <c r="E265" i="12"/>
  <c r="G265" i="12" s="1"/>
  <c r="F196" i="12"/>
  <c r="G196" i="12" s="1"/>
  <c r="AM782" i="8"/>
  <c r="AL782" i="8"/>
  <c r="AM765" i="8"/>
  <c r="AL765" i="8"/>
  <c r="AN629" i="8"/>
  <c r="AM629" i="8"/>
  <c r="AU611" i="8"/>
  <c r="AN606" i="8"/>
  <c r="AM606" i="8"/>
  <c r="AU592" i="8"/>
  <c r="AN576" i="8"/>
  <c r="AM576" i="8"/>
  <c r="AU558" i="8"/>
  <c r="AN553" i="8"/>
  <c r="AM553" i="8"/>
  <c r="AU539" i="8"/>
  <c r="AU505" i="8"/>
  <c r="AN500" i="8"/>
  <c r="AU486" i="8"/>
  <c r="AU424" i="8"/>
  <c r="AU438" i="8"/>
  <c r="AU443" i="8"/>
  <c r="AR449" i="8"/>
  <c r="AU461" i="8" s="1"/>
  <c r="AR460" i="8"/>
  <c r="AN445" i="8"/>
  <c r="AN446" i="8"/>
  <c r="AN449" i="8"/>
  <c r="AN450" i="8"/>
  <c r="AN461" i="8" s="1"/>
  <c r="AN462" i="8" s="1"/>
  <c r="AN452" i="8"/>
  <c r="AN454" i="8"/>
  <c r="AN455" i="8"/>
  <c r="AN457" i="8"/>
  <c r="AN443" i="8"/>
  <c r="AN438" i="8"/>
  <c r="AM445" i="8"/>
  <c r="AM461" i="8" s="1"/>
  <c r="AM462" i="8" s="1"/>
  <c r="AM446" i="8"/>
  <c r="AM449" i="8"/>
  <c r="AM450" i="8"/>
  <c r="AM452" i="8"/>
  <c r="AM454" i="8"/>
  <c r="AM455" i="8"/>
  <c r="AM443" i="8"/>
  <c r="AM438" i="8"/>
  <c r="AU355" i="8"/>
  <c r="AU369" i="8"/>
  <c r="AU374" i="8"/>
  <c r="AR391" i="8"/>
  <c r="AU392" i="8"/>
  <c r="AU393" i="8"/>
  <c r="AN376" i="8"/>
  <c r="AN377" i="8"/>
  <c r="AN380" i="8"/>
  <c r="AN381" i="8"/>
  <c r="AN392" i="8" s="1"/>
  <c r="AN393" i="8" s="1"/>
  <c r="AN382" i="8"/>
  <c r="AN383" i="8"/>
  <c r="AN385" i="8"/>
  <c r="AN386" i="8"/>
  <c r="AN390" i="8"/>
  <c r="AN374" i="8"/>
  <c r="AN369" i="8"/>
  <c r="AM376" i="8"/>
  <c r="AM377" i="8"/>
  <c r="AM392" i="8" s="1"/>
  <c r="AM393" i="8" s="1"/>
  <c r="AM381" i="8"/>
  <c r="AM382" i="8"/>
  <c r="AM383" i="8"/>
  <c r="AM385" i="8"/>
  <c r="AM388" i="8"/>
  <c r="AM374" i="8"/>
  <c r="AM369" i="8"/>
  <c r="AU288" i="8"/>
  <c r="AU302" i="8"/>
  <c r="AU326" i="8" s="1"/>
  <c r="AU307" i="8"/>
  <c r="AU325" i="8"/>
  <c r="AN309" i="8"/>
  <c r="AN310" i="8"/>
  <c r="AN325" i="8" s="1"/>
  <c r="AN326" i="8" s="1"/>
  <c r="AN314" i="8"/>
  <c r="AN315" i="8"/>
  <c r="AN316" i="8"/>
  <c r="AN318" i="8"/>
  <c r="AN319" i="8"/>
  <c r="AN321" i="8"/>
  <c r="AN307" i="8"/>
  <c r="AN302" i="8"/>
  <c r="AM309" i="8"/>
  <c r="AM325" i="8" s="1"/>
  <c r="AM326" i="8" s="1"/>
  <c r="AM310" i="8"/>
  <c r="AM314" i="8"/>
  <c r="AM315" i="8"/>
  <c r="AM316" i="8"/>
  <c r="AM318" i="8"/>
  <c r="AM321" i="8"/>
  <c r="AM307" i="8"/>
  <c r="AM302" i="8"/>
  <c r="AU220" i="8"/>
  <c r="AU234" i="8"/>
  <c r="AU239" i="8"/>
  <c r="AU258" i="8" s="1"/>
  <c r="AR244" i="8"/>
  <c r="AU257" i="8" s="1"/>
  <c r="AN241" i="8"/>
  <c r="AN242" i="8"/>
  <c r="AN257" i="8" s="1"/>
  <c r="AN258" i="8" s="1"/>
  <c r="AN246" i="8"/>
  <c r="AN247" i="8"/>
  <c r="AN248" i="8"/>
  <c r="AN250" i="8"/>
  <c r="AN253" i="8"/>
  <c r="AN239" i="8"/>
  <c r="AN225" i="8"/>
  <c r="AN234" i="8" s="1"/>
  <c r="AM241" i="8"/>
  <c r="AM257" i="8" s="1"/>
  <c r="AM258" i="8" s="1"/>
  <c r="AM242" i="8"/>
  <c r="AM246" i="8"/>
  <c r="AM247" i="8"/>
  <c r="AM248" i="8"/>
  <c r="AM250" i="8"/>
  <c r="AM239" i="8"/>
  <c r="AM233" i="8"/>
  <c r="AM234" i="8"/>
  <c r="AU150" i="8"/>
  <c r="AU192" i="8" s="1"/>
  <c r="AU164" i="8"/>
  <c r="AU173" i="8"/>
  <c r="AR178" i="8"/>
  <c r="AR187" i="8"/>
  <c r="AR190" i="8"/>
  <c r="AU191" i="8"/>
  <c r="AN175" i="8"/>
  <c r="AN176" i="8"/>
  <c r="AN180" i="8"/>
  <c r="AN191" i="8" s="1"/>
  <c r="AN192" i="8" s="1"/>
  <c r="AN181" i="8"/>
  <c r="AN182" i="8"/>
  <c r="AN184" i="8"/>
  <c r="AN185" i="8"/>
  <c r="AN187" i="8"/>
  <c r="AN173" i="8"/>
  <c r="AN164" i="8"/>
  <c r="AM175" i="8"/>
  <c r="AM176" i="8"/>
  <c r="AM191" i="8" s="1"/>
  <c r="AM192" i="8" s="1"/>
  <c r="AM180" i="8"/>
  <c r="AM181" i="8"/>
  <c r="AM182" i="8"/>
  <c r="AM184" i="8"/>
  <c r="AM187" i="8"/>
  <c r="AM173" i="8"/>
  <c r="AM164" i="8"/>
  <c r="AM149" i="8"/>
  <c r="AU81" i="8"/>
  <c r="AU95" i="8"/>
  <c r="AU104" i="8"/>
  <c r="AR109" i="8"/>
  <c r="AU122" i="8"/>
  <c r="AU123" i="8"/>
  <c r="AN107" i="8"/>
  <c r="AN122" i="8" s="1"/>
  <c r="AN123" i="8" s="1"/>
  <c r="AN111" i="8"/>
  <c r="AN112" i="8"/>
  <c r="AN113" i="8"/>
  <c r="AN115" i="8"/>
  <c r="AN104" i="8"/>
  <c r="AN95" i="8"/>
  <c r="AN80" i="8"/>
  <c r="AM107" i="8"/>
  <c r="AM111" i="8"/>
  <c r="AM112" i="8"/>
  <c r="AM113" i="8"/>
  <c r="AM115" i="8"/>
  <c r="AM122" i="8"/>
  <c r="AM123" i="8" s="1"/>
  <c r="AM104" i="8"/>
  <c r="AM95" i="8"/>
  <c r="AM80" i="8"/>
  <c r="AU12" i="8"/>
  <c r="AU54" i="8" s="1"/>
  <c r="AU26" i="8"/>
  <c r="AU35" i="8"/>
  <c r="AR40" i="8"/>
  <c r="AU53" i="8" s="1"/>
  <c r="AR52" i="8"/>
  <c r="AN37" i="8"/>
  <c r="AN38" i="8"/>
  <c r="AN53" i="8" s="1"/>
  <c r="AN54" i="8" s="1"/>
  <c r="AN41" i="8"/>
  <c r="AN42" i="8"/>
  <c r="AN43" i="8"/>
  <c r="AN44" i="8"/>
  <c r="AN46" i="8"/>
  <c r="AN49" i="8"/>
  <c r="AN35" i="8"/>
  <c r="AN26" i="8"/>
  <c r="AM37" i="8"/>
  <c r="AM38" i="8"/>
  <c r="AM53" i="8" s="1"/>
  <c r="AM54" i="8" s="1"/>
  <c r="AM41" i="8"/>
  <c r="AM42" i="8"/>
  <c r="AM43" i="8"/>
  <c r="AM44" i="8"/>
  <c r="AM46" i="8"/>
  <c r="AM49" i="8"/>
  <c r="AM35" i="8"/>
  <c r="AM26" i="8"/>
  <c r="H735" i="8"/>
  <c r="K740" i="8"/>
  <c r="K785" i="8" s="1"/>
  <c r="K743" i="8"/>
  <c r="K757" i="8"/>
  <c r="K767" i="8"/>
  <c r="H771" i="8"/>
  <c r="K784" i="8" s="1"/>
  <c r="D768" i="8"/>
  <c r="D769" i="8"/>
  <c r="D784" i="8" s="1"/>
  <c r="D785" i="8" s="1"/>
  <c r="D773" i="8"/>
  <c r="D774" i="8"/>
  <c r="D775" i="8"/>
  <c r="D777" i="8"/>
  <c r="D780" i="8"/>
  <c r="D767" i="8"/>
  <c r="D757" i="8"/>
  <c r="D740" i="8"/>
  <c r="C768" i="8"/>
  <c r="C784" i="8" s="1"/>
  <c r="C785" i="8" s="1"/>
  <c r="C769" i="8"/>
  <c r="C773" i="8"/>
  <c r="C777" i="8"/>
  <c r="C780" i="8"/>
  <c r="C767" i="8"/>
  <c r="C757" i="8"/>
  <c r="C740" i="8"/>
  <c r="F757" i="8"/>
  <c r="L738" i="8"/>
  <c r="K675" i="8"/>
  <c r="K678" i="8"/>
  <c r="K692" i="8"/>
  <c r="K702" i="8"/>
  <c r="K719" i="8"/>
  <c r="K720" i="8"/>
  <c r="D703" i="8"/>
  <c r="D704" i="8"/>
  <c r="D708" i="8"/>
  <c r="D710" i="8"/>
  <c r="D712" i="8"/>
  <c r="D715" i="8"/>
  <c r="D719" i="8"/>
  <c r="D720" i="8" s="1"/>
  <c r="D702" i="8"/>
  <c r="D692" i="8"/>
  <c r="D675" i="8"/>
  <c r="C703" i="8"/>
  <c r="C719" i="8" s="1"/>
  <c r="C720" i="8" s="1"/>
  <c r="C704" i="8"/>
  <c r="C708" i="8"/>
  <c r="C710" i="8"/>
  <c r="C712" i="8"/>
  <c r="C715" i="8"/>
  <c r="C702" i="8"/>
  <c r="C692" i="8"/>
  <c r="C675" i="8"/>
  <c r="F692" i="8"/>
  <c r="K611" i="8"/>
  <c r="K656" i="8" s="1"/>
  <c r="K614" i="8"/>
  <c r="K628" i="8"/>
  <c r="K638" i="8"/>
  <c r="K655" i="8"/>
  <c r="D639" i="8"/>
  <c r="D640" i="8"/>
  <c r="D655" i="8" s="1"/>
  <c r="D656" i="8" s="1"/>
  <c r="D644" i="8"/>
  <c r="D645" i="8"/>
  <c r="D646" i="8"/>
  <c r="D648" i="8"/>
  <c r="D651" i="8"/>
  <c r="D638" i="8"/>
  <c r="D616" i="8"/>
  <c r="D628" i="8"/>
  <c r="D611" i="8"/>
  <c r="C639" i="8"/>
  <c r="C640" i="8"/>
  <c r="C655" i="8" s="1"/>
  <c r="C656" i="8" s="1"/>
  <c r="C644" i="8"/>
  <c r="C646" i="8"/>
  <c r="C648" i="8"/>
  <c r="C651" i="8"/>
  <c r="C638" i="8"/>
  <c r="C628" i="8"/>
  <c r="C611" i="8"/>
  <c r="F628" i="8"/>
  <c r="K548" i="8"/>
  <c r="K593" i="8" s="1"/>
  <c r="K551" i="8"/>
  <c r="K565" i="8"/>
  <c r="K575" i="8"/>
  <c r="H577" i="8"/>
  <c r="H579" i="8"/>
  <c r="K592" i="8" s="1"/>
  <c r="D581" i="8"/>
  <c r="D592" i="8" s="1"/>
  <c r="D593" i="8" s="1"/>
  <c r="D588" i="8"/>
  <c r="D575" i="8"/>
  <c r="D565" i="8"/>
  <c r="D548" i="8"/>
  <c r="C581" i="8"/>
  <c r="C592" i="8"/>
  <c r="C593" i="8" s="1"/>
  <c r="C575" i="8"/>
  <c r="C565" i="8"/>
  <c r="C548" i="8"/>
  <c r="F565" i="8"/>
  <c r="K485" i="8"/>
  <c r="K488" i="8"/>
  <c r="K502" i="8"/>
  <c r="K530" i="8" s="1"/>
  <c r="K512" i="8"/>
  <c r="K529" i="8"/>
  <c r="D513" i="8"/>
  <c r="D514" i="8"/>
  <c r="D518" i="8"/>
  <c r="D520" i="8"/>
  <c r="D522" i="8"/>
  <c r="D529" i="8" s="1"/>
  <c r="D530" i="8" s="1"/>
  <c r="D525" i="8"/>
  <c r="D527" i="8"/>
  <c r="D512" i="8"/>
  <c r="D502" i="8"/>
  <c r="D485" i="8"/>
  <c r="C513" i="8"/>
  <c r="C529" i="8" s="1"/>
  <c r="C530" i="8" s="1"/>
  <c r="C514" i="8"/>
  <c r="C518" i="8"/>
  <c r="C519" i="8"/>
  <c r="C525" i="8"/>
  <c r="C527" i="8"/>
  <c r="C512" i="8"/>
  <c r="C502" i="8"/>
  <c r="C485" i="8"/>
  <c r="F502" i="8"/>
  <c r="K421" i="8"/>
  <c r="K424" i="8"/>
  <c r="K466" i="8" s="1"/>
  <c r="K438" i="8"/>
  <c r="K448" i="8"/>
  <c r="H452" i="8"/>
  <c r="K465" i="8"/>
  <c r="D449" i="8"/>
  <c r="D450" i="8"/>
  <c r="D453" i="8"/>
  <c r="D454" i="8"/>
  <c r="D458" i="8"/>
  <c r="D461" i="8"/>
  <c r="D465" i="8"/>
  <c r="D466" i="8" s="1"/>
  <c r="D448" i="8"/>
  <c r="D438" i="8"/>
  <c r="D421" i="8"/>
  <c r="C449" i="8"/>
  <c r="C450" i="8"/>
  <c r="C454" i="8"/>
  <c r="C465" i="8" s="1"/>
  <c r="C466" i="8" s="1"/>
  <c r="C458" i="8"/>
  <c r="C461" i="8"/>
  <c r="C448" i="8"/>
  <c r="C438" i="8"/>
  <c r="C421" i="8"/>
  <c r="F438" i="8"/>
  <c r="K351" i="8"/>
  <c r="K396" i="8" s="1"/>
  <c r="K354" i="8"/>
  <c r="K368" i="8"/>
  <c r="K378" i="8"/>
  <c r="H382" i="8"/>
  <c r="K395" i="8" s="1"/>
  <c r="H387" i="8"/>
  <c r="D379" i="8"/>
  <c r="D380" i="8"/>
  <c r="D384" i="8"/>
  <c r="D385" i="8"/>
  <c r="D386" i="8"/>
  <c r="D388" i="8"/>
  <c r="D389" i="8"/>
  <c r="D391" i="8"/>
  <c r="D395" i="8"/>
  <c r="D396" i="8" s="1"/>
  <c r="D378" i="8"/>
  <c r="D368" i="8"/>
  <c r="D351" i="8"/>
  <c r="C379" i="8"/>
  <c r="C380" i="8"/>
  <c r="C383" i="8"/>
  <c r="C395" i="8" s="1"/>
  <c r="C396" i="8" s="1"/>
  <c r="C384" i="8"/>
  <c r="C385" i="8"/>
  <c r="C386" i="8"/>
  <c r="C388" i="8"/>
  <c r="C391" i="8"/>
  <c r="C378" i="8"/>
  <c r="C368" i="8"/>
  <c r="C351" i="8"/>
  <c r="F368" i="8"/>
  <c r="K279" i="8"/>
  <c r="K283" i="8"/>
  <c r="K325" i="8" s="1"/>
  <c r="K297" i="8"/>
  <c r="K307" i="8"/>
  <c r="H311" i="8"/>
  <c r="K324" i="8"/>
  <c r="D309" i="8"/>
  <c r="D324" i="8" s="1"/>
  <c r="D325" i="8" s="1"/>
  <c r="D317" i="8"/>
  <c r="D320" i="8"/>
  <c r="D307" i="8"/>
  <c r="D297" i="8"/>
  <c r="D279" i="8"/>
  <c r="C309" i="8"/>
  <c r="C324" i="8" s="1"/>
  <c r="C325" i="8" s="1"/>
  <c r="C320" i="8"/>
  <c r="C307" i="8"/>
  <c r="C297" i="8"/>
  <c r="C279" i="8"/>
  <c r="F297" i="8"/>
  <c r="K213" i="8"/>
  <c r="K259" i="8" s="1"/>
  <c r="H217" i="8"/>
  <c r="K217" i="8"/>
  <c r="H223" i="8"/>
  <c r="H225" i="8"/>
  <c r="K231" i="8"/>
  <c r="K241" i="8"/>
  <c r="H245" i="8"/>
  <c r="K258" i="8"/>
  <c r="D242" i="8"/>
  <c r="D258" i="8" s="1"/>
  <c r="D259" i="8" s="1"/>
  <c r="D243" i="8"/>
  <c r="D246" i="8"/>
  <c r="D247" i="8"/>
  <c r="D248" i="8"/>
  <c r="D249" i="8"/>
  <c r="D251" i="8"/>
  <c r="D252" i="8"/>
  <c r="D254" i="8"/>
  <c r="D241" i="8"/>
  <c r="D231" i="8"/>
  <c r="D216" i="8"/>
  <c r="D213" i="8"/>
  <c r="C243" i="8"/>
  <c r="C246" i="8"/>
  <c r="C247" i="8"/>
  <c r="C248" i="8"/>
  <c r="C249" i="8"/>
  <c r="C258" i="8" s="1"/>
  <c r="C259" i="8" s="1"/>
  <c r="C251" i="8"/>
  <c r="C254" i="8"/>
  <c r="C241" i="8"/>
  <c r="C231" i="8"/>
  <c r="C213" i="8"/>
  <c r="F231" i="8"/>
  <c r="K147" i="8"/>
  <c r="K193" i="8" s="1"/>
  <c r="K151" i="8"/>
  <c r="K165" i="8"/>
  <c r="K175" i="8"/>
  <c r="H179" i="8"/>
  <c r="H181" i="8"/>
  <c r="H184" i="8"/>
  <c r="H185" i="8"/>
  <c r="K192" i="8"/>
  <c r="D176" i="8"/>
  <c r="D177" i="8"/>
  <c r="D180" i="8"/>
  <c r="D181" i="8"/>
  <c r="D182" i="8"/>
  <c r="D183" i="8"/>
  <c r="D192" i="8" s="1"/>
  <c r="D193" i="8" s="1"/>
  <c r="D185" i="8"/>
  <c r="D188" i="8"/>
  <c r="D175" i="8"/>
  <c r="D165" i="8"/>
  <c r="D147" i="8"/>
  <c r="C176" i="8"/>
  <c r="C177" i="8"/>
  <c r="C192" i="8" s="1"/>
  <c r="C193" i="8" s="1"/>
  <c r="C180" i="8"/>
  <c r="C181" i="8"/>
  <c r="C182" i="8"/>
  <c r="C183" i="8"/>
  <c r="C185" i="8"/>
  <c r="C188" i="8"/>
  <c r="C175" i="8"/>
  <c r="C165" i="8"/>
  <c r="C147" i="8"/>
  <c r="F165" i="8"/>
  <c r="K80" i="8"/>
  <c r="K84" i="8"/>
  <c r="K98" i="8"/>
  <c r="K126" i="8" s="1"/>
  <c r="K108" i="8"/>
  <c r="K125" i="8"/>
  <c r="D110" i="8"/>
  <c r="D113" i="8"/>
  <c r="D125" i="8" s="1"/>
  <c r="D126" i="8" s="1"/>
  <c r="D114" i="8"/>
  <c r="D116" i="8"/>
  <c r="D118" i="8"/>
  <c r="D121" i="8"/>
  <c r="D108" i="8"/>
  <c r="D98" i="8"/>
  <c r="D80" i="8"/>
  <c r="C110" i="8"/>
  <c r="C114" i="8"/>
  <c r="C125" i="8" s="1"/>
  <c r="C126" i="8" s="1"/>
  <c r="C116" i="8"/>
  <c r="C121" i="8"/>
  <c r="C108" i="8"/>
  <c r="C98" i="8"/>
  <c r="C80" i="8"/>
  <c r="F98" i="8"/>
  <c r="K16" i="8"/>
  <c r="K62" i="8" s="1"/>
  <c r="K20" i="8"/>
  <c r="K34" i="8"/>
  <c r="K44" i="8"/>
  <c r="H47" i="8"/>
  <c r="K61" i="8" s="1"/>
  <c r="H48" i="8"/>
  <c r="D45" i="8"/>
  <c r="D61" i="8" s="1"/>
  <c r="D62" i="8" s="1"/>
  <c r="D46" i="8"/>
  <c r="D50" i="8"/>
  <c r="D51" i="8"/>
  <c r="D52" i="8"/>
  <c r="D54" i="8"/>
  <c r="D57" i="8"/>
  <c r="D44" i="8"/>
  <c r="D33" i="8"/>
  <c r="D34" i="8"/>
  <c r="D16" i="8"/>
  <c r="C45" i="8"/>
  <c r="C46" i="8"/>
  <c r="C50" i="8"/>
  <c r="C61" i="8" s="1"/>
  <c r="C62" i="8" s="1"/>
  <c r="C52" i="8"/>
  <c r="C54" i="8"/>
  <c r="C55" i="8"/>
  <c r="C57" i="8"/>
  <c r="C44" i="8"/>
  <c r="C25" i="8"/>
  <c r="C34" i="8"/>
  <c r="C16" i="8"/>
  <c r="F34" i="8"/>
  <c r="AZ818" i="9"/>
  <c r="AY818" i="9"/>
  <c r="BE805" i="9"/>
  <c r="BD805" i="9"/>
  <c r="AZ798" i="9"/>
  <c r="AY798" i="9"/>
  <c r="BE726" i="9"/>
  <c r="BD726" i="9"/>
  <c r="AY722" i="9"/>
  <c r="BH655" i="9"/>
  <c r="AZ653" i="9"/>
  <c r="AY653" i="9"/>
  <c r="BH644" i="9"/>
  <c r="AZ639" i="9"/>
  <c r="AY639" i="9"/>
  <c r="BH575" i="9"/>
  <c r="AZ573" i="9"/>
  <c r="AY573" i="9"/>
  <c r="BH565" i="9"/>
  <c r="BH562" i="9"/>
  <c r="BP201" i="9"/>
  <c r="BO201" i="9"/>
  <c r="BP196" i="9"/>
  <c r="BO196" i="9"/>
  <c r="BU180" i="9"/>
  <c r="BT180" i="9"/>
  <c r="BP180" i="9"/>
  <c r="BP173" i="9"/>
  <c r="BO173" i="9"/>
  <c r="BP123" i="9"/>
  <c r="BO123" i="9"/>
  <c r="BP107" i="9"/>
  <c r="BO100" i="9"/>
  <c r="BP65" i="9"/>
  <c r="BO65" i="9"/>
  <c r="BH540" i="9"/>
  <c r="BH541" i="9"/>
  <c r="AZ535" i="9"/>
  <c r="BH505" i="9"/>
  <c r="BH495" i="9"/>
  <c r="BH492" i="9"/>
  <c r="AZ476" i="9"/>
  <c r="BF476" i="9"/>
  <c r="AZ477" i="9"/>
  <c r="BF477" i="9"/>
  <c r="BC477" i="9"/>
  <c r="BC476" i="9"/>
  <c r="AZ472" i="9"/>
  <c r="BC472" i="9"/>
  <c r="AY444" i="9"/>
  <c r="AY451" i="9"/>
  <c r="AY440" i="9"/>
  <c r="AY432" i="9"/>
  <c r="AY435" i="9"/>
  <c r="AY428" i="9"/>
  <c r="AY423" i="9"/>
  <c r="AZ473" i="9"/>
  <c r="BC473" i="9"/>
  <c r="AZ444" i="9"/>
  <c r="AZ451" i="9"/>
  <c r="AZ461" i="9"/>
  <c r="AZ440" i="9"/>
  <c r="AZ432" i="9"/>
  <c r="AZ435" i="9"/>
  <c r="AZ428" i="9"/>
  <c r="AZ423" i="9"/>
  <c r="BB470" i="9"/>
  <c r="BB469" i="9"/>
  <c r="AZ468" i="9"/>
  <c r="BH465" i="9"/>
  <c r="AZ467" i="9" s="1"/>
  <c r="BH440" i="9"/>
  <c r="BH435" i="9"/>
  <c r="BH428" i="9"/>
  <c r="BH425" i="9"/>
  <c r="BH423" i="9"/>
  <c r="BE466" i="9"/>
  <c r="BD466" i="9"/>
  <c r="BC465" i="9"/>
  <c r="BC466" i="9"/>
  <c r="BB465" i="9"/>
  <c r="BB466" i="9"/>
  <c r="BH437" i="9"/>
  <c r="AZ407" i="9"/>
  <c r="BH407" i="9" s="1"/>
  <c r="BI408" i="9" s="1"/>
  <c r="AZ408" i="9"/>
  <c r="BH408" i="9"/>
  <c r="BC408" i="9"/>
  <c r="BC407" i="9"/>
  <c r="AZ403" i="9"/>
  <c r="BC403" i="9"/>
  <c r="AY375" i="9"/>
  <c r="AY379" i="9"/>
  <c r="AY382" i="9"/>
  <c r="AY389" i="9"/>
  <c r="AY371" i="9"/>
  <c r="AY366" i="9"/>
  <c r="AY359" i="9"/>
  <c r="AY354" i="9"/>
  <c r="AZ404" i="9"/>
  <c r="T387" i="9"/>
  <c r="BC404" i="9" s="1"/>
  <c r="AZ375" i="9"/>
  <c r="AZ379" i="9"/>
  <c r="AZ382" i="9"/>
  <c r="AZ389" i="9"/>
  <c r="AZ392" i="9"/>
  <c r="AZ394" i="9"/>
  <c r="AZ371" i="9"/>
  <c r="AZ366" i="9"/>
  <c r="AZ359" i="9"/>
  <c r="AZ354" i="9"/>
  <c r="BB401" i="9"/>
  <c r="AJ393" i="9"/>
  <c r="BB400" i="9" s="1"/>
  <c r="AZ399" i="9"/>
  <c r="BH396" i="9"/>
  <c r="AZ398" i="9" s="1"/>
  <c r="BH371" i="9"/>
  <c r="BH366" i="9"/>
  <c r="BH359" i="9"/>
  <c r="BH356" i="9"/>
  <c r="BH354" i="9"/>
  <c r="BE397" i="9"/>
  <c r="BD397" i="9"/>
  <c r="BC396" i="9"/>
  <c r="BC397" i="9"/>
  <c r="BB396" i="9"/>
  <c r="BB397" i="9"/>
  <c r="BH368" i="9"/>
  <c r="AZ340" i="9"/>
  <c r="BF340" i="9"/>
  <c r="AZ341" i="9"/>
  <c r="BF341" i="9"/>
  <c r="T323" i="9"/>
  <c r="BC341" i="9" s="1"/>
  <c r="BC340" i="9"/>
  <c r="AZ336" i="9"/>
  <c r="BC336" i="9"/>
  <c r="AY307" i="9"/>
  <c r="AY308" i="9"/>
  <c r="AY315" i="9"/>
  <c r="AY319" i="9"/>
  <c r="AY304" i="9"/>
  <c r="AY299" i="9"/>
  <c r="AY293" i="9"/>
  <c r="AY288" i="9"/>
  <c r="AZ337" i="9"/>
  <c r="BC337" i="9"/>
  <c r="AZ308" i="9"/>
  <c r="AZ315" i="9"/>
  <c r="AZ327" i="9"/>
  <c r="AZ304" i="9"/>
  <c r="AZ299" i="9"/>
  <c r="AZ293" i="9"/>
  <c r="AZ288" i="9"/>
  <c r="BB334" i="9"/>
  <c r="BB333" i="9"/>
  <c r="AZ332" i="9"/>
  <c r="BH329" i="9"/>
  <c r="AZ331" i="9"/>
  <c r="BH304" i="9"/>
  <c r="BH299" i="9"/>
  <c r="BH293" i="9"/>
  <c r="BH290" i="9"/>
  <c r="BH288" i="9"/>
  <c r="BE330" i="9"/>
  <c r="BD330" i="9"/>
  <c r="BC329" i="9"/>
  <c r="BC330" i="9" s="1"/>
  <c r="BB329" i="9"/>
  <c r="BB330" i="9"/>
  <c r="BH301" i="9"/>
  <c r="AZ272" i="9"/>
  <c r="BH272" i="9"/>
  <c r="BI273" i="9" s="1"/>
  <c r="AZ273" i="9"/>
  <c r="BH273" i="9" s="1"/>
  <c r="T255" i="9"/>
  <c r="BC273" i="9"/>
  <c r="BC272" i="9"/>
  <c r="AZ268" i="9"/>
  <c r="S230" i="9"/>
  <c r="S233" i="9"/>
  <c r="S234" i="9"/>
  <c r="S236" i="9"/>
  <c r="S237" i="9"/>
  <c r="AY240" i="9"/>
  <c r="AY261" i="9"/>
  <c r="AY236" i="9"/>
  <c r="AY228" i="9"/>
  <c r="AY231" i="9" s="1"/>
  <c r="AY225" i="9"/>
  <c r="AY218" i="9"/>
  <c r="AY220" i="9" s="1"/>
  <c r="AZ269" i="9"/>
  <c r="T230" i="9"/>
  <c r="T252" i="9" s="1"/>
  <c r="AZ240" i="9"/>
  <c r="AZ261" i="9" s="1"/>
  <c r="AZ236" i="9"/>
  <c r="AZ228" i="9"/>
  <c r="AZ230" i="9"/>
  <c r="AZ225" i="9"/>
  <c r="AZ220" i="9"/>
  <c r="BB266" i="9"/>
  <c r="BB265" i="9"/>
  <c r="AZ264" i="9"/>
  <c r="BH261" i="9"/>
  <c r="AZ263" i="9" s="1"/>
  <c r="BH236" i="9"/>
  <c r="BH231" i="9"/>
  <c r="BH225" i="9"/>
  <c r="BH222" i="9"/>
  <c r="BH220" i="9"/>
  <c r="BE262" i="9"/>
  <c r="BD262" i="9"/>
  <c r="BC261" i="9"/>
  <c r="BC262" i="9" s="1"/>
  <c r="BB261" i="9"/>
  <c r="BB262" i="9"/>
  <c r="BH233" i="9"/>
  <c r="BF202" i="9"/>
  <c r="BH202" i="9" s="1"/>
  <c r="BF203" i="9"/>
  <c r="BH203" i="9" s="1"/>
  <c r="AZ198" i="9"/>
  <c r="BC198" i="9"/>
  <c r="AY170" i="9"/>
  <c r="AY171" i="9"/>
  <c r="AY172" i="9"/>
  <c r="AY174" i="9"/>
  <c r="AY180" i="9"/>
  <c r="AY166" i="9"/>
  <c r="AY161" i="9"/>
  <c r="AY155" i="9"/>
  <c r="AY150" i="9"/>
  <c r="AZ199" i="9"/>
  <c r="T182" i="9"/>
  <c r="BC199" i="9" s="1"/>
  <c r="AZ169" i="9"/>
  <c r="AZ170" i="9"/>
  <c r="AZ172" i="9"/>
  <c r="AZ174" i="9"/>
  <c r="AZ183" i="9"/>
  <c r="AZ190" i="9"/>
  <c r="AZ166" i="9"/>
  <c r="AZ192" i="9" s="1"/>
  <c r="AZ161" i="9"/>
  <c r="AZ155" i="9"/>
  <c r="AZ150" i="9"/>
  <c r="BB196" i="9"/>
  <c r="BB195" i="9"/>
  <c r="AZ194" i="9"/>
  <c r="BH191" i="9"/>
  <c r="AZ193" i="9"/>
  <c r="BH166" i="9"/>
  <c r="BH161" i="9"/>
  <c r="BH155" i="9"/>
  <c r="BH152" i="9"/>
  <c r="BH150" i="9"/>
  <c r="BE192" i="9"/>
  <c r="BD192" i="9"/>
  <c r="BC191" i="9"/>
  <c r="BC192" i="9" s="1"/>
  <c r="BB191" i="9"/>
  <c r="BB192" i="9" s="1"/>
  <c r="BH163" i="9"/>
  <c r="BF133" i="9"/>
  <c r="BH133" i="9"/>
  <c r="BF134" i="9"/>
  <c r="BH134" i="9"/>
  <c r="AZ129" i="9"/>
  <c r="S113" i="9"/>
  <c r="BC129" i="9" s="1"/>
  <c r="BF129" i="9" s="1"/>
  <c r="BH129" i="9" s="1"/>
  <c r="BI130" i="9" s="1"/>
  <c r="AY101" i="9"/>
  <c r="AY103" i="9"/>
  <c r="AY108" i="9"/>
  <c r="AY97" i="9"/>
  <c r="AY92" i="9"/>
  <c r="AY86" i="9"/>
  <c r="AY79" i="9"/>
  <c r="AY81" i="9" s="1"/>
  <c r="AZ130" i="9"/>
  <c r="BC130" i="9"/>
  <c r="AZ101" i="9"/>
  <c r="AZ103" i="9"/>
  <c r="AZ104" i="9"/>
  <c r="AZ108" i="9"/>
  <c r="AZ97" i="9"/>
  <c r="AZ92" i="9"/>
  <c r="AZ86" i="9"/>
  <c r="AZ81" i="9"/>
  <c r="BB127" i="9"/>
  <c r="BB126" i="9"/>
  <c r="BH122" i="9"/>
  <c r="AZ124" i="9" s="1"/>
  <c r="BH97" i="9"/>
  <c r="BH92" i="9"/>
  <c r="BH86" i="9"/>
  <c r="BH83" i="9"/>
  <c r="BH81" i="9"/>
  <c r="BE123" i="9"/>
  <c r="BD123" i="9"/>
  <c r="BC122" i="9"/>
  <c r="BC123" i="9"/>
  <c r="BB122" i="9"/>
  <c r="BB123" i="9" s="1"/>
  <c r="BH94" i="9"/>
  <c r="BH64" i="9"/>
  <c r="BH65" i="9"/>
  <c r="AZ60" i="9"/>
  <c r="BC60" i="9"/>
  <c r="AY31" i="9"/>
  <c r="AY32" i="9"/>
  <c r="AY33" i="9"/>
  <c r="AY35" i="9"/>
  <c r="AY43" i="9"/>
  <c r="AY27" i="9"/>
  <c r="AY18" i="9"/>
  <c r="AY19" i="9"/>
  <c r="AY17" i="9"/>
  <c r="AY14" i="9"/>
  <c r="AY12" i="9"/>
  <c r="AZ61" i="9"/>
  <c r="BC61" i="9"/>
  <c r="AZ31" i="9"/>
  <c r="AZ33" i="9"/>
  <c r="AZ34" i="9"/>
  <c r="AZ38" i="9"/>
  <c r="AZ43" i="9"/>
  <c r="AZ52" i="9"/>
  <c r="AZ27" i="9"/>
  <c r="AZ19" i="9"/>
  <c r="AZ22" i="9" s="1"/>
  <c r="AZ17" i="9"/>
  <c r="AZ12" i="9"/>
  <c r="AZ14" i="9"/>
  <c r="BB58" i="9"/>
  <c r="BB57" i="9"/>
  <c r="AZ56" i="9"/>
  <c r="BH53" i="9"/>
  <c r="AZ55" i="9" s="1"/>
  <c r="BH27" i="9"/>
  <c r="BH54" i="9" s="1"/>
  <c r="BF19" i="9"/>
  <c r="BF20" i="9"/>
  <c r="BH17" i="9"/>
  <c r="BH14" i="9"/>
  <c r="BH12" i="9"/>
  <c r="BE54" i="9"/>
  <c r="BD54" i="9"/>
  <c r="BB53" i="9"/>
  <c r="BB54" i="9" s="1"/>
  <c r="BC53" i="9"/>
  <c r="BH24" i="9"/>
  <c r="AJ754" i="9"/>
  <c r="AM754" i="9"/>
  <c r="AJ724" i="9"/>
  <c r="AJ725" i="9"/>
  <c r="AJ726" i="9"/>
  <c r="AJ727" i="9"/>
  <c r="AJ728" i="9"/>
  <c r="AJ731" i="9"/>
  <c r="AJ738" i="9"/>
  <c r="AJ744" i="9"/>
  <c r="AJ718" i="9"/>
  <c r="AJ720" i="9" s="1"/>
  <c r="AJ715" i="9"/>
  <c r="AJ710" i="9"/>
  <c r="AJ705" i="9"/>
  <c r="AJ747" i="9" s="1"/>
  <c r="AJ753" i="9"/>
  <c r="AM753" i="9"/>
  <c r="AI724" i="9"/>
  <c r="AI726" i="9"/>
  <c r="AI728" i="9"/>
  <c r="AI741" i="9"/>
  <c r="AI720" i="9"/>
  <c r="AI715" i="9"/>
  <c r="AI747" i="9" s="1"/>
  <c r="AI710" i="9"/>
  <c r="AI703" i="9"/>
  <c r="AI705" i="9"/>
  <c r="AL751" i="9"/>
  <c r="T746" i="9"/>
  <c r="AL750" i="9"/>
  <c r="AJ749" i="9"/>
  <c r="AR746" i="9"/>
  <c r="AJ748" i="9" s="1"/>
  <c r="AR720" i="9"/>
  <c r="AR715" i="9"/>
  <c r="AR710" i="9"/>
  <c r="AR707" i="9"/>
  <c r="AR705" i="9"/>
  <c r="AO747" i="9"/>
  <c r="AN747" i="9"/>
  <c r="AL746" i="9"/>
  <c r="AL747" i="9" s="1"/>
  <c r="AR717" i="9"/>
  <c r="AJ691" i="9"/>
  <c r="AM691" i="9"/>
  <c r="AJ661" i="9"/>
  <c r="AJ679" i="9"/>
  <c r="AJ681" i="9"/>
  <c r="AJ657" i="9"/>
  <c r="AJ652" i="9"/>
  <c r="AJ648" i="9"/>
  <c r="AJ643" i="9"/>
  <c r="AJ690" i="9"/>
  <c r="AM690" i="9"/>
  <c r="AI661" i="9"/>
  <c r="AI665" i="9"/>
  <c r="AI657" i="9"/>
  <c r="AI652" i="9"/>
  <c r="AI648" i="9"/>
  <c r="AI641" i="9"/>
  <c r="AI643" i="9" s="1"/>
  <c r="AL688" i="9"/>
  <c r="AL687" i="9"/>
  <c r="AJ686" i="9"/>
  <c r="AR683" i="9"/>
  <c r="AJ685" i="9" s="1"/>
  <c r="AR657" i="9"/>
  <c r="AR652" i="9"/>
  <c r="AR648" i="9"/>
  <c r="AR645" i="9"/>
  <c r="AR643" i="9"/>
  <c r="AO684" i="9"/>
  <c r="AN683" i="9"/>
  <c r="AN684" i="9" s="1"/>
  <c r="AL683" i="9"/>
  <c r="AL684" i="9"/>
  <c r="AR654" i="9"/>
  <c r="AJ628" i="9"/>
  <c r="AM628" i="9"/>
  <c r="AJ595" i="9"/>
  <c r="AJ598" i="9"/>
  <c r="AJ600" i="9"/>
  <c r="AJ605" i="9"/>
  <c r="AJ607" i="9"/>
  <c r="AJ615" i="9"/>
  <c r="AJ618" i="9"/>
  <c r="AJ619" i="9"/>
  <c r="AJ594" i="9"/>
  <c r="AJ589" i="9"/>
  <c r="AJ584" i="9"/>
  <c r="AJ579" i="9"/>
  <c r="AJ627" i="9"/>
  <c r="F621" i="9"/>
  <c r="AM627" i="9"/>
  <c r="AI598" i="9"/>
  <c r="AI600" i="9"/>
  <c r="AI602" i="9"/>
  <c r="AI605" i="9"/>
  <c r="AI607" i="9"/>
  <c r="AI617" i="9"/>
  <c r="AI594" i="9"/>
  <c r="AI589" i="9"/>
  <c r="AI584" i="9"/>
  <c r="AI579" i="9"/>
  <c r="AL625" i="9"/>
  <c r="AL624" i="9"/>
  <c r="AJ623" i="9"/>
  <c r="AR620" i="9"/>
  <c r="AJ622" i="9" s="1"/>
  <c r="AR594" i="9"/>
  <c r="AR621" i="9" s="1"/>
  <c r="AR589" i="9"/>
  <c r="AP583" i="9"/>
  <c r="AR584" i="9" s="1"/>
  <c r="AR581" i="9"/>
  <c r="AR579" i="9"/>
  <c r="AO621" i="9"/>
  <c r="AN621" i="9"/>
  <c r="AL620" i="9"/>
  <c r="AL621" i="9" s="1"/>
  <c r="AR591" i="9"/>
  <c r="AJ564" i="9"/>
  <c r="AM564" i="9"/>
  <c r="AJ534" i="9"/>
  <c r="AJ536" i="9"/>
  <c r="AJ538" i="9"/>
  <c r="AJ554" i="9"/>
  <c r="AJ530" i="9"/>
  <c r="AJ524" i="9"/>
  <c r="AJ525" i="9" s="1"/>
  <c r="AJ557" i="9" s="1"/>
  <c r="AJ521" i="9"/>
  <c r="AJ516" i="9"/>
  <c r="AJ563" i="9"/>
  <c r="AM563" i="9"/>
  <c r="AI534" i="9"/>
  <c r="AI536" i="9"/>
  <c r="AI543" i="9"/>
  <c r="AI553" i="9"/>
  <c r="AI530" i="9"/>
  <c r="AI524" i="9"/>
  <c r="AI525" i="9"/>
  <c r="AI521" i="9"/>
  <c r="AI516" i="9"/>
  <c r="AL561" i="9"/>
  <c r="AL560" i="9"/>
  <c r="AJ559" i="9"/>
  <c r="AR556" i="9"/>
  <c r="AJ558" i="9"/>
  <c r="AR530" i="9"/>
  <c r="AR525" i="9"/>
  <c r="AR521" i="9"/>
  <c r="AR518" i="9"/>
  <c r="AR516" i="9"/>
  <c r="AO557" i="9"/>
  <c r="AN557" i="9"/>
  <c r="AL556" i="9"/>
  <c r="AL557" i="9"/>
  <c r="AR527" i="9"/>
  <c r="AJ503" i="9"/>
  <c r="AM503" i="9"/>
  <c r="AJ473" i="9"/>
  <c r="AJ491" i="9"/>
  <c r="AJ492" i="9"/>
  <c r="AJ469" i="9"/>
  <c r="AJ463" i="9"/>
  <c r="AJ464" i="9" s="1"/>
  <c r="AJ460" i="9"/>
  <c r="AJ455" i="9"/>
  <c r="AJ502" i="9"/>
  <c r="AM502" i="9"/>
  <c r="AI491" i="9"/>
  <c r="AI492" i="9"/>
  <c r="AI469" i="9"/>
  <c r="AI464" i="9"/>
  <c r="AI460" i="9"/>
  <c r="AI455" i="9"/>
  <c r="AL500" i="9"/>
  <c r="AL499" i="9"/>
  <c r="AJ498" i="9"/>
  <c r="AR495" i="9"/>
  <c r="AJ497" i="9"/>
  <c r="AR469" i="9"/>
  <c r="AR464" i="9"/>
  <c r="AR460" i="9"/>
  <c r="AR457" i="9"/>
  <c r="AR455" i="9"/>
  <c r="AO496" i="9"/>
  <c r="AN496" i="9"/>
  <c r="AL495" i="9"/>
  <c r="AL496" i="9" s="1"/>
  <c r="AR466" i="9"/>
  <c r="AJ441" i="9"/>
  <c r="AM441" i="9"/>
  <c r="AJ413" i="9"/>
  <c r="AJ422" i="9"/>
  <c r="AJ407" i="9"/>
  <c r="AJ402" i="9"/>
  <c r="AJ398" i="9"/>
  <c r="AJ440" i="9"/>
  <c r="AM440" i="9"/>
  <c r="AI411" i="9"/>
  <c r="AI413" i="9"/>
  <c r="AI422" i="9"/>
  <c r="AI407" i="9"/>
  <c r="AI402" i="9"/>
  <c r="AI398" i="9"/>
  <c r="AI393" i="9"/>
  <c r="AL438" i="9"/>
  <c r="AL437" i="9"/>
  <c r="AR433" i="9"/>
  <c r="AJ435" i="9" s="1"/>
  <c r="AR407" i="9"/>
  <c r="AR402" i="9"/>
  <c r="AR398" i="9"/>
  <c r="AR395" i="9"/>
  <c r="AR393" i="9"/>
  <c r="AO434" i="9"/>
  <c r="AN434" i="9"/>
  <c r="AL433" i="9"/>
  <c r="AL434" i="9"/>
  <c r="AR404" i="9"/>
  <c r="AJ375" i="9"/>
  <c r="AM375" i="9"/>
  <c r="AJ367" i="9"/>
  <c r="AJ341" i="9"/>
  <c r="AJ336" i="9"/>
  <c r="AJ332" i="9"/>
  <c r="AJ327" i="9"/>
  <c r="AJ374" i="9"/>
  <c r="F356" i="9"/>
  <c r="AM374" i="9"/>
  <c r="AI345" i="9"/>
  <c r="AI367" i="9"/>
  <c r="AI341" i="9"/>
  <c r="AI336" i="9"/>
  <c r="AI332" i="9"/>
  <c r="AI325" i="9"/>
  <c r="AI327" i="9" s="1"/>
  <c r="AI368" i="9" s="1"/>
  <c r="AL372" i="9"/>
  <c r="AL371" i="9"/>
  <c r="AJ370" i="9"/>
  <c r="AR367" i="9"/>
  <c r="AJ369" i="9" s="1"/>
  <c r="AR341" i="9"/>
  <c r="AR336" i="9"/>
  <c r="AR332" i="9"/>
  <c r="AR329" i="9"/>
  <c r="AR368" i="9" s="1"/>
  <c r="AR327" i="9"/>
  <c r="AO368" i="9"/>
  <c r="AN368" i="9"/>
  <c r="AL367" i="9"/>
  <c r="AL368" i="9"/>
  <c r="AR338" i="9"/>
  <c r="AJ313" i="9"/>
  <c r="AM313" i="9"/>
  <c r="AP313" i="9" s="1"/>
  <c r="AR313" i="9" s="1"/>
  <c r="AJ282" i="9"/>
  <c r="AJ283" i="9"/>
  <c r="AJ286" i="9"/>
  <c r="AJ298" i="9"/>
  <c r="AJ303" i="9"/>
  <c r="AJ279" i="9"/>
  <c r="AJ273" i="9"/>
  <c r="AJ274" i="9"/>
  <c r="AJ270" i="9"/>
  <c r="AJ265" i="9"/>
  <c r="AJ312" i="9"/>
  <c r="F294" i="9"/>
  <c r="AM312" i="9"/>
  <c r="AI282" i="9"/>
  <c r="AI283" i="9"/>
  <c r="AI293" i="9"/>
  <c r="AI305" i="9" s="1"/>
  <c r="AI306" i="9" s="1"/>
  <c r="AI279" i="9"/>
  <c r="AI271" i="9"/>
  <c r="AI274" i="9" s="1"/>
  <c r="AI270" i="9"/>
  <c r="AI263" i="9"/>
  <c r="AI265" i="9"/>
  <c r="AL310" i="9"/>
  <c r="AL309" i="9"/>
  <c r="AJ308" i="9"/>
  <c r="AR305" i="9"/>
  <c r="AJ307" i="9" s="1"/>
  <c r="AR279" i="9"/>
  <c r="AR274" i="9"/>
  <c r="AR270" i="9"/>
  <c r="AR267" i="9"/>
  <c r="AR265" i="9"/>
  <c r="AO306" i="9"/>
  <c r="AN306" i="9"/>
  <c r="AL305" i="9"/>
  <c r="AL306" i="9" s="1"/>
  <c r="AR276" i="9"/>
  <c r="AJ249" i="9"/>
  <c r="AM249" i="9"/>
  <c r="AJ219" i="9"/>
  <c r="AJ230" i="9"/>
  <c r="AJ215" i="9"/>
  <c r="AJ211" i="9"/>
  <c r="AJ206" i="9"/>
  <c r="AJ201" i="9"/>
  <c r="AJ248" i="9"/>
  <c r="AM248" i="9"/>
  <c r="AI218" i="9"/>
  <c r="AI219" i="9"/>
  <c r="AI230" i="9"/>
  <c r="AI215" i="9"/>
  <c r="AI211" i="9"/>
  <c r="AI206" i="9"/>
  <c r="AI201" i="9"/>
  <c r="AL246" i="9"/>
  <c r="AL245" i="9"/>
  <c r="AJ244" i="9"/>
  <c r="AR241" i="9"/>
  <c r="AJ243" i="9" s="1"/>
  <c r="AR215" i="9"/>
  <c r="AR211" i="9"/>
  <c r="AR206" i="9"/>
  <c r="AR203" i="9"/>
  <c r="AR201" i="9"/>
  <c r="AO205" i="9"/>
  <c r="AO242" i="9"/>
  <c r="AN205" i="9"/>
  <c r="AN242" i="9" s="1"/>
  <c r="AL241" i="9"/>
  <c r="AL242" i="9"/>
  <c r="AJ186" i="9"/>
  <c r="AM186" i="9"/>
  <c r="AP186" i="9" s="1"/>
  <c r="AJ185" i="9"/>
  <c r="AM185" i="9"/>
  <c r="AI156" i="9"/>
  <c r="AI178" i="9"/>
  <c r="AI152" i="9"/>
  <c r="AI148" i="9"/>
  <c r="AI143" i="9"/>
  <c r="AI138" i="9"/>
  <c r="AR183" i="9"/>
  <c r="AL183" i="9"/>
  <c r="AL182" i="9"/>
  <c r="AJ181" i="9"/>
  <c r="AR178" i="9"/>
  <c r="AJ180" i="9" s="1"/>
  <c r="AR152" i="9"/>
  <c r="AR148" i="9"/>
  <c r="AR143" i="9"/>
  <c r="AR140" i="9"/>
  <c r="AR138" i="9"/>
  <c r="AO179" i="9"/>
  <c r="AN179" i="9"/>
  <c r="AL178" i="9"/>
  <c r="AL179" i="9"/>
  <c r="AJ178" i="9"/>
  <c r="AJ152" i="9"/>
  <c r="AJ148" i="9"/>
  <c r="AJ143" i="9"/>
  <c r="AJ138" i="9"/>
  <c r="AJ125" i="9"/>
  <c r="AM125" i="9"/>
  <c r="AP125" i="9"/>
  <c r="AJ124" i="9"/>
  <c r="AM124" i="9"/>
  <c r="AI117" i="9"/>
  <c r="AI91" i="9"/>
  <c r="AI87" i="9"/>
  <c r="AI82" i="9"/>
  <c r="AI77" i="9"/>
  <c r="AR122" i="9"/>
  <c r="AL122" i="9"/>
  <c r="AL121" i="9"/>
  <c r="AR117" i="9"/>
  <c r="AJ119" i="9" s="1"/>
  <c r="AR91" i="9"/>
  <c r="AR87" i="9"/>
  <c r="AR82" i="9"/>
  <c r="AR79" i="9"/>
  <c r="AR118" i="9" s="1"/>
  <c r="AR77" i="9"/>
  <c r="AO118" i="9"/>
  <c r="AN118" i="9"/>
  <c r="AL117" i="9"/>
  <c r="AL118" i="9"/>
  <c r="AJ117" i="9"/>
  <c r="AJ91" i="9"/>
  <c r="AJ87" i="9"/>
  <c r="AJ82" i="9"/>
  <c r="AJ77" i="9"/>
  <c r="AJ60" i="9"/>
  <c r="AM60" i="9"/>
  <c r="AI29" i="9"/>
  <c r="AI30" i="9"/>
  <c r="AI31" i="9"/>
  <c r="AI32" i="9"/>
  <c r="AI53" i="9" s="1"/>
  <c r="AI54" i="9" s="1"/>
  <c r="AI33" i="9"/>
  <c r="AI38" i="9"/>
  <c r="AI42" i="9"/>
  <c r="AI27" i="9"/>
  <c r="AI23" i="9"/>
  <c r="AI18" i="9"/>
  <c r="AJ61" i="9"/>
  <c r="AM61" i="9"/>
  <c r="AP61" i="9" s="1"/>
  <c r="AR61" i="9" s="1"/>
  <c r="AR58" i="9"/>
  <c r="AL58" i="9"/>
  <c r="AB53" i="9"/>
  <c r="T55" i="9"/>
  <c r="AL57" i="9"/>
  <c r="AJ56" i="9"/>
  <c r="AR53" i="9"/>
  <c r="AJ55" i="9" s="1"/>
  <c r="AR27" i="9"/>
  <c r="AR23" i="9"/>
  <c r="AR18" i="9"/>
  <c r="AR15" i="9"/>
  <c r="AR13" i="9"/>
  <c r="AO54" i="9"/>
  <c r="AN54" i="9"/>
  <c r="AL53" i="9"/>
  <c r="AL54" i="9"/>
  <c r="AJ31" i="9"/>
  <c r="AJ38" i="9"/>
  <c r="AJ27" i="9"/>
  <c r="AJ23" i="9"/>
  <c r="AJ18" i="9"/>
  <c r="AJ12" i="9"/>
  <c r="T750" i="9"/>
  <c r="T752" i="9"/>
  <c r="T768" i="9" s="1"/>
  <c r="T761" i="9"/>
  <c r="T742" i="9"/>
  <c r="T739" i="9"/>
  <c r="T735" i="9"/>
  <c r="T733" i="9"/>
  <c r="T728" i="9"/>
  <c r="W776" i="9"/>
  <c r="T776" i="9"/>
  <c r="S746" i="9"/>
  <c r="S750" i="9"/>
  <c r="S752" i="9"/>
  <c r="S742" i="9"/>
  <c r="S739" i="9"/>
  <c r="S735" i="9"/>
  <c r="S733" i="9"/>
  <c r="S728" i="9"/>
  <c r="S769" i="9" s="1"/>
  <c r="AB772" i="9" s="1"/>
  <c r="Z775" i="9" s="1"/>
  <c r="AB775" i="9" s="1"/>
  <c r="W775" i="9"/>
  <c r="T775" i="9"/>
  <c r="V773" i="9"/>
  <c r="V772" i="9"/>
  <c r="AB768" i="9"/>
  <c r="T770" i="9"/>
  <c r="AB728" i="9"/>
  <c r="AB730" i="9"/>
  <c r="AB769" i="9" s="1"/>
  <c r="AB733" i="9"/>
  <c r="AB735" i="9"/>
  <c r="AB739" i="9"/>
  <c r="AB742" i="9"/>
  <c r="Y769" i="9"/>
  <c r="X769" i="9"/>
  <c r="W768" i="9"/>
  <c r="W739" i="9"/>
  <c r="W769" i="9" s="1"/>
  <c r="V768" i="9"/>
  <c r="V728" i="9"/>
  <c r="U769" i="9"/>
  <c r="Y733" i="9"/>
  <c r="X733" i="9"/>
  <c r="T678" i="9"/>
  <c r="T680" i="9"/>
  <c r="T697" i="9"/>
  <c r="T702" i="9" s="1"/>
  <c r="T703" i="9" s="1"/>
  <c r="AB707" i="9" s="1"/>
  <c r="Z710" i="9" s="1"/>
  <c r="AB710" i="9" s="1"/>
  <c r="T700" i="9"/>
  <c r="T676" i="9"/>
  <c r="T673" i="9"/>
  <c r="T669" i="9"/>
  <c r="T666" i="9"/>
  <c r="T661" i="9"/>
  <c r="W710" i="9"/>
  <c r="T710" i="9"/>
  <c r="S680" i="9"/>
  <c r="S692" i="9"/>
  <c r="S676" i="9"/>
  <c r="S673" i="9"/>
  <c r="S669" i="9"/>
  <c r="S666" i="9"/>
  <c r="S661" i="9"/>
  <c r="W709" i="9"/>
  <c r="T709" i="9"/>
  <c r="V707" i="9"/>
  <c r="V706" i="9"/>
  <c r="AB702" i="9"/>
  <c r="T704" i="9" s="1"/>
  <c r="AB661" i="9"/>
  <c r="AB663" i="9"/>
  <c r="AB666" i="9"/>
  <c r="AB669" i="9"/>
  <c r="AB673" i="9"/>
  <c r="AB676" i="9"/>
  <c r="Y703" i="9"/>
  <c r="X703" i="9"/>
  <c r="W702" i="9"/>
  <c r="W673" i="9"/>
  <c r="V702" i="9"/>
  <c r="V703" i="9" s="1"/>
  <c r="U703" i="9"/>
  <c r="Y666" i="9"/>
  <c r="X666" i="9"/>
  <c r="T617" i="9"/>
  <c r="T620" i="9"/>
  <c r="T622" i="9"/>
  <c r="T624" i="9"/>
  <c r="T625" i="9"/>
  <c r="T638" i="9"/>
  <c r="T613" i="9"/>
  <c r="T607" i="9"/>
  <c r="T610" i="9" s="1"/>
  <c r="T606" i="9"/>
  <c r="T603" i="9"/>
  <c r="T598" i="9"/>
  <c r="W647" i="9"/>
  <c r="T647" i="9"/>
  <c r="S617" i="9"/>
  <c r="S620" i="9"/>
  <c r="S624" i="9"/>
  <c r="S634" i="9"/>
  <c r="S638" i="9"/>
  <c r="S613" i="9"/>
  <c r="S610" i="9"/>
  <c r="S606" i="9"/>
  <c r="S603" i="9"/>
  <c r="S598" i="9"/>
  <c r="W646" i="9"/>
  <c r="T646" i="9"/>
  <c r="V644" i="9"/>
  <c r="V643" i="9"/>
  <c r="AB639" i="9"/>
  <c r="T641" i="9" s="1"/>
  <c r="AB598" i="9"/>
  <c r="AB600" i="9"/>
  <c r="AB603" i="9"/>
  <c r="AB606" i="9"/>
  <c r="AB610" i="9"/>
  <c r="AB613" i="9"/>
  <c r="Y640" i="9"/>
  <c r="X640" i="9"/>
  <c r="W639" i="9"/>
  <c r="W610" i="9"/>
  <c r="V639" i="9"/>
  <c r="V640" i="9"/>
  <c r="U640" i="9"/>
  <c r="Y603" i="9"/>
  <c r="X603" i="9"/>
  <c r="T551" i="9"/>
  <c r="T552" i="9"/>
  <c r="T553" i="9"/>
  <c r="T555" i="9"/>
  <c r="T556" i="9"/>
  <c r="T548" i="9"/>
  <c r="T545" i="9"/>
  <c r="T541" i="9"/>
  <c r="T538" i="9"/>
  <c r="T533" i="9"/>
  <c r="W582" i="9"/>
  <c r="T582" i="9"/>
  <c r="S552" i="9"/>
  <c r="S556" i="9"/>
  <c r="S563" i="9"/>
  <c r="S548" i="9"/>
  <c r="S545" i="9"/>
  <c r="S541" i="9"/>
  <c r="S538" i="9"/>
  <c r="S533" i="9"/>
  <c r="W581" i="9"/>
  <c r="T581" i="9"/>
  <c r="V579" i="9"/>
  <c r="V578" i="9"/>
  <c r="AB574" i="9"/>
  <c r="T576" i="9"/>
  <c r="AB533" i="9"/>
  <c r="AB535" i="9"/>
  <c r="AB538" i="9"/>
  <c r="AB541" i="9"/>
  <c r="AB545" i="9"/>
  <c r="AB548" i="9"/>
  <c r="Y575" i="9"/>
  <c r="X575" i="9"/>
  <c r="W574" i="9"/>
  <c r="W545" i="9"/>
  <c r="V574" i="9"/>
  <c r="V575" i="9" s="1"/>
  <c r="U575" i="9"/>
  <c r="Y538" i="9"/>
  <c r="X538" i="9"/>
  <c r="T490" i="9"/>
  <c r="T493" i="9"/>
  <c r="T494" i="9"/>
  <c r="T511" i="9"/>
  <c r="T486" i="9"/>
  <c r="T483" i="9"/>
  <c r="T479" i="9"/>
  <c r="T476" i="9"/>
  <c r="T471" i="9"/>
  <c r="W520" i="9"/>
  <c r="T520" i="9"/>
  <c r="S490" i="9"/>
  <c r="S493" i="9"/>
  <c r="S494" i="9"/>
  <c r="S486" i="9"/>
  <c r="S480" i="9"/>
  <c r="S483" i="9"/>
  <c r="S479" i="9"/>
  <c r="S476" i="9"/>
  <c r="S471" i="9"/>
  <c r="W519" i="9"/>
  <c r="T519" i="9"/>
  <c r="V517" i="9"/>
  <c r="V516" i="9"/>
  <c r="T515" i="9"/>
  <c r="AB512" i="9"/>
  <c r="T514" i="9" s="1"/>
  <c r="AB471" i="9"/>
  <c r="AB513" i="9" s="1"/>
  <c r="AB473" i="9"/>
  <c r="AB476" i="9"/>
  <c r="AB479" i="9"/>
  <c r="AB483" i="9"/>
  <c r="AB486" i="9"/>
  <c r="Y513" i="9"/>
  <c r="X513" i="9"/>
  <c r="W512" i="9"/>
  <c r="W513" i="9" s="1"/>
  <c r="W483" i="9"/>
  <c r="V512" i="9"/>
  <c r="V513" i="9" s="1"/>
  <c r="U513" i="9"/>
  <c r="Y476" i="9"/>
  <c r="X476" i="9"/>
  <c r="T424" i="9"/>
  <c r="T427" i="9"/>
  <c r="T432" i="9"/>
  <c r="T444" i="9"/>
  <c r="T420" i="9"/>
  <c r="T417" i="9"/>
  <c r="T413" i="9"/>
  <c r="T410" i="9"/>
  <c r="T405" i="9"/>
  <c r="W454" i="9"/>
  <c r="T454" i="9"/>
  <c r="S422" i="9"/>
  <c r="S424" i="9"/>
  <c r="S427" i="9"/>
  <c r="S431" i="9"/>
  <c r="S420" i="9"/>
  <c r="S417" i="9"/>
  <c r="S413" i="9"/>
  <c r="S410" i="9"/>
  <c r="S405" i="9"/>
  <c r="W453" i="9"/>
  <c r="T453" i="9"/>
  <c r="V451" i="9"/>
  <c r="V450" i="9"/>
  <c r="AB446" i="9"/>
  <c r="T448" i="9"/>
  <c r="AB405" i="9"/>
  <c r="AB407" i="9"/>
  <c r="AB410" i="9"/>
  <c r="AB413" i="9"/>
  <c r="AB417" i="9"/>
  <c r="AB420" i="9"/>
  <c r="Y447" i="9"/>
  <c r="X447" i="9"/>
  <c r="W446" i="9"/>
  <c r="W417" i="9"/>
  <c r="V446" i="9"/>
  <c r="V447" i="9" s="1"/>
  <c r="U447" i="9"/>
  <c r="Y410" i="9"/>
  <c r="X410" i="9"/>
  <c r="T358" i="9"/>
  <c r="T365" i="9"/>
  <c r="T375" i="9"/>
  <c r="T380" i="9" s="1"/>
  <c r="T381" i="9" s="1"/>
  <c r="AB385" i="9" s="1"/>
  <c r="Z388" i="9" s="1"/>
  <c r="AB388" i="9" s="1"/>
  <c r="T354" i="9"/>
  <c r="T351" i="9"/>
  <c r="T347" i="9"/>
  <c r="T344" i="9"/>
  <c r="T339" i="9"/>
  <c r="W388" i="9"/>
  <c r="T388" i="9"/>
  <c r="S358" i="9"/>
  <c r="S380" i="9" s="1"/>
  <c r="S381" i="9" s="1"/>
  <c r="AB384" i="9" s="1"/>
  <c r="Z387" i="9" s="1"/>
  <c r="AB387" i="9" s="1"/>
  <c r="S361" i="9"/>
  <c r="S362" i="9"/>
  <c r="S365" i="9"/>
  <c r="S375" i="9"/>
  <c r="S354" i="9"/>
  <c r="S351" i="9"/>
  <c r="S347" i="9"/>
  <c r="S344" i="9"/>
  <c r="S339" i="9"/>
  <c r="W387" i="9"/>
  <c r="V385" i="9"/>
  <c r="V384" i="9"/>
  <c r="AB380" i="9"/>
  <c r="T382" i="9"/>
  <c r="AB339" i="9"/>
  <c r="AB341" i="9"/>
  <c r="AB381" i="9" s="1"/>
  <c r="AB344" i="9"/>
  <c r="AB347" i="9"/>
  <c r="AB351" i="9"/>
  <c r="AB354" i="9"/>
  <c r="Y381" i="9"/>
  <c r="X381" i="9"/>
  <c r="W380" i="9"/>
  <c r="W351" i="9"/>
  <c r="W381" i="9" s="1"/>
  <c r="V380" i="9"/>
  <c r="V381" i="9" s="1"/>
  <c r="U381" i="9"/>
  <c r="Y344" i="9"/>
  <c r="X344" i="9"/>
  <c r="T294" i="9"/>
  <c r="T297" i="9"/>
  <c r="T298" i="9"/>
  <c r="T301" i="9"/>
  <c r="T312" i="9"/>
  <c r="T290" i="9"/>
  <c r="T287" i="9"/>
  <c r="T283" i="9"/>
  <c r="T280" i="9"/>
  <c r="T275" i="9"/>
  <c r="W324" i="9"/>
  <c r="T324" i="9"/>
  <c r="S294" i="9"/>
  <c r="S297" i="9"/>
  <c r="S301" i="9"/>
  <c r="S310" i="9"/>
  <c r="S290" i="9"/>
  <c r="S287" i="9"/>
  <c r="S283" i="9"/>
  <c r="S280" i="9"/>
  <c r="S275" i="9"/>
  <c r="W323" i="9"/>
  <c r="H317" i="9"/>
  <c r="V321" i="9" s="1"/>
  <c r="G317" i="9"/>
  <c r="V320" i="9" s="1"/>
  <c r="AB316" i="9"/>
  <c r="T318" i="9" s="1"/>
  <c r="AB275" i="9"/>
  <c r="AB277" i="9"/>
  <c r="AB280" i="9"/>
  <c r="AB283" i="9"/>
  <c r="AB287" i="9"/>
  <c r="AB290" i="9"/>
  <c r="Y317" i="9"/>
  <c r="X317" i="9"/>
  <c r="W287" i="9"/>
  <c r="W317" i="9"/>
  <c r="V316" i="9"/>
  <c r="V317" i="9" s="1"/>
  <c r="U317" i="9"/>
  <c r="Y280" i="9"/>
  <c r="X280" i="9"/>
  <c r="T226" i="9"/>
  <c r="T223" i="9"/>
  <c r="T219" i="9"/>
  <c r="T216" i="9"/>
  <c r="T211" i="9"/>
  <c r="W260" i="9"/>
  <c r="T260" i="9"/>
  <c r="S226" i="9"/>
  <c r="S223" i="9"/>
  <c r="S219" i="9"/>
  <c r="S216" i="9"/>
  <c r="S211" i="9"/>
  <c r="W259" i="9"/>
  <c r="T259" i="9"/>
  <c r="V257" i="9"/>
  <c r="V256" i="9"/>
  <c r="AB252" i="9"/>
  <c r="T254" i="9" s="1"/>
  <c r="AB211" i="9"/>
  <c r="AB213" i="9"/>
  <c r="AB216" i="9"/>
  <c r="AB219" i="9"/>
  <c r="AB253" i="9" s="1"/>
  <c r="AB223" i="9"/>
  <c r="AB226" i="9"/>
  <c r="Y253" i="9"/>
  <c r="X253" i="9"/>
  <c r="W223" i="9"/>
  <c r="W253" i="9"/>
  <c r="V252" i="9"/>
  <c r="V253" i="9"/>
  <c r="U253" i="9"/>
  <c r="Y216" i="9"/>
  <c r="X216" i="9"/>
  <c r="T162" i="9"/>
  <c r="T165" i="9"/>
  <c r="T170" i="9"/>
  <c r="T173" i="9"/>
  <c r="T181" i="9"/>
  <c r="T184" i="9" s="1"/>
  <c r="T185" i="9" s="1"/>
  <c r="AB189" i="9" s="1"/>
  <c r="Z192" i="9" s="1"/>
  <c r="AB192" i="9" s="1"/>
  <c r="T158" i="9"/>
  <c r="T155" i="9"/>
  <c r="T151" i="9"/>
  <c r="T148" i="9"/>
  <c r="T143" i="9"/>
  <c r="W192" i="9"/>
  <c r="T192" i="9"/>
  <c r="S162" i="9"/>
  <c r="S184" i="9" s="1"/>
  <c r="S185" i="9" s="1"/>
  <c r="AB188" i="9" s="1"/>
  <c r="Z191" i="9" s="1"/>
  <c r="AB191" i="9" s="1"/>
  <c r="S165" i="9"/>
  <c r="S181" i="9"/>
  <c r="S158" i="9"/>
  <c r="S155" i="9"/>
  <c r="S151" i="9"/>
  <c r="S148" i="9"/>
  <c r="S143" i="9"/>
  <c r="W191" i="9"/>
  <c r="T191" i="9"/>
  <c r="V189" i="9"/>
  <c r="V188" i="9"/>
  <c r="AB184" i="9"/>
  <c r="T186" i="9"/>
  <c r="AB143" i="9"/>
  <c r="AB145" i="9"/>
  <c r="Z147" i="9"/>
  <c r="AB148" i="9" s="1"/>
  <c r="AB185" i="9" s="1"/>
  <c r="AB151" i="9"/>
  <c r="Z154" i="9"/>
  <c r="AB155" i="9" s="1"/>
  <c r="Z157" i="9"/>
  <c r="AB158" i="9"/>
  <c r="Y147" i="9"/>
  <c r="Y185" i="9"/>
  <c r="X185" i="9"/>
  <c r="W155" i="9"/>
  <c r="W185" i="9" s="1"/>
  <c r="V184" i="9"/>
  <c r="V185" i="9"/>
  <c r="U185" i="9"/>
  <c r="X148" i="9"/>
  <c r="T98" i="9"/>
  <c r="T100" i="9"/>
  <c r="T101" i="9"/>
  <c r="T103" i="9"/>
  <c r="T96" i="9"/>
  <c r="T93" i="9"/>
  <c r="T89" i="9"/>
  <c r="T86" i="9"/>
  <c r="T81" i="9"/>
  <c r="W130" i="9"/>
  <c r="T130" i="9"/>
  <c r="S100" i="9"/>
  <c r="S102" i="9"/>
  <c r="S103" i="9"/>
  <c r="S96" i="9"/>
  <c r="S93" i="9"/>
  <c r="S89" i="9"/>
  <c r="S86" i="9"/>
  <c r="S81" i="9"/>
  <c r="W129" i="9"/>
  <c r="T129" i="9"/>
  <c r="V127" i="9"/>
  <c r="V126" i="9"/>
  <c r="T125" i="9"/>
  <c r="AB122" i="9"/>
  <c r="T124" i="9" s="1"/>
  <c r="AB81" i="9"/>
  <c r="AB83" i="9"/>
  <c r="AB86" i="9"/>
  <c r="AB89" i="9"/>
  <c r="AB93" i="9"/>
  <c r="AB96" i="9"/>
  <c r="Y85" i="9"/>
  <c r="Y123" i="9" s="1"/>
  <c r="X123" i="9"/>
  <c r="W93" i="9"/>
  <c r="W123" i="9" s="1"/>
  <c r="V122" i="9"/>
  <c r="V123" i="9"/>
  <c r="U123" i="9"/>
  <c r="T31" i="9"/>
  <c r="T34" i="9"/>
  <c r="T38" i="9"/>
  <c r="T27" i="9"/>
  <c r="T23" i="9"/>
  <c r="T24" i="9"/>
  <c r="T20" i="9"/>
  <c r="T17" i="9"/>
  <c r="T12" i="9"/>
  <c r="W61" i="9"/>
  <c r="T61" i="9"/>
  <c r="S31" i="9"/>
  <c r="S34" i="9"/>
  <c r="S38" i="9"/>
  <c r="S27" i="9"/>
  <c r="S24" i="9"/>
  <c r="S20" i="9"/>
  <c r="S17" i="9"/>
  <c r="S12" i="9"/>
  <c r="W60" i="9"/>
  <c r="T60" i="9"/>
  <c r="V58" i="9"/>
  <c r="V57" i="9"/>
  <c r="T56" i="9"/>
  <c r="AB12" i="9"/>
  <c r="AB14" i="9"/>
  <c r="AB17" i="9"/>
  <c r="AB20" i="9"/>
  <c r="Z23" i="9"/>
  <c r="AB24" i="9"/>
  <c r="AB27" i="9"/>
  <c r="Y54" i="9"/>
  <c r="X54" i="9"/>
  <c r="W24" i="9"/>
  <c r="W54" i="9"/>
  <c r="V53" i="9"/>
  <c r="V54" i="9" s="1"/>
  <c r="U54" i="9"/>
  <c r="F754" i="9"/>
  <c r="F756" i="9"/>
  <c r="F757" i="9"/>
  <c r="F765" i="9"/>
  <c r="F775" i="9"/>
  <c r="F750" i="9"/>
  <c r="F747" i="9"/>
  <c r="F743" i="9"/>
  <c r="F740" i="9"/>
  <c r="F735" i="9"/>
  <c r="I784" i="9"/>
  <c r="F784" i="9"/>
  <c r="E754" i="9"/>
  <c r="E757" i="9"/>
  <c r="E765" i="9"/>
  <c r="E773" i="9"/>
  <c r="E750" i="9"/>
  <c r="E747" i="9"/>
  <c r="E743" i="9"/>
  <c r="E740" i="9"/>
  <c r="E735" i="9"/>
  <c r="I783" i="9"/>
  <c r="F783" i="9"/>
  <c r="H781" i="9"/>
  <c r="H780" i="9"/>
  <c r="N776" i="9"/>
  <c r="F778" i="9"/>
  <c r="N735" i="9"/>
  <c r="N737" i="9"/>
  <c r="N740" i="9"/>
  <c r="N743" i="9"/>
  <c r="N747" i="9"/>
  <c r="N750" i="9"/>
  <c r="K777" i="9"/>
  <c r="J777" i="9"/>
  <c r="I747" i="9"/>
  <c r="I777" i="9"/>
  <c r="H776" i="9"/>
  <c r="H777" i="9" s="1"/>
  <c r="G777" i="9"/>
  <c r="P749" i="9"/>
  <c r="F689" i="9"/>
  <c r="F692" i="9"/>
  <c r="F711" i="9" s="1"/>
  <c r="F712" i="9" s="1"/>
  <c r="N716" i="9" s="1"/>
  <c r="L719" i="9" s="1"/>
  <c r="N719" i="9" s="1"/>
  <c r="F700" i="9"/>
  <c r="F709" i="9"/>
  <c r="F685" i="9"/>
  <c r="F682" i="9"/>
  <c r="F678" i="9"/>
  <c r="F675" i="9"/>
  <c r="F670" i="9"/>
  <c r="I719" i="9"/>
  <c r="F719" i="9"/>
  <c r="E689" i="9"/>
  <c r="E691" i="9"/>
  <c r="E692" i="9"/>
  <c r="E706" i="9"/>
  <c r="E709" i="9"/>
  <c r="E685" i="9"/>
  <c r="E682" i="9"/>
  <c r="E712" i="9" s="1"/>
  <c r="N715" i="9" s="1"/>
  <c r="L718" i="9" s="1"/>
  <c r="N718" i="9" s="1"/>
  <c r="E678" i="9"/>
  <c r="E675" i="9"/>
  <c r="E670" i="9"/>
  <c r="I718" i="9"/>
  <c r="F718" i="9"/>
  <c r="H716" i="9"/>
  <c r="H715" i="9"/>
  <c r="N711" i="9"/>
  <c r="F713" i="9" s="1"/>
  <c r="N670" i="9"/>
  <c r="N672" i="9"/>
  <c r="N675" i="9"/>
  <c r="N678" i="9"/>
  <c r="N682" i="9"/>
  <c r="N685" i="9"/>
  <c r="K712" i="9"/>
  <c r="J712" i="9"/>
  <c r="I682" i="9"/>
  <c r="I712" i="9" s="1"/>
  <c r="H711" i="9"/>
  <c r="H712" i="9"/>
  <c r="G712" i="9"/>
  <c r="F625" i="9"/>
  <c r="F647" i="9"/>
  <c r="F618" i="9"/>
  <c r="F614" i="9"/>
  <c r="F648" i="9" s="1"/>
  <c r="N652" i="9" s="1"/>
  <c r="L655" i="9" s="1"/>
  <c r="N655" i="9" s="1"/>
  <c r="F611" i="9"/>
  <c r="F606" i="9"/>
  <c r="I655" i="9"/>
  <c r="F655" i="9"/>
  <c r="E623" i="9"/>
  <c r="E625" i="9"/>
  <c r="E629" i="9"/>
  <c r="E621" i="9"/>
  <c r="E618" i="9"/>
  <c r="E614" i="9"/>
  <c r="E611" i="9"/>
  <c r="E606" i="9"/>
  <c r="I654" i="9"/>
  <c r="F654" i="9"/>
  <c r="H652" i="9"/>
  <c r="H651" i="9"/>
  <c r="N647" i="9"/>
  <c r="F649" i="9" s="1"/>
  <c r="N606" i="9"/>
  <c r="N608" i="9"/>
  <c r="N611" i="9"/>
  <c r="N614" i="9"/>
  <c r="N618" i="9"/>
  <c r="N621" i="9"/>
  <c r="K648" i="9"/>
  <c r="J648" i="9"/>
  <c r="I618" i="9"/>
  <c r="I648" i="9"/>
  <c r="H647" i="9"/>
  <c r="H648" i="9"/>
  <c r="G648" i="9"/>
  <c r="F562" i="9"/>
  <c r="F565" i="9"/>
  <c r="F566" i="9"/>
  <c r="F560" i="9"/>
  <c r="F557" i="9"/>
  <c r="F553" i="9"/>
  <c r="F550" i="9"/>
  <c r="F543" i="9"/>
  <c r="I592" i="9"/>
  <c r="F592" i="9"/>
  <c r="E562" i="9"/>
  <c r="E565" i="9"/>
  <c r="E566" i="9"/>
  <c r="E573" i="9"/>
  <c r="E560" i="9"/>
  <c r="E557" i="9"/>
  <c r="E553" i="9"/>
  <c r="E550" i="9"/>
  <c r="E543" i="9"/>
  <c r="I591" i="9"/>
  <c r="F591" i="9"/>
  <c r="H589" i="9"/>
  <c r="H588" i="9"/>
  <c r="F587" i="9"/>
  <c r="N584" i="9"/>
  <c r="F586" i="9" s="1"/>
  <c r="N543" i="9"/>
  <c r="N545" i="9"/>
  <c r="N547" i="9"/>
  <c r="N550" i="9"/>
  <c r="N553" i="9"/>
  <c r="N557" i="9"/>
  <c r="N560" i="9"/>
  <c r="K585" i="9"/>
  <c r="J585" i="9"/>
  <c r="I585" i="9"/>
  <c r="H585" i="9"/>
  <c r="G585" i="9"/>
  <c r="H584" i="9"/>
  <c r="F498" i="9"/>
  <c r="F499" i="9"/>
  <c r="F502" i="9"/>
  <c r="F503" i="9"/>
  <c r="F497" i="9"/>
  <c r="F494" i="9"/>
  <c r="F490" i="9"/>
  <c r="F485" i="9"/>
  <c r="F487" i="9" s="1"/>
  <c r="F480" i="9"/>
  <c r="I529" i="9"/>
  <c r="F529" i="9"/>
  <c r="E499" i="9"/>
  <c r="E502" i="9"/>
  <c r="E497" i="9"/>
  <c r="E494" i="9"/>
  <c r="E490" i="9"/>
  <c r="E485" i="9"/>
  <c r="E487" i="9" s="1"/>
  <c r="E480" i="9"/>
  <c r="I528" i="9"/>
  <c r="F528" i="9"/>
  <c r="H526" i="9"/>
  <c r="H525" i="9"/>
  <c r="N521" i="9"/>
  <c r="F523" i="9"/>
  <c r="N480" i="9"/>
  <c r="N482" i="9"/>
  <c r="N484" i="9"/>
  <c r="N487" i="9"/>
  <c r="N490" i="9"/>
  <c r="N494" i="9"/>
  <c r="N497" i="9"/>
  <c r="K522" i="9"/>
  <c r="J522" i="9"/>
  <c r="I522" i="9"/>
  <c r="H522" i="9"/>
  <c r="G522" i="9"/>
  <c r="H521" i="9"/>
  <c r="F435" i="9"/>
  <c r="F438" i="9"/>
  <c r="F439" i="9"/>
  <c r="F442" i="9"/>
  <c r="F433" i="9"/>
  <c r="F430" i="9"/>
  <c r="F426" i="9"/>
  <c r="F423" i="9"/>
  <c r="F416" i="9"/>
  <c r="I465" i="9"/>
  <c r="F465" i="9"/>
  <c r="E435" i="9"/>
  <c r="E438" i="9"/>
  <c r="E439" i="9"/>
  <c r="E442" i="9"/>
  <c r="E432" i="9"/>
  <c r="E433" i="9"/>
  <c r="E430" i="9"/>
  <c r="E426" i="9"/>
  <c r="E423" i="9"/>
  <c r="E416" i="9"/>
  <c r="I464" i="9"/>
  <c r="F464" i="9"/>
  <c r="H462" i="9"/>
  <c r="H461" i="9"/>
  <c r="N457" i="9"/>
  <c r="F459" i="9"/>
  <c r="N416" i="9"/>
  <c r="N418" i="9"/>
  <c r="N420" i="9"/>
  <c r="N423" i="9"/>
  <c r="N426" i="9"/>
  <c r="N430" i="9"/>
  <c r="N433" i="9"/>
  <c r="K458" i="9"/>
  <c r="J458" i="9"/>
  <c r="I458" i="9"/>
  <c r="H458" i="9"/>
  <c r="G458" i="9"/>
  <c r="H457" i="9"/>
  <c r="F365" i="9"/>
  <c r="F366" i="9"/>
  <c r="F368" i="9"/>
  <c r="F369" i="9"/>
  <c r="F385" i="9"/>
  <c r="F363" i="9"/>
  <c r="F360" i="9"/>
  <c r="F353" i="9"/>
  <c r="F346" i="9"/>
  <c r="I395" i="9"/>
  <c r="F395" i="9"/>
  <c r="E365" i="9"/>
  <c r="E368" i="9"/>
  <c r="E369" i="9"/>
  <c r="E363" i="9"/>
  <c r="E360" i="9"/>
  <c r="E356" i="9"/>
  <c r="E353" i="9"/>
  <c r="E346" i="9"/>
  <c r="I394" i="9"/>
  <c r="F394" i="9"/>
  <c r="H392" i="9"/>
  <c r="H391" i="9"/>
  <c r="N387" i="9"/>
  <c r="F389" i="9"/>
  <c r="N346" i="9"/>
  <c r="N348" i="9"/>
  <c r="N350" i="9"/>
  <c r="N353" i="9"/>
  <c r="N356" i="9"/>
  <c r="N360" i="9"/>
  <c r="N363" i="9"/>
  <c r="K388" i="9"/>
  <c r="J388" i="9"/>
  <c r="I388" i="9"/>
  <c r="H388" i="9"/>
  <c r="G388" i="9"/>
  <c r="H387" i="9"/>
  <c r="F297" i="9"/>
  <c r="F304" i="9"/>
  <c r="F292" i="9"/>
  <c r="F289" i="9"/>
  <c r="F285" i="9"/>
  <c r="F282" i="9"/>
  <c r="F275" i="9"/>
  <c r="I324" i="9"/>
  <c r="F324" i="9"/>
  <c r="E294" i="9"/>
  <c r="E297" i="9"/>
  <c r="E292" i="9"/>
  <c r="E289" i="9"/>
  <c r="E285" i="9"/>
  <c r="E282" i="9"/>
  <c r="E275" i="9"/>
  <c r="I323" i="9"/>
  <c r="F323" i="9"/>
  <c r="H321" i="9"/>
  <c r="H320" i="9"/>
  <c r="N316" i="9"/>
  <c r="F318" i="9" s="1"/>
  <c r="N275" i="9"/>
  <c r="N277" i="9"/>
  <c r="N279" i="9"/>
  <c r="N282" i="9"/>
  <c r="N285" i="9"/>
  <c r="N289" i="9"/>
  <c r="N292" i="9"/>
  <c r="K317" i="9"/>
  <c r="J317" i="9"/>
  <c r="I317" i="9"/>
  <c r="H316" i="9"/>
  <c r="F229" i="9"/>
  <c r="F231" i="9"/>
  <c r="F232" i="9"/>
  <c r="F234" i="9"/>
  <c r="F235" i="9"/>
  <c r="F237" i="9"/>
  <c r="F238" i="9"/>
  <c r="F239" i="9"/>
  <c r="F246" i="9"/>
  <c r="F227" i="9"/>
  <c r="F224" i="9"/>
  <c r="F220" i="9"/>
  <c r="F216" i="9"/>
  <c r="F209" i="9"/>
  <c r="I258" i="9"/>
  <c r="F258" i="9"/>
  <c r="E229" i="9"/>
  <c r="E231" i="9"/>
  <c r="E232" i="9"/>
  <c r="E233" i="9"/>
  <c r="E234" i="9"/>
  <c r="E237" i="9"/>
  <c r="E238" i="9"/>
  <c r="E239" i="9"/>
  <c r="E227" i="9"/>
  <c r="E224" i="9"/>
  <c r="E220" i="9"/>
  <c r="E216" i="9"/>
  <c r="E209" i="9"/>
  <c r="I257" i="9"/>
  <c r="F257" i="9"/>
  <c r="H255" i="9"/>
  <c r="H254" i="9"/>
  <c r="F253" i="9"/>
  <c r="N250" i="9"/>
  <c r="F252" i="9"/>
  <c r="N209" i="9"/>
  <c r="N211" i="9"/>
  <c r="N213" i="9"/>
  <c r="N216" i="9"/>
  <c r="N220" i="9"/>
  <c r="N224" i="9"/>
  <c r="L226" i="9"/>
  <c r="N227" i="9"/>
  <c r="K251" i="9"/>
  <c r="J251" i="9"/>
  <c r="I251" i="9"/>
  <c r="H251" i="9"/>
  <c r="G251" i="9"/>
  <c r="H250" i="9"/>
  <c r="F162" i="9"/>
  <c r="F163" i="9"/>
  <c r="F165" i="9"/>
  <c r="F166" i="9"/>
  <c r="F169" i="9"/>
  <c r="F181" i="9"/>
  <c r="F182" i="9"/>
  <c r="F161" i="9"/>
  <c r="F158" i="9"/>
  <c r="F154" i="9"/>
  <c r="F150" i="9"/>
  <c r="F143" i="9"/>
  <c r="I192" i="9"/>
  <c r="F192" i="9"/>
  <c r="E162" i="9"/>
  <c r="E163" i="9"/>
  <c r="E165" i="9"/>
  <c r="E166" i="9"/>
  <c r="E169" i="9"/>
  <c r="E161" i="9"/>
  <c r="E158" i="9"/>
  <c r="E154" i="9"/>
  <c r="E150" i="9"/>
  <c r="E143" i="9"/>
  <c r="I191" i="9"/>
  <c r="F191" i="9"/>
  <c r="H189" i="9"/>
  <c r="H188" i="9"/>
  <c r="N184" i="9"/>
  <c r="F186" i="9"/>
  <c r="N143" i="9"/>
  <c r="N145" i="9"/>
  <c r="N147" i="9"/>
  <c r="N150" i="9"/>
  <c r="N154" i="9"/>
  <c r="N158" i="9"/>
  <c r="L160" i="9"/>
  <c r="N161" i="9"/>
  <c r="K185" i="9"/>
  <c r="J185" i="9"/>
  <c r="I185" i="9"/>
  <c r="H185" i="9"/>
  <c r="G185" i="9"/>
  <c r="H184" i="9"/>
  <c r="F96" i="9"/>
  <c r="F98" i="9"/>
  <c r="F105" i="9"/>
  <c r="F115" i="9"/>
  <c r="F94" i="9"/>
  <c r="F91" i="9"/>
  <c r="F87" i="9"/>
  <c r="F83" i="9"/>
  <c r="I125" i="9"/>
  <c r="F125" i="9"/>
  <c r="E96" i="9"/>
  <c r="E98" i="9"/>
  <c r="E105" i="9"/>
  <c r="E94" i="9"/>
  <c r="E91" i="9"/>
  <c r="E87" i="9"/>
  <c r="E83" i="9"/>
  <c r="I124" i="9"/>
  <c r="F124" i="9"/>
  <c r="H122" i="9"/>
  <c r="H121" i="9"/>
  <c r="N117" i="9"/>
  <c r="F119" i="9" s="1"/>
  <c r="N76" i="9"/>
  <c r="N78" i="9"/>
  <c r="N80" i="9"/>
  <c r="N83" i="9"/>
  <c r="N87" i="9"/>
  <c r="N118" i="9" s="1"/>
  <c r="N91" i="9"/>
  <c r="N94" i="9"/>
  <c r="K118" i="9"/>
  <c r="J118" i="9"/>
  <c r="I118" i="9"/>
  <c r="H118" i="9"/>
  <c r="G118" i="9"/>
  <c r="H117" i="9"/>
  <c r="F32" i="9"/>
  <c r="F33" i="9"/>
  <c r="F35" i="9"/>
  <c r="F37" i="9"/>
  <c r="F38" i="9"/>
  <c r="F41" i="9"/>
  <c r="F45" i="9"/>
  <c r="F47" i="9"/>
  <c r="F53" i="9" s="1"/>
  <c r="F54" i="9" s="1"/>
  <c r="N58" i="9" s="1"/>
  <c r="L61" i="9" s="1"/>
  <c r="N61" i="9" s="1"/>
  <c r="F50" i="9"/>
  <c r="F30" i="9"/>
  <c r="F26" i="9"/>
  <c r="F27" i="9" s="1"/>
  <c r="F23" i="9"/>
  <c r="F19" i="9"/>
  <c r="I61" i="9"/>
  <c r="F61" i="9"/>
  <c r="E32" i="9"/>
  <c r="E36" i="9"/>
  <c r="E37" i="9"/>
  <c r="E38" i="9"/>
  <c r="E45" i="9"/>
  <c r="E48" i="9"/>
  <c r="E30" i="9"/>
  <c r="E27" i="9"/>
  <c r="E23" i="9"/>
  <c r="E19" i="9"/>
  <c r="I60" i="9"/>
  <c r="F60" i="9"/>
  <c r="H58" i="9"/>
  <c r="H57" i="9"/>
  <c r="F56" i="9"/>
  <c r="N53" i="9"/>
  <c r="F55" i="9" s="1"/>
  <c r="N12" i="9"/>
  <c r="N14" i="9"/>
  <c r="N16" i="9"/>
  <c r="N19" i="9"/>
  <c r="N23" i="9"/>
  <c r="N27" i="9"/>
  <c r="N30" i="9"/>
  <c r="K54" i="9"/>
  <c r="J54" i="9"/>
  <c r="I54" i="9"/>
  <c r="H54" i="9"/>
  <c r="G54" i="9"/>
  <c r="H53" i="9"/>
  <c r="BA166" i="8"/>
  <c r="AZ166" i="8"/>
  <c r="BA149" i="8"/>
  <c r="AZ149" i="8"/>
  <c r="BA95" i="8"/>
  <c r="AZ95" i="8"/>
  <c r="BA43" i="8"/>
  <c r="AZ43" i="8"/>
  <c r="BA26" i="8"/>
  <c r="AZ26" i="8"/>
  <c r="BA11" i="8"/>
  <c r="V727" i="8"/>
  <c r="V769" i="8" s="1"/>
  <c r="V741" i="8"/>
  <c r="V751" i="8"/>
  <c r="V768" i="8"/>
  <c r="O752" i="8"/>
  <c r="O753" i="8"/>
  <c r="O756" i="8"/>
  <c r="O757" i="8"/>
  <c r="O758" i="8"/>
  <c r="O759" i="8"/>
  <c r="O761" i="8"/>
  <c r="O751" i="8"/>
  <c r="O741" i="8"/>
  <c r="N752" i="8"/>
  <c r="N753" i="8"/>
  <c r="N756" i="8"/>
  <c r="N757" i="8"/>
  <c r="N758" i="8"/>
  <c r="N759" i="8"/>
  <c r="N761" i="8"/>
  <c r="N751" i="8"/>
  <c r="N741" i="8"/>
  <c r="Q741" i="8"/>
  <c r="V661" i="8"/>
  <c r="V675" i="8"/>
  <c r="V685" i="8"/>
  <c r="S689" i="8"/>
  <c r="V702" i="8"/>
  <c r="O686" i="8"/>
  <c r="O687" i="8"/>
  <c r="O690" i="8"/>
  <c r="O691" i="8"/>
  <c r="O692" i="8"/>
  <c r="O693" i="8"/>
  <c r="O695" i="8"/>
  <c r="O698" i="8"/>
  <c r="O685" i="8"/>
  <c r="O675" i="8"/>
  <c r="N686" i="8"/>
  <c r="N687" i="8"/>
  <c r="N690" i="8"/>
  <c r="N702" i="8" s="1"/>
  <c r="N703" i="8" s="1"/>
  <c r="N691" i="8"/>
  <c r="N692" i="8"/>
  <c r="N693" i="8"/>
  <c r="N695" i="8"/>
  <c r="N698" i="8"/>
  <c r="N685" i="8"/>
  <c r="N675" i="8"/>
  <c r="Q675" i="8"/>
  <c r="S598" i="8"/>
  <c r="V598" i="8"/>
  <c r="V612" i="8"/>
  <c r="V622" i="8"/>
  <c r="S624" i="8"/>
  <c r="S626" i="8"/>
  <c r="V639" i="8" s="1"/>
  <c r="S627" i="8"/>
  <c r="S631" i="8"/>
  <c r="O623" i="8"/>
  <c r="O624" i="8"/>
  <c r="O627" i="8"/>
  <c r="O628" i="8"/>
  <c r="O629" i="8"/>
  <c r="O630" i="8"/>
  <c r="O632" i="8"/>
  <c r="O633" i="8"/>
  <c r="O635" i="8"/>
  <c r="O637" i="8"/>
  <c r="O622" i="8"/>
  <c r="O612" i="8"/>
  <c r="N623" i="8"/>
  <c r="N624" i="8"/>
  <c r="N628" i="8"/>
  <c r="N629" i="8"/>
  <c r="N630" i="8"/>
  <c r="N632" i="8"/>
  <c r="N635" i="8"/>
  <c r="N637" i="8"/>
  <c r="N622" i="8"/>
  <c r="N603" i="8"/>
  <c r="N612" i="8"/>
  <c r="Q612" i="8"/>
  <c r="V533" i="8"/>
  <c r="V547" i="8"/>
  <c r="V557" i="8"/>
  <c r="S561" i="8"/>
  <c r="S562" i="8"/>
  <c r="V574" i="8"/>
  <c r="O558" i="8"/>
  <c r="O559" i="8"/>
  <c r="O563" i="8"/>
  <c r="O564" i="8"/>
  <c r="O565" i="8"/>
  <c r="O567" i="8"/>
  <c r="O570" i="8"/>
  <c r="O572" i="8"/>
  <c r="O574" i="8"/>
  <c r="O575" i="8" s="1"/>
  <c r="O557" i="8"/>
  <c r="O547" i="8"/>
  <c r="N558" i="8"/>
  <c r="N559" i="8"/>
  <c r="N563" i="8"/>
  <c r="N564" i="8"/>
  <c r="N565" i="8"/>
  <c r="N567" i="8"/>
  <c r="N570" i="8"/>
  <c r="N572" i="8"/>
  <c r="N557" i="8"/>
  <c r="N547" i="8"/>
  <c r="Q547" i="8"/>
  <c r="V471" i="8"/>
  <c r="V485" i="8"/>
  <c r="V495" i="8"/>
  <c r="S499" i="8"/>
  <c r="V512" i="8" s="1"/>
  <c r="V513" i="8"/>
  <c r="O496" i="8"/>
  <c r="O497" i="8"/>
  <c r="O501" i="8"/>
  <c r="O502" i="8"/>
  <c r="O503" i="8"/>
  <c r="O505" i="8"/>
  <c r="O508" i="8"/>
  <c r="O512" i="8"/>
  <c r="O513" i="8" s="1"/>
  <c r="O495" i="8"/>
  <c r="O485" i="8"/>
  <c r="O470" i="8"/>
  <c r="N496" i="8"/>
  <c r="N497" i="8"/>
  <c r="N501" i="8"/>
  <c r="N502" i="8"/>
  <c r="N503" i="8"/>
  <c r="N505" i="8"/>
  <c r="N508" i="8"/>
  <c r="N495" i="8"/>
  <c r="N485" i="8"/>
  <c r="N470" i="8"/>
  <c r="Q485" i="8"/>
  <c r="V405" i="8"/>
  <c r="V447" i="8" s="1"/>
  <c r="V419" i="8"/>
  <c r="V429" i="8"/>
  <c r="S433" i="8"/>
  <c r="V446" i="8"/>
  <c r="O431" i="8"/>
  <c r="O446" i="8" s="1"/>
  <c r="O447" i="8" s="1"/>
  <c r="O436" i="8"/>
  <c r="O437" i="8"/>
  <c r="O439" i="8"/>
  <c r="O440" i="8"/>
  <c r="O442" i="8"/>
  <c r="O429" i="8"/>
  <c r="O419" i="8"/>
  <c r="N431" i="8"/>
  <c r="N446" i="8" s="1"/>
  <c r="N447" i="8" s="1"/>
  <c r="N434" i="8"/>
  <c r="N436" i="8"/>
  <c r="N437" i="8"/>
  <c r="N439" i="8"/>
  <c r="N442" i="8"/>
  <c r="N429" i="8"/>
  <c r="N419" i="8"/>
  <c r="Q419" i="8"/>
  <c r="V339" i="8"/>
  <c r="V353" i="8"/>
  <c r="V363" i="8"/>
  <c r="V380" i="8"/>
  <c r="O364" i="8"/>
  <c r="O365" i="8"/>
  <c r="O369" i="8"/>
  <c r="O370" i="8"/>
  <c r="O371" i="8"/>
  <c r="O373" i="8"/>
  <c r="O376" i="8"/>
  <c r="O363" i="8"/>
  <c r="O353" i="8"/>
  <c r="N364" i="8"/>
  <c r="N365" i="8"/>
  <c r="N369" i="8"/>
  <c r="N370" i="8"/>
  <c r="N371" i="8"/>
  <c r="N373" i="8"/>
  <c r="N376" i="8"/>
  <c r="N363" i="8"/>
  <c r="N353" i="8"/>
  <c r="Q353" i="8"/>
  <c r="V275" i="8"/>
  <c r="V289" i="8"/>
  <c r="V317" i="8" s="1"/>
  <c r="V299" i="8"/>
  <c r="V316" i="8"/>
  <c r="O300" i="8"/>
  <c r="O301" i="8"/>
  <c r="O304" i="8"/>
  <c r="O305" i="8"/>
  <c r="O306" i="8"/>
  <c r="O307" i="8"/>
  <c r="O309" i="8"/>
  <c r="O312" i="8"/>
  <c r="O299" i="8"/>
  <c r="O289" i="8"/>
  <c r="N300" i="8"/>
  <c r="N316" i="8" s="1"/>
  <c r="N317" i="8" s="1"/>
  <c r="N301" i="8"/>
  <c r="N305" i="8"/>
  <c r="N307" i="8"/>
  <c r="N309" i="8"/>
  <c r="N310" i="8"/>
  <c r="N312" i="8"/>
  <c r="N299" i="8"/>
  <c r="N289" i="8"/>
  <c r="Q289" i="8"/>
  <c r="V211" i="8"/>
  <c r="V253" i="8" s="1"/>
  <c r="V225" i="8"/>
  <c r="V235" i="8"/>
  <c r="S239" i="8"/>
  <c r="V252" i="8"/>
  <c r="O237" i="8"/>
  <c r="O240" i="8"/>
  <c r="O241" i="8"/>
  <c r="O242" i="8"/>
  <c r="O243" i="8"/>
  <c r="O245" i="8"/>
  <c r="O252" i="8"/>
  <c r="O253" i="8" s="1"/>
  <c r="O235" i="8"/>
  <c r="O225" i="8"/>
  <c r="N237" i="8"/>
  <c r="N240" i="8"/>
  <c r="N241" i="8"/>
  <c r="N242" i="8"/>
  <c r="N243" i="8"/>
  <c r="N245" i="8"/>
  <c r="N235" i="8"/>
  <c r="N225" i="8"/>
  <c r="Q225" i="8"/>
  <c r="V148" i="8"/>
  <c r="S151" i="8"/>
  <c r="V151" i="8" s="1"/>
  <c r="V193" i="8" s="1"/>
  <c r="V165" i="8"/>
  <c r="V175" i="8"/>
  <c r="V192" i="8"/>
  <c r="O177" i="8"/>
  <c r="O180" i="8"/>
  <c r="O181" i="8"/>
  <c r="O182" i="8"/>
  <c r="O183" i="8"/>
  <c r="O185" i="8"/>
  <c r="O188" i="8"/>
  <c r="O175" i="8"/>
  <c r="O165" i="8"/>
  <c r="O148" i="8"/>
  <c r="N176" i="8"/>
  <c r="N177" i="8"/>
  <c r="N192" i="8" s="1"/>
  <c r="N193" i="8" s="1"/>
  <c r="N181" i="8"/>
  <c r="N182" i="8"/>
  <c r="N183" i="8"/>
  <c r="N185" i="8"/>
  <c r="N186" i="8"/>
  <c r="N188" i="8"/>
  <c r="N175" i="8"/>
  <c r="N165" i="8"/>
  <c r="N148" i="8"/>
  <c r="Q165" i="8"/>
  <c r="S117" i="8"/>
  <c r="V130" i="8" s="1"/>
  <c r="V131" i="8" s="1"/>
  <c r="V113" i="8"/>
  <c r="V103" i="8"/>
  <c r="V89" i="8"/>
  <c r="V86" i="8"/>
  <c r="O115" i="8"/>
  <c r="O119" i="8"/>
  <c r="O120" i="8"/>
  <c r="O121" i="8"/>
  <c r="O123" i="8"/>
  <c r="O126" i="8"/>
  <c r="O128" i="8"/>
  <c r="O130" i="8"/>
  <c r="O113" i="8"/>
  <c r="O103" i="8"/>
  <c r="O79" i="8"/>
  <c r="O86" i="8" s="1"/>
  <c r="N115" i="8"/>
  <c r="N118" i="8"/>
  <c r="N119" i="8"/>
  <c r="N120" i="8"/>
  <c r="N123" i="8"/>
  <c r="N124" i="8"/>
  <c r="N126" i="8"/>
  <c r="N113" i="8"/>
  <c r="N103" i="8"/>
  <c r="N86" i="8"/>
  <c r="Q103" i="8"/>
  <c r="S48" i="8"/>
  <c r="V61" i="8" s="1"/>
  <c r="V44" i="8"/>
  <c r="V34" i="8"/>
  <c r="S20" i="8"/>
  <c r="V20" i="8"/>
  <c r="V17" i="8"/>
  <c r="O45" i="8"/>
  <c r="O46" i="8"/>
  <c r="O50" i="8"/>
  <c r="O51" i="8"/>
  <c r="O52" i="8"/>
  <c r="O54" i="8"/>
  <c r="O61" i="8" s="1"/>
  <c r="O62" i="8" s="1"/>
  <c r="O57" i="8"/>
  <c r="O44" i="8"/>
  <c r="O34" i="8"/>
  <c r="O17" i="8"/>
  <c r="N45" i="8"/>
  <c r="N46" i="8"/>
  <c r="N50" i="8"/>
  <c r="N54" i="8"/>
  <c r="N57" i="8"/>
  <c r="N44" i="8"/>
  <c r="N34" i="8"/>
  <c r="N17" i="8"/>
  <c r="Q34" i="8"/>
  <c r="AG704" i="8"/>
  <c r="AG746" i="8" s="1"/>
  <c r="AG718" i="8"/>
  <c r="AG727" i="8"/>
  <c r="AD732" i="8"/>
  <c r="AG745" i="8"/>
  <c r="Z729" i="8"/>
  <c r="Z745" i="8" s="1"/>
  <c r="Z746" i="8" s="1"/>
  <c r="Z730" i="8"/>
  <c r="Z734" i="8"/>
  <c r="Z735" i="8"/>
  <c r="Z736" i="8"/>
  <c r="Z738" i="8"/>
  <c r="Z741" i="8"/>
  <c r="Z727" i="8"/>
  <c r="Z718" i="8"/>
  <c r="Y729" i="8"/>
  <c r="Y730" i="8"/>
  <c r="Y734" i="8"/>
  <c r="Y735" i="8"/>
  <c r="Y736" i="8"/>
  <c r="Y738" i="8"/>
  <c r="Y745" i="8" s="1"/>
  <c r="Y746" i="8" s="1"/>
  <c r="Y741" i="8"/>
  <c r="Y727" i="8"/>
  <c r="Y718" i="8"/>
  <c r="AG642" i="8"/>
  <c r="AG656" i="8"/>
  <c r="AG665" i="8"/>
  <c r="AD671" i="8"/>
  <c r="AD681" i="8"/>
  <c r="AG683" i="8" s="1"/>
  <c r="Z667" i="8"/>
  <c r="Z668" i="8"/>
  <c r="Z672" i="8"/>
  <c r="Z674" i="8"/>
  <c r="Z676" i="8"/>
  <c r="Z683" i="8"/>
  <c r="Z684" i="8" s="1"/>
  <c r="Z665" i="8"/>
  <c r="Z656" i="8"/>
  <c r="Y667" i="8"/>
  <c r="Y668" i="8"/>
  <c r="Y672" i="8"/>
  <c r="Y674" i="8"/>
  <c r="Y676" i="8"/>
  <c r="Y679" i="8"/>
  <c r="Y665" i="8"/>
  <c r="Y656" i="8"/>
  <c r="AG624" i="8"/>
  <c r="AG579" i="8"/>
  <c r="AG593" i="8"/>
  <c r="AG621" i="8" s="1"/>
  <c r="AG602" i="8"/>
  <c r="AD609" i="8"/>
  <c r="AD613" i="8"/>
  <c r="AD615" i="8"/>
  <c r="AD617" i="8"/>
  <c r="AG620" i="8"/>
  <c r="Z604" i="8"/>
  <c r="Z605" i="8"/>
  <c r="Z608" i="8"/>
  <c r="Z609" i="8"/>
  <c r="Z610" i="8"/>
  <c r="Z611" i="8"/>
  <c r="Z613" i="8"/>
  <c r="Z602" i="8"/>
  <c r="Z593" i="8"/>
  <c r="Y604" i="8"/>
  <c r="Y605" i="8"/>
  <c r="Y609" i="8"/>
  <c r="Y610" i="8"/>
  <c r="Y611" i="8"/>
  <c r="Y613" i="8"/>
  <c r="Y602" i="8"/>
  <c r="Y593" i="8"/>
  <c r="AG515" i="8"/>
  <c r="AG557" i="8" s="1"/>
  <c r="AG529" i="8"/>
  <c r="AD543" i="8"/>
  <c r="AD549" i="8"/>
  <c r="AG556" i="8" s="1"/>
  <c r="AD554" i="8"/>
  <c r="Z540" i="8"/>
  <c r="Z545" i="8"/>
  <c r="Z547" i="8"/>
  <c r="Z556" i="8" s="1"/>
  <c r="Z557" i="8" s="1"/>
  <c r="Z549" i="8"/>
  <c r="Z529" i="8"/>
  <c r="Y540" i="8"/>
  <c r="Y541" i="8"/>
  <c r="Y545" i="8"/>
  <c r="Y547" i="8"/>
  <c r="Y549" i="8"/>
  <c r="Y550" i="8"/>
  <c r="Y529" i="8"/>
  <c r="AG454" i="8"/>
  <c r="AG468" i="8"/>
  <c r="AG477" i="8"/>
  <c r="AD482" i="8"/>
  <c r="AG495" i="8"/>
  <c r="Z479" i="8"/>
  <c r="Z480" i="8"/>
  <c r="Z486" i="8"/>
  <c r="Z488" i="8"/>
  <c r="Z495" i="8"/>
  <c r="Z477" i="8"/>
  <c r="Z468" i="8"/>
  <c r="Y480" i="8"/>
  <c r="Y484" i="8"/>
  <c r="Y488" i="8"/>
  <c r="Y495" i="8" s="1"/>
  <c r="Y496" i="8" s="1"/>
  <c r="Y477" i="8"/>
  <c r="Y468" i="8"/>
  <c r="AG392" i="8"/>
  <c r="AG434" i="8" s="1"/>
  <c r="AG406" i="8"/>
  <c r="AG415" i="8"/>
  <c r="AD418" i="8"/>
  <c r="AD420" i="8"/>
  <c r="AG433" i="8"/>
  <c r="Z417" i="8"/>
  <c r="Z418" i="8"/>
  <c r="Z422" i="8"/>
  <c r="Z423" i="8"/>
  <c r="Z424" i="8"/>
  <c r="Z426" i="8"/>
  <c r="Z427" i="8"/>
  <c r="Z433" i="8" s="1"/>
  <c r="Z434" i="8" s="1"/>
  <c r="Z431" i="8"/>
  <c r="Z415" i="8"/>
  <c r="Z406" i="8"/>
  <c r="Z391" i="8"/>
  <c r="Y417" i="8"/>
  <c r="Y418" i="8"/>
  <c r="Y433" i="8" s="1"/>
  <c r="Y434" i="8" s="1"/>
  <c r="Y421" i="8"/>
  <c r="Y422" i="8"/>
  <c r="Y423" i="8"/>
  <c r="Y424" i="8"/>
  <c r="Y426" i="8"/>
  <c r="Y415" i="8"/>
  <c r="Y406" i="8"/>
  <c r="AG327" i="8"/>
  <c r="AG341" i="8"/>
  <c r="AG350" i="8"/>
  <c r="AD355" i="8"/>
  <c r="AD367" i="8"/>
  <c r="AG368" i="8" s="1"/>
  <c r="AG369" i="8"/>
  <c r="Z353" i="8"/>
  <c r="Z356" i="8"/>
  <c r="Z368" i="8" s="1"/>
  <c r="Z359" i="8"/>
  <c r="Z361" i="8"/>
  <c r="Z350" i="8"/>
  <c r="Z341" i="8"/>
  <c r="Z369" i="8"/>
  <c r="Y352" i="8"/>
  <c r="Y353" i="8"/>
  <c r="Y368" i="8" s="1"/>
  <c r="Y369" i="8" s="1"/>
  <c r="Y357" i="8"/>
  <c r="Y359" i="8"/>
  <c r="Y361" i="8"/>
  <c r="Y364" i="8"/>
  <c r="Y350" i="8"/>
  <c r="Y341" i="8"/>
  <c r="AG265" i="8"/>
  <c r="AG279" i="8"/>
  <c r="AG288" i="8"/>
  <c r="AD305" i="8"/>
  <c r="AG306" i="8" s="1"/>
  <c r="AG307" i="8" s="1"/>
  <c r="Z290" i="8"/>
  <c r="Z291" i="8"/>
  <c r="Z306" i="8" s="1"/>
  <c r="Z294" i="8"/>
  <c r="Z295" i="8"/>
  <c r="Z297" i="8"/>
  <c r="Z299" i="8"/>
  <c r="Z288" i="8"/>
  <c r="Z279" i="8"/>
  <c r="Y290" i="8"/>
  <c r="Y291" i="8"/>
  <c r="Y294" i="8"/>
  <c r="Y295" i="8"/>
  <c r="Y297" i="8"/>
  <c r="Y299" i="8"/>
  <c r="Y288" i="8"/>
  <c r="Y279" i="8"/>
  <c r="AG201" i="8"/>
  <c r="AG215" i="8"/>
  <c r="AG224" i="8"/>
  <c r="AD229" i="8"/>
  <c r="AG242" i="8" s="1"/>
  <c r="AG243" i="8"/>
  <c r="Z226" i="8"/>
  <c r="Z242" i="8" s="1"/>
  <c r="Z243" i="8" s="1"/>
  <c r="Z227" i="8"/>
  <c r="Z231" i="8"/>
  <c r="Z232" i="8"/>
  <c r="Z233" i="8"/>
  <c r="Z235" i="8"/>
  <c r="Z224" i="8"/>
  <c r="Z215" i="8"/>
  <c r="Y226" i="8"/>
  <c r="Y227" i="8"/>
  <c r="Y231" i="8"/>
  <c r="Y232" i="8"/>
  <c r="Y233" i="8"/>
  <c r="Y235" i="8"/>
  <c r="Y236" i="8"/>
  <c r="Y238" i="8"/>
  <c r="Y224" i="8"/>
  <c r="Y215" i="8"/>
  <c r="AD138" i="8"/>
  <c r="AG138" i="8"/>
  <c r="AG180" i="8" s="1"/>
  <c r="AG152" i="8"/>
  <c r="AG161" i="8"/>
  <c r="AG179" i="8"/>
  <c r="Z163" i="8"/>
  <c r="Z179" i="8" s="1"/>
  <c r="Z164" i="8"/>
  <c r="Z168" i="8"/>
  <c r="Z169" i="8"/>
  <c r="Z170" i="8"/>
  <c r="Z172" i="8"/>
  <c r="Z161" i="8"/>
  <c r="Z152" i="8"/>
  <c r="Z180" i="8"/>
  <c r="Y163" i="8"/>
  <c r="Y164" i="8"/>
  <c r="Y179" i="8" s="1"/>
  <c r="Y168" i="8"/>
  <c r="Y169" i="8"/>
  <c r="Y170" i="8"/>
  <c r="Y172" i="8"/>
  <c r="Y161" i="8"/>
  <c r="Y180" i="8" s="1"/>
  <c r="Y152" i="8"/>
  <c r="AG77" i="8"/>
  <c r="AG119" i="8" s="1"/>
  <c r="AG91" i="8"/>
  <c r="AG100" i="8"/>
  <c r="AG118" i="8"/>
  <c r="Z118" i="8"/>
  <c r="Z100" i="8"/>
  <c r="Z91" i="8"/>
  <c r="Y118" i="8"/>
  <c r="Y100" i="8"/>
  <c r="Y91" i="8"/>
  <c r="Y119" i="8" s="1"/>
  <c r="AG13" i="8"/>
  <c r="AG55" i="8" s="1"/>
  <c r="AG27" i="8"/>
  <c r="AG36" i="8"/>
  <c r="AD41" i="8"/>
  <c r="AG54" i="8" s="1"/>
  <c r="Z50" i="8"/>
  <c r="Y50" i="8"/>
  <c r="Z47" i="8"/>
  <c r="Y47" i="8"/>
  <c r="Y45" i="8"/>
  <c r="Z44" i="8"/>
  <c r="Y44" i="8"/>
  <c r="Z43" i="8"/>
  <c r="Y43" i="8"/>
  <c r="Z39" i="8"/>
  <c r="Y39" i="8"/>
  <c r="Z38" i="8"/>
  <c r="Y38" i="8"/>
  <c r="Z36" i="8"/>
  <c r="Y36" i="8"/>
  <c r="Z27" i="8"/>
  <c r="Y27" i="8"/>
  <c r="Z12" i="8"/>
  <c r="AC831" i="6"/>
  <c r="AB831" i="6"/>
  <c r="AQ829" i="6"/>
  <c r="AP829" i="6"/>
  <c r="AH828" i="6"/>
  <c r="AG828" i="6"/>
  <c r="BC818" i="6"/>
  <c r="BB818" i="6"/>
  <c r="G823" i="6"/>
  <c r="E823" i="6"/>
  <c r="D823" i="6"/>
  <c r="AC819" i="6"/>
  <c r="AB819" i="6"/>
  <c r="I818" i="6"/>
  <c r="E818" i="6"/>
  <c r="D818" i="6"/>
  <c r="I814" i="6"/>
  <c r="E814" i="6"/>
  <c r="D814" i="6"/>
  <c r="BH805" i="6"/>
  <c r="BG805" i="6"/>
  <c r="U813" i="6"/>
  <c r="Q813" i="6"/>
  <c r="P813" i="6"/>
  <c r="AQ812" i="6"/>
  <c r="AP812" i="6"/>
  <c r="BC798" i="6"/>
  <c r="BB798" i="6"/>
  <c r="AC753" i="6"/>
  <c r="AB753" i="6"/>
  <c r="AH747" i="6"/>
  <c r="AG747" i="6"/>
  <c r="G747" i="6"/>
  <c r="D747" i="6"/>
  <c r="I742" i="6"/>
  <c r="E742" i="6"/>
  <c r="D742" i="6"/>
  <c r="Q737" i="6"/>
  <c r="P737" i="6"/>
  <c r="I737" i="6"/>
  <c r="E737" i="6"/>
  <c r="D737" i="6"/>
  <c r="BH726" i="6"/>
  <c r="BG726" i="6"/>
  <c r="BB722" i="6"/>
  <c r="AR676" i="6"/>
  <c r="AQ676" i="6"/>
  <c r="AY658" i="6"/>
  <c r="BL655" i="6"/>
  <c r="BD653" i="6"/>
  <c r="BC653" i="6"/>
  <c r="AR653" i="6"/>
  <c r="AQ653" i="6"/>
  <c r="BL644" i="6"/>
  <c r="BD639" i="6"/>
  <c r="BC639" i="6"/>
  <c r="AY639" i="6"/>
  <c r="G672" i="6"/>
  <c r="E672" i="6"/>
  <c r="D672" i="6"/>
  <c r="I667" i="6"/>
  <c r="E667" i="6"/>
  <c r="D667" i="6"/>
  <c r="AC666" i="6"/>
  <c r="AB666" i="6"/>
  <c r="Q662" i="6"/>
  <c r="P662" i="6"/>
  <c r="I662" i="6"/>
  <c r="E662" i="6"/>
  <c r="D662" i="6"/>
  <c r="AC660" i="6"/>
  <c r="AB660" i="6"/>
  <c r="AN585" i="6"/>
  <c r="AM585" i="6"/>
  <c r="G573" i="6"/>
  <c r="E573" i="6"/>
  <c r="D573" i="6"/>
  <c r="BH572" i="6"/>
  <c r="AZ570" i="6"/>
  <c r="AY570" i="6"/>
  <c r="I568" i="6"/>
  <c r="E568" i="6"/>
  <c r="D568" i="6"/>
  <c r="AU567" i="6"/>
  <c r="AA567" i="6"/>
  <c r="Z567" i="6"/>
  <c r="P563" i="6"/>
  <c r="O563" i="6"/>
  <c r="I563" i="6"/>
  <c r="E563" i="6"/>
  <c r="D563" i="6"/>
  <c r="BH562" i="6"/>
  <c r="AN562" i="6"/>
  <c r="AM562" i="6"/>
  <c r="BH559" i="6"/>
  <c r="E558" i="6"/>
  <c r="AU548" i="6"/>
  <c r="BN540" i="6"/>
  <c r="BN541" i="6"/>
  <c r="BO541" i="6" s="1"/>
  <c r="BF535" i="6"/>
  <c r="G511" i="6"/>
  <c r="E511" i="6"/>
  <c r="D511" i="6"/>
  <c r="O506" i="6"/>
  <c r="I506" i="6"/>
  <c r="E506" i="6"/>
  <c r="D506" i="6"/>
  <c r="BN505" i="6"/>
  <c r="BA505" i="6"/>
  <c r="AB505" i="6"/>
  <c r="AA505" i="6"/>
  <c r="P501" i="6"/>
  <c r="O501" i="6"/>
  <c r="I501" i="6"/>
  <c r="AT500" i="6"/>
  <c r="BN495" i="6"/>
  <c r="BN492" i="6"/>
  <c r="BA486" i="6"/>
  <c r="BF476" i="6"/>
  <c r="BN476" i="6" s="1"/>
  <c r="BO477" i="6" s="1"/>
  <c r="BL476" i="6"/>
  <c r="BF477" i="6"/>
  <c r="BN477" i="6" s="1"/>
  <c r="BL477" i="6"/>
  <c r="BI477" i="6"/>
  <c r="BI476" i="6"/>
  <c r="D451" i="6"/>
  <c r="D448" i="6"/>
  <c r="D443" i="6"/>
  <c r="D438" i="6"/>
  <c r="D433" i="6"/>
  <c r="AE443" i="6"/>
  <c r="AE437" i="6"/>
  <c r="AE456" i="6" s="1"/>
  <c r="BI472" i="6" s="1"/>
  <c r="AE432" i="6"/>
  <c r="BE444" i="6"/>
  <c r="BE451" i="6"/>
  <c r="BE465" i="6"/>
  <c r="BE440" i="6"/>
  <c r="BE432" i="6"/>
  <c r="BE435" i="6" s="1"/>
  <c r="BE428" i="6"/>
  <c r="BE423" i="6"/>
  <c r="E451" i="6"/>
  <c r="E448" i="6"/>
  <c r="E443" i="6"/>
  <c r="E438" i="6"/>
  <c r="E433" i="6"/>
  <c r="AF443" i="6"/>
  <c r="AF437" i="6"/>
  <c r="AF432" i="6"/>
  <c r="BF444" i="6"/>
  <c r="BF451" i="6"/>
  <c r="BF461" i="6"/>
  <c r="BF465" i="6"/>
  <c r="BF440" i="6"/>
  <c r="BF432" i="6"/>
  <c r="BF435" i="6" s="1"/>
  <c r="BF428" i="6"/>
  <c r="BF423" i="6"/>
  <c r="AT445" i="6"/>
  <c r="AT446" i="6"/>
  <c r="AT449" i="6"/>
  <c r="AT450" i="6"/>
  <c r="AT452" i="6"/>
  <c r="AT454" i="6"/>
  <c r="AT455" i="6"/>
  <c r="AT457" i="6"/>
  <c r="AT443" i="6"/>
  <c r="AT438" i="6"/>
  <c r="AS445" i="6"/>
  <c r="AS446" i="6"/>
  <c r="AS449" i="6"/>
  <c r="AS450" i="6"/>
  <c r="AS452" i="6"/>
  <c r="AS454" i="6"/>
  <c r="AS455" i="6"/>
  <c r="AS443" i="6"/>
  <c r="AS438" i="6"/>
  <c r="BF468" i="6"/>
  <c r="BN465" i="6"/>
  <c r="BF467" i="6" s="1"/>
  <c r="BN440" i="6"/>
  <c r="BN435" i="6"/>
  <c r="BN428" i="6"/>
  <c r="BN425" i="6"/>
  <c r="BN423" i="6"/>
  <c r="BK466" i="6"/>
  <c r="BJ466" i="6"/>
  <c r="BI465" i="6"/>
  <c r="BI466" i="6" s="1"/>
  <c r="BH465" i="6"/>
  <c r="BH466" i="6" s="1"/>
  <c r="BA424" i="6"/>
  <c r="BA438" i="6"/>
  <c r="BA443" i="6"/>
  <c r="AX449" i="6"/>
  <c r="AX460" i="6"/>
  <c r="BA461" i="6" s="1"/>
  <c r="BA462" i="6"/>
  <c r="AO456" i="6"/>
  <c r="AK456" i="6"/>
  <c r="AJ456" i="6"/>
  <c r="H453" i="6"/>
  <c r="G448" i="6"/>
  <c r="G433" i="6"/>
  <c r="G453" i="6" s="1"/>
  <c r="F453" i="6"/>
  <c r="U443" i="6"/>
  <c r="U438" i="6"/>
  <c r="U449" i="6" s="1"/>
  <c r="T443" i="6"/>
  <c r="T438" i="6"/>
  <c r="T449" i="6"/>
  <c r="S449" i="6"/>
  <c r="R449" i="6"/>
  <c r="Q449" i="6"/>
  <c r="P443" i="6"/>
  <c r="P449" i="6" s="1"/>
  <c r="P438" i="6"/>
  <c r="O443" i="6"/>
  <c r="O438" i="6"/>
  <c r="O449" i="6" s="1"/>
  <c r="L448" i="6"/>
  <c r="L444" i="6"/>
  <c r="I443" i="6"/>
  <c r="L438" i="6"/>
  <c r="I438" i="6"/>
  <c r="BN437" i="6"/>
  <c r="L433" i="6"/>
  <c r="L430" i="6"/>
  <c r="L427" i="6"/>
  <c r="L423" i="6"/>
  <c r="BF407" i="6"/>
  <c r="BN407" i="6" s="1"/>
  <c r="BF408" i="6"/>
  <c r="BN408" i="6" s="1"/>
  <c r="BI408" i="6"/>
  <c r="BI407" i="6"/>
  <c r="D385" i="6"/>
  <c r="D382" i="6"/>
  <c r="D387" i="6" s="1"/>
  <c r="BF403" i="6" s="1"/>
  <c r="D377" i="6"/>
  <c r="D368" i="6"/>
  <c r="D364" i="6"/>
  <c r="AE374" i="6"/>
  <c r="AE368" i="6"/>
  <c r="AE362" i="6"/>
  <c r="BE375" i="6"/>
  <c r="BE379" i="6"/>
  <c r="BE396" i="6" s="1"/>
  <c r="BE397" i="6" s="1"/>
  <c r="BN400" i="6" s="1"/>
  <c r="BE382" i="6"/>
  <c r="BE389" i="6"/>
  <c r="BE371" i="6"/>
  <c r="BE366" i="6"/>
  <c r="BE359" i="6"/>
  <c r="BE354" i="6"/>
  <c r="E385" i="6"/>
  <c r="E382" i="6"/>
  <c r="E377" i="6"/>
  <c r="E368" i="6"/>
  <c r="E364" i="6"/>
  <c r="E387" i="6"/>
  <c r="BF404" i="6" s="1"/>
  <c r="AF374" i="6"/>
  <c r="AF368" i="6"/>
  <c r="AF362" i="6"/>
  <c r="BF375" i="6"/>
  <c r="BF379" i="6"/>
  <c r="BF382" i="6"/>
  <c r="BF389" i="6"/>
  <c r="BF392" i="6"/>
  <c r="BF394" i="6"/>
  <c r="BF371" i="6"/>
  <c r="BF366" i="6"/>
  <c r="BF359" i="6"/>
  <c r="BF354" i="6"/>
  <c r="AT376" i="6"/>
  <c r="AT377" i="6"/>
  <c r="AT380" i="6"/>
  <c r="AT381" i="6"/>
  <c r="AT392" i="6" s="1"/>
  <c r="AT393" i="6" s="1"/>
  <c r="BH401" i="6" s="1"/>
  <c r="AT382" i="6"/>
  <c r="AT383" i="6"/>
  <c r="AT385" i="6"/>
  <c r="AT386" i="6"/>
  <c r="AT390" i="6"/>
  <c r="AT374" i="6"/>
  <c r="AT369" i="6"/>
  <c r="AS376" i="6"/>
  <c r="AS377" i="6"/>
  <c r="AS381" i="6"/>
  <c r="AS382" i="6"/>
  <c r="AS383" i="6"/>
  <c r="AS385" i="6"/>
  <c r="AS388" i="6"/>
  <c r="AS374" i="6"/>
  <c r="AS369" i="6"/>
  <c r="BF399" i="6"/>
  <c r="BN396" i="6"/>
  <c r="BF398" i="6"/>
  <c r="BN371" i="6"/>
  <c r="BN366" i="6"/>
  <c r="BN359" i="6"/>
  <c r="BN356" i="6"/>
  <c r="BN354" i="6"/>
  <c r="BN397" i="6"/>
  <c r="BK397" i="6"/>
  <c r="BJ397" i="6"/>
  <c r="BI396" i="6"/>
  <c r="BI397" i="6" s="1"/>
  <c r="BH396" i="6"/>
  <c r="BH397" i="6"/>
  <c r="BA355" i="6"/>
  <c r="BA369" i="6"/>
  <c r="BA374" i="6"/>
  <c r="AX391" i="6"/>
  <c r="BA392" i="6" s="1"/>
  <c r="AO387" i="6"/>
  <c r="AK387" i="6"/>
  <c r="AJ387" i="6"/>
  <c r="L354" i="6"/>
  <c r="L358" i="6"/>
  <c r="L361" i="6"/>
  <c r="L387" i="6" s="1"/>
  <c r="L364" i="6"/>
  <c r="L368" i="6"/>
  <c r="L378" i="6"/>
  <c r="L382" i="6"/>
  <c r="L386" i="6"/>
  <c r="I377" i="6"/>
  <c r="I368" i="6"/>
  <c r="I387" i="6" s="1"/>
  <c r="G382" i="6"/>
  <c r="G364" i="6"/>
  <c r="G387" i="6"/>
  <c r="U374" i="6"/>
  <c r="U369" i="6"/>
  <c r="T374" i="6"/>
  <c r="T380" i="6" s="1"/>
  <c r="T369" i="6"/>
  <c r="S380" i="6"/>
  <c r="R380" i="6"/>
  <c r="Q380" i="6"/>
  <c r="P374" i="6"/>
  <c r="P369" i="6"/>
  <c r="P380" i="6"/>
  <c r="O374" i="6"/>
  <c r="O380" i="6" s="1"/>
  <c r="O369" i="6"/>
  <c r="BN368" i="6"/>
  <c r="BF340" i="6"/>
  <c r="BL340" i="6"/>
  <c r="BF341" i="6"/>
  <c r="BN341" i="6" s="1"/>
  <c r="BL341" i="6"/>
  <c r="BI341" i="6"/>
  <c r="BI340" i="6"/>
  <c r="D318" i="6"/>
  <c r="D315" i="6"/>
  <c r="D310" i="6"/>
  <c r="D320" i="6" s="1"/>
  <c r="BF336" i="6" s="1"/>
  <c r="D299" i="6"/>
  <c r="D301" i="6" s="1"/>
  <c r="D297" i="6"/>
  <c r="AE307" i="6"/>
  <c r="AE320" i="6" s="1"/>
  <c r="BI336" i="6" s="1"/>
  <c r="AE301" i="6"/>
  <c r="AE295" i="6"/>
  <c r="BE307" i="6"/>
  <c r="BE308" i="6"/>
  <c r="BE329" i="6" s="1"/>
  <c r="BE330" i="6" s="1"/>
  <c r="BN333" i="6" s="1"/>
  <c r="BE315" i="6"/>
  <c r="BE319" i="6"/>
  <c r="BE304" i="6"/>
  <c r="BE299" i="6"/>
  <c r="BE293" i="6"/>
  <c r="BE288" i="6"/>
  <c r="E318" i="6"/>
  <c r="E315" i="6"/>
  <c r="E310" i="6"/>
  <c r="E301" i="6"/>
  <c r="E297" i="6"/>
  <c r="E320" i="6"/>
  <c r="BF337" i="6"/>
  <c r="AF307" i="6"/>
  <c r="AF320" i="6" s="1"/>
  <c r="BI337" i="6" s="1"/>
  <c r="AF301" i="6"/>
  <c r="AF295" i="6"/>
  <c r="BF308" i="6"/>
  <c r="BF315" i="6"/>
  <c r="BF327" i="6"/>
  <c r="BF329" i="6"/>
  <c r="BF304" i="6"/>
  <c r="BF299" i="6"/>
  <c r="BF293" i="6"/>
  <c r="BF288" i="6"/>
  <c r="AT309" i="6"/>
  <c r="AT310" i="6"/>
  <c r="AT325" i="6" s="1"/>
  <c r="AT326" i="6" s="1"/>
  <c r="BH334" i="6" s="1"/>
  <c r="AT314" i="6"/>
  <c r="AT315" i="6"/>
  <c r="AT316" i="6"/>
  <c r="AT318" i="6"/>
  <c r="AT319" i="6"/>
  <c r="AT321" i="6"/>
  <c r="AT307" i="6"/>
  <c r="AT302" i="6"/>
  <c r="AS309" i="6"/>
  <c r="AS325" i="6" s="1"/>
  <c r="AS310" i="6"/>
  <c r="AS314" i="6"/>
  <c r="AS315" i="6"/>
  <c r="AS316" i="6"/>
  <c r="AS318" i="6"/>
  <c r="AS321" i="6"/>
  <c r="AS307" i="6"/>
  <c r="AS302" i="6"/>
  <c r="BF332" i="6"/>
  <c r="BN329" i="6"/>
  <c r="BF331" i="6"/>
  <c r="BN304" i="6"/>
  <c r="BN299" i="6"/>
  <c r="BN293" i="6"/>
  <c r="BN290" i="6"/>
  <c r="BN288" i="6"/>
  <c r="BK330" i="6"/>
  <c r="BJ330" i="6"/>
  <c r="BI329" i="6"/>
  <c r="BI330" i="6"/>
  <c r="BH329" i="6"/>
  <c r="BH330" i="6"/>
  <c r="BA288" i="6"/>
  <c r="BA302" i="6"/>
  <c r="BA307" i="6"/>
  <c r="BA325" i="6"/>
  <c r="AO320" i="6"/>
  <c r="AK320" i="6"/>
  <c r="AJ320" i="6"/>
  <c r="L287" i="6"/>
  <c r="L291" i="6"/>
  <c r="L294" i="6"/>
  <c r="L297" i="6"/>
  <c r="L320" i="6" s="1"/>
  <c r="L301" i="6"/>
  <c r="L311" i="6"/>
  <c r="L315" i="6"/>
  <c r="L319" i="6"/>
  <c r="I310" i="6"/>
  <c r="I301" i="6"/>
  <c r="I320" i="6"/>
  <c r="G315" i="6"/>
  <c r="G297" i="6"/>
  <c r="U307" i="6"/>
  <c r="U313" i="6" s="1"/>
  <c r="U302" i="6"/>
  <c r="T307" i="6"/>
  <c r="T302" i="6"/>
  <c r="T313" i="6"/>
  <c r="S313" i="6"/>
  <c r="R313" i="6"/>
  <c r="Q313" i="6"/>
  <c r="P307" i="6"/>
  <c r="P313" i="6" s="1"/>
  <c r="P302" i="6"/>
  <c r="O307" i="6"/>
  <c r="O302" i="6"/>
  <c r="O313" i="6"/>
  <c r="BN301" i="6"/>
  <c r="BF272" i="6"/>
  <c r="BN272" i="6"/>
  <c r="BO273" i="6" s="1"/>
  <c r="BF273" i="6"/>
  <c r="BN273" i="6" s="1"/>
  <c r="BI273" i="6"/>
  <c r="BI272" i="6"/>
  <c r="D250" i="6"/>
  <c r="D247" i="6"/>
  <c r="D252" i="6" s="1"/>
  <c r="BF268" i="6" s="1"/>
  <c r="D242" i="6"/>
  <c r="D237" i="6"/>
  <c r="D233" i="6"/>
  <c r="D229" i="6"/>
  <c r="AE239" i="6"/>
  <c r="AE233" i="6"/>
  <c r="AE252" i="6" s="1"/>
  <c r="BI268" i="6" s="1"/>
  <c r="AE227" i="6"/>
  <c r="BE240" i="6"/>
  <c r="BE261" i="6"/>
  <c r="BE236" i="6"/>
  <c r="BE228" i="6"/>
  <c r="BE231" i="6"/>
  <c r="BE225" i="6"/>
  <c r="BE218" i="6"/>
  <c r="BE220" i="6" s="1"/>
  <c r="E250" i="6"/>
  <c r="E247" i="6"/>
  <c r="E242" i="6"/>
  <c r="E252" i="6" s="1"/>
  <c r="BF269" i="6" s="1"/>
  <c r="E237" i="6"/>
  <c r="E233" i="6"/>
  <c r="E229" i="6"/>
  <c r="AF239" i="6"/>
  <c r="AF233" i="6"/>
  <c r="AF227" i="6"/>
  <c r="BF240" i="6"/>
  <c r="BF261" i="6"/>
  <c r="BF262" i="6" s="1"/>
  <c r="BN266" i="6" s="1"/>
  <c r="BF236" i="6"/>
  <c r="BF228" i="6"/>
  <c r="BF230" i="6"/>
  <c r="BF231" i="6" s="1"/>
  <c r="BF225" i="6"/>
  <c r="BF220" i="6"/>
  <c r="AT241" i="6"/>
  <c r="AT257" i="6" s="1"/>
  <c r="AT258" i="6" s="1"/>
  <c r="BH266" i="6" s="1"/>
  <c r="AT242" i="6"/>
  <c r="AT246" i="6"/>
  <c r="AT247" i="6"/>
  <c r="AT248" i="6"/>
  <c r="AT250" i="6"/>
  <c r="AT253" i="6"/>
  <c r="AT239" i="6"/>
  <c r="AT225" i="6"/>
  <c r="AT234" i="6" s="1"/>
  <c r="AS241" i="6"/>
  <c r="AS242" i="6"/>
  <c r="AS246" i="6"/>
  <c r="AS247" i="6"/>
  <c r="AS248" i="6"/>
  <c r="AS250" i="6"/>
  <c r="AS257" i="6"/>
  <c r="AS258" i="6" s="1"/>
  <c r="BH265" i="6" s="1"/>
  <c r="AS239" i="6"/>
  <c r="AS233" i="6"/>
  <c r="AS234" i="6"/>
  <c r="BF264" i="6"/>
  <c r="BN261" i="6"/>
  <c r="BF263" i="6"/>
  <c r="BN236" i="6"/>
  <c r="BN231" i="6"/>
  <c r="BN225" i="6"/>
  <c r="BN222" i="6"/>
  <c r="BN220" i="6"/>
  <c r="BK262" i="6"/>
  <c r="BJ262" i="6"/>
  <c r="BI261" i="6"/>
  <c r="BI262" i="6" s="1"/>
  <c r="BH261" i="6"/>
  <c r="BH262" i="6"/>
  <c r="BA220" i="6"/>
  <c r="BA258" i="6" s="1"/>
  <c r="BA234" i="6"/>
  <c r="BA239" i="6"/>
  <c r="AX244" i="6"/>
  <c r="BA257" i="6" s="1"/>
  <c r="AO252" i="6"/>
  <c r="AK252" i="6"/>
  <c r="AJ252" i="6"/>
  <c r="L219" i="6"/>
  <c r="L223" i="6"/>
  <c r="L226" i="6"/>
  <c r="L252" i="6" s="1"/>
  <c r="L229" i="6"/>
  <c r="L233" i="6"/>
  <c r="L238" i="6"/>
  <c r="L243" i="6"/>
  <c r="L247" i="6"/>
  <c r="L251" i="6"/>
  <c r="I242" i="6"/>
  <c r="I252" i="6" s="1"/>
  <c r="I238" i="6"/>
  <c r="I233" i="6"/>
  <c r="G247" i="6"/>
  <c r="G252" i="6" s="1"/>
  <c r="G229" i="6"/>
  <c r="U239" i="6"/>
  <c r="U245" i="6" s="1"/>
  <c r="U234" i="6"/>
  <c r="T239" i="6"/>
  <c r="T234" i="6"/>
  <c r="T245" i="6"/>
  <c r="S245" i="6"/>
  <c r="R245" i="6"/>
  <c r="Q245" i="6"/>
  <c r="P239" i="6"/>
  <c r="P234" i="6"/>
  <c r="O239" i="6"/>
  <c r="O245" i="6" s="1"/>
  <c r="O234" i="6"/>
  <c r="BN233" i="6"/>
  <c r="BL202" i="6"/>
  <c r="BN202" i="6"/>
  <c r="BL203" i="6"/>
  <c r="BN203" i="6" s="1"/>
  <c r="D180" i="6"/>
  <c r="D177" i="6"/>
  <c r="D172" i="6"/>
  <c r="D167" i="6"/>
  <c r="D163" i="6"/>
  <c r="D159" i="6"/>
  <c r="AE169" i="6"/>
  <c r="AE182" i="6" s="1"/>
  <c r="BI198" i="6" s="1"/>
  <c r="AE161" i="6"/>
  <c r="AE157" i="6"/>
  <c r="BE170" i="6"/>
  <c r="BE171" i="6"/>
  <c r="BE172" i="6"/>
  <c r="BE174" i="6"/>
  <c r="BE180" i="6"/>
  <c r="BE166" i="6"/>
  <c r="BE161" i="6"/>
  <c r="BE155" i="6"/>
  <c r="BE150" i="6"/>
  <c r="E180" i="6"/>
  <c r="E177" i="6"/>
  <c r="E172" i="6"/>
  <c r="E182" i="6" s="1"/>
  <c r="BF199" i="6" s="1"/>
  <c r="E167" i="6"/>
  <c r="E163" i="6"/>
  <c r="E159" i="6"/>
  <c r="AF169" i="6"/>
  <c r="AF161" i="6"/>
  <c r="AF157" i="6"/>
  <c r="AF182" i="6"/>
  <c r="BI199" i="6" s="1"/>
  <c r="BF169" i="6"/>
  <c r="BF170" i="6"/>
  <c r="BF172" i="6"/>
  <c r="BF174" i="6"/>
  <c r="BF183" i="6"/>
  <c r="BF191" i="6" s="1"/>
  <c r="BF192" i="6" s="1"/>
  <c r="BN196" i="6" s="1"/>
  <c r="BF190" i="6"/>
  <c r="BF166" i="6"/>
  <c r="BF161" i="6"/>
  <c r="BF155" i="6"/>
  <c r="BF150" i="6"/>
  <c r="AT175" i="6"/>
  <c r="AT176" i="6"/>
  <c r="AT180" i="6"/>
  <c r="AT181" i="6"/>
  <c r="AT182" i="6"/>
  <c r="AT184" i="6"/>
  <c r="AT185" i="6"/>
  <c r="AT187" i="6"/>
  <c r="AT173" i="6"/>
  <c r="AT164" i="6"/>
  <c r="AS175" i="6"/>
  <c r="AS191" i="6" s="1"/>
  <c r="AS192" i="6" s="1"/>
  <c r="BH195" i="6" s="1"/>
  <c r="AS176" i="6"/>
  <c r="AS180" i="6"/>
  <c r="AS181" i="6"/>
  <c r="AS182" i="6"/>
  <c r="AS184" i="6"/>
  <c r="AS187" i="6"/>
  <c r="AS173" i="6"/>
  <c r="AS164" i="6"/>
  <c r="AS149" i="6"/>
  <c r="BF194" i="6"/>
  <c r="BN191" i="6"/>
  <c r="BF193" i="6"/>
  <c r="BN166" i="6"/>
  <c r="BN161" i="6"/>
  <c r="BN155" i="6"/>
  <c r="BN152" i="6"/>
  <c r="BN150" i="6"/>
  <c r="BK192" i="6"/>
  <c r="BJ192" i="6"/>
  <c r="BI191" i="6"/>
  <c r="BI192" i="6" s="1"/>
  <c r="BH191" i="6"/>
  <c r="BH192" i="6"/>
  <c r="BA150" i="6"/>
  <c r="BA164" i="6"/>
  <c r="BA173" i="6"/>
  <c r="AX178" i="6"/>
  <c r="BA191" i="6" s="1"/>
  <c r="BA192" i="6" s="1"/>
  <c r="AX187" i="6"/>
  <c r="AX190" i="6"/>
  <c r="AO182" i="6"/>
  <c r="AK182" i="6"/>
  <c r="AJ182" i="6"/>
  <c r="L149" i="6"/>
  <c r="L153" i="6"/>
  <c r="L156" i="6"/>
  <c r="L159" i="6"/>
  <c r="L163" i="6"/>
  <c r="L168" i="6"/>
  <c r="L173" i="6"/>
  <c r="L177" i="6"/>
  <c r="L181" i="6"/>
  <c r="I172" i="6"/>
  <c r="I168" i="6"/>
  <c r="I163" i="6"/>
  <c r="G177" i="6"/>
  <c r="G159" i="6"/>
  <c r="G182" i="6"/>
  <c r="U164" i="6"/>
  <c r="U175" i="6" s="1"/>
  <c r="T169" i="6"/>
  <c r="T164" i="6"/>
  <c r="T175" i="6"/>
  <c r="S175" i="6"/>
  <c r="R175" i="6"/>
  <c r="Q175" i="6"/>
  <c r="P169" i="6"/>
  <c r="P175" i="6" s="1"/>
  <c r="P164" i="6"/>
  <c r="O169" i="6"/>
  <c r="O164" i="6"/>
  <c r="O175" i="6"/>
  <c r="BN163" i="6"/>
  <c r="BL133" i="6"/>
  <c r="BN133" i="6"/>
  <c r="BL134" i="6"/>
  <c r="BN134" i="6" s="1"/>
  <c r="D111" i="6"/>
  <c r="D108" i="6"/>
  <c r="D103" i="6"/>
  <c r="D98" i="6"/>
  <c r="D94" i="6"/>
  <c r="D90" i="6"/>
  <c r="AE100" i="6"/>
  <c r="AE88" i="6"/>
  <c r="AE113" i="6"/>
  <c r="BI129" i="6" s="1"/>
  <c r="BE101" i="6"/>
  <c r="BE122" i="6" s="1"/>
  <c r="BE103" i="6"/>
  <c r="BE108" i="6"/>
  <c r="BE97" i="6"/>
  <c r="BE92" i="6"/>
  <c r="BE86" i="6"/>
  <c r="BE79" i="6"/>
  <c r="BE81" i="6"/>
  <c r="BE123" i="6"/>
  <c r="BN126" i="6" s="1"/>
  <c r="E111" i="6"/>
  <c r="E113" i="6" s="1"/>
  <c r="BF130" i="6" s="1"/>
  <c r="E108" i="6"/>
  <c r="E103" i="6"/>
  <c r="E98" i="6"/>
  <c r="E94" i="6"/>
  <c r="E89" i="6"/>
  <c r="E90" i="6" s="1"/>
  <c r="AF100" i="6"/>
  <c r="AF88" i="6"/>
  <c r="BF101" i="6"/>
  <c r="BF122" i="6" s="1"/>
  <c r="BF103" i="6"/>
  <c r="BF104" i="6"/>
  <c r="BF108" i="6"/>
  <c r="BF97" i="6"/>
  <c r="BF92" i="6"/>
  <c r="BF86" i="6"/>
  <c r="BF81" i="6"/>
  <c r="AT107" i="6"/>
  <c r="AT111" i="6"/>
  <c r="AT112" i="6"/>
  <c r="AT122" i="6" s="1"/>
  <c r="AT113" i="6"/>
  <c r="AT115" i="6"/>
  <c r="AT104" i="6"/>
  <c r="AT95" i="6"/>
  <c r="AT80" i="6"/>
  <c r="AS107" i="6"/>
  <c r="AS111" i="6"/>
  <c r="AS122" i="6" s="1"/>
  <c r="AS112" i="6"/>
  <c r="AS113" i="6"/>
  <c r="AS115" i="6"/>
  <c r="AS104" i="6"/>
  <c r="AS95" i="6"/>
  <c r="AS80" i="6"/>
  <c r="BN122" i="6"/>
  <c r="BF124" i="6" s="1"/>
  <c r="BN97" i="6"/>
  <c r="BN92" i="6"/>
  <c r="BN123" i="6" s="1"/>
  <c r="BN86" i="6"/>
  <c r="BN83" i="6"/>
  <c r="BN81" i="6"/>
  <c r="BK123" i="6"/>
  <c r="BJ123" i="6"/>
  <c r="BI122" i="6"/>
  <c r="BI123" i="6"/>
  <c r="BH122" i="6"/>
  <c r="BH123" i="6"/>
  <c r="BA81" i="6"/>
  <c r="BA95" i="6"/>
  <c r="BA104" i="6"/>
  <c r="BA123" i="6" s="1"/>
  <c r="AX109" i="6"/>
  <c r="BA122" i="6"/>
  <c r="AO113" i="6"/>
  <c r="AK113" i="6"/>
  <c r="AJ113" i="6"/>
  <c r="L80" i="6"/>
  <c r="L84" i="6"/>
  <c r="L87" i="6"/>
  <c r="L90" i="6"/>
  <c r="L94" i="6"/>
  <c r="L99" i="6"/>
  <c r="L104" i="6"/>
  <c r="L108" i="6"/>
  <c r="L112" i="6"/>
  <c r="L113" i="6"/>
  <c r="I103" i="6"/>
  <c r="I94" i="6"/>
  <c r="I113" i="6"/>
  <c r="G108" i="6"/>
  <c r="G90" i="6"/>
  <c r="G113" i="6"/>
  <c r="U95" i="6"/>
  <c r="U106" i="6"/>
  <c r="T100" i="6"/>
  <c r="T95" i="6"/>
  <c r="T106" i="6"/>
  <c r="S106" i="6"/>
  <c r="R106" i="6"/>
  <c r="Q106" i="6"/>
  <c r="P100" i="6"/>
  <c r="P95" i="6"/>
  <c r="O100" i="6"/>
  <c r="O95" i="6"/>
  <c r="BN94" i="6"/>
  <c r="AF92" i="6"/>
  <c r="AE92" i="6"/>
  <c r="BN64" i="6"/>
  <c r="BO65" i="6" s="1"/>
  <c r="BN65" i="6"/>
  <c r="D42" i="6"/>
  <c r="D44" i="6" s="1"/>
  <c r="BF60" i="6" s="1"/>
  <c r="D39" i="6"/>
  <c r="D34" i="6"/>
  <c r="D29" i="6"/>
  <c r="D25" i="6"/>
  <c r="D21" i="6"/>
  <c r="AE31" i="6"/>
  <c r="AE44" i="6" s="1"/>
  <c r="BI60" i="6" s="1"/>
  <c r="AE19" i="6"/>
  <c r="BE31" i="6"/>
  <c r="BE53" i="6" s="1"/>
  <c r="BE32" i="6"/>
  <c r="BE33" i="6"/>
  <c r="BE35" i="6"/>
  <c r="BE43" i="6"/>
  <c r="BE27" i="6"/>
  <c r="BE18" i="6"/>
  <c r="BE19" i="6"/>
  <c r="BE22" i="6"/>
  <c r="BE17" i="6"/>
  <c r="BE14" i="6"/>
  <c r="BE12" i="6"/>
  <c r="E42" i="6"/>
  <c r="E39" i="6"/>
  <c r="E34" i="6"/>
  <c r="E29" i="6"/>
  <c r="E25" i="6"/>
  <c r="E21" i="6"/>
  <c r="AF31" i="6"/>
  <c r="AF19" i="6"/>
  <c r="BF31" i="6"/>
  <c r="BF53" i="6" s="1"/>
  <c r="BF33" i="6"/>
  <c r="BF34" i="6"/>
  <c r="BF38" i="6"/>
  <c r="BF43" i="6"/>
  <c r="BF52" i="6"/>
  <c r="BF27" i="6"/>
  <c r="BF19" i="6"/>
  <c r="BF22" i="6" s="1"/>
  <c r="BF17" i="6"/>
  <c r="BF12" i="6"/>
  <c r="BF14" i="6"/>
  <c r="BF54" i="6"/>
  <c r="BN58" i="6" s="1"/>
  <c r="AT37" i="6"/>
  <c r="AT38" i="6"/>
  <c r="AT41" i="6"/>
  <c r="AT42" i="6"/>
  <c r="AT43" i="6"/>
  <c r="AT44" i="6"/>
  <c r="AT46" i="6"/>
  <c r="AT49" i="6"/>
  <c r="AT35" i="6"/>
  <c r="AT26" i="6"/>
  <c r="AS37" i="6"/>
  <c r="AS38" i="6"/>
  <c r="AS41" i="6"/>
  <c r="AS42" i="6"/>
  <c r="AS43" i="6"/>
  <c r="AS44" i="6"/>
  <c r="AS46" i="6"/>
  <c r="AS49" i="6"/>
  <c r="AS53" i="6"/>
  <c r="AS54" i="6" s="1"/>
  <c r="BH57" i="6" s="1"/>
  <c r="AS35" i="6"/>
  <c r="AS26" i="6"/>
  <c r="BF56" i="6"/>
  <c r="BN53" i="6"/>
  <c r="BF55" i="6"/>
  <c r="BN27" i="6"/>
  <c r="BL19" i="6"/>
  <c r="BL20" i="6"/>
  <c r="BN22" i="6"/>
  <c r="BN17" i="6"/>
  <c r="BN14" i="6"/>
  <c r="BN12" i="6"/>
  <c r="BK54" i="6"/>
  <c r="BJ54" i="6"/>
  <c r="BH53" i="6"/>
  <c r="BH54" i="6"/>
  <c r="BA12" i="6"/>
  <c r="BA26" i="6"/>
  <c r="BA35" i="6"/>
  <c r="AX40" i="6"/>
  <c r="BA53" i="6" s="1"/>
  <c r="AX52" i="6"/>
  <c r="BI53" i="6"/>
  <c r="AO44" i="6"/>
  <c r="AK44" i="6"/>
  <c r="AJ44" i="6"/>
  <c r="L11" i="6"/>
  <c r="L15" i="6"/>
  <c r="L18" i="6"/>
  <c r="L21" i="6"/>
  <c r="L25" i="6"/>
  <c r="L30" i="6"/>
  <c r="L35" i="6"/>
  <c r="L39" i="6"/>
  <c r="L43" i="6"/>
  <c r="L44" i="6"/>
  <c r="I34" i="6"/>
  <c r="I30" i="6"/>
  <c r="I25" i="6"/>
  <c r="I44" i="6"/>
  <c r="G39" i="6"/>
  <c r="G44" i="6" s="1"/>
  <c r="G21" i="6"/>
  <c r="U26" i="6"/>
  <c r="U37" i="6" s="1"/>
  <c r="T31" i="6"/>
  <c r="T26" i="6"/>
  <c r="T37" i="6"/>
  <c r="S37" i="6"/>
  <c r="R37" i="6"/>
  <c r="Q37" i="6"/>
  <c r="P31" i="6"/>
  <c r="P37" i="6" s="1"/>
  <c r="P26" i="6"/>
  <c r="O31" i="6"/>
  <c r="O26" i="6"/>
  <c r="O37" i="6"/>
  <c r="BN24" i="6"/>
  <c r="AF23" i="6"/>
  <c r="AE23" i="6"/>
  <c r="K724" i="1"/>
  <c r="K723" i="1"/>
  <c r="BD749" i="3"/>
  <c r="BL746" i="3"/>
  <c r="BD748" i="3"/>
  <c r="BI747" i="3"/>
  <c r="BH747" i="3"/>
  <c r="BF746" i="3"/>
  <c r="BF747" i="3" s="1"/>
  <c r="BD744" i="3"/>
  <c r="BC741" i="3"/>
  <c r="AR741" i="3"/>
  <c r="AQ741" i="3"/>
  <c r="BD738" i="3"/>
  <c r="AR738" i="3"/>
  <c r="AQ738" i="3"/>
  <c r="J704" i="3"/>
  <c r="J707" i="3"/>
  <c r="J711" i="3"/>
  <c r="J714" i="3"/>
  <c r="J718" i="3"/>
  <c r="J723" i="3"/>
  <c r="J728" i="3"/>
  <c r="J732" i="3"/>
  <c r="J737" i="3"/>
  <c r="AR736" i="3"/>
  <c r="AQ736" i="3"/>
  <c r="AR735" i="3"/>
  <c r="AQ735" i="3"/>
  <c r="C735" i="3"/>
  <c r="B735" i="3"/>
  <c r="AR734" i="3"/>
  <c r="AQ734" i="3"/>
  <c r="AM734" i="3"/>
  <c r="AI734" i="3"/>
  <c r="AH734" i="3"/>
  <c r="AV732" i="3"/>
  <c r="AY745" i="3"/>
  <c r="G732" i="3"/>
  <c r="E732" i="3"/>
  <c r="E714" i="3"/>
  <c r="E738" i="3"/>
  <c r="C732" i="3"/>
  <c r="B732" i="3"/>
  <c r="BD731" i="3"/>
  <c r="AR730" i="3"/>
  <c r="AQ730" i="3"/>
  <c r="Q730" i="3"/>
  <c r="P730" i="3"/>
  <c r="O730" i="3"/>
  <c r="AR729" i="3"/>
  <c r="AR745" i="3"/>
  <c r="AR746" i="3" s="1"/>
  <c r="BF751" i="3" s="1"/>
  <c r="AR727" i="3"/>
  <c r="AR718" i="3"/>
  <c r="AQ729" i="3"/>
  <c r="AQ727" i="3"/>
  <c r="AQ718" i="3"/>
  <c r="BD728" i="3"/>
  <c r="BC728" i="3"/>
  <c r="G728" i="3"/>
  <c r="C728" i="3"/>
  <c r="B728" i="3"/>
  <c r="BD727" i="3"/>
  <c r="BD746" i="3" s="1"/>
  <c r="BD747" i="3" s="1"/>
  <c r="BL751" i="3" s="1"/>
  <c r="AY727" i="3"/>
  <c r="BD726" i="3"/>
  <c r="BC726" i="3"/>
  <c r="BD725" i="3"/>
  <c r="BD724" i="3"/>
  <c r="BD718" i="3"/>
  <c r="BD720" i="3"/>
  <c r="BD715" i="3"/>
  <c r="BD710" i="3"/>
  <c r="BD705" i="3"/>
  <c r="BC724" i="3"/>
  <c r="AD724" i="3"/>
  <c r="AD710" i="3"/>
  <c r="AC724" i="3"/>
  <c r="AC710" i="3"/>
  <c r="AC734" i="3"/>
  <c r="BG753" i="3"/>
  <c r="R724" i="3"/>
  <c r="R730" i="3" s="1"/>
  <c r="R719" i="3"/>
  <c r="N724" i="3"/>
  <c r="N730" i="3" s="1"/>
  <c r="N719" i="3"/>
  <c r="M724" i="3"/>
  <c r="M719" i="3"/>
  <c r="M730" i="3"/>
  <c r="G723" i="3"/>
  <c r="C723" i="3"/>
  <c r="B723" i="3"/>
  <c r="B718" i="3"/>
  <c r="B714" i="3"/>
  <c r="BL720" i="3"/>
  <c r="BC720" i="3"/>
  <c r="S719" i="3"/>
  <c r="S730" i="3"/>
  <c r="AY718" i="3"/>
  <c r="G718" i="3"/>
  <c r="C718" i="3"/>
  <c r="BL717" i="3"/>
  <c r="BL715" i="3"/>
  <c r="BC715" i="3"/>
  <c r="AD714" i="3"/>
  <c r="AC714" i="3"/>
  <c r="C714" i="3"/>
  <c r="BL710" i="3"/>
  <c r="BC710" i="3"/>
  <c r="BL707" i="3"/>
  <c r="BL705" i="3"/>
  <c r="BC703" i="3"/>
  <c r="BC705" i="3"/>
  <c r="AY704" i="3"/>
  <c r="AY746" i="3" s="1"/>
  <c r="BD686" i="3"/>
  <c r="BI684" i="3"/>
  <c r="BH683" i="3"/>
  <c r="BH684" i="3"/>
  <c r="BL683" i="3"/>
  <c r="BD685" i="3"/>
  <c r="BF683" i="3"/>
  <c r="BF684" i="3" s="1"/>
  <c r="BD681" i="3"/>
  <c r="AV681" i="3"/>
  <c r="AV671" i="3"/>
  <c r="AY683" i="3"/>
  <c r="AY642" i="3"/>
  <c r="AY656" i="3"/>
  <c r="AY665" i="3"/>
  <c r="AM680" i="3"/>
  <c r="AI680" i="3"/>
  <c r="AH680" i="3"/>
  <c r="AD662" i="3"/>
  <c r="AD680" i="3" s="1"/>
  <c r="BG691" i="3" s="1"/>
  <c r="AD649" i="3"/>
  <c r="BD679" i="3"/>
  <c r="AQ679" i="3"/>
  <c r="AR676" i="3"/>
  <c r="AQ676" i="3"/>
  <c r="E670" i="3"/>
  <c r="E675" i="3" s="1"/>
  <c r="E652" i="3"/>
  <c r="AR674" i="3"/>
  <c r="AQ674" i="3"/>
  <c r="J674" i="3"/>
  <c r="C673" i="3"/>
  <c r="C670" i="3"/>
  <c r="C666" i="3"/>
  <c r="C661" i="3"/>
  <c r="C656" i="3"/>
  <c r="C652" i="3"/>
  <c r="B673" i="3"/>
  <c r="AR672" i="3"/>
  <c r="AQ672" i="3"/>
  <c r="J670" i="3"/>
  <c r="B670" i="3"/>
  <c r="AR668" i="3"/>
  <c r="AQ668" i="3"/>
  <c r="Q668" i="3"/>
  <c r="P668" i="3"/>
  <c r="O668" i="3"/>
  <c r="AR667" i="3"/>
  <c r="AQ667" i="3"/>
  <c r="J666" i="3"/>
  <c r="G666" i="3"/>
  <c r="G661" i="3"/>
  <c r="G656" i="3"/>
  <c r="G675" i="3"/>
  <c r="B666" i="3"/>
  <c r="BC665" i="3"/>
  <c r="AR665" i="3"/>
  <c r="AQ665" i="3"/>
  <c r="AC662" i="3"/>
  <c r="AC649" i="3"/>
  <c r="AC680" i="3"/>
  <c r="BG690" i="3"/>
  <c r="R662" i="3"/>
  <c r="R668" i="3" s="1"/>
  <c r="R657" i="3"/>
  <c r="N662" i="3"/>
  <c r="N668" i="3" s="1"/>
  <c r="N657" i="3"/>
  <c r="M662" i="3"/>
  <c r="BD661" i="3"/>
  <c r="BD683" i="3"/>
  <c r="BC661" i="3"/>
  <c r="BC683" i="3"/>
  <c r="J661" i="3"/>
  <c r="B661" i="3"/>
  <c r="BL657" i="3"/>
  <c r="BD657" i="3"/>
  <c r="BC657" i="3"/>
  <c r="S657" i="3"/>
  <c r="S668" i="3" s="1"/>
  <c r="M657" i="3"/>
  <c r="M668" i="3"/>
  <c r="BM656" i="3"/>
  <c r="AR656" i="3"/>
  <c r="AQ656" i="3"/>
  <c r="J656" i="3"/>
  <c r="B656" i="3"/>
  <c r="BL654" i="3"/>
  <c r="AD653" i="3"/>
  <c r="AC653" i="3"/>
  <c r="BL652" i="3"/>
  <c r="BD652" i="3"/>
  <c r="BC652" i="3"/>
  <c r="J652" i="3"/>
  <c r="B652" i="3"/>
  <c r="J649" i="3"/>
  <c r="BL648" i="3"/>
  <c r="BD648" i="3"/>
  <c r="BC648" i="3"/>
  <c r="BL645" i="3"/>
  <c r="J645" i="3"/>
  <c r="BL643" i="3"/>
  <c r="BD643" i="3"/>
  <c r="BC641" i="3"/>
  <c r="BC643" i="3"/>
  <c r="J642" i="3"/>
  <c r="AY624" i="3"/>
  <c r="BD623" i="3"/>
  <c r="BI621" i="3"/>
  <c r="BH621" i="3"/>
  <c r="AM621" i="3"/>
  <c r="AI621" i="3"/>
  <c r="AH621" i="3"/>
  <c r="BL620" i="3"/>
  <c r="BD622" i="3" s="1"/>
  <c r="BF620" i="3"/>
  <c r="BF621" i="3"/>
  <c r="BC598" i="3"/>
  <c r="BC600" i="3"/>
  <c r="BC602" i="3"/>
  <c r="BC605" i="3"/>
  <c r="BC607" i="3"/>
  <c r="BC617" i="3"/>
  <c r="BC594" i="3"/>
  <c r="BC589" i="3"/>
  <c r="BC584" i="3"/>
  <c r="BC579" i="3"/>
  <c r="BD619" i="3"/>
  <c r="BD618" i="3"/>
  <c r="AV617" i="3"/>
  <c r="BD615" i="3"/>
  <c r="AV615" i="3"/>
  <c r="AV613" i="3"/>
  <c r="AR613" i="3"/>
  <c r="AQ613" i="3"/>
  <c r="C610" i="3"/>
  <c r="C607" i="3"/>
  <c r="C603" i="3"/>
  <c r="C598" i="3"/>
  <c r="C612" i="3" s="1"/>
  <c r="BD628" i="3" s="1"/>
  <c r="C593" i="3"/>
  <c r="C589" i="3"/>
  <c r="AR611" i="3"/>
  <c r="AQ611" i="3"/>
  <c r="J611" i="3"/>
  <c r="AR610" i="3"/>
  <c r="AQ610" i="3"/>
  <c r="AV609" i="3"/>
  <c r="AY620" i="3"/>
  <c r="AY621" i="3" s="1"/>
  <c r="AR609" i="3"/>
  <c r="AQ609" i="3"/>
  <c r="B609" i="3"/>
  <c r="B610" i="3"/>
  <c r="AR608" i="3"/>
  <c r="AR620" i="3" s="1"/>
  <c r="BD607" i="3"/>
  <c r="J607" i="3"/>
  <c r="G607" i="3"/>
  <c r="E607" i="3"/>
  <c r="E589" i="3"/>
  <c r="E612" i="3"/>
  <c r="B607" i="3"/>
  <c r="BD605" i="3"/>
  <c r="AR605" i="3"/>
  <c r="AQ605" i="3"/>
  <c r="Q605" i="3"/>
  <c r="P605" i="3"/>
  <c r="O605" i="3"/>
  <c r="AR604" i="3"/>
  <c r="AQ604" i="3"/>
  <c r="AQ620" i="3" s="1"/>
  <c r="AQ602" i="3"/>
  <c r="AQ593" i="3"/>
  <c r="J603" i="3"/>
  <c r="G603" i="3"/>
  <c r="G598" i="3"/>
  <c r="G593" i="3"/>
  <c r="B603" i="3"/>
  <c r="AY602" i="3"/>
  <c r="AR602" i="3"/>
  <c r="BD600" i="3"/>
  <c r="AD599" i="3"/>
  <c r="AC599" i="3"/>
  <c r="R599" i="3"/>
  <c r="N599" i="3"/>
  <c r="N594" i="3"/>
  <c r="M599" i="3"/>
  <c r="M594" i="3"/>
  <c r="M605" i="3"/>
  <c r="BD598" i="3"/>
  <c r="J598" i="3"/>
  <c r="B598" i="3"/>
  <c r="BD595" i="3"/>
  <c r="BD620" i="3" s="1"/>
  <c r="BD621" i="3" s="1"/>
  <c r="BL625" i="3" s="1"/>
  <c r="BL594" i="3"/>
  <c r="BD594" i="3"/>
  <c r="S594" i="3"/>
  <c r="S605" i="3"/>
  <c r="R594" i="3"/>
  <c r="AY593" i="3"/>
  <c r="AR593" i="3"/>
  <c r="J593" i="3"/>
  <c r="B593" i="3"/>
  <c r="BL591" i="3"/>
  <c r="AD590" i="3"/>
  <c r="AC590" i="3"/>
  <c r="AC586" i="3"/>
  <c r="BL589" i="3"/>
  <c r="BD589" i="3"/>
  <c r="J589" i="3"/>
  <c r="B589" i="3"/>
  <c r="AD586" i="3"/>
  <c r="J586" i="3"/>
  <c r="BD584" i="3"/>
  <c r="BJ583" i="3"/>
  <c r="BL584" i="3"/>
  <c r="J582" i="3"/>
  <c r="J612" i="3" s="1"/>
  <c r="BL581" i="3"/>
  <c r="BL579" i="3"/>
  <c r="BD579" i="3"/>
  <c r="AY579" i="3"/>
  <c r="J579" i="3"/>
  <c r="BD559" i="3"/>
  <c r="BL530" i="3"/>
  <c r="BL525" i="3"/>
  <c r="BL521" i="3"/>
  <c r="BL518" i="3"/>
  <c r="BL516" i="3"/>
  <c r="BI557" i="3"/>
  <c r="BH557" i="3"/>
  <c r="AQ540" i="3"/>
  <c r="AQ541" i="3"/>
  <c r="AQ545" i="3"/>
  <c r="AQ547" i="3"/>
  <c r="AQ549" i="3"/>
  <c r="AQ550" i="3"/>
  <c r="AQ529" i="3"/>
  <c r="BL556" i="3"/>
  <c r="BD558" i="3"/>
  <c r="BF556" i="3"/>
  <c r="BF557" i="3" s="1"/>
  <c r="BD554" i="3"/>
  <c r="AV554" i="3"/>
  <c r="BC553" i="3"/>
  <c r="AV549" i="3"/>
  <c r="AR549" i="3"/>
  <c r="G539" i="3"/>
  <c r="G534" i="3"/>
  <c r="G529" i="3"/>
  <c r="AR547" i="3"/>
  <c r="J547" i="3"/>
  <c r="C546" i="3"/>
  <c r="B546" i="3"/>
  <c r="AR545" i="3"/>
  <c r="AM545" i="3"/>
  <c r="AI545" i="3"/>
  <c r="AH545" i="3"/>
  <c r="BC543" i="3"/>
  <c r="BC534" i="3"/>
  <c r="BC556" i="3" s="1"/>
  <c r="BC557" i="3" s="1"/>
  <c r="BL560" i="3" s="1"/>
  <c r="BC536" i="3"/>
  <c r="BC530" i="3"/>
  <c r="BC524" i="3"/>
  <c r="BC525" i="3" s="1"/>
  <c r="BC521" i="3"/>
  <c r="BC516" i="3"/>
  <c r="AV543" i="3"/>
  <c r="J543" i="3"/>
  <c r="E543" i="3"/>
  <c r="E548" i="3" s="1"/>
  <c r="E525" i="3"/>
  <c r="C543" i="3"/>
  <c r="C539" i="3"/>
  <c r="C548" i="3" s="1"/>
  <c r="BD564" i="3" s="1"/>
  <c r="C534" i="3"/>
  <c r="C529" i="3"/>
  <c r="C525" i="3"/>
  <c r="B543" i="3"/>
  <c r="R535" i="3"/>
  <c r="R530" i="3"/>
  <c r="R541" i="3" s="1"/>
  <c r="Q541" i="3"/>
  <c r="P541" i="3"/>
  <c r="O541" i="3"/>
  <c r="N535" i="3"/>
  <c r="N530" i="3"/>
  <c r="N541" i="3"/>
  <c r="AR540" i="3"/>
  <c r="AR556" i="3" s="1"/>
  <c r="AR557" i="3" s="1"/>
  <c r="BF561" i="3" s="1"/>
  <c r="AR529" i="3"/>
  <c r="J539" i="3"/>
  <c r="B539" i="3"/>
  <c r="BD538" i="3"/>
  <c r="BD536" i="3"/>
  <c r="AD535" i="3"/>
  <c r="AD545" i="3" s="1"/>
  <c r="BG564" i="3" s="1"/>
  <c r="BJ564" i="3" s="1"/>
  <c r="AC535" i="3"/>
  <c r="M535" i="3"/>
  <c r="BD534" i="3"/>
  <c r="BD556" i="3" s="1"/>
  <c r="BD557" i="3" s="1"/>
  <c r="BD530" i="3"/>
  <c r="BD524" i="3"/>
  <c r="BD525" i="3"/>
  <c r="BD521" i="3"/>
  <c r="BD516" i="3"/>
  <c r="BL561" i="3"/>
  <c r="J534" i="3"/>
  <c r="B534" i="3"/>
  <c r="S530" i="3"/>
  <c r="S541" i="3"/>
  <c r="M530" i="3"/>
  <c r="AY529" i="3"/>
  <c r="J529" i="3"/>
  <c r="B529" i="3"/>
  <c r="B548" i="3" s="1"/>
  <c r="BD563" i="3" s="1"/>
  <c r="BL527" i="3"/>
  <c r="AD526" i="3"/>
  <c r="AC526" i="3"/>
  <c r="AC522" i="3"/>
  <c r="AC545" i="3"/>
  <c r="BG563" i="3" s="1"/>
  <c r="J525" i="3"/>
  <c r="B525" i="3"/>
  <c r="AD522" i="3"/>
  <c r="J522" i="3"/>
  <c r="J518" i="3"/>
  <c r="AY515" i="3"/>
  <c r="J515" i="3"/>
  <c r="AQ480" i="3"/>
  <c r="AQ495" i="3" s="1"/>
  <c r="AQ484" i="3"/>
  <c r="AQ488" i="3"/>
  <c r="AQ477" i="3"/>
  <c r="AQ468" i="3"/>
  <c r="AQ496" i="3"/>
  <c r="BF499" i="3" s="1"/>
  <c r="BD498" i="3"/>
  <c r="BI496" i="3"/>
  <c r="BH496" i="3"/>
  <c r="BF495" i="3"/>
  <c r="BF496" i="3"/>
  <c r="BL495" i="3"/>
  <c r="BD497" i="3" s="1"/>
  <c r="BD492" i="3"/>
  <c r="BC492" i="3"/>
  <c r="BC495" i="3" s="1"/>
  <c r="BD491" i="3"/>
  <c r="BD495" i="3" s="1"/>
  <c r="BC491" i="3"/>
  <c r="BC469" i="3"/>
  <c r="BC464" i="3"/>
  <c r="BC460" i="3"/>
  <c r="BC455" i="3"/>
  <c r="AR488" i="3"/>
  <c r="AR486" i="3"/>
  <c r="J486" i="3"/>
  <c r="C485" i="3"/>
  <c r="C482" i="3"/>
  <c r="C478" i="3"/>
  <c r="C473" i="3"/>
  <c r="C468" i="3"/>
  <c r="C464" i="3"/>
  <c r="B485" i="3"/>
  <c r="AM484" i="3"/>
  <c r="AI484" i="3"/>
  <c r="AH484" i="3"/>
  <c r="AV482" i="3"/>
  <c r="AY495" i="3" s="1"/>
  <c r="AY496" i="3" s="1"/>
  <c r="J482" i="3"/>
  <c r="E482" i="3"/>
  <c r="B482" i="3"/>
  <c r="AR480" i="3"/>
  <c r="Q480" i="3"/>
  <c r="P480" i="3"/>
  <c r="O480" i="3"/>
  <c r="N474" i="3"/>
  <c r="N469" i="3"/>
  <c r="N480" i="3"/>
  <c r="AR479" i="3"/>
  <c r="AR495" i="3" s="1"/>
  <c r="AR477" i="3"/>
  <c r="AR468" i="3"/>
  <c r="AR496" i="3"/>
  <c r="BF500" i="3" s="1"/>
  <c r="J478" i="3"/>
  <c r="G478" i="3"/>
  <c r="G473" i="3"/>
  <c r="G468" i="3"/>
  <c r="B478" i="3"/>
  <c r="B470" i="3"/>
  <c r="B473" i="3" s="1"/>
  <c r="B468" i="3"/>
  <c r="B464" i="3"/>
  <c r="B487" i="3"/>
  <c r="BD502" i="3" s="1"/>
  <c r="AY477" i="3"/>
  <c r="AD474" i="3"/>
  <c r="AC474" i="3"/>
  <c r="AC484" i="3" s="1"/>
  <c r="BG502" i="3" s="1"/>
  <c r="AC461" i="3"/>
  <c r="R474" i="3"/>
  <c r="R469" i="3"/>
  <c r="M474" i="3"/>
  <c r="M480" i="3" s="1"/>
  <c r="M469" i="3"/>
  <c r="BD473" i="3"/>
  <c r="J473" i="3"/>
  <c r="BL469" i="3"/>
  <c r="BD469" i="3"/>
  <c r="S469" i="3"/>
  <c r="S480" i="3"/>
  <c r="AY468" i="3"/>
  <c r="J468" i="3"/>
  <c r="BL466" i="3"/>
  <c r="BL464" i="3"/>
  <c r="J464" i="3"/>
  <c r="E464" i="3"/>
  <c r="BD463" i="3"/>
  <c r="BD464" i="3"/>
  <c r="AD461" i="3"/>
  <c r="J461" i="3"/>
  <c r="BL460" i="3"/>
  <c r="BD460" i="3"/>
  <c r="BL457" i="3"/>
  <c r="J457" i="3"/>
  <c r="BL455" i="3"/>
  <c r="BD455" i="3"/>
  <c r="AY454" i="3"/>
  <c r="J454" i="3"/>
  <c r="BI434" i="3"/>
  <c r="BH434" i="3"/>
  <c r="BL433" i="3"/>
  <c r="BD435" i="3"/>
  <c r="BF433" i="3"/>
  <c r="BF434" i="3" s="1"/>
  <c r="AR431" i="3"/>
  <c r="AR427" i="3"/>
  <c r="AR426" i="3"/>
  <c r="AQ426" i="3"/>
  <c r="E420" i="3"/>
  <c r="E402" i="3"/>
  <c r="E425" i="3"/>
  <c r="AR424" i="3"/>
  <c r="AQ424" i="3"/>
  <c r="J424" i="3"/>
  <c r="AR423" i="3"/>
  <c r="AQ423" i="3"/>
  <c r="C423" i="3"/>
  <c r="C420" i="3"/>
  <c r="C416" i="3"/>
  <c r="C425" i="3" s="1"/>
  <c r="BD441" i="3" s="1"/>
  <c r="C411" i="3"/>
  <c r="C406" i="3"/>
  <c r="C402" i="3"/>
  <c r="AD412" i="3"/>
  <c r="AD399" i="3"/>
  <c r="AD422" i="3"/>
  <c r="BG441" i="3" s="1"/>
  <c r="BD413" i="3"/>
  <c r="BD422" i="3"/>
  <c r="BD433" i="3"/>
  <c r="BD434" i="3" s="1"/>
  <c r="BL438" i="3" s="1"/>
  <c r="BD407" i="3"/>
  <c r="BD402" i="3"/>
  <c r="BD398" i="3"/>
  <c r="BD393" i="3"/>
  <c r="B423" i="3"/>
  <c r="BC422" i="3"/>
  <c r="AR422" i="3"/>
  <c r="AR417" i="3"/>
  <c r="AR433" i="3" s="1"/>
  <c r="AR434" i="3" s="1"/>
  <c r="BF438" i="3" s="1"/>
  <c r="AR418" i="3"/>
  <c r="AR415" i="3"/>
  <c r="AR406" i="3"/>
  <c r="AR391" i="3"/>
  <c r="AQ422" i="3"/>
  <c r="AM422" i="3"/>
  <c r="AI422" i="3"/>
  <c r="AH422" i="3"/>
  <c r="AQ421" i="3"/>
  <c r="AV420" i="3"/>
  <c r="J420" i="3"/>
  <c r="B420" i="3"/>
  <c r="AV418" i="3"/>
  <c r="AQ418" i="3"/>
  <c r="AQ433" i="3" s="1"/>
  <c r="AQ434" i="3" s="1"/>
  <c r="BF437" i="3" s="1"/>
  <c r="S407" i="3"/>
  <c r="S418" i="3"/>
  <c r="Q418" i="3"/>
  <c r="P418" i="3"/>
  <c r="O418" i="3"/>
  <c r="AQ417" i="3"/>
  <c r="J416" i="3"/>
  <c r="G416" i="3"/>
  <c r="B416" i="3"/>
  <c r="AY415" i="3"/>
  <c r="AQ415" i="3"/>
  <c r="BC413" i="3"/>
  <c r="AC412" i="3"/>
  <c r="R412" i="3"/>
  <c r="N412" i="3"/>
  <c r="N418" i="3" s="1"/>
  <c r="N407" i="3"/>
  <c r="M412" i="3"/>
  <c r="M407" i="3"/>
  <c r="M418" i="3"/>
  <c r="BC411" i="3"/>
  <c r="J411" i="3"/>
  <c r="G411" i="3"/>
  <c r="B411" i="3"/>
  <c r="BL407" i="3"/>
  <c r="BC407" i="3"/>
  <c r="R407" i="3"/>
  <c r="R418" i="3" s="1"/>
  <c r="AY406" i="3"/>
  <c r="AQ406" i="3"/>
  <c r="J406" i="3"/>
  <c r="B406" i="3"/>
  <c r="G405" i="3"/>
  <c r="BL404" i="3"/>
  <c r="G404" i="3"/>
  <c r="G403" i="3"/>
  <c r="BL402" i="3"/>
  <c r="BC402" i="3"/>
  <c r="J402" i="3"/>
  <c r="B402" i="3"/>
  <c r="AC399" i="3"/>
  <c r="AC422" i="3"/>
  <c r="BG440" i="3"/>
  <c r="J399" i="3"/>
  <c r="BL398" i="3"/>
  <c r="BC398" i="3"/>
  <c r="BL395" i="3"/>
  <c r="J395" i="3"/>
  <c r="BL393" i="3"/>
  <c r="BC393" i="3"/>
  <c r="AY392" i="3"/>
  <c r="J392" i="3"/>
  <c r="BD370" i="3"/>
  <c r="BL367" i="3"/>
  <c r="BD369" i="3"/>
  <c r="BI368" i="3"/>
  <c r="BH368" i="3"/>
  <c r="BF367" i="3"/>
  <c r="BF368" i="3"/>
  <c r="BD367" i="3"/>
  <c r="BC345" i="3"/>
  <c r="BC367" i="3"/>
  <c r="AV367" i="3"/>
  <c r="AQ364" i="3"/>
  <c r="AR361" i="3"/>
  <c r="AQ361" i="3"/>
  <c r="AQ352" i="3"/>
  <c r="AQ353" i="3"/>
  <c r="AQ368" i="3" s="1"/>
  <c r="AQ369" i="3" s="1"/>
  <c r="AQ357" i="3"/>
  <c r="AQ359" i="3"/>
  <c r="AQ350" i="3"/>
  <c r="AQ341" i="3"/>
  <c r="BF371" i="3"/>
  <c r="AR359" i="3"/>
  <c r="G350" i="3"/>
  <c r="G359" i="3" s="1"/>
  <c r="G345" i="3"/>
  <c r="G340" i="3"/>
  <c r="J358" i="3"/>
  <c r="C357" i="3"/>
  <c r="C354" i="3"/>
  <c r="C350" i="3"/>
  <c r="C345" i="3"/>
  <c r="C340" i="3"/>
  <c r="C336" i="3"/>
  <c r="B357" i="3"/>
  <c r="AR356" i="3"/>
  <c r="AM356" i="3"/>
  <c r="AI356" i="3"/>
  <c r="AH356" i="3"/>
  <c r="AV355" i="3"/>
  <c r="J354" i="3"/>
  <c r="E354" i="3"/>
  <c r="E336" i="3"/>
  <c r="E359" i="3"/>
  <c r="B354" i="3"/>
  <c r="AR353" i="3"/>
  <c r="AR368" i="3"/>
  <c r="AR369" i="3" s="1"/>
  <c r="BF372" i="3" s="1"/>
  <c r="AR350" i="3"/>
  <c r="AR341" i="3"/>
  <c r="Q352" i="3"/>
  <c r="P352" i="3"/>
  <c r="O352" i="3"/>
  <c r="AY350" i="3"/>
  <c r="J350" i="3"/>
  <c r="B350" i="3"/>
  <c r="B345" i="3"/>
  <c r="B359" i="3" s="1"/>
  <c r="BD374" i="3" s="1"/>
  <c r="B340" i="3"/>
  <c r="B336" i="3"/>
  <c r="AD346" i="3"/>
  <c r="AD356" i="3" s="1"/>
  <c r="BG375" i="3" s="1"/>
  <c r="AD333" i="3"/>
  <c r="AC346" i="3"/>
  <c r="AC356" i="3" s="1"/>
  <c r="BG374" i="3" s="1"/>
  <c r="BJ374" i="3" s="1"/>
  <c r="AC333" i="3"/>
  <c r="R346" i="3"/>
  <c r="R352" i="3" s="1"/>
  <c r="R341" i="3"/>
  <c r="N346" i="3"/>
  <c r="N341" i="3"/>
  <c r="N352" i="3"/>
  <c r="M346" i="3"/>
  <c r="M341" i="3"/>
  <c r="M352" i="3"/>
  <c r="J345" i="3"/>
  <c r="BL341" i="3"/>
  <c r="BD341" i="3"/>
  <c r="BC341" i="3"/>
  <c r="AY341" i="3"/>
  <c r="S341" i="3"/>
  <c r="S352" i="3"/>
  <c r="J340" i="3"/>
  <c r="BL338" i="3"/>
  <c r="BL336" i="3"/>
  <c r="BD336" i="3"/>
  <c r="BC336" i="3"/>
  <c r="J336" i="3"/>
  <c r="J333" i="3"/>
  <c r="BL332" i="3"/>
  <c r="BD332" i="3"/>
  <c r="BD327" i="3"/>
  <c r="BC332" i="3"/>
  <c r="BL329" i="3"/>
  <c r="BL368" i="3" s="1"/>
  <c r="J329" i="3"/>
  <c r="BL327" i="3"/>
  <c r="BC325" i="3"/>
  <c r="BC327" i="3" s="1"/>
  <c r="BC368" i="3" s="1"/>
  <c r="BL371" i="3" s="1"/>
  <c r="AY327" i="3"/>
  <c r="J326" i="3"/>
  <c r="BD308" i="3"/>
  <c r="BI306" i="3"/>
  <c r="BH306" i="3"/>
  <c r="BF305" i="3"/>
  <c r="BF306" i="3"/>
  <c r="BL305" i="3"/>
  <c r="BD307" i="3" s="1"/>
  <c r="AV305" i="3"/>
  <c r="AY306" i="3"/>
  <c r="BD303" i="3"/>
  <c r="AR299" i="3"/>
  <c r="AQ299" i="3"/>
  <c r="BD298" i="3"/>
  <c r="BD305" i="3" s="1"/>
  <c r="AR297" i="3"/>
  <c r="AR306" i="3" s="1"/>
  <c r="AQ297" i="3"/>
  <c r="G288" i="3"/>
  <c r="G297" i="3" s="1"/>
  <c r="G283" i="3"/>
  <c r="G278" i="3"/>
  <c r="J296" i="3"/>
  <c r="AR295" i="3"/>
  <c r="AQ295" i="3"/>
  <c r="C295" i="3"/>
  <c r="B295" i="3"/>
  <c r="AR294" i="3"/>
  <c r="AQ294" i="3"/>
  <c r="AM294" i="3"/>
  <c r="AI294" i="3"/>
  <c r="AH294" i="3"/>
  <c r="BC293" i="3"/>
  <c r="BC305" i="3" s="1"/>
  <c r="J292" i="3"/>
  <c r="E292" i="3"/>
  <c r="C292" i="3"/>
  <c r="B292" i="3"/>
  <c r="AR291" i="3"/>
  <c r="AR290" i="3"/>
  <c r="AR288" i="3"/>
  <c r="AR279" i="3"/>
  <c r="AQ291" i="3"/>
  <c r="AQ290" i="3"/>
  <c r="AQ288" i="3"/>
  <c r="AQ279" i="3"/>
  <c r="Q290" i="3"/>
  <c r="P290" i="3"/>
  <c r="O290" i="3"/>
  <c r="AY288" i="3"/>
  <c r="J288" i="3"/>
  <c r="C288" i="3"/>
  <c r="B288" i="3"/>
  <c r="BD286" i="3"/>
  <c r="AD284" i="3"/>
  <c r="AC284" i="3"/>
  <c r="AC294" i="3" s="1"/>
  <c r="BG312" i="3" s="1"/>
  <c r="AC271" i="3"/>
  <c r="R284" i="3"/>
  <c r="R290" i="3" s="1"/>
  <c r="N284" i="3"/>
  <c r="M284" i="3"/>
  <c r="M279" i="3"/>
  <c r="M290" i="3"/>
  <c r="BD283" i="3"/>
  <c r="BC283" i="3"/>
  <c r="J283" i="3"/>
  <c r="C283" i="3"/>
  <c r="B283" i="3"/>
  <c r="BD282" i="3"/>
  <c r="BD279" i="3"/>
  <c r="BD273" i="3"/>
  <c r="BD274" i="3"/>
  <c r="BD270" i="3"/>
  <c r="BD265" i="3"/>
  <c r="BD306" i="3"/>
  <c r="BL310" i="3" s="1"/>
  <c r="BC282" i="3"/>
  <c r="BL279" i="3"/>
  <c r="BC279" i="3"/>
  <c r="AY279" i="3"/>
  <c r="S279" i="3"/>
  <c r="S290" i="3"/>
  <c r="R279" i="3"/>
  <c r="N279" i="3"/>
  <c r="N290" i="3"/>
  <c r="J278" i="3"/>
  <c r="C278" i="3"/>
  <c r="B278" i="3"/>
  <c r="BL276" i="3"/>
  <c r="BL274" i="3"/>
  <c r="J274" i="3"/>
  <c r="E274" i="3"/>
  <c r="C274" i="3"/>
  <c r="B274" i="3"/>
  <c r="BC271" i="3"/>
  <c r="BC274" i="3"/>
  <c r="BC270" i="3"/>
  <c r="BC263" i="3"/>
  <c r="BC265" i="3" s="1"/>
  <c r="AD271" i="3"/>
  <c r="J271" i="3"/>
  <c r="BL270" i="3"/>
  <c r="J268" i="3"/>
  <c r="BL267" i="3"/>
  <c r="BL265" i="3"/>
  <c r="AY265" i="3"/>
  <c r="AY307" i="3"/>
  <c r="J264" i="3"/>
  <c r="BD244" i="3"/>
  <c r="BL241" i="3"/>
  <c r="BD243" i="3" s="1"/>
  <c r="AV229" i="3"/>
  <c r="AY242" i="3"/>
  <c r="BF241" i="3"/>
  <c r="BF242" i="3" s="1"/>
  <c r="AQ238" i="3"/>
  <c r="AQ236" i="3"/>
  <c r="AR235" i="3"/>
  <c r="AQ235" i="3"/>
  <c r="AR233" i="3"/>
  <c r="AQ233" i="3"/>
  <c r="AR232" i="3"/>
  <c r="AQ232" i="3"/>
  <c r="AQ226" i="3"/>
  <c r="AQ227" i="3"/>
  <c r="AQ231" i="3"/>
  <c r="AQ242" i="3" s="1"/>
  <c r="AQ243" i="3" s="1"/>
  <c r="BF245" i="3" s="1"/>
  <c r="AQ224" i="3"/>
  <c r="AQ215" i="3"/>
  <c r="J232" i="3"/>
  <c r="AR231" i="3"/>
  <c r="C231" i="3"/>
  <c r="C228" i="3"/>
  <c r="C224" i="3"/>
  <c r="C219" i="3"/>
  <c r="C214" i="3"/>
  <c r="C210" i="3"/>
  <c r="B231" i="3"/>
  <c r="BD230" i="3"/>
  <c r="BD241" i="3" s="1"/>
  <c r="BD242" i="3" s="1"/>
  <c r="BC230" i="3"/>
  <c r="AM230" i="3"/>
  <c r="AI230" i="3"/>
  <c r="AH230" i="3"/>
  <c r="J228" i="3"/>
  <c r="E228" i="3"/>
  <c r="B228" i="3"/>
  <c r="AR227" i="3"/>
  <c r="AR242" i="3" s="1"/>
  <c r="AR243" i="3" s="1"/>
  <c r="BF246" i="3" s="1"/>
  <c r="AR226" i="3"/>
  <c r="Q226" i="3"/>
  <c r="P226" i="3"/>
  <c r="O226" i="3"/>
  <c r="AY224" i="3"/>
  <c r="AR224" i="3"/>
  <c r="J224" i="3"/>
  <c r="G224" i="3"/>
  <c r="G233" i="3" s="1"/>
  <c r="B224" i="3"/>
  <c r="AD220" i="3"/>
  <c r="AD230" i="3" s="1"/>
  <c r="BG249" i="3" s="1"/>
  <c r="AD207" i="3"/>
  <c r="AC220" i="3"/>
  <c r="R220" i="3"/>
  <c r="R226" i="3" s="1"/>
  <c r="R215" i="3"/>
  <c r="N220" i="3"/>
  <c r="N215" i="3"/>
  <c r="M220" i="3"/>
  <c r="M215" i="3"/>
  <c r="M226" i="3"/>
  <c r="BD219" i="3"/>
  <c r="BC219" i="3"/>
  <c r="J219" i="3"/>
  <c r="G219" i="3"/>
  <c r="G214" i="3"/>
  <c r="B219" i="3"/>
  <c r="B214" i="3"/>
  <c r="B210" i="3"/>
  <c r="BC218" i="3"/>
  <c r="BC241" i="3" s="1"/>
  <c r="BC215" i="3"/>
  <c r="BC211" i="3"/>
  <c r="BC206" i="3"/>
  <c r="BC201" i="3"/>
  <c r="BL215" i="3"/>
  <c r="BD215" i="3"/>
  <c r="AY215" i="3"/>
  <c r="AR215" i="3"/>
  <c r="S215" i="3"/>
  <c r="S226" i="3" s="1"/>
  <c r="J214" i="3"/>
  <c r="J200" i="3"/>
  <c r="J204" i="3"/>
  <c r="J207" i="3"/>
  <c r="J210" i="3"/>
  <c r="BL211" i="3"/>
  <c r="BL206" i="3"/>
  <c r="BL203" i="3"/>
  <c r="BL201" i="3"/>
  <c r="BL242" i="3"/>
  <c r="BD211" i="3"/>
  <c r="E210" i="3"/>
  <c r="E233" i="3"/>
  <c r="AC207" i="3"/>
  <c r="AC230" i="3"/>
  <c r="BG248" i="3" s="1"/>
  <c r="BD206" i="3"/>
  <c r="BI205" i="3"/>
  <c r="BI242" i="3" s="1"/>
  <c r="BH205" i="3"/>
  <c r="BH242" i="3"/>
  <c r="BD201" i="3"/>
  <c r="AY201" i="3"/>
  <c r="AY243" i="3" s="1"/>
  <c r="BL183" i="3"/>
  <c r="BD181" i="3"/>
  <c r="BI179" i="3"/>
  <c r="BH179" i="3"/>
  <c r="AY179" i="3"/>
  <c r="BL178" i="3"/>
  <c r="BD180" i="3"/>
  <c r="BF178" i="3"/>
  <c r="BF179" i="3"/>
  <c r="BD178" i="3"/>
  <c r="BC156" i="3"/>
  <c r="BC178" i="3" s="1"/>
  <c r="BC152" i="3"/>
  <c r="BC148" i="3"/>
  <c r="BC143" i="3"/>
  <c r="BC138" i="3"/>
  <c r="AR172" i="3"/>
  <c r="AQ172" i="3"/>
  <c r="AR170" i="3"/>
  <c r="AQ170" i="3"/>
  <c r="G161" i="3"/>
  <c r="G170" i="3" s="1"/>
  <c r="G156" i="3"/>
  <c r="G151" i="3"/>
  <c r="AR169" i="3"/>
  <c r="AQ169" i="3"/>
  <c r="J169" i="3"/>
  <c r="AR168" i="3"/>
  <c r="AQ168" i="3"/>
  <c r="AQ179" i="3" s="1"/>
  <c r="AQ180" i="3" s="1"/>
  <c r="AQ163" i="3"/>
  <c r="AQ164" i="3"/>
  <c r="AQ161" i="3"/>
  <c r="AQ152" i="3"/>
  <c r="BF182" i="3"/>
  <c r="C168" i="3"/>
  <c r="C170" i="3" s="1"/>
  <c r="B168" i="3"/>
  <c r="AM167" i="3"/>
  <c r="AI167" i="3"/>
  <c r="AH167" i="3"/>
  <c r="J165" i="3"/>
  <c r="E165" i="3"/>
  <c r="E147" i="3"/>
  <c r="E170" i="3" s="1"/>
  <c r="C165" i="3"/>
  <c r="C161" i="3"/>
  <c r="C156" i="3"/>
  <c r="C151" i="3"/>
  <c r="C147" i="3"/>
  <c r="BD186" i="3"/>
  <c r="B165" i="3"/>
  <c r="AR164" i="3"/>
  <c r="AR163" i="3"/>
  <c r="AR179" i="3" s="1"/>
  <c r="AR180" i="3" s="1"/>
  <c r="AR161" i="3"/>
  <c r="AR152" i="3"/>
  <c r="BF183" i="3"/>
  <c r="S152" i="3"/>
  <c r="S163" i="3" s="1"/>
  <c r="Q163" i="3"/>
  <c r="P163" i="3"/>
  <c r="O163" i="3"/>
  <c r="AY161" i="3"/>
  <c r="J161" i="3"/>
  <c r="B161" i="3"/>
  <c r="B156" i="3"/>
  <c r="B170" i="3" s="1"/>
  <c r="BD185" i="3" s="1"/>
  <c r="B151" i="3"/>
  <c r="B147" i="3"/>
  <c r="AD157" i="3"/>
  <c r="AD144" i="3"/>
  <c r="AD167" i="3"/>
  <c r="BG186" i="3" s="1"/>
  <c r="BJ186" i="3" s="1"/>
  <c r="AC157" i="3"/>
  <c r="AC144" i="3"/>
  <c r="R157" i="3"/>
  <c r="R163" i="3" s="1"/>
  <c r="R152" i="3"/>
  <c r="N157" i="3"/>
  <c r="N152" i="3"/>
  <c r="M157" i="3"/>
  <c r="M152" i="3"/>
  <c r="M163" i="3" s="1"/>
  <c r="J156" i="3"/>
  <c r="BL152" i="3"/>
  <c r="BL148" i="3"/>
  <c r="BL143" i="3"/>
  <c r="BL140" i="3"/>
  <c r="BL138" i="3"/>
  <c r="BL179" i="3"/>
  <c r="BD152" i="3"/>
  <c r="AY152" i="3"/>
  <c r="J151" i="3"/>
  <c r="BD148" i="3"/>
  <c r="J147" i="3"/>
  <c r="J144" i="3"/>
  <c r="BD143" i="3"/>
  <c r="J141" i="3"/>
  <c r="BD138" i="3"/>
  <c r="AV138" i="3"/>
  <c r="AY138" i="3" s="1"/>
  <c r="AY180" i="3"/>
  <c r="J137" i="3"/>
  <c r="BL122" i="3"/>
  <c r="BI118" i="3"/>
  <c r="BH118" i="3"/>
  <c r="AY118" i="3"/>
  <c r="AR118" i="3"/>
  <c r="AR119" i="3" s="1"/>
  <c r="BF122" i="3" s="1"/>
  <c r="AR100" i="3"/>
  <c r="AR91" i="3"/>
  <c r="AQ118" i="3"/>
  <c r="AQ119" i="3" s="1"/>
  <c r="BF121" i="3" s="1"/>
  <c r="AQ100" i="3"/>
  <c r="AQ91" i="3"/>
  <c r="BL117" i="3"/>
  <c r="BD119" i="3" s="1"/>
  <c r="BF117" i="3"/>
  <c r="BF118" i="3"/>
  <c r="BD117" i="3"/>
  <c r="BC117" i="3"/>
  <c r="BC118" i="3" s="1"/>
  <c r="BC91" i="3"/>
  <c r="BC87" i="3"/>
  <c r="BC82" i="3"/>
  <c r="BC77" i="3"/>
  <c r="BL121" i="3"/>
  <c r="J108" i="3"/>
  <c r="G107" i="3"/>
  <c r="G109" i="3" s="1"/>
  <c r="C107" i="3"/>
  <c r="C104" i="3"/>
  <c r="C99" i="3"/>
  <c r="C95" i="3"/>
  <c r="C92" i="3"/>
  <c r="C89" i="3"/>
  <c r="C109" i="3" s="1"/>
  <c r="BD125" i="3" s="1"/>
  <c r="C86" i="3"/>
  <c r="B107" i="3"/>
  <c r="B104" i="3"/>
  <c r="B99" i="3"/>
  <c r="B95" i="3"/>
  <c r="B92" i="3"/>
  <c r="B89" i="3"/>
  <c r="B86" i="3"/>
  <c r="AM106" i="3"/>
  <c r="AI106" i="3"/>
  <c r="AH106" i="3"/>
  <c r="J104" i="3"/>
  <c r="E104" i="3"/>
  <c r="E89" i="3"/>
  <c r="R96" i="3"/>
  <c r="R91" i="3"/>
  <c r="Q102" i="3"/>
  <c r="P102" i="3"/>
  <c r="O102" i="3"/>
  <c r="AY100" i="3"/>
  <c r="AY77" i="3"/>
  <c r="AY91" i="3"/>
  <c r="AY119" i="3" s="1"/>
  <c r="J100" i="3"/>
  <c r="G99" i="3"/>
  <c r="G95" i="3"/>
  <c r="G92" i="3"/>
  <c r="G75" i="3"/>
  <c r="AD96" i="3"/>
  <c r="AD106" i="3" s="1"/>
  <c r="BG125" i="3" s="1"/>
  <c r="BJ125" i="3" s="1"/>
  <c r="BL125" i="3" s="1"/>
  <c r="AD83" i="3"/>
  <c r="AC96" i="3"/>
  <c r="AC106" i="3" s="1"/>
  <c r="BG124" i="3" s="1"/>
  <c r="BJ124" i="3" s="1"/>
  <c r="AC83" i="3"/>
  <c r="N96" i="3"/>
  <c r="N91" i="3"/>
  <c r="N102" i="3"/>
  <c r="M96" i="3"/>
  <c r="M91" i="3"/>
  <c r="J95" i="3"/>
  <c r="J92" i="3"/>
  <c r="BL91" i="3"/>
  <c r="BL87" i="3"/>
  <c r="BL82" i="3"/>
  <c r="BL79" i="3"/>
  <c r="BL77" i="3"/>
  <c r="BD91" i="3"/>
  <c r="S91" i="3"/>
  <c r="S102" i="3" s="1"/>
  <c r="J89" i="3"/>
  <c r="BD87" i="3"/>
  <c r="J85" i="3"/>
  <c r="J83" i="3"/>
  <c r="BD82" i="3"/>
  <c r="J80" i="3"/>
  <c r="BD77" i="3"/>
  <c r="J76" i="3"/>
  <c r="BL58" i="3"/>
  <c r="BF58" i="3"/>
  <c r="BF57" i="3"/>
  <c r="BD56" i="3"/>
  <c r="BI54" i="3"/>
  <c r="BH54" i="3"/>
  <c r="BL53" i="3"/>
  <c r="BD55" i="3"/>
  <c r="BF53" i="3"/>
  <c r="BF54" i="3"/>
  <c r="AR50" i="3"/>
  <c r="AQ50" i="3"/>
  <c r="AR47" i="3"/>
  <c r="AQ47" i="3"/>
  <c r="AQ45" i="3"/>
  <c r="AR44" i="3"/>
  <c r="AQ44" i="3"/>
  <c r="J44" i="3"/>
  <c r="AR43" i="3"/>
  <c r="AQ43" i="3"/>
  <c r="G43" i="3"/>
  <c r="G45" i="3" s="1"/>
  <c r="C43" i="3"/>
  <c r="C40" i="3"/>
  <c r="C35" i="3"/>
  <c r="C31" i="3"/>
  <c r="C28" i="3"/>
  <c r="C24" i="3"/>
  <c r="C25" i="3" s="1"/>
  <c r="C22" i="3"/>
  <c r="C45" i="3"/>
  <c r="BD61" i="3" s="1"/>
  <c r="BL61" i="3" s="1"/>
  <c r="B43" i="3"/>
  <c r="B40" i="3"/>
  <c r="B35" i="3"/>
  <c r="B31" i="3"/>
  <c r="B28" i="3"/>
  <c r="B25" i="3"/>
  <c r="B22" i="3"/>
  <c r="BC42" i="3"/>
  <c r="AM42" i="3"/>
  <c r="AI42" i="3"/>
  <c r="AH42" i="3"/>
  <c r="AV41" i="3"/>
  <c r="AY54" i="3"/>
  <c r="J40" i="3"/>
  <c r="E40" i="3"/>
  <c r="E25" i="3"/>
  <c r="E45" i="3" s="1"/>
  <c r="AR39" i="3"/>
  <c r="AQ39" i="3"/>
  <c r="BD38" i="3"/>
  <c r="BC38" i="3"/>
  <c r="AR38" i="3"/>
  <c r="AQ38" i="3"/>
  <c r="R32" i="3"/>
  <c r="R38" i="3" s="1"/>
  <c r="R27" i="3"/>
  <c r="Q38" i="3"/>
  <c r="P38" i="3"/>
  <c r="O38" i="3"/>
  <c r="AY36" i="3"/>
  <c r="AR36" i="3"/>
  <c r="AQ36" i="3"/>
  <c r="J36" i="3"/>
  <c r="G35" i="3"/>
  <c r="G31" i="3"/>
  <c r="G28" i="3"/>
  <c r="G22" i="3"/>
  <c r="G11" i="3"/>
  <c r="BC33" i="3"/>
  <c r="BC32" i="3"/>
  <c r="AD32" i="3"/>
  <c r="AD42" i="3" s="1"/>
  <c r="BG61" i="3" s="1"/>
  <c r="BJ61" i="3" s="1"/>
  <c r="AC32" i="3"/>
  <c r="AC19" i="3"/>
  <c r="AC42" i="3" s="1"/>
  <c r="BG60" i="3" s="1"/>
  <c r="N32" i="3"/>
  <c r="M32" i="3"/>
  <c r="BD31" i="3"/>
  <c r="BD53" i="3" s="1"/>
  <c r="BC31" i="3"/>
  <c r="J31" i="3"/>
  <c r="BC30" i="3"/>
  <c r="BC29" i="3"/>
  <c r="BC27" i="3"/>
  <c r="BC23" i="3"/>
  <c r="BC18" i="3"/>
  <c r="J28" i="3"/>
  <c r="BL27" i="3"/>
  <c r="BL23" i="3"/>
  <c r="BL18" i="3"/>
  <c r="BL15" i="3"/>
  <c r="BL13" i="3"/>
  <c r="BD27" i="3"/>
  <c r="AY27" i="3"/>
  <c r="AR27" i="3"/>
  <c r="AQ27" i="3"/>
  <c r="S27" i="3"/>
  <c r="S38" i="3" s="1"/>
  <c r="N27" i="3"/>
  <c r="N38" i="3" s="1"/>
  <c r="M27" i="3"/>
  <c r="M38" i="3"/>
  <c r="J25" i="3"/>
  <c r="BD23" i="3"/>
  <c r="J21" i="3"/>
  <c r="AD19" i="3"/>
  <c r="J19" i="3"/>
  <c r="BD18" i="3"/>
  <c r="J16" i="3"/>
  <c r="AY13" i="3"/>
  <c r="AY55" i="3" s="1"/>
  <c r="BD12" i="3"/>
  <c r="AR12" i="3"/>
  <c r="J12" i="3"/>
  <c r="AD484" i="3"/>
  <c r="BG503" i="3"/>
  <c r="G738" i="3"/>
  <c r="B297" i="3"/>
  <c r="BD312" i="3" s="1"/>
  <c r="E297" i="3"/>
  <c r="J425" i="3"/>
  <c r="G406" i="3"/>
  <c r="G425" i="3"/>
  <c r="BL434" i="3"/>
  <c r="B425" i="3"/>
  <c r="BD440" i="3" s="1"/>
  <c r="AY433" i="3"/>
  <c r="AY434" i="3" s="1"/>
  <c r="R605" i="3"/>
  <c r="BL684" i="3"/>
  <c r="AQ683" i="3"/>
  <c r="AQ684" i="3"/>
  <c r="BF687" i="3"/>
  <c r="BC746" i="3"/>
  <c r="BC747" i="3"/>
  <c r="BL750" i="3" s="1"/>
  <c r="BL306" i="3"/>
  <c r="C297" i="3"/>
  <c r="BD313" i="3" s="1"/>
  <c r="BL496" i="3"/>
  <c r="E487" i="3"/>
  <c r="B612" i="3"/>
  <c r="BD627" i="3"/>
  <c r="BC684" i="3"/>
  <c r="BL687" i="3" s="1"/>
  <c r="C738" i="3"/>
  <c r="BD754" i="3"/>
  <c r="AD294" i="3"/>
  <c r="BG313" i="3"/>
  <c r="BJ313" i="3" s="1"/>
  <c r="J548" i="3"/>
  <c r="M541" i="3"/>
  <c r="AY556" i="3"/>
  <c r="AY557" i="3" s="1"/>
  <c r="BL621" i="3"/>
  <c r="AD621" i="3"/>
  <c r="BG628" i="3" s="1"/>
  <c r="BJ628" i="3" s="1"/>
  <c r="AR621" i="3"/>
  <c r="BF625" i="3"/>
  <c r="BJ690" i="3"/>
  <c r="BL747" i="3"/>
  <c r="BJ753" i="3"/>
  <c r="BI769" i="2"/>
  <c r="BH769" i="2"/>
  <c r="BE769" i="2"/>
  <c r="BL768" i="2"/>
  <c r="BD770" i="2" s="1"/>
  <c r="BG768" i="2"/>
  <c r="BF768" i="2"/>
  <c r="BF769" i="2" s="1"/>
  <c r="BF728" i="2"/>
  <c r="BD746" i="2"/>
  <c r="BD750" i="2"/>
  <c r="BD752" i="2"/>
  <c r="BD761" i="2"/>
  <c r="BD742" i="2"/>
  <c r="BD739" i="2"/>
  <c r="BD735" i="2"/>
  <c r="BD733" i="2"/>
  <c r="BD728" i="2"/>
  <c r="AD747" i="2"/>
  <c r="AD734" i="2"/>
  <c r="AY768" i="2"/>
  <c r="AR761" i="2"/>
  <c r="AQ761" i="2"/>
  <c r="J760" i="2"/>
  <c r="AR759" i="2"/>
  <c r="AQ759" i="2"/>
  <c r="C759" i="2"/>
  <c r="B759" i="2"/>
  <c r="AR758" i="2"/>
  <c r="AQ758" i="2"/>
  <c r="AR757" i="2"/>
  <c r="AQ757" i="2"/>
  <c r="AM757" i="2"/>
  <c r="AI757" i="2"/>
  <c r="AH757" i="2"/>
  <c r="AR756" i="2"/>
  <c r="AQ756" i="2"/>
  <c r="J756" i="2"/>
  <c r="E756" i="2"/>
  <c r="E740" i="2"/>
  <c r="E761" i="2" s="1"/>
  <c r="C756" i="2"/>
  <c r="B756" i="2"/>
  <c r="G754" i="2"/>
  <c r="AR753" i="2"/>
  <c r="AQ753" i="2"/>
  <c r="AQ752" i="2"/>
  <c r="AQ751" i="2"/>
  <c r="AQ741" i="2"/>
  <c r="G753" i="2"/>
  <c r="G751" i="2"/>
  <c r="G747" i="2"/>
  <c r="G744" i="2"/>
  <c r="BC752" i="2"/>
  <c r="AR752" i="2"/>
  <c r="J752" i="2"/>
  <c r="AY751" i="2"/>
  <c r="AR751" i="2"/>
  <c r="C751" i="2"/>
  <c r="B751" i="2"/>
  <c r="BC750" i="2"/>
  <c r="AC747" i="2"/>
  <c r="S747" i="2"/>
  <c r="S742" i="2"/>
  <c r="R747" i="2"/>
  <c r="R742" i="2"/>
  <c r="N747" i="2"/>
  <c r="N742" i="2"/>
  <c r="N735" i="2"/>
  <c r="M747" i="2"/>
  <c r="M742" i="2"/>
  <c r="M735" i="2"/>
  <c r="J747" i="2"/>
  <c r="E747" i="2"/>
  <c r="C747" i="2"/>
  <c r="B747" i="2"/>
  <c r="BC746" i="2"/>
  <c r="BC768" i="2" s="1"/>
  <c r="BC742" i="2"/>
  <c r="BC739" i="2"/>
  <c r="BC735" i="2"/>
  <c r="BC733" i="2"/>
  <c r="BC728" i="2"/>
  <c r="J744" i="2"/>
  <c r="J727" i="2"/>
  <c r="J731" i="2"/>
  <c r="J734" i="2"/>
  <c r="J736" i="2"/>
  <c r="J740" i="2"/>
  <c r="C744" i="2"/>
  <c r="B744" i="2"/>
  <c r="BL742" i="2"/>
  <c r="AY741" i="2"/>
  <c r="AT741" i="2"/>
  <c r="AR741" i="2"/>
  <c r="C740" i="2"/>
  <c r="B740" i="2"/>
  <c r="BL739" i="2"/>
  <c r="BG739" i="2"/>
  <c r="BG769" i="2" s="1"/>
  <c r="C737" i="2"/>
  <c r="B737" i="2"/>
  <c r="BL735" i="2"/>
  <c r="AC734" i="2"/>
  <c r="AC757" i="2" s="1"/>
  <c r="BG775" i="2" s="1"/>
  <c r="BL733" i="2"/>
  <c r="BI733" i="2"/>
  <c r="BH733" i="2"/>
  <c r="BL730" i="2"/>
  <c r="BL728" i="2"/>
  <c r="AY727" i="2"/>
  <c r="BI703" i="2"/>
  <c r="BH703" i="2"/>
  <c r="BF702" i="2"/>
  <c r="BF703" i="2" s="1"/>
  <c r="BE703" i="2"/>
  <c r="BL702" i="2"/>
  <c r="BD704" i="2" s="1"/>
  <c r="BG702" i="2"/>
  <c r="BG673" i="2"/>
  <c r="AV689" i="2"/>
  <c r="AY702" i="2" s="1"/>
  <c r="AY661" i="2"/>
  <c r="AY675" i="2"/>
  <c r="AY685" i="2"/>
  <c r="BD700" i="2"/>
  <c r="AR698" i="2"/>
  <c r="AQ698" i="2"/>
  <c r="BD697" i="2"/>
  <c r="AR695" i="2"/>
  <c r="AQ695" i="2"/>
  <c r="J694" i="2"/>
  <c r="AR693" i="2"/>
  <c r="AQ693" i="2"/>
  <c r="C693" i="2"/>
  <c r="B693" i="2"/>
  <c r="BC692" i="2"/>
  <c r="AR692" i="2"/>
  <c r="AQ692" i="2"/>
  <c r="AR691" i="2"/>
  <c r="AQ691" i="2"/>
  <c r="AM691" i="2"/>
  <c r="AI691" i="2"/>
  <c r="AH691" i="2"/>
  <c r="AC681" i="2"/>
  <c r="AC668" i="2"/>
  <c r="AR690" i="2"/>
  <c r="AQ690" i="2"/>
  <c r="J690" i="2"/>
  <c r="E690" i="2"/>
  <c r="E674" i="2"/>
  <c r="C690" i="2"/>
  <c r="B690" i="2"/>
  <c r="G688" i="2"/>
  <c r="G690" i="2" s="1"/>
  <c r="AR687" i="2"/>
  <c r="AQ687" i="2"/>
  <c r="G687" i="2"/>
  <c r="G685" i="2"/>
  <c r="G681" i="2"/>
  <c r="G678" i="2"/>
  <c r="G671" i="2"/>
  <c r="G667" i="2"/>
  <c r="G674" i="2"/>
  <c r="AR686" i="2"/>
  <c r="AQ686" i="2"/>
  <c r="AQ685" i="2"/>
  <c r="AQ675" i="2"/>
  <c r="J686" i="2"/>
  <c r="AR685" i="2"/>
  <c r="C685" i="2"/>
  <c r="C681" i="2"/>
  <c r="C678" i="2"/>
  <c r="C674" i="2"/>
  <c r="C671" i="2"/>
  <c r="B685" i="2"/>
  <c r="AD681" i="2"/>
  <c r="AD668" i="2"/>
  <c r="S681" i="2"/>
  <c r="S687" i="2" s="1"/>
  <c r="S676" i="2"/>
  <c r="R681" i="2"/>
  <c r="N681" i="2"/>
  <c r="N676" i="2"/>
  <c r="N687" i="2" s="1"/>
  <c r="N669" i="2"/>
  <c r="M681" i="2"/>
  <c r="J681" i="2"/>
  <c r="E681" i="2"/>
  <c r="B681" i="2"/>
  <c r="BD680" i="2"/>
  <c r="BC680" i="2"/>
  <c r="BC676" i="2"/>
  <c r="BC673" i="2"/>
  <c r="BC669" i="2"/>
  <c r="BC666" i="2"/>
  <c r="BC661" i="2"/>
  <c r="BD678" i="2"/>
  <c r="J678" i="2"/>
  <c r="B678" i="2"/>
  <c r="BL676" i="2"/>
  <c r="BD676" i="2"/>
  <c r="R676" i="2"/>
  <c r="R687" i="2" s="1"/>
  <c r="M676" i="2"/>
  <c r="AT675" i="2"/>
  <c r="AR675" i="2"/>
  <c r="J674" i="2"/>
  <c r="B674" i="2"/>
  <c r="BL673" i="2"/>
  <c r="BD673" i="2"/>
  <c r="B671" i="2"/>
  <c r="B695" i="2" s="1"/>
  <c r="BD709" i="2" s="1"/>
  <c r="J670" i="2"/>
  <c r="BL669" i="2"/>
  <c r="BD669" i="2"/>
  <c r="M669" i="2"/>
  <c r="J668" i="2"/>
  <c r="BL666" i="2"/>
  <c r="BI666" i="2"/>
  <c r="BH666" i="2"/>
  <c r="BD666" i="2"/>
  <c r="J665" i="2"/>
  <c r="BL663" i="2"/>
  <c r="BL661" i="2"/>
  <c r="BD661" i="2"/>
  <c r="J661" i="2"/>
  <c r="B630" i="2"/>
  <c r="B627" i="2"/>
  <c r="B622" i="2"/>
  <c r="B618" i="2"/>
  <c r="B615" i="2"/>
  <c r="B611" i="2"/>
  <c r="B608" i="2"/>
  <c r="BI640" i="2"/>
  <c r="BH640" i="2"/>
  <c r="BF639" i="2"/>
  <c r="BF640" i="2" s="1"/>
  <c r="BE640" i="2"/>
  <c r="BL639" i="2"/>
  <c r="BD641" i="2" s="1"/>
  <c r="BG639" i="2"/>
  <c r="BG610" i="2"/>
  <c r="BD638" i="2"/>
  <c r="BC638" i="2"/>
  <c r="AR637" i="2"/>
  <c r="AQ637" i="2"/>
  <c r="AQ623" i="2"/>
  <c r="AQ624" i="2"/>
  <c r="AQ628" i="2"/>
  <c r="AQ629" i="2"/>
  <c r="AQ630" i="2"/>
  <c r="AQ632" i="2"/>
  <c r="AQ635" i="2"/>
  <c r="AQ622" i="2"/>
  <c r="AQ603" i="2"/>
  <c r="AQ612" i="2" s="1"/>
  <c r="AR635" i="2"/>
  <c r="BC634" i="2"/>
  <c r="AR633" i="2"/>
  <c r="AR632" i="2"/>
  <c r="AV631" i="2"/>
  <c r="J631" i="2"/>
  <c r="AR630" i="2"/>
  <c r="C630" i="2"/>
  <c r="C627" i="2"/>
  <c r="C622" i="2"/>
  <c r="C618" i="2"/>
  <c r="C615" i="2"/>
  <c r="C611" i="2"/>
  <c r="C608" i="2"/>
  <c r="AR629" i="2"/>
  <c r="AR628" i="2"/>
  <c r="AM628" i="2"/>
  <c r="AI628" i="2"/>
  <c r="AH628" i="2"/>
  <c r="AV627" i="2"/>
  <c r="AR627" i="2"/>
  <c r="J627" i="2"/>
  <c r="G627" i="2"/>
  <c r="E627" i="2"/>
  <c r="AV626" i="2"/>
  <c r="BD625" i="2"/>
  <c r="BD624" i="2"/>
  <c r="BC624" i="2"/>
  <c r="AV624" i="2"/>
  <c r="AR624" i="2"/>
  <c r="S618" i="2"/>
  <c r="S613" i="2"/>
  <c r="M618" i="2"/>
  <c r="M624" i="2" s="1"/>
  <c r="M613" i="2"/>
  <c r="M606" i="2"/>
  <c r="AR623" i="2"/>
  <c r="J623" i="2"/>
  <c r="BD622" i="2"/>
  <c r="AY622" i="2"/>
  <c r="AR622" i="2"/>
  <c r="G622" i="2"/>
  <c r="G618" i="2"/>
  <c r="G614" i="2"/>
  <c r="G615" i="2" s="1"/>
  <c r="G608" i="2"/>
  <c r="G611" i="2"/>
  <c r="BD620" i="2"/>
  <c r="BC620" i="2"/>
  <c r="AD618" i="2"/>
  <c r="AD605" i="2"/>
  <c r="R618" i="2"/>
  <c r="N618" i="2"/>
  <c r="N613" i="2"/>
  <c r="N606" i="2"/>
  <c r="J618" i="2"/>
  <c r="E618" i="2"/>
  <c r="BD617" i="2"/>
  <c r="BD613" i="2"/>
  <c r="BD607" i="2"/>
  <c r="BD610" i="2" s="1"/>
  <c r="BD606" i="2"/>
  <c r="BD603" i="2"/>
  <c r="BD598" i="2"/>
  <c r="BC617" i="2"/>
  <c r="BC613" i="2"/>
  <c r="BC610" i="2"/>
  <c r="BC606" i="2"/>
  <c r="BC603" i="2"/>
  <c r="BC598" i="2"/>
  <c r="AC616" i="2"/>
  <c r="AC618" i="2" s="1"/>
  <c r="AC605" i="2"/>
  <c r="J615" i="2"/>
  <c r="BL613" i="2"/>
  <c r="R613" i="2"/>
  <c r="AY612" i="2"/>
  <c r="AT612" i="2"/>
  <c r="AR612" i="2"/>
  <c r="J611" i="2"/>
  <c r="E611" i="2"/>
  <c r="BL610" i="2"/>
  <c r="J607" i="2"/>
  <c r="BL606" i="2"/>
  <c r="J605" i="2"/>
  <c r="BL603" i="2"/>
  <c r="BI603" i="2"/>
  <c r="BH603" i="2"/>
  <c r="J602" i="2"/>
  <c r="BL600" i="2"/>
  <c r="BL598" i="2"/>
  <c r="AV598" i="2"/>
  <c r="AY598" i="2" s="1"/>
  <c r="J598" i="2"/>
  <c r="BL533" i="2"/>
  <c r="BL535" i="2"/>
  <c r="BL538" i="2"/>
  <c r="BL541" i="2"/>
  <c r="BL545" i="2"/>
  <c r="BL548" i="2"/>
  <c r="BL574" i="2"/>
  <c r="BD576" i="2" s="1"/>
  <c r="BI575" i="2"/>
  <c r="BH575" i="2"/>
  <c r="BF574" i="2"/>
  <c r="BF575" i="2" s="1"/>
  <c r="BE575" i="2"/>
  <c r="BG574" i="2"/>
  <c r="BG575" i="2" s="1"/>
  <c r="BG545" i="2"/>
  <c r="AR572" i="2"/>
  <c r="AQ572" i="2"/>
  <c r="AR570" i="2"/>
  <c r="AQ570" i="2"/>
  <c r="AR567" i="2"/>
  <c r="AQ567" i="2"/>
  <c r="C565" i="2"/>
  <c r="C562" i="2"/>
  <c r="C557" i="2"/>
  <c r="C553" i="2"/>
  <c r="C550" i="2"/>
  <c r="C546" i="2"/>
  <c r="C543" i="2"/>
  <c r="J566" i="2"/>
  <c r="AR565" i="2"/>
  <c r="AQ565" i="2"/>
  <c r="G565" i="2"/>
  <c r="B565" i="2"/>
  <c r="AR564" i="2"/>
  <c r="AQ564" i="2"/>
  <c r="BC563" i="2"/>
  <c r="AR563" i="2"/>
  <c r="AQ563" i="2"/>
  <c r="AM563" i="2"/>
  <c r="AI563" i="2"/>
  <c r="AH563" i="2"/>
  <c r="AV562" i="2"/>
  <c r="J562" i="2"/>
  <c r="G562" i="2"/>
  <c r="G557" i="2"/>
  <c r="G553" i="2"/>
  <c r="G550" i="2"/>
  <c r="G543" i="2"/>
  <c r="G539" i="2"/>
  <c r="G546" i="2"/>
  <c r="E562" i="2"/>
  <c r="E546" i="2"/>
  <c r="E567" i="2" s="1"/>
  <c r="B562" i="2"/>
  <c r="AV561" i="2"/>
  <c r="AY533" i="2"/>
  <c r="AY547" i="2"/>
  <c r="AY557" i="2"/>
  <c r="AR559" i="2"/>
  <c r="AR558" i="2"/>
  <c r="AR557" i="2"/>
  <c r="AR547" i="2"/>
  <c r="AQ559" i="2"/>
  <c r="R553" i="2"/>
  <c r="R548" i="2"/>
  <c r="AQ558" i="2"/>
  <c r="J558" i="2"/>
  <c r="AQ557" i="2"/>
  <c r="B557" i="2"/>
  <c r="BD556" i="2"/>
  <c r="BC556" i="2"/>
  <c r="BD555" i="2"/>
  <c r="BD553" i="2"/>
  <c r="AD553" i="2"/>
  <c r="AD540" i="2"/>
  <c r="AC553" i="2"/>
  <c r="AC540" i="2"/>
  <c r="S553" i="2"/>
  <c r="S548" i="2"/>
  <c r="N553" i="2"/>
  <c r="N548" i="2"/>
  <c r="N541" i="2"/>
  <c r="M553" i="2"/>
  <c r="J553" i="2"/>
  <c r="E553" i="2"/>
  <c r="B553" i="2"/>
  <c r="BD552" i="2"/>
  <c r="BC552" i="2"/>
  <c r="BD551" i="2"/>
  <c r="BD548" i="2"/>
  <c r="BD545" i="2"/>
  <c r="BD541" i="2"/>
  <c r="BD538" i="2"/>
  <c r="BD533" i="2"/>
  <c r="J550" i="2"/>
  <c r="B550" i="2"/>
  <c r="BC548" i="2"/>
  <c r="M548" i="2"/>
  <c r="M541" i="2"/>
  <c r="AT547" i="2"/>
  <c r="AQ547" i="2"/>
  <c r="J546" i="2"/>
  <c r="B546" i="2"/>
  <c r="BC545" i="2"/>
  <c r="B543" i="2"/>
  <c r="J542" i="2"/>
  <c r="BC541" i="2"/>
  <c r="J540" i="2"/>
  <c r="BI538" i="2"/>
  <c r="BH538" i="2"/>
  <c r="BC538" i="2"/>
  <c r="J537" i="2"/>
  <c r="BC533" i="2"/>
  <c r="J533" i="2"/>
  <c r="BD515" i="2"/>
  <c r="BI513" i="2"/>
  <c r="BH513" i="2"/>
  <c r="BG512" i="2"/>
  <c r="BG483" i="2"/>
  <c r="BE513" i="2"/>
  <c r="BL512" i="2"/>
  <c r="BD514" i="2" s="1"/>
  <c r="BF512" i="2"/>
  <c r="BF513" i="2" s="1"/>
  <c r="BD511" i="2"/>
  <c r="AR508" i="2"/>
  <c r="AQ508" i="2"/>
  <c r="AR505" i="2"/>
  <c r="AQ505" i="2"/>
  <c r="J504" i="2"/>
  <c r="AR503" i="2"/>
  <c r="AQ503" i="2"/>
  <c r="C503" i="2"/>
  <c r="B503" i="2"/>
  <c r="AR502" i="2"/>
  <c r="AQ502" i="2"/>
  <c r="AR501" i="2"/>
  <c r="AQ501" i="2"/>
  <c r="AM501" i="2"/>
  <c r="AI501" i="2"/>
  <c r="AH501" i="2"/>
  <c r="J500" i="2"/>
  <c r="G500" i="2"/>
  <c r="E500" i="2"/>
  <c r="E484" i="2"/>
  <c r="C500" i="2"/>
  <c r="B500" i="2"/>
  <c r="AV499" i="2"/>
  <c r="AY512" i="2" s="1"/>
  <c r="AR497" i="2"/>
  <c r="AQ497" i="2"/>
  <c r="S491" i="2"/>
  <c r="S486" i="2"/>
  <c r="AR496" i="2"/>
  <c r="AQ496" i="2"/>
  <c r="AQ512" i="2"/>
  <c r="AQ495" i="2"/>
  <c r="AQ485" i="2"/>
  <c r="AQ470" i="2"/>
  <c r="J496" i="2"/>
  <c r="AY495" i="2"/>
  <c r="AR495" i="2"/>
  <c r="G495" i="2"/>
  <c r="C495" i="2"/>
  <c r="B495" i="2"/>
  <c r="BD494" i="2"/>
  <c r="BD512" i="2" s="1"/>
  <c r="BD513" i="2" s="1"/>
  <c r="BL517" i="2" s="1"/>
  <c r="BC494" i="2"/>
  <c r="BD493" i="2"/>
  <c r="BC493" i="2"/>
  <c r="BC490" i="2"/>
  <c r="BC486" i="2"/>
  <c r="BC480" i="2"/>
  <c r="BC483" i="2" s="1"/>
  <c r="BC479" i="2"/>
  <c r="BC476" i="2"/>
  <c r="BC471" i="2"/>
  <c r="AC491" i="2"/>
  <c r="AC501" i="2" s="1"/>
  <c r="BG519" i="2" s="1"/>
  <c r="AC482" i="2"/>
  <c r="AC478" i="2"/>
  <c r="AD491" i="2"/>
  <c r="R491" i="2"/>
  <c r="R486" i="2"/>
  <c r="N491" i="2"/>
  <c r="M491" i="2"/>
  <c r="J491" i="2"/>
  <c r="G491" i="2"/>
  <c r="E491" i="2"/>
  <c r="C491" i="2"/>
  <c r="B491" i="2"/>
  <c r="BD490" i="2"/>
  <c r="J488" i="2"/>
  <c r="G488" i="2"/>
  <c r="C488" i="2"/>
  <c r="C484" i="2"/>
  <c r="C481" i="2"/>
  <c r="B488" i="2"/>
  <c r="BL486" i="2"/>
  <c r="BD486" i="2"/>
  <c r="N486" i="2"/>
  <c r="M486" i="2"/>
  <c r="AY485" i="2"/>
  <c r="AT485" i="2"/>
  <c r="AR485" i="2"/>
  <c r="J484" i="2"/>
  <c r="G484" i="2"/>
  <c r="B484" i="2"/>
  <c r="BL483" i="2"/>
  <c r="BD483" i="2"/>
  <c r="AD482" i="2"/>
  <c r="AD478" i="2"/>
  <c r="G481" i="2"/>
  <c r="B481" i="2"/>
  <c r="J480" i="2"/>
  <c r="BL479" i="2"/>
  <c r="BD479" i="2"/>
  <c r="N479" i="2"/>
  <c r="M479" i="2"/>
  <c r="J478" i="2"/>
  <c r="G477" i="2"/>
  <c r="BL476" i="2"/>
  <c r="BI476" i="2"/>
  <c r="BH476" i="2"/>
  <c r="BD476" i="2"/>
  <c r="J475" i="2"/>
  <c r="BL473" i="2"/>
  <c r="BL471" i="2"/>
  <c r="BD471" i="2"/>
  <c r="AY471" i="2"/>
  <c r="J471" i="2"/>
  <c r="AR470" i="2"/>
  <c r="G470" i="2"/>
  <c r="C434" i="2"/>
  <c r="C429" i="2"/>
  <c r="C425" i="2"/>
  <c r="C418" i="2"/>
  <c r="C415" i="2"/>
  <c r="BI447" i="2"/>
  <c r="BH447" i="2"/>
  <c r="BF446" i="2"/>
  <c r="BF447" i="2" s="1"/>
  <c r="BE447" i="2"/>
  <c r="AQ431" i="2"/>
  <c r="AQ434" i="2"/>
  <c r="AQ436" i="2"/>
  <c r="AQ437" i="2"/>
  <c r="AQ439" i="2"/>
  <c r="AQ442" i="2"/>
  <c r="AQ429" i="2"/>
  <c r="AQ419" i="2"/>
  <c r="BL446" i="2"/>
  <c r="BD448" i="2" s="1"/>
  <c r="BG446" i="2"/>
  <c r="BG417" i="2"/>
  <c r="AV433" i="2"/>
  <c r="AY446" i="2" s="1"/>
  <c r="BD444" i="2"/>
  <c r="AR442" i="2"/>
  <c r="AR440" i="2"/>
  <c r="AR439" i="2"/>
  <c r="J438" i="2"/>
  <c r="AR437" i="2"/>
  <c r="G437" i="2"/>
  <c r="AR436" i="2"/>
  <c r="AM435" i="2"/>
  <c r="AI435" i="2"/>
  <c r="AH435" i="2"/>
  <c r="J434" i="2"/>
  <c r="G434" i="2"/>
  <c r="B431" i="2"/>
  <c r="B434" i="2" s="1"/>
  <c r="BD432" i="2"/>
  <c r="BC431" i="2"/>
  <c r="AR431" i="2"/>
  <c r="AR429" i="2"/>
  <c r="AR419" i="2"/>
  <c r="E431" i="2"/>
  <c r="E434" i="2" s="1"/>
  <c r="E418" i="2"/>
  <c r="J430" i="2"/>
  <c r="AY429" i="2"/>
  <c r="G429" i="2"/>
  <c r="G425" i="2"/>
  <c r="G422" i="2"/>
  <c r="G415" i="2"/>
  <c r="G411" i="2"/>
  <c r="G404" i="2"/>
  <c r="G418" i="2"/>
  <c r="B429" i="2"/>
  <c r="BD427" i="2"/>
  <c r="BC427" i="2"/>
  <c r="AD425" i="2"/>
  <c r="AD412" i="2"/>
  <c r="AC425" i="2"/>
  <c r="AC412" i="2"/>
  <c r="S425" i="2"/>
  <c r="R425" i="2"/>
  <c r="R420" i="2"/>
  <c r="N425" i="2"/>
  <c r="M425" i="2"/>
  <c r="M420" i="2"/>
  <c r="M413" i="2"/>
  <c r="J425" i="2"/>
  <c r="E425" i="2"/>
  <c r="B425" i="2"/>
  <c r="BD424" i="2"/>
  <c r="BD420" i="2"/>
  <c r="BD417" i="2"/>
  <c r="BD413" i="2"/>
  <c r="BD410" i="2"/>
  <c r="BD405" i="2"/>
  <c r="BC424" i="2"/>
  <c r="BC422" i="2"/>
  <c r="J422" i="2"/>
  <c r="BL420" i="2"/>
  <c r="BC420" i="2"/>
  <c r="S420" i="2"/>
  <c r="S431" i="2" s="1"/>
  <c r="N420" i="2"/>
  <c r="AY419" i="2"/>
  <c r="AT419" i="2"/>
  <c r="J418" i="2"/>
  <c r="B418" i="2"/>
  <c r="BL417" i="2"/>
  <c r="BC417" i="2"/>
  <c r="B415" i="2"/>
  <c r="J414" i="2"/>
  <c r="BL413" i="2"/>
  <c r="BC413" i="2"/>
  <c r="N413" i="2"/>
  <c r="J412" i="2"/>
  <c r="BL410" i="2"/>
  <c r="BI410" i="2"/>
  <c r="BH410" i="2"/>
  <c r="BC410" i="2"/>
  <c r="J409" i="2"/>
  <c r="BL407" i="2"/>
  <c r="BL405" i="2"/>
  <c r="BC405" i="2"/>
  <c r="AY405" i="2"/>
  <c r="J405" i="2"/>
  <c r="BL339" i="2"/>
  <c r="BL341" i="2"/>
  <c r="BL344" i="2"/>
  <c r="BL347" i="2"/>
  <c r="BL351" i="2"/>
  <c r="BL354" i="2"/>
  <c r="BL380" i="2"/>
  <c r="BD382" i="2" s="1"/>
  <c r="BI381" i="2"/>
  <c r="BH381" i="2"/>
  <c r="BF380" i="2"/>
  <c r="BF381" i="2" s="1"/>
  <c r="BE381" i="2"/>
  <c r="BG380" i="2"/>
  <c r="BG351" i="2"/>
  <c r="AY380" i="2"/>
  <c r="AY339" i="2"/>
  <c r="AY353" i="2"/>
  <c r="AY363" i="2"/>
  <c r="AR376" i="2"/>
  <c r="AQ376" i="2"/>
  <c r="BD375" i="2"/>
  <c r="BC375" i="2"/>
  <c r="AR373" i="2"/>
  <c r="AQ373" i="2"/>
  <c r="J372" i="2"/>
  <c r="AR371" i="2"/>
  <c r="AQ371" i="2"/>
  <c r="AQ364" i="2"/>
  <c r="AQ365" i="2"/>
  <c r="AQ369" i="2"/>
  <c r="AQ370" i="2"/>
  <c r="G371" i="2"/>
  <c r="C371" i="2"/>
  <c r="B371" i="2"/>
  <c r="AR370" i="2"/>
  <c r="AR369" i="2"/>
  <c r="AM369" i="2"/>
  <c r="AI369" i="2"/>
  <c r="AH369" i="2"/>
  <c r="AC359" i="2"/>
  <c r="AC346" i="2"/>
  <c r="BC358" i="2"/>
  <c r="BC361" i="2"/>
  <c r="BC362" i="2"/>
  <c r="BC365" i="2"/>
  <c r="BC354" i="2"/>
  <c r="BC351" i="2"/>
  <c r="BC347" i="2"/>
  <c r="BC344" i="2"/>
  <c r="BC339" i="2"/>
  <c r="J368" i="2"/>
  <c r="G368" i="2"/>
  <c r="E368" i="2"/>
  <c r="E352" i="2"/>
  <c r="C368" i="2"/>
  <c r="C363" i="2"/>
  <c r="C359" i="2"/>
  <c r="C356" i="2"/>
  <c r="C352" i="2"/>
  <c r="C349" i="2"/>
  <c r="B368" i="2"/>
  <c r="BD365" i="2"/>
  <c r="AR365" i="2"/>
  <c r="S359" i="2"/>
  <c r="S365" i="2" s="1"/>
  <c r="S354" i="2"/>
  <c r="N359" i="2"/>
  <c r="N354" i="2"/>
  <c r="N347" i="2"/>
  <c r="AR364" i="2"/>
  <c r="AR363" i="2"/>
  <c r="AR353" i="2"/>
  <c r="J364" i="2"/>
  <c r="AQ363" i="2"/>
  <c r="G363" i="2"/>
  <c r="B363" i="2"/>
  <c r="AD359" i="2"/>
  <c r="AD346" i="2"/>
  <c r="R359" i="2"/>
  <c r="R354" i="2"/>
  <c r="M359" i="2"/>
  <c r="M354" i="2"/>
  <c r="M347" i="2"/>
  <c r="J359" i="2"/>
  <c r="G359" i="2"/>
  <c r="E359" i="2"/>
  <c r="B359" i="2"/>
  <c r="BD358" i="2"/>
  <c r="J356" i="2"/>
  <c r="G356" i="2"/>
  <c r="B356" i="2"/>
  <c r="BD354" i="2"/>
  <c r="AT353" i="2"/>
  <c r="AQ353" i="2"/>
  <c r="J352" i="2"/>
  <c r="G352" i="2"/>
  <c r="B352" i="2"/>
  <c r="BD351" i="2"/>
  <c r="G349" i="2"/>
  <c r="B349" i="2"/>
  <c r="J348" i="2"/>
  <c r="BD347" i="2"/>
  <c r="J346" i="2"/>
  <c r="G345" i="2"/>
  <c r="BI344" i="2"/>
  <c r="BH344" i="2"/>
  <c r="BD344" i="2"/>
  <c r="J343" i="2"/>
  <c r="BD339" i="2"/>
  <c r="J339" i="2"/>
  <c r="G338" i="2"/>
  <c r="BI317" i="2"/>
  <c r="BH317" i="2"/>
  <c r="BG287" i="2"/>
  <c r="BG317" i="2" s="1"/>
  <c r="BE317" i="2"/>
  <c r="BL316" i="2"/>
  <c r="BD318" i="2" s="1"/>
  <c r="BF316" i="2"/>
  <c r="BF317" i="2" s="1"/>
  <c r="BD294" i="2"/>
  <c r="BD297" i="2"/>
  <c r="BD298" i="2"/>
  <c r="BD301" i="2"/>
  <c r="BD312" i="2"/>
  <c r="AY316" i="2"/>
  <c r="AR312" i="2"/>
  <c r="AQ312" i="2"/>
  <c r="BC310" i="2"/>
  <c r="AQ310" i="2"/>
  <c r="AR309" i="2"/>
  <c r="AQ309" i="2"/>
  <c r="AR307" i="2"/>
  <c r="AQ307" i="2"/>
  <c r="J307" i="2"/>
  <c r="AR306" i="2"/>
  <c r="G306" i="2"/>
  <c r="C306" i="2"/>
  <c r="B306" i="2"/>
  <c r="AR305" i="2"/>
  <c r="AQ305" i="2"/>
  <c r="AM305" i="2"/>
  <c r="AI305" i="2"/>
  <c r="AH305" i="2"/>
  <c r="AR304" i="2"/>
  <c r="J303" i="2"/>
  <c r="G303" i="2"/>
  <c r="E303" i="2"/>
  <c r="E288" i="2"/>
  <c r="C303" i="2"/>
  <c r="B303" i="2"/>
  <c r="BC301" i="2"/>
  <c r="AR301" i="2"/>
  <c r="AR300" i="2"/>
  <c r="AR299" i="2"/>
  <c r="AR289" i="2"/>
  <c r="AQ301" i="2"/>
  <c r="M295" i="2"/>
  <c r="M290" i="2"/>
  <c r="M283" i="2"/>
  <c r="AQ300" i="2"/>
  <c r="AY299" i="2"/>
  <c r="AQ299" i="2"/>
  <c r="J299" i="2"/>
  <c r="G298" i="2"/>
  <c r="C298" i="2"/>
  <c r="B298" i="2"/>
  <c r="BC297" i="2"/>
  <c r="AD295" i="2"/>
  <c r="AD282" i="2"/>
  <c r="AC295" i="2"/>
  <c r="S295" i="2"/>
  <c r="S301" i="2" s="1"/>
  <c r="S290" i="2"/>
  <c r="R295" i="2"/>
  <c r="R301" i="2" s="1"/>
  <c r="R290" i="2"/>
  <c r="N295" i="2"/>
  <c r="BC294" i="2"/>
  <c r="BC290" i="2"/>
  <c r="BC287" i="2"/>
  <c r="BC283" i="2"/>
  <c r="BC280" i="2"/>
  <c r="BC275" i="2"/>
  <c r="J294" i="2"/>
  <c r="G294" i="2"/>
  <c r="E294" i="2"/>
  <c r="C294" i="2"/>
  <c r="B294" i="2"/>
  <c r="J291" i="2"/>
  <c r="J275" i="2"/>
  <c r="J279" i="2"/>
  <c r="J282" i="2"/>
  <c r="J284" i="2"/>
  <c r="J288" i="2"/>
  <c r="C291" i="2"/>
  <c r="B291" i="2"/>
  <c r="BL290" i="2"/>
  <c r="BD290" i="2"/>
  <c r="N290" i="2"/>
  <c r="N301" i="2" s="1"/>
  <c r="N283" i="2"/>
  <c r="G290" i="2"/>
  <c r="AY289" i="2"/>
  <c r="AT289" i="2"/>
  <c r="AQ289" i="2"/>
  <c r="G289" i="2"/>
  <c r="G288" i="2"/>
  <c r="C288" i="2"/>
  <c r="B288" i="2"/>
  <c r="BL287" i="2"/>
  <c r="BD287" i="2"/>
  <c r="G285" i="2"/>
  <c r="C285" i="2"/>
  <c r="B285" i="2"/>
  <c r="BL283" i="2"/>
  <c r="BD283" i="2"/>
  <c r="AC282" i="2"/>
  <c r="BL280" i="2"/>
  <c r="BI280" i="2"/>
  <c r="BH280" i="2"/>
  <c r="BD280" i="2"/>
  <c r="BL277" i="2"/>
  <c r="BL275" i="2"/>
  <c r="BD275" i="2"/>
  <c r="AY275" i="2"/>
  <c r="G274" i="2"/>
  <c r="BD255" i="2"/>
  <c r="BL252" i="2"/>
  <c r="BD254" i="2" s="1"/>
  <c r="BI253" i="2"/>
  <c r="BH253" i="2"/>
  <c r="BE253" i="2"/>
  <c r="BF252" i="2"/>
  <c r="BF253" i="2" s="1"/>
  <c r="AV239" i="2"/>
  <c r="AY252" i="2" s="1"/>
  <c r="AR245" i="2"/>
  <c r="AQ245" i="2"/>
  <c r="AR243" i="2"/>
  <c r="AQ243" i="2"/>
  <c r="J243" i="2"/>
  <c r="AR242" i="2"/>
  <c r="AQ242" i="2"/>
  <c r="G242" i="2"/>
  <c r="C242" i="2"/>
  <c r="C239" i="2"/>
  <c r="C234" i="2"/>
  <c r="C230" i="2"/>
  <c r="C227" i="2"/>
  <c r="C224" i="2"/>
  <c r="C221" i="2"/>
  <c r="B242" i="2"/>
  <c r="AR241" i="2"/>
  <c r="AQ241" i="2"/>
  <c r="AM241" i="2"/>
  <c r="AI241" i="2"/>
  <c r="AH241" i="2"/>
  <c r="AR240" i="2"/>
  <c r="AQ240" i="2"/>
  <c r="AQ237" i="2"/>
  <c r="AQ235" i="2"/>
  <c r="AQ225" i="2"/>
  <c r="J239" i="2"/>
  <c r="G239" i="2"/>
  <c r="G234" i="2"/>
  <c r="G230" i="2"/>
  <c r="G227" i="2"/>
  <c r="G224" i="2"/>
  <c r="E239" i="2"/>
  <c r="B239" i="2"/>
  <c r="BC237" i="2"/>
  <c r="AR237" i="2"/>
  <c r="R231" i="2"/>
  <c r="R226" i="2"/>
  <c r="BC236" i="2"/>
  <c r="AY235" i="2"/>
  <c r="AR235" i="2"/>
  <c r="J235" i="2"/>
  <c r="BC234" i="2"/>
  <c r="B234" i="2"/>
  <c r="BC233" i="2"/>
  <c r="AD231" i="2"/>
  <c r="AD218" i="2"/>
  <c r="AC231" i="2"/>
  <c r="S231" i="2"/>
  <c r="N231" i="2"/>
  <c r="N226" i="2"/>
  <c r="N219" i="2"/>
  <c r="M231" i="2"/>
  <c r="BD230" i="2"/>
  <c r="BD252" i="2" s="1"/>
  <c r="BD226" i="2"/>
  <c r="BD223" i="2"/>
  <c r="BD219" i="2"/>
  <c r="BD216" i="2"/>
  <c r="BD211" i="2"/>
  <c r="BC230" i="2"/>
  <c r="J230" i="2"/>
  <c r="E230" i="2"/>
  <c r="B230" i="2"/>
  <c r="J227" i="2"/>
  <c r="B227" i="2"/>
  <c r="BL226" i="2"/>
  <c r="BC226" i="2"/>
  <c r="S226" i="2"/>
  <c r="M226" i="2"/>
  <c r="AY225" i="2"/>
  <c r="AT225" i="2"/>
  <c r="AR225" i="2"/>
  <c r="J224" i="2"/>
  <c r="E224" i="2"/>
  <c r="B224" i="2"/>
  <c r="BL223" i="2"/>
  <c r="BG223" i="2"/>
  <c r="BG253" i="2" s="1"/>
  <c r="BC223" i="2"/>
  <c r="B221" i="2"/>
  <c r="J220" i="2"/>
  <c r="BL219" i="2"/>
  <c r="BC219" i="2"/>
  <c r="M219" i="2"/>
  <c r="AC218" i="2"/>
  <c r="J218" i="2"/>
  <c r="BL216" i="2"/>
  <c r="BI216" i="2"/>
  <c r="BH216" i="2"/>
  <c r="BC216" i="2"/>
  <c r="J215" i="2"/>
  <c r="BL213" i="2"/>
  <c r="BL211" i="2"/>
  <c r="BC211" i="2"/>
  <c r="AY211" i="2"/>
  <c r="J211" i="2"/>
  <c r="AY192" i="2"/>
  <c r="AR188" i="2"/>
  <c r="AQ188" i="2"/>
  <c r="AQ186" i="2"/>
  <c r="BH185" i="2"/>
  <c r="BG155" i="2"/>
  <c r="BG185" i="2" s="1"/>
  <c r="BE185" i="2"/>
  <c r="AR185" i="2"/>
  <c r="AQ185" i="2"/>
  <c r="BL184" i="2"/>
  <c r="BD186" i="2" s="1"/>
  <c r="BF184" i="2"/>
  <c r="BF185" i="2" s="1"/>
  <c r="AR183" i="2"/>
  <c r="AQ183" i="2"/>
  <c r="BD182" i="2"/>
  <c r="AR182" i="2"/>
  <c r="AQ182" i="2"/>
  <c r="BD181" i="2"/>
  <c r="BC181" i="2"/>
  <c r="AR181" i="2"/>
  <c r="AQ181" i="2"/>
  <c r="AR180" i="2"/>
  <c r="AR177" i="2"/>
  <c r="AR175" i="2"/>
  <c r="AR165" i="2"/>
  <c r="AR148" i="2"/>
  <c r="AQ177" i="2"/>
  <c r="AQ176" i="2"/>
  <c r="AY175" i="2"/>
  <c r="AQ175" i="2"/>
  <c r="H173" i="2"/>
  <c r="J175" i="2" s="1"/>
  <c r="C174" i="2"/>
  <c r="B174" i="2"/>
  <c r="BD173" i="2"/>
  <c r="AM173" i="2"/>
  <c r="AI173" i="2"/>
  <c r="AH173" i="2"/>
  <c r="AD163" i="2"/>
  <c r="AD173" i="2" s="1"/>
  <c r="BG192" i="2" s="1"/>
  <c r="AD154" i="2"/>
  <c r="AD150" i="2"/>
  <c r="G173" i="2"/>
  <c r="G172" i="2"/>
  <c r="J171" i="2"/>
  <c r="G171" i="2"/>
  <c r="E171" i="2"/>
  <c r="E156" i="2"/>
  <c r="E176" i="2" s="1"/>
  <c r="C171" i="2"/>
  <c r="C166" i="2"/>
  <c r="C162" i="2"/>
  <c r="C159" i="2"/>
  <c r="C156" i="2"/>
  <c r="C153" i="2"/>
  <c r="B171" i="2"/>
  <c r="BD170" i="2"/>
  <c r="R163" i="2"/>
  <c r="R169" i="2" s="1"/>
  <c r="R158" i="2"/>
  <c r="J167" i="2"/>
  <c r="G163" i="2"/>
  <c r="G164" i="2"/>
  <c r="G165" i="2"/>
  <c r="B166" i="2"/>
  <c r="BD165" i="2"/>
  <c r="BC165" i="2"/>
  <c r="AY165" i="2"/>
  <c r="AT165" i="2"/>
  <c r="AQ165" i="2"/>
  <c r="AC163" i="2"/>
  <c r="AC154" i="2"/>
  <c r="AC150" i="2"/>
  <c r="S163" i="2"/>
  <c r="N163" i="2"/>
  <c r="N158" i="2"/>
  <c r="N151" i="2"/>
  <c r="M163" i="2"/>
  <c r="M158" i="2"/>
  <c r="M151" i="2"/>
  <c r="BD162" i="2"/>
  <c r="BD158" i="2"/>
  <c r="BD155" i="2"/>
  <c r="BD151" i="2"/>
  <c r="BD148" i="2"/>
  <c r="BD143" i="2"/>
  <c r="BC162" i="2"/>
  <c r="BC184" i="2" s="1"/>
  <c r="BC158" i="2"/>
  <c r="BC155" i="2"/>
  <c r="BC151" i="2"/>
  <c r="BC148" i="2"/>
  <c r="BC143" i="2"/>
  <c r="J162" i="2"/>
  <c r="G162" i="2"/>
  <c r="E162" i="2"/>
  <c r="B162" i="2"/>
  <c r="B159" i="2"/>
  <c r="B156" i="2"/>
  <c r="B153" i="2"/>
  <c r="J159" i="2"/>
  <c r="S158" i="2"/>
  <c r="S169" i="2" s="1"/>
  <c r="G158" i="2"/>
  <c r="G159" i="2" s="1"/>
  <c r="BJ157" i="2"/>
  <c r="BL158" i="2" s="1"/>
  <c r="J156" i="2"/>
  <c r="BJ154" i="2"/>
  <c r="BL155" i="2" s="1"/>
  <c r="J152" i="2"/>
  <c r="BL151" i="2"/>
  <c r="AV151" i="2"/>
  <c r="AY151" i="2" s="1"/>
  <c r="AY148" i="2"/>
  <c r="J150" i="2"/>
  <c r="BH148" i="2"/>
  <c r="AQ148" i="2"/>
  <c r="BJ147" i="2"/>
  <c r="BL148" i="2" s="1"/>
  <c r="BI147" i="2"/>
  <c r="BI185" i="2" s="1"/>
  <c r="J147" i="2"/>
  <c r="J143" i="2"/>
  <c r="BL145" i="2"/>
  <c r="BL143" i="2"/>
  <c r="AR128" i="2"/>
  <c r="AR126" i="2"/>
  <c r="AQ126" i="2"/>
  <c r="BD125" i="2"/>
  <c r="AQ124" i="2"/>
  <c r="BH123" i="2"/>
  <c r="BF122" i="2"/>
  <c r="BF123" i="2" s="1"/>
  <c r="BE123" i="2"/>
  <c r="AR123" i="2"/>
  <c r="AQ123" i="2"/>
  <c r="BL122" i="2"/>
  <c r="BD124" i="2" s="1"/>
  <c r="AR121" i="2"/>
  <c r="AR120" i="2"/>
  <c r="AQ120" i="2"/>
  <c r="AR119" i="2"/>
  <c r="AQ119" i="2"/>
  <c r="AQ118" i="2"/>
  <c r="AV117" i="2"/>
  <c r="AY130" i="2" s="1"/>
  <c r="AR115" i="2"/>
  <c r="AQ115" i="2"/>
  <c r="AQ113" i="2"/>
  <c r="AQ103" i="2"/>
  <c r="AQ86" i="2"/>
  <c r="C112" i="2"/>
  <c r="C109" i="2"/>
  <c r="C104" i="2"/>
  <c r="C100" i="2"/>
  <c r="C97" i="2"/>
  <c r="C94" i="2"/>
  <c r="C91" i="2"/>
  <c r="BC113" i="2"/>
  <c r="AY113" i="2"/>
  <c r="AR113" i="2"/>
  <c r="J113" i="2"/>
  <c r="G112" i="2"/>
  <c r="G109" i="2"/>
  <c r="G104" i="2"/>
  <c r="G100" i="2"/>
  <c r="G97" i="2"/>
  <c r="G94" i="2"/>
  <c r="B112" i="2"/>
  <c r="B109" i="2"/>
  <c r="B104" i="2"/>
  <c r="B100" i="2"/>
  <c r="B97" i="2"/>
  <c r="B94" i="2"/>
  <c r="B91" i="2"/>
  <c r="AM111" i="2"/>
  <c r="AI111" i="2"/>
  <c r="AH111" i="2"/>
  <c r="J109" i="2"/>
  <c r="E109" i="2"/>
  <c r="S101" i="2"/>
  <c r="S96" i="2"/>
  <c r="J105" i="2"/>
  <c r="BD103" i="2"/>
  <c r="BC103" i="2"/>
  <c r="AY103" i="2"/>
  <c r="AT103" i="2"/>
  <c r="AR103" i="2"/>
  <c r="BC102" i="2"/>
  <c r="BD101" i="2"/>
  <c r="AD101" i="2"/>
  <c r="AD88" i="2"/>
  <c r="AC101" i="2"/>
  <c r="R101" i="2"/>
  <c r="R96" i="2"/>
  <c r="N101" i="2"/>
  <c r="N96" i="2"/>
  <c r="N89" i="2"/>
  <c r="M101" i="2"/>
  <c r="BD100" i="2"/>
  <c r="BD98" i="2"/>
  <c r="BD96" i="2"/>
  <c r="BD93" i="2"/>
  <c r="BD89" i="2"/>
  <c r="BD86" i="2"/>
  <c r="BD81" i="2"/>
  <c r="BC100" i="2"/>
  <c r="J100" i="2"/>
  <c r="E100" i="2"/>
  <c r="J97" i="2"/>
  <c r="BL96" i="2"/>
  <c r="BC96" i="2"/>
  <c r="M96" i="2"/>
  <c r="M89" i="2"/>
  <c r="J94" i="2"/>
  <c r="E94" i="2"/>
  <c r="BL93" i="2"/>
  <c r="BG93" i="2"/>
  <c r="BG123" i="2" s="1"/>
  <c r="BC93" i="2"/>
  <c r="J90" i="2"/>
  <c r="BL89" i="2"/>
  <c r="BC89" i="2"/>
  <c r="AY89" i="2"/>
  <c r="AC88" i="2"/>
  <c r="J88" i="2"/>
  <c r="BL86" i="2"/>
  <c r="BC86" i="2"/>
  <c r="AY86" i="2"/>
  <c r="BI85" i="2"/>
  <c r="BI123" i="2" s="1"/>
  <c r="J85" i="2"/>
  <c r="BL83" i="2"/>
  <c r="BL81" i="2"/>
  <c r="BC81" i="2"/>
  <c r="J81" i="2"/>
  <c r="AR79" i="2"/>
  <c r="AR86" i="2" s="1"/>
  <c r="AC32" i="2"/>
  <c r="AC42" i="2" s="1"/>
  <c r="BG60" i="2" s="1"/>
  <c r="AC19" i="2"/>
  <c r="AR57" i="2"/>
  <c r="AQ57" i="2"/>
  <c r="BD56" i="2"/>
  <c r="BI54" i="2"/>
  <c r="BH54" i="2"/>
  <c r="BF53" i="2"/>
  <c r="BF54" i="2" s="1"/>
  <c r="BE54" i="2"/>
  <c r="AR54" i="2"/>
  <c r="AQ54" i="2"/>
  <c r="BL53" i="2"/>
  <c r="BD55" i="2" s="1"/>
  <c r="AR52" i="2"/>
  <c r="AR45" i="2"/>
  <c r="AR46" i="2"/>
  <c r="AR50" i="2"/>
  <c r="AR51" i="2"/>
  <c r="AR44" i="2"/>
  <c r="AR34" i="2"/>
  <c r="AR17" i="2"/>
  <c r="AQ50" i="2"/>
  <c r="AV48" i="2"/>
  <c r="AY61" i="2" s="1"/>
  <c r="AY44" i="2"/>
  <c r="AY34" i="2"/>
  <c r="AV20" i="2"/>
  <c r="AY20" i="2" s="1"/>
  <c r="AY17" i="2"/>
  <c r="AQ46" i="2"/>
  <c r="AQ45" i="2"/>
  <c r="C43" i="2"/>
  <c r="C40" i="2"/>
  <c r="C35" i="2"/>
  <c r="C31" i="2"/>
  <c r="C28" i="2"/>
  <c r="C25" i="2"/>
  <c r="C22" i="2"/>
  <c r="AQ44" i="2"/>
  <c r="J44" i="2"/>
  <c r="G43" i="2"/>
  <c r="G40" i="2"/>
  <c r="G35" i="2"/>
  <c r="G31" i="2"/>
  <c r="G28" i="2"/>
  <c r="G22" i="2"/>
  <c r="G25" i="2"/>
  <c r="B43" i="2"/>
  <c r="AM42" i="2"/>
  <c r="AI42" i="2"/>
  <c r="AH42" i="2"/>
  <c r="AD32" i="2"/>
  <c r="AD19" i="2"/>
  <c r="J40" i="2"/>
  <c r="E40" i="2"/>
  <c r="E25" i="2"/>
  <c r="B40" i="2"/>
  <c r="BD38" i="2"/>
  <c r="BD31" i="2"/>
  <c r="BD34" i="2"/>
  <c r="BD27" i="2"/>
  <c r="BD23" i="2"/>
  <c r="BD24" i="2" s="1"/>
  <c r="BD20" i="2"/>
  <c r="BD17" i="2"/>
  <c r="BD12" i="2"/>
  <c r="BC38" i="2"/>
  <c r="J36" i="2"/>
  <c r="B35" i="2"/>
  <c r="BC34" i="2"/>
  <c r="AT34" i="2"/>
  <c r="AQ34" i="2"/>
  <c r="S32" i="2"/>
  <c r="S27" i="2"/>
  <c r="R32" i="2"/>
  <c r="R27" i="2"/>
  <c r="N32" i="2"/>
  <c r="N38" i="2" s="1"/>
  <c r="N27" i="2"/>
  <c r="N20" i="2"/>
  <c r="M32" i="2"/>
  <c r="M27" i="2"/>
  <c r="M20" i="2"/>
  <c r="BC31" i="2"/>
  <c r="BC27" i="2"/>
  <c r="BC24" i="2"/>
  <c r="BC20" i="2"/>
  <c r="BC17" i="2"/>
  <c r="BC12" i="2"/>
  <c r="J31" i="2"/>
  <c r="E31" i="2"/>
  <c r="B31" i="2"/>
  <c r="J28" i="2"/>
  <c r="B28" i="2"/>
  <c r="BL27" i="2"/>
  <c r="J25" i="2"/>
  <c r="B25" i="2"/>
  <c r="BG24" i="2"/>
  <c r="BG54" i="2" s="1"/>
  <c r="BJ23" i="2"/>
  <c r="BL24" i="2" s="1"/>
  <c r="B22" i="2"/>
  <c r="J21" i="2"/>
  <c r="BL20" i="2"/>
  <c r="J19" i="2"/>
  <c r="BL17" i="2"/>
  <c r="AQ17" i="2"/>
  <c r="J16" i="2"/>
  <c r="BL14" i="2"/>
  <c r="BL12" i="2"/>
  <c r="J12" i="2"/>
  <c r="AR780" i="1"/>
  <c r="AQ780" i="1"/>
  <c r="BL776" i="1"/>
  <c r="BD778" i="1"/>
  <c r="BI777" i="1"/>
  <c r="BH777" i="1"/>
  <c r="BF776" i="1"/>
  <c r="BF777" i="1" s="1"/>
  <c r="BE777" i="1"/>
  <c r="AR777" i="1"/>
  <c r="AQ777" i="1"/>
  <c r="BD754" i="1"/>
  <c r="BD756" i="1"/>
  <c r="BD757" i="1"/>
  <c r="BD765" i="1"/>
  <c r="BD775" i="1"/>
  <c r="BD750" i="1"/>
  <c r="BD747" i="1"/>
  <c r="BD743" i="1"/>
  <c r="BD740" i="1"/>
  <c r="BD735" i="1"/>
  <c r="AR775" i="1"/>
  <c r="AR774" i="1"/>
  <c r="BC773" i="1"/>
  <c r="AR773" i="1"/>
  <c r="AQ773" i="1"/>
  <c r="AV771" i="1"/>
  <c r="AY784" i="1" s="1"/>
  <c r="AR769" i="1"/>
  <c r="AQ769" i="1"/>
  <c r="AR768" i="1"/>
  <c r="AR784" i="1"/>
  <c r="AR767" i="1"/>
  <c r="AR757" i="1"/>
  <c r="AR740" i="1"/>
  <c r="AQ768" i="1"/>
  <c r="AQ784" i="1" s="1"/>
  <c r="AQ767" i="1"/>
  <c r="AQ757" i="1"/>
  <c r="AQ740" i="1"/>
  <c r="AY767" i="1"/>
  <c r="J767" i="1"/>
  <c r="G766" i="1"/>
  <c r="B766" i="1"/>
  <c r="B763" i="1"/>
  <c r="B758" i="1"/>
  <c r="B754" i="1"/>
  <c r="B749" i="1"/>
  <c r="B751" i="1" s="1"/>
  <c r="B748" i="1"/>
  <c r="B745" i="1"/>
  <c r="BC765" i="1"/>
  <c r="AM765" i="1"/>
  <c r="AI765" i="1"/>
  <c r="AH765" i="1"/>
  <c r="C764" i="1"/>
  <c r="C766" i="1" s="1"/>
  <c r="C768" i="1" s="1"/>
  <c r="BD784" i="1" s="1"/>
  <c r="C763" i="1"/>
  <c r="C758" i="1"/>
  <c r="C754" i="1"/>
  <c r="C751" i="1"/>
  <c r="C748" i="1"/>
  <c r="C745" i="1"/>
  <c r="J763" i="1"/>
  <c r="G763" i="1"/>
  <c r="E763" i="1"/>
  <c r="E748" i="1"/>
  <c r="E768" i="1" s="1"/>
  <c r="N755" i="1"/>
  <c r="N750" i="1"/>
  <c r="N743" i="1"/>
  <c r="N761" i="1"/>
  <c r="J759" i="1"/>
  <c r="G758" i="1"/>
  <c r="BC757" i="1"/>
  <c r="AY757" i="1"/>
  <c r="AT757" i="1"/>
  <c r="AD755" i="1"/>
  <c r="AD742" i="1"/>
  <c r="AD765" i="1"/>
  <c r="BG784" i="1" s="1"/>
  <c r="AC755" i="1"/>
  <c r="S755" i="1"/>
  <c r="S761" i="1" s="1"/>
  <c r="S750" i="1"/>
  <c r="R755" i="1"/>
  <c r="R750" i="1"/>
  <c r="R761" i="1"/>
  <c r="M755" i="1"/>
  <c r="M761" i="1" s="1"/>
  <c r="BC754" i="1"/>
  <c r="BC776" i="1"/>
  <c r="J754" i="1"/>
  <c r="E754" i="1"/>
  <c r="G753" i="1"/>
  <c r="J751" i="1"/>
  <c r="G751" i="1"/>
  <c r="BL750" i="1"/>
  <c r="BC750" i="1"/>
  <c r="M750" i="1"/>
  <c r="BN749" i="1"/>
  <c r="J748" i="1"/>
  <c r="G748" i="1"/>
  <c r="BL747" i="1"/>
  <c r="BG747" i="1"/>
  <c r="BG777" i="1" s="1"/>
  <c r="BC747" i="1"/>
  <c r="J744" i="1"/>
  <c r="G744" i="1"/>
  <c r="BL743" i="1"/>
  <c r="BL735" i="1"/>
  <c r="BL737" i="1"/>
  <c r="BL740" i="1"/>
  <c r="BL777" i="1" s="1"/>
  <c r="BC743" i="1"/>
  <c r="AY743" i="1"/>
  <c r="M743" i="1"/>
  <c r="AC742" i="1"/>
  <c r="AC765" i="1"/>
  <c r="BG783" i="1" s="1"/>
  <c r="J742" i="1"/>
  <c r="BC740" i="1"/>
  <c r="BC777" i="1" s="1"/>
  <c r="AV735" i="1"/>
  <c r="AY740" i="1"/>
  <c r="J739" i="1"/>
  <c r="AZ738" i="1"/>
  <c r="BC735" i="1"/>
  <c r="J735" i="1"/>
  <c r="G734" i="1"/>
  <c r="AY675" i="1"/>
  <c r="AY678" i="1"/>
  <c r="AY720" i="1" s="1"/>
  <c r="AY692" i="1"/>
  <c r="AY702" i="1"/>
  <c r="AY719" i="1"/>
  <c r="AC690" i="1"/>
  <c r="AC677" i="1"/>
  <c r="AR715" i="1"/>
  <c r="AQ715" i="1"/>
  <c r="BL711" i="1"/>
  <c r="BD713" i="1" s="1"/>
  <c r="BI712" i="1"/>
  <c r="BH712" i="1"/>
  <c r="BG682" i="1"/>
  <c r="BG712" i="1"/>
  <c r="BE712" i="1"/>
  <c r="AR712" i="1"/>
  <c r="AQ712" i="1"/>
  <c r="BF711" i="1"/>
  <c r="BF712" i="1"/>
  <c r="AR710" i="1"/>
  <c r="AQ710" i="1"/>
  <c r="BD709" i="1"/>
  <c r="BC709" i="1"/>
  <c r="AR708" i="1"/>
  <c r="AQ708" i="1"/>
  <c r="BC706" i="1"/>
  <c r="AR704" i="1"/>
  <c r="AR719" i="1" s="1"/>
  <c r="AR720" i="1" s="1"/>
  <c r="BF716" i="1" s="1"/>
  <c r="AQ704" i="1"/>
  <c r="AR703" i="1"/>
  <c r="AR702" i="1"/>
  <c r="AR692" i="1"/>
  <c r="AR675" i="1"/>
  <c r="AQ703" i="1"/>
  <c r="E698" i="1"/>
  <c r="E703" i="1" s="1"/>
  <c r="E683" i="1"/>
  <c r="AQ702" i="1"/>
  <c r="J702" i="1"/>
  <c r="G701" i="1"/>
  <c r="G703" i="1" s="1"/>
  <c r="C701" i="1"/>
  <c r="B701" i="1"/>
  <c r="BD700" i="1"/>
  <c r="BD711" i="1" s="1"/>
  <c r="AM700" i="1"/>
  <c r="AI700" i="1"/>
  <c r="AH700" i="1"/>
  <c r="J698" i="1"/>
  <c r="G698" i="1"/>
  <c r="C698" i="1"/>
  <c r="B698" i="1"/>
  <c r="J694" i="1"/>
  <c r="C693" i="1"/>
  <c r="B693" i="1"/>
  <c r="BD692" i="1"/>
  <c r="BC692" i="1"/>
  <c r="AT692" i="1"/>
  <c r="AQ692" i="1"/>
  <c r="G692" i="1"/>
  <c r="BC691" i="1"/>
  <c r="AD690" i="1"/>
  <c r="S690" i="1"/>
  <c r="S685" i="1"/>
  <c r="S696" i="1" s="1"/>
  <c r="R690" i="1"/>
  <c r="R685" i="1"/>
  <c r="N690" i="1"/>
  <c r="N696" i="1" s="1"/>
  <c r="M690" i="1"/>
  <c r="M696" i="1" s="1"/>
  <c r="G690" i="1"/>
  <c r="G693" i="1"/>
  <c r="BD689" i="1"/>
  <c r="BC689" i="1"/>
  <c r="J689" i="1"/>
  <c r="E689" i="1"/>
  <c r="C689" i="1"/>
  <c r="B689" i="1"/>
  <c r="G688" i="1"/>
  <c r="J686" i="1"/>
  <c r="C686" i="1"/>
  <c r="B686" i="1"/>
  <c r="BL685" i="1"/>
  <c r="BD685" i="1"/>
  <c r="BC685" i="1"/>
  <c r="N685" i="1"/>
  <c r="N678" i="1"/>
  <c r="M685" i="1"/>
  <c r="M678" i="1"/>
  <c r="J683" i="1"/>
  <c r="G683" i="1"/>
  <c r="C683" i="1"/>
  <c r="B683" i="1"/>
  <c r="BL682" i="1"/>
  <c r="BD682" i="1"/>
  <c r="BC682" i="1"/>
  <c r="C680" i="1"/>
  <c r="B680" i="1"/>
  <c r="J679" i="1"/>
  <c r="G679" i="1"/>
  <c r="BL678" i="1"/>
  <c r="BD678" i="1"/>
  <c r="BC678" i="1"/>
  <c r="AD677" i="1"/>
  <c r="J677" i="1"/>
  <c r="BL675" i="1"/>
  <c r="BD675" i="1"/>
  <c r="BC675" i="1"/>
  <c r="AQ675" i="1"/>
  <c r="J674" i="1"/>
  <c r="BL672" i="1"/>
  <c r="BL670" i="1"/>
  <c r="BD670" i="1"/>
  <c r="BC670" i="1"/>
  <c r="J670" i="1"/>
  <c r="G669" i="1"/>
  <c r="AY611" i="1"/>
  <c r="AY614" i="1"/>
  <c r="AY656" i="1" s="1"/>
  <c r="AY628" i="1"/>
  <c r="AY638" i="1"/>
  <c r="AY655" i="1"/>
  <c r="AR651" i="1"/>
  <c r="AQ651" i="1"/>
  <c r="AQ655" i="1" s="1"/>
  <c r="AQ656" i="1" s="1"/>
  <c r="BL647" i="1"/>
  <c r="BD649" i="1"/>
  <c r="BI648" i="1"/>
  <c r="BH648" i="1"/>
  <c r="BE648" i="1"/>
  <c r="AR648" i="1"/>
  <c r="AQ648" i="1"/>
  <c r="BF647" i="1"/>
  <c r="BF648" i="1" s="1"/>
  <c r="AR646" i="1"/>
  <c r="AQ646" i="1"/>
  <c r="AR645" i="1"/>
  <c r="AR644" i="1"/>
  <c r="AQ644" i="1"/>
  <c r="AR640" i="1"/>
  <c r="AR639" i="1"/>
  <c r="AR638" i="1"/>
  <c r="AR616" i="1"/>
  <c r="AR628" i="1" s="1"/>
  <c r="AR611" i="1"/>
  <c r="AQ640" i="1"/>
  <c r="AQ639" i="1"/>
  <c r="B637" i="1"/>
  <c r="B634" i="1"/>
  <c r="B629" i="1"/>
  <c r="B625" i="1"/>
  <c r="B622" i="1"/>
  <c r="B619" i="1"/>
  <c r="B616" i="1"/>
  <c r="AQ638" i="1"/>
  <c r="J638" i="1"/>
  <c r="G637" i="1"/>
  <c r="C637" i="1"/>
  <c r="AM636" i="1"/>
  <c r="AI636" i="1"/>
  <c r="AH636" i="1"/>
  <c r="J634" i="1"/>
  <c r="G634" i="1"/>
  <c r="E634" i="1"/>
  <c r="C634" i="1"/>
  <c r="R626" i="1"/>
  <c r="R621" i="1"/>
  <c r="R632" i="1"/>
  <c r="J630" i="1"/>
  <c r="BC629" i="1"/>
  <c r="G629" i="1"/>
  <c r="C629" i="1"/>
  <c r="AT628" i="1"/>
  <c r="AQ628" i="1"/>
  <c r="AD626" i="1"/>
  <c r="AD613" i="1"/>
  <c r="AD636" i="1" s="1"/>
  <c r="BG655" i="1"/>
  <c r="AC626" i="1"/>
  <c r="AC613" i="1"/>
  <c r="AC636" i="1"/>
  <c r="BG654" i="1" s="1"/>
  <c r="S626" i="1"/>
  <c r="N626" i="1"/>
  <c r="N632" i="1" s="1"/>
  <c r="M626" i="1"/>
  <c r="M632" i="1" s="1"/>
  <c r="M621" i="1"/>
  <c r="M614" i="1"/>
  <c r="BD625" i="1"/>
  <c r="BD647" i="1" s="1"/>
  <c r="BD648" i="1" s="1"/>
  <c r="BL652" i="1" s="1"/>
  <c r="BJ655" i="1" s="1"/>
  <c r="BD621" i="1"/>
  <c r="BD618" i="1"/>
  <c r="BD614" i="1"/>
  <c r="BD611" i="1"/>
  <c r="BD606" i="1"/>
  <c r="BC625" i="1"/>
  <c r="J625" i="1"/>
  <c r="E625" i="1"/>
  <c r="C625" i="1"/>
  <c r="G624" i="1"/>
  <c r="BC623" i="1"/>
  <c r="BC647" i="1"/>
  <c r="BC621" i="1"/>
  <c r="BC618" i="1"/>
  <c r="BC614" i="1"/>
  <c r="BC611" i="1"/>
  <c r="BC606" i="1"/>
  <c r="BC648" i="1" s="1"/>
  <c r="BL651" i="1" s="1"/>
  <c r="BJ654" i="1" s="1"/>
  <c r="J622" i="1"/>
  <c r="C622" i="1"/>
  <c r="BL621" i="1"/>
  <c r="S621" i="1"/>
  <c r="N621" i="1"/>
  <c r="G621" i="1"/>
  <c r="G620" i="1"/>
  <c r="G622" i="1"/>
  <c r="J619" i="1"/>
  <c r="G619" i="1"/>
  <c r="E619" i="1"/>
  <c r="C619" i="1"/>
  <c r="BL618" i="1"/>
  <c r="BG618" i="1"/>
  <c r="BG648" i="1"/>
  <c r="C616" i="1"/>
  <c r="J615" i="1"/>
  <c r="G615" i="1"/>
  <c r="BL614" i="1"/>
  <c r="N614" i="1"/>
  <c r="J613" i="1"/>
  <c r="G612" i="1"/>
  <c r="BL611" i="1"/>
  <c r="AQ611" i="1"/>
  <c r="J610" i="1"/>
  <c r="J606" i="1"/>
  <c r="J639" i="1"/>
  <c r="BL608" i="1"/>
  <c r="BL606" i="1"/>
  <c r="G605" i="1"/>
  <c r="AR581" i="1"/>
  <c r="AR592" i="1" s="1"/>
  <c r="AR588" i="1"/>
  <c r="AR575" i="1"/>
  <c r="AR565" i="1"/>
  <c r="AR548" i="1"/>
  <c r="AD563" i="1"/>
  <c r="AD573" i="1" s="1"/>
  <c r="BG592" i="1" s="1"/>
  <c r="AD550" i="1"/>
  <c r="AQ581" i="1"/>
  <c r="AQ592" i="1"/>
  <c r="AQ575" i="1"/>
  <c r="AQ565" i="1"/>
  <c r="AQ548" i="1"/>
  <c r="BD587" i="1"/>
  <c r="BI585" i="1"/>
  <c r="BH585" i="1"/>
  <c r="BG585" i="1"/>
  <c r="BF585" i="1"/>
  <c r="BE585" i="1"/>
  <c r="BL584" i="1"/>
  <c r="BD586" i="1"/>
  <c r="BF584" i="1"/>
  <c r="AV579" i="1"/>
  <c r="AV577" i="1"/>
  <c r="AY575" i="1"/>
  <c r="J575" i="1"/>
  <c r="G574" i="1"/>
  <c r="G571" i="1"/>
  <c r="G566" i="1"/>
  <c r="G561" i="1"/>
  <c r="G557" i="1"/>
  <c r="G558" i="1"/>
  <c r="G559" i="1"/>
  <c r="G552" i="1"/>
  <c r="G556" i="1"/>
  <c r="G576" i="1"/>
  <c r="C574" i="1"/>
  <c r="C571" i="1"/>
  <c r="C566" i="1"/>
  <c r="C562" i="1"/>
  <c r="C559" i="1"/>
  <c r="C556" i="1"/>
  <c r="C553" i="1"/>
  <c r="C576" i="1"/>
  <c r="BD592" i="1" s="1"/>
  <c r="B574" i="1"/>
  <c r="BC573" i="1"/>
  <c r="AM573" i="1"/>
  <c r="AI573" i="1"/>
  <c r="AH573" i="1"/>
  <c r="J571" i="1"/>
  <c r="E571" i="1"/>
  <c r="E556" i="1"/>
  <c r="B571" i="1"/>
  <c r="R563" i="1"/>
  <c r="R558" i="1"/>
  <c r="R569" i="1"/>
  <c r="J567" i="1"/>
  <c r="BD566" i="1"/>
  <c r="BC566" i="1"/>
  <c r="B566" i="1"/>
  <c r="B562" i="1"/>
  <c r="B559" i="1"/>
  <c r="B556" i="1"/>
  <c r="B553" i="1"/>
  <c r="BD565" i="1"/>
  <c r="BC565" i="1"/>
  <c r="AY565" i="1"/>
  <c r="AT565" i="1"/>
  <c r="AC563" i="1"/>
  <c r="AC573" i="1" s="1"/>
  <c r="AC550" i="1"/>
  <c r="BG591" i="1"/>
  <c r="S563" i="1"/>
  <c r="S558" i="1"/>
  <c r="S569" i="1"/>
  <c r="N563" i="1"/>
  <c r="N569" i="1" s="1"/>
  <c r="N558" i="1"/>
  <c r="N551" i="1"/>
  <c r="M563" i="1"/>
  <c r="M558" i="1"/>
  <c r="M551" i="1"/>
  <c r="M569" i="1" s="1"/>
  <c r="BD562" i="1"/>
  <c r="BD560" i="1"/>
  <c r="BD557" i="1"/>
  <c r="BD553" i="1"/>
  <c r="BD550" i="1"/>
  <c r="BD543" i="1"/>
  <c r="BC562" i="1"/>
  <c r="BC560" i="1"/>
  <c r="BC557" i="1"/>
  <c r="BC553" i="1"/>
  <c r="BC550" i="1"/>
  <c r="BC543" i="1"/>
  <c r="J562" i="1"/>
  <c r="E562" i="1"/>
  <c r="BL560" i="1"/>
  <c r="J559" i="1"/>
  <c r="BL557" i="1"/>
  <c r="J556" i="1"/>
  <c r="BL553" i="1"/>
  <c r="J552" i="1"/>
  <c r="AY551" i="1"/>
  <c r="BL550" i="1"/>
  <c r="J550" i="1"/>
  <c r="J543" i="1"/>
  <c r="J576" i="1" s="1"/>
  <c r="J547" i="1"/>
  <c r="AY548" i="1"/>
  <c r="BL547" i="1"/>
  <c r="BL543" i="1"/>
  <c r="BL545" i="1"/>
  <c r="BL585" i="1"/>
  <c r="AY529" i="1"/>
  <c r="AQ513" i="1"/>
  <c r="AQ514" i="1"/>
  <c r="AQ518" i="1"/>
  <c r="AQ519" i="1"/>
  <c r="AQ525" i="1"/>
  <c r="AQ527" i="1"/>
  <c r="AQ529" i="1"/>
  <c r="AQ530" i="1" s="1"/>
  <c r="BF525" i="1" s="1"/>
  <c r="AR527" i="1"/>
  <c r="AR525" i="1"/>
  <c r="BI522" i="1"/>
  <c r="BH522" i="1"/>
  <c r="BG522" i="1"/>
  <c r="BF522" i="1"/>
  <c r="BE522" i="1"/>
  <c r="BD498" i="1"/>
  <c r="BD521" i="1" s="1"/>
  <c r="BD499" i="1"/>
  <c r="BD502" i="1"/>
  <c r="BD503" i="1"/>
  <c r="BD497" i="1"/>
  <c r="BD494" i="1"/>
  <c r="BD490" i="1"/>
  <c r="BD485" i="1"/>
  <c r="BD487" i="1" s="1"/>
  <c r="BD480" i="1"/>
  <c r="AR522" i="1"/>
  <c r="BL521" i="1"/>
  <c r="BD523" i="1"/>
  <c r="BF521" i="1"/>
  <c r="AR520" i="1"/>
  <c r="AR518" i="1"/>
  <c r="AR514" i="1"/>
  <c r="AR513" i="1"/>
  <c r="AR529" i="1" s="1"/>
  <c r="AR512" i="1"/>
  <c r="AR502" i="1"/>
  <c r="AR485" i="1"/>
  <c r="AR530" i="1"/>
  <c r="BF526" i="1" s="1"/>
  <c r="AY512" i="1"/>
  <c r="AQ512" i="1"/>
  <c r="J512" i="1"/>
  <c r="C511" i="1"/>
  <c r="B511" i="1"/>
  <c r="AM510" i="1"/>
  <c r="AI510" i="1"/>
  <c r="AH510" i="1"/>
  <c r="G510" i="1"/>
  <c r="G511" i="1" s="1"/>
  <c r="G508" i="1"/>
  <c r="G500" i="1"/>
  <c r="G502" i="1"/>
  <c r="G503" i="1"/>
  <c r="G513" i="1" s="1"/>
  <c r="G498" i="1"/>
  <c r="G494" i="1"/>
  <c r="G496" i="1" s="1"/>
  <c r="G495" i="1"/>
  <c r="G489" i="1"/>
  <c r="G479" i="1"/>
  <c r="G493" i="1"/>
  <c r="J508" i="1"/>
  <c r="E508" i="1"/>
  <c r="C508" i="1"/>
  <c r="C503" i="1"/>
  <c r="C499" i="1"/>
  <c r="C496" i="1"/>
  <c r="C493" i="1"/>
  <c r="C490" i="1"/>
  <c r="C513" i="1"/>
  <c r="BD529" i="1" s="1"/>
  <c r="B508" i="1"/>
  <c r="N500" i="1"/>
  <c r="N495" i="1"/>
  <c r="N488" i="1"/>
  <c r="N506" i="1"/>
  <c r="J504" i="1"/>
  <c r="B503" i="1"/>
  <c r="B513" i="1" s="1"/>
  <c r="BD528" i="1" s="1"/>
  <c r="BC502" i="1"/>
  <c r="AY502" i="1"/>
  <c r="AT502" i="1"/>
  <c r="AQ502" i="1"/>
  <c r="AC500" i="1"/>
  <c r="AC487" i="1"/>
  <c r="AC510" i="1"/>
  <c r="BG528" i="1" s="1"/>
  <c r="S500" i="1"/>
  <c r="S506" i="1" s="1"/>
  <c r="S495" i="1"/>
  <c r="R500" i="1"/>
  <c r="M500" i="1"/>
  <c r="BC499" i="1"/>
  <c r="J499" i="1"/>
  <c r="E499" i="1"/>
  <c r="B499" i="1"/>
  <c r="AD498" i="1"/>
  <c r="AD500" i="1" s="1"/>
  <c r="AD510" i="1" s="1"/>
  <c r="BG529" i="1" s="1"/>
  <c r="AD487" i="1"/>
  <c r="BL497" i="1"/>
  <c r="BC497" i="1"/>
  <c r="J496" i="1"/>
  <c r="B496" i="1"/>
  <c r="R495" i="1"/>
  <c r="R506" i="1" s="1"/>
  <c r="M495" i="1"/>
  <c r="BL494" i="1"/>
  <c r="BC494" i="1"/>
  <c r="J493" i="1"/>
  <c r="E493" i="1"/>
  <c r="B493" i="1"/>
  <c r="BL490" i="1"/>
  <c r="BC490" i="1"/>
  <c r="B490" i="1"/>
  <c r="J489" i="1"/>
  <c r="AY488" i="1"/>
  <c r="AY530" i="1" s="1"/>
  <c r="M488" i="1"/>
  <c r="BL487" i="1"/>
  <c r="J487" i="1"/>
  <c r="BC485" i="1"/>
  <c r="BC487" i="1" s="1"/>
  <c r="AY485" i="1"/>
  <c r="AQ485" i="1"/>
  <c r="BL484" i="1"/>
  <c r="J484" i="1"/>
  <c r="BL482" i="1"/>
  <c r="BL480" i="1"/>
  <c r="BC480" i="1"/>
  <c r="J480" i="1"/>
  <c r="AR449" i="1"/>
  <c r="AR465" i="1" s="1"/>
  <c r="AR450" i="1"/>
  <c r="AR453" i="1"/>
  <c r="AR454" i="1"/>
  <c r="AR458" i="1"/>
  <c r="AR461" i="1"/>
  <c r="AR448" i="1"/>
  <c r="AR438" i="1"/>
  <c r="AR421" i="1"/>
  <c r="AQ461" i="1"/>
  <c r="BL457" i="1"/>
  <c r="BD459" i="1" s="1"/>
  <c r="BI458" i="1"/>
  <c r="BH458" i="1"/>
  <c r="BG458" i="1"/>
  <c r="BF458" i="1"/>
  <c r="BE458" i="1"/>
  <c r="BC435" i="1"/>
  <c r="BC438" i="1"/>
  <c r="BC439" i="1"/>
  <c r="BC442" i="1"/>
  <c r="BC457" i="1"/>
  <c r="BC432" i="1"/>
  <c r="BC433" i="1" s="1"/>
  <c r="BC430" i="1"/>
  <c r="BC426" i="1"/>
  <c r="BC423" i="1"/>
  <c r="BC416" i="1"/>
  <c r="AC436" i="1"/>
  <c r="AC446" i="1" s="1"/>
  <c r="BG464" i="1" s="1"/>
  <c r="AC423" i="1"/>
  <c r="B445" i="1"/>
  <c r="B446" i="1"/>
  <c r="B447" i="1"/>
  <c r="B449" i="1" s="1"/>
  <c r="BD464" i="1" s="1"/>
  <c r="B444" i="1"/>
  <c r="B439" i="1"/>
  <c r="B435" i="1"/>
  <c r="B432" i="1"/>
  <c r="B429" i="1"/>
  <c r="B426" i="1"/>
  <c r="AQ458" i="1"/>
  <c r="AQ465" i="1" s="1"/>
  <c r="BF457" i="1"/>
  <c r="AQ454" i="1"/>
  <c r="AV452" i="1"/>
  <c r="AY465" i="1"/>
  <c r="AY421" i="1"/>
  <c r="AY424" i="1"/>
  <c r="AY438" i="1"/>
  <c r="AY448" i="1"/>
  <c r="AQ450" i="1"/>
  <c r="AQ449" i="1"/>
  <c r="AQ448" i="1"/>
  <c r="AQ438" i="1"/>
  <c r="AQ421" i="1"/>
  <c r="J448" i="1"/>
  <c r="AM446" i="1"/>
  <c r="AI446" i="1"/>
  <c r="AH446" i="1"/>
  <c r="G446" i="1"/>
  <c r="G447" i="1" s="1"/>
  <c r="G449" i="1" s="1"/>
  <c r="G444" i="1"/>
  <c r="G436" i="1"/>
  <c r="G439" i="1" s="1"/>
  <c r="G438" i="1"/>
  <c r="G434" i="1"/>
  <c r="G430" i="1"/>
  <c r="G431" i="1"/>
  <c r="G432" i="1"/>
  <c r="G425" i="1"/>
  <c r="G415" i="1"/>
  <c r="G429" i="1"/>
  <c r="C446" i="1"/>
  <c r="C447" i="1"/>
  <c r="C449" i="1" s="1"/>
  <c r="BD465" i="1" s="1"/>
  <c r="C444" i="1"/>
  <c r="C439" i="1"/>
  <c r="C435" i="1"/>
  <c r="C432" i="1"/>
  <c r="C429" i="1"/>
  <c r="C426" i="1"/>
  <c r="J444" i="1"/>
  <c r="E444" i="1"/>
  <c r="E449" i="1" s="1"/>
  <c r="E429" i="1"/>
  <c r="BD442" i="1"/>
  <c r="R436" i="1"/>
  <c r="R431" i="1"/>
  <c r="R442" i="1"/>
  <c r="M436" i="1"/>
  <c r="M442" i="1" s="1"/>
  <c r="M431" i="1"/>
  <c r="M424" i="1"/>
  <c r="J440" i="1"/>
  <c r="BD439" i="1"/>
  <c r="BD438" i="1"/>
  <c r="AT438" i="1"/>
  <c r="AD436" i="1"/>
  <c r="AD423" i="1"/>
  <c r="S436" i="1"/>
  <c r="S431" i="1"/>
  <c r="S442" i="1" s="1"/>
  <c r="N436" i="1"/>
  <c r="N431" i="1"/>
  <c r="N424" i="1"/>
  <c r="BD435" i="1"/>
  <c r="J435" i="1"/>
  <c r="E435" i="1"/>
  <c r="BL433" i="1"/>
  <c r="BD433" i="1"/>
  <c r="J432" i="1"/>
  <c r="BL430" i="1"/>
  <c r="BD430" i="1"/>
  <c r="J429" i="1"/>
  <c r="BL426" i="1"/>
  <c r="BD426" i="1"/>
  <c r="J425" i="1"/>
  <c r="BL423" i="1"/>
  <c r="BD423" i="1"/>
  <c r="J423" i="1"/>
  <c r="BL420" i="1"/>
  <c r="J420" i="1"/>
  <c r="BL418" i="1"/>
  <c r="BL416" i="1"/>
  <c r="BL458" i="1" s="1"/>
  <c r="BD416" i="1"/>
  <c r="J416" i="1"/>
  <c r="J449" i="1" s="1"/>
  <c r="AR391" i="1"/>
  <c r="AQ391" i="1"/>
  <c r="AR389" i="1"/>
  <c r="BI388" i="1"/>
  <c r="BH388" i="1"/>
  <c r="BG388" i="1"/>
  <c r="BF388" i="1"/>
  <c r="BE388" i="1"/>
  <c r="AR388" i="1"/>
  <c r="AQ388" i="1"/>
  <c r="BL387" i="1"/>
  <c r="BD389" i="1"/>
  <c r="BF387" i="1"/>
  <c r="AV387" i="1"/>
  <c r="AR386" i="1"/>
  <c r="AQ386" i="1"/>
  <c r="BD385" i="1"/>
  <c r="AR385" i="1"/>
  <c r="AQ385" i="1"/>
  <c r="AR384" i="1"/>
  <c r="AQ384" i="1"/>
  <c r="AQ383" i="1"/>
  <c r="AV382" i="1"/>
  <c r="AY395" i="1" s="1"/>
  <c r="AY396" i="1" s="1"/>
  <c r="AR380" i="1"/>
  <c r="AQ380" i="1"/>
  <c r="AQ395" i="1" s="1"/>
  <c r="AQ396" i="1" s="1"/>
  <c r="BF391" i="1" s="1"/>
  <c r="AR379" i="1"/>
  <c r="AQ379" i="1"/>
  <c r="AQ378" i="1"/>
  <c r="AQ368" i="1"/>
  <c r="AQ351" i="1"/>
  <c r="C377" i="1"/>
  <c r="C374" i="1"/>
  <c r="C369" i="1"/>
  <c r="C365" i="1"/>
  <c r="C362" i="1"/>
  <c r="C359" i="1"/>
  <c r="C356" i="1"/>
  <c r="AY378" i="1"/>
  <c r="AR378" i="1"/>
  <c r="J378" i="1"/>
  <c r="G377" i="1"/>
  <c r="B377" i="1"/>
  <c r="B374" i="1"/>
  <c r="B369" i="1"/>
  <c r="B365" i="1"/>
  <c r="B362" i="1"/>
  <c r="B359" i="1"/>
  <c r="B356" i="1"/>
  <c r="B379" i="1"/>
  <c r="BD394" i="1" s="1"/>
  <c r="AM376" i="1"/>
  <c r="AI376" i="1"/>
  <c r="AH376" i="1"/>
  <c r="J374" i="1"/>
  <c r="E374" i="1"/>
  <c r="S366" i="1"/>
  <c r="S361" i="1"/>
  <c r="S372" i="1" s="1"/>
  <c r="N366" i="1"/>
  <c r="N372" i="1" s="1"/>
  <c r="N361" i="1"/>
  <c r="N354" i="1"/>
  <c r="J370" i="1"/>
  <c r="BD369" i="1"/>
  <c r="BC369" i="1"/>
  <c r="G369" i="1"/>
  <c r="BD368" i="1"/>
  <c r="BC368" i="1"/>
  <c r="AY368" i="1"/>
  <c r="AT368" i="1"/>
  <c r="AR368" i="1"/>
  <c r="BD366" i="1"/>
  <c r="AD366" i="1"/>
  <c r="AD376" i="1" s="1"/>
  <c r="BG395" i="1" s="1"/>
  <c r="AC366" i="1"/>
  <c r="AC376" i="1" s="1"/>
  <c r="BG394" i="1" s="1"/>
  <c r="AC353" i="1"/>
  <c r="R366" i="1"/>
  <c r="M366" i="1"/>
  <c r="BD365" i="1"/>
  <c r="BC365" i="1"/>
  <c r="BC387" i="1" s="1"/>
  <c r="J365" i="1"/>
  <c r="E365" i="1"/>
  <c r="G364" i="1"/>
  <c r="BL363" i="1"/>
  <c r="BD363" i="1"/>
  <c r="BC363" i="1"/>
  <c r="J362" i="1"/>
  <c r="G362" i="1"/>
  <c r="R361" i="1"/>
  <c r="R372" i="1" s="1"/>
  <c r="M361" i="1"/>
  <c r="BL360" i="1"/>
  <c r="BD360" i="1"/>
  <c r="BC360" i="1"/>
  <c r="J359" i="1"/>
  <c r="G359" i="1"/>
  <c r="E359" i="1"/>
  <c r="E379" i="1" s="1"/>
  <c r="BL356" i="1"/>
  <c r="BD356" i="1"/>
  <c r="BC356" i="1"/>
  <c r="J355" i="1"/>
  <c r="G355" i="1"/>
  <c r="AY354" i="1"/>
  <c r="M354" i="1"/>
  <c r="BL353" i="1"/>
  <c r="BD353" i="1"/>
  <c r="BC353" i="1"/>
  <c r="AD353" i="1"/>
  <c r="J353" i="1"/>
  <c r="AY351" i="1"/>
  <c r="AR351" i="1"/>
  <c r="BL350" i="1"/>
  <c r="J350" i="1"/>
  <c r="BL348" i="1"/>
  <c r="G348" i="1"/>
  <c r="BL346" i="1"/>
  <c r="BD346" i="1"/>
  <c r="BC346" i="1"/>
  <c r="BC388" i="1" s="1"/>
  <c r="BL391" i="1" s="1"/>
  <c r="BJ394" i="1" s="1"/>
  <c r="BL394" i="1" s="1"/>
  <c r="J346" i="1"/>
  <c r="G345" i="1"/>
  <c r="AD295" i="1"/>
  <c r="AD305" i="1" s="1"/>
  <c r="BG324" i="1" s="1"/>
  <c r="AD282" i="1"/>
  <c r="AV311" i="1"/>
  <c r="AY324" i="1"/>
  <c r="AQ309" i="1"/>
  <c r="AQ324" i="1" s="1"/>
  <c r="AQ325" i="1" s="1"/>
  <c r="BF320" i="1" s="1"/>
  <c r="AQ320" i="1"/>
  <c r="AQ307" i="1"/>
  <c r="AQ297" i="1"/>
  <c r="AQ279" i="1"/>
  <c r="AR320" i="1"/>
  <c r="BI317" i="1"/>
  <c r="BH317" i="1"/>
  <c r="BG317" i="1"/>
  <c r="BF317" i="1"/>
  <c r="BE317" i="1"/>
  <c r="AR317" i="1"/>
  <c r="BL316" i="1"/>
  <c r="BD318" i="1"/>
  <c r="BF316" i="1"/>
  <c r="BC294" i="1"/>
  <c r="BC316" i="1" s="1"/>
  <c r="BC317" i="1" s="1"/>
  <c r="BL320" i="1" s="1"/>
  <c r="BJ323" i="1" s="1"/>
  <c r="BC297" i="1"/>
  <c r="AR309" i="1"/>
  <c r="AY307" i="1"/>
  <c r="AR307" i="1"/>
  <c r="J307" i="1"/>
  <c r="C306" i="1"/>
  <c r="B306" i="1"/>
  <c r="AM305" i="1"/>
  <c r="AI305" i="1"/>
  <c r="AH305" i="1"/>
  <c r="AC295" i="1"/>
  <c r="AC305" i="1" s="1"/>
  <c r="BG323" i="1" s="1"/>
  <c r="AC282" i="1"/>
  <c r="G305" i="1"/>
  <c r="BD304" i="1"/>
  <c r="G304" i="1"/>
  <c r="G306" i="1" s="1"/>
  <c r="G298" i="1"/>
  <c r="G290" i="1"/>
  <c r="G291" i="1" s="1"/>
  <c r="G274" i="1"/>
  <c r="J303" i="1"/>
  <c r="E303" i="1"/>
  <c r="C303" i="1"/>
  <c r="B303" i="1"/>
  <c r="B308" i="1" s="1"/>
  <c r="BD323" i="1" s="1"/>
  <c r="BL323" i="1" s="1"/>
  <c r="J299" i="1"/>
  <c r="C298" i="1"/>
  <c r="B298" i="1"/>
  <c r="BD297" i="1"/>
  <c r="AY297" i="1"/>
  <c r="AT297" i="1"/>
  <c r="AR297" i="1"/>
  <c r="AR279" i="1"/>
  <c r="S295" i="1"/>
  <c r="S301" i="1" s="1"/>
  <c r="S290" i="1"/>
  <c r="R295" i="1"/>
  <c r="R290" i="1"/>
  <c r="R301" i="1"/>
  <c r="N295" i="1"/>
  <c r="N301" i="1" s="1"/>
  <c r="M295" i="1"/>
  <c r="BD294" i="1"/>
  <c r="BD316" i="1" s="1"/>
  <c r="BD292" i="1"/>
  <c r="BD289" i="1"/>
  <c r="BD285" i="1"/>
  <c r="BD282" i="1"/>
  <c r="BD275" i="1"/>
  <c r="J294" i="1"/>
  <c r="E294" i="1"/>
  <c r="C294" i="1"/>
  <c r="B294" i="1"/>
  <c r="BL292" i="1"/>
  <c r="BC292" i="1"/>
  <c r="J291" i="1"/>
  <c r="C291" i="1"/>
  <c r="B291" i="1"/>
  <c r="B288" i="1"/>
  <c r="B285" i="1"/>
  <c r="N290" i="1"/>
  <c r="M290" i="1"/>
  <c r="BL289" i="1"/>
  <c r="BC289" i="1"/>
  <c r="J288" i="1"/>
  <c r="E288" i="1"/>
  <c r="E308" i="1"/>
  <c r="C288" i="1"/>
  <c r="C308" i="1" s="1"/>
  <c r="BD324" i="1" s="1"/>
  <c r="BL285" i="1"/>
  <c r="BC285" i="1"/>
  <c r="C285" i="1"/>
  <c r="J284" i="1"/>
  <c r="AY283" i="1"/>
  <c r="N283" i="1"/>
  <c r="M283" i="1"/>
  <c r="BL282" i="1"/>
  <c r="BC282" i="1"/>
  <c r="J282" i="1"/>
  <c r="BL279" i="1"/>
  <c r="BL275" i="1"/>
  <c r="BL277" i="1"/>
  <c r="AY279" i="1"/>
  <c r="AY325" i="1"/>
  <c r="J279" i="1"/>
  <c r="J275" i="1"/>
  <c r="BC275" i="1"/>
  <c r="AV245" i="1"/>
  <c r="AY258" i="1"/>
  <c r="AR254" i="1"/>
  <c r="AQ254" i="1"/>
  <c r="BD253" i="1"/>
  <c r="BL250" i="1"/>
  <c r="BD252" i="1" s="1"/>
  <c r="AR252" i="1"/>
  <c r="BI251" i="1"/>
  <c r="BH251" i="1"/>
  <c r="BG251" i="1"/>
  <c r="BF251" i="1"/>
  <c r="BE251" i="1"/>
  <c r="AR251" i="1"/>
  <c r="AQ251" i="1"/>
  <c r="BF250" i="1"/>
  <c r="AR249" i="1"/>
  <c r="AQ249" i="1"/>
  <c r="AR248" i="1"/>
  <c r="AQ248" i="1"/>
  <c r="AQ258" i="1" s="1"/>
  <c r="AQ259" i="1" s="1"/>
  <c r="BF254" i="1" s="1"/>
  <c r="AR247" i="1"/>
  <c r="AQ247" i="1"/>
  <c r="BD246" i="1"/>
  <c r="AR246" i="1"/>
  <c r="AQ246" i="1"/>
  <c r="AQ243" i="1"/>
  <c r="AQ241" i="1"/>
  <c r="AQ231" i="1"/>
  <c r="AQ213" i="1"/>
  <c r="AR243" i="1"/>
  <c r="AR242" i="1"/>
  <c r="AY241" i="1"/>
  <c r="AR241" i="1"/>
  <c r="J241" i="1"/>
  <c r="C240" i="1"/>
  <c r="C242" i="1" s="1"/>
  <c r="BD258" i="1" s="1"/>
  <c r="B240" i="1"/>
  <c r="BD239" i="1"/>
  <c r="BC239" i="1"/>
  <c r="AM239" i="1"/>
  <c r="AI239" i="1"/>
  <c r="AH239" i="1"/>
  <c r="G239" i="1"/>
  <c r="G238" i="1"/>
  <c r="G240" i="1" s="1"/>
  <c r="BD238" i="1"/>
  <c r="BC238" i="1"/>
  <c r="BD237" i="1"/>
  <c r="BC237" i="1"/>
  <c r="J237" i="1"/>
  <c r="G237" i="1"/>
  <c r="E237" i="1"/>
  <c r="C237" i="1"/>
  <c r="B237" i="1"/>
  <c r="BD235" i="1"/>
  <c r="BD234" i="1"/>
  <c r="BC234" i="1"/>
  <c r="BC233" i="1"/>
  <c r="J233" i="1"/>
  <c r="BD232" i="1"/>
  <c r="BC232" i="1"/>
  <c r="G232" i="1"/>
  <c r="C232" i="1"/>
  <c r="B232" i="1"/>
  <c r="BD231" i="1"/>
  <c r="BD229" i="1"/>
  <c r="BD250" i="1" s="1"/>
  <c r="BD227" i="1"/>
  <c r="BD224" i="1"/>
  <c r="BD220" i="1"/>
  <c r="BD216" i="1"/>
  <c r="BD209" i="1"/>
  <c r="BD251" i="1"/>
  <c r="BL255" i="1" s="1"/>
  <c r="BJ258" i="1" s="1"/>
  <c r="BL258" i="1" s="1"/>
  <c r="BC231" i="1"/>
  <c r="AT231" i="1"/>
  <c r="AR231" i="1"/>
  <c r="BC229" i="1"/>
  <c r="BC250" i="1" s="1"/>
  <c r="BC251" i="1" s="1"/>
  <c r="BL254" i="1" s="1"/>
  <c r="BJ257" i="1" s="1"/>
  <c r="AD229" i="1"/>
  <c r="AD216" i="1"/>
  <c r="AD239" i="1"/>
  <c r="BG258" i="1" s="1"/>
  <c r="AC229" i="1"/>
  <c r="S229" i="1"/>
  <c r="R229" i="1"/>
  <c r="R235" i="1" s="1"/>
  <c r="R224" i="1"/>
  <c r="N229" i="1"/>
  <c r="N235" i="1" s="1"/>
  <c r="M229" i="1"/>
  <c r="M235" i="1" s="1"/>
  <c r="J228" i="1"/>
  <c r="E228" i="1"/>
  <c r="C228" i="1"/>
  <c r="B228" i="1"/>
  <c r="BC227" i="1"/>
  <c r="G227" i="1"/>
  <c r="BJ226" i="1"/>
  <c r="BL227" i="1" s="1"/>
  <c r="AV225" i="1"/>
  <c r="J225" i="1"/>
  <c r="C225" i="1"/>
  <c r="B225" i="1"/>
  <c r="BL224" i="1"/>
  <c r="BC224" i="1"/>
  <c r="S224" i="1"/>
  <c r="S235" i="1" s="1"/>
  <c r="N224" i="1"/>
  <c r="M224" i="1"/>
  <c r="G224" i="1"/>
  <c r="G225" i="1" s="1"/>
  <c r="AV223" i="1"/>
  <c r="AY231" i="1" s="1"/>
  <c r="J222" i="1"/>
  <c r="G222" i="1"/>
  <c r="E222" i="1"/>
  <c r="C221" i="1"/>
  <c r="C222" i="1" s="1"/>
  <c r="C219" i="1"/>
  <c r="B222" i="1"/>
  <c r="B242" i="1" s="1"/>
  <c r="BD257" i="1" s="1"/>
  <c r="BL220" i="1"/>
  <c r="BC220" i="1"/>
  <c r="B219" i="1"/>
  <c r="J218" i="1"/>
  <c r="G218" i="1"/>
  <c r="AV217" i="1"/>
  <c r="AY217" i="1"/>
  <c r="N217" i="1"/>
  <c r="M217" i="1"/>
  <c r="BL216" i="1"/>
  <c r="BC216" i="1"/>
  <c r="AR216" i="1"/>
  <c r="AC216" i="1"/>
  <c r="J216" i="1"/>
  <c r="BL213" i="1"/>
  <c r="AY213" i="1"/>
  <c r="AR213" i="1"/>
  <c r="J213" i="1"/>
  <c r="BL211" i="1"/>
  <c r="BL209" i="1"/>
  <c r="BC209" i="1"/>
  <c r="J209" i="1"/>
  <c r="J242" i="1" s="1"/>
  <c r="G208" i="1"/>
  <c r="AR188" i="1"/>
  <c r="AQ188" i="1"/>
  <c r="BI185" i="1"/>
  <c r="BH185" i="1"/>
  <c r="BG185" i="1"/>
  <c r="BF185" i="1"/>
  <c r="BE185" i="1"/>
  <c r="AV185" i="1"/>
  <c r="AR185" i="1"/>
  <c r="AQ185" i="1"/>
  <c r="BL184" i="1"/>
  <c r="BD186" i="1" s="1"/>
  <c r="BF184" i="1"/>
  <c r="AV184" i="1"/>
  <c r="AR183" i="1"/>
  <c r="AQ183" i="1"/>
  <c r="BD182" i="1"/>
  <c r="AR182" i="1"/>
  <c r="AQ182" i="1"/>
  <c r="BD181" i="1"/>
  <c r="AV181" i="1"/>
  <c r="AR181" i="1"/>
  <c r="AR176" i="1"/>
  <c r="AR177" i="1"/>
  <c r="AR180" i="1"/>
  <c r="AR175" i="1"/>
  <c r="AR165" i="1"/>
  <c r="AR147" i="1"/>
  <c r="AQ181" i="1"/>
  <c r="AQ180" i="1"/>
  <c r="AV179" i="1"/>
  <c r="AY147" i="1"/>
  <c r="AY151" i="1"/>
  <c r="AY165" i="1"/>
  <c r="AY175" i="1"/>
  <c r="AQ177" i="1"/>
  <c r="AQ176" i="1"/>
  <c r="AQ175" i="1"/>
  <c r="AQ165" i="1"/>
  <c r="AQ147" i="1"/>
  <c r="J175" i="1"/>
  <c r="C174" i="1"/>
  <c r="C176" i="1" s="1"/>
  <c r="BD192" i="1" s="1"/>
  <c r="B174" i="1"/>
  <c r="B171" i="1"/>
  <c r="B166" i="1"/>
  <c r="B162" i="1"/>
  <c r="B159" i="1"/>
  <c r="B176" i="1" s="1"/>
  <c r="BD191" i="1" s="1"/>
  <c r="B156" i="1"/>
  <c r="B153" i="1"/>
  <c r="AM173" i="1"/>
  <c r="AI173" i="1"/>
  <c r="AH173" i="1"/>
  <c r="G172" i="1"/>
  <c r="G174" i="1" s="1"/>
  <c r="G176" i="1" s="1"/>
  <c r="J171" i="1"/>
  <c r="G171" i="1"/>
  <c r="E171" i="1"/>
  <c r="C171" i="1"/>
  <c r="BD169" i="1"/>
  <c r="BC169" i="1"/>
  <c r="J167" i="1"/>
  <c r="BD166" i="1"/>
  <c r="BC166" i="1"/>
  <c r="C166" i="1"/>
  <c r="BD165" i="1"/>
  <c r="BC165" i="1"/>
  <c r="AT165" i="1"/>
  <c r="G165" i="1"/>
  <c r="BD163" i="1"/>
  <c r="BD184" i="1" s="1"/>
  <c r="BD185" i="1" s="1"/>
  <c r="BL189" i="1" s="1"/>
  <c r="BJ192" i="1" s="1"/>
  <c r="BL192" i="1" s="1"/>
  <c r="BC163" i="1"/>
  <c r="BC184" i="1" s="1"/>
  <c r="BC162" i="1"/>
  <c r="BC161" i="1"/>
  <c r="BC158" i="1"/>
  <c r="BC154" i="1"/>
  <c r="BC150" i="1"/>
  <c r="BC143" i="1"/>
  <c r="BC185" i="1"/>
  <c r="BL188" i="1" s="1"/>
  <c r="BJ191" i="1" s="1"/>
  <c r="BL191" i="1" s="1"/>
  <c r="AC163" i="1"/>
  <c r="AC173" i="1" s="1"/>
  <c r="BG191" i="1" s="1"/>
  <c r="AC150" i="1"/>
  <c r="AD163" i="1"/>
  <c r="S163" i="1"/>
  <c r="S158" i="1"/>
  <c r="S169" i="1" s="1"/>
  <c r="R163" i="1"/>
  <c r="R169" i="1" s="1"/>
  <c r="R158" i="1"/>
  <c r="N163" i="1"/>
  <c r="M163" i="1"/>
  <c r="M169" i="1" s="1"/>
  <c r="M158" i="1"/>
  <c r="M151" i="1"/>
  <c r="G163" i="1"/>
  <c r="G166" i="1" s="1"/>
  <c r="BD162" i="1"/>
  <c r="BD161" i="1"/>
  <c r="BD158" i="1"/>
  <c r="BD154" i="1"/>
  <c r="BD150" i="1"/>
  <c r="BD143" i="1"/>
  <c r="AD150" i="1"/>
  <c r="AD173" i="1" s="1"/>
  <c r="BG192" i="1" s="1"/>
  <c r="J162" i="1"/>
  <c r="E162" i="1"/>
  <c r="C162" i="1"/>
  <c r="C159" i="1"/>
  <c r="C156" i="1"/>
  <c r="C153" i="1"/>
  <c r="G161" i="1"/>
  <c r="BJ160" i="1"/>
  <c r="BL161" i="1" s="1"/>
  <c r="J159" i="1"/>
  <c r="G159" i="1"/>
  <c r="BL158" i="1"/>
  <c r="N158" i="1"/>
  <c r="N150" i="1"/>
  <c r="N151" i="1" s="1"/>
  <c r="J156" i="1"/>
  <c r="G156" i="1"/>
  <c r="E156" i="1"/>
  <c r="E176" i="1"/>
  <c r="BL154" i="1"/>
  <c r="J152" i="1"/>
  <c r="G152" i="1"/>
  <c r="BL150" i="1"/>
  <c r="J150" i="1"/>
  <c r="BL147" i="1"/>
  <c r="J147" i="1"/>
  <c r="BL145" i="1"/>
  <c r="BL185" i="1" s="1"/>
  <c r="BL143" i="1"/>
  <c r="J143" i="1"/>
  <c r="G142" i="1"/>
  <c r="AY125" i="1"/>
  <c r="AR121" i="1"/>
  <c r="AQ121" i="1"/>
  <c r="AQ125" i="1" s="1"/>
  <c r="AQ126" i="1" s="1"/>
  <c r="BF121" i="1" s="1"/>
  <c r="BL117" i="1"/>
  <c r="BD119" i="1"/>
  <c r="BI118" i="1"/>
  <c r="BH118" i="1"/>
  <c r="BG118" i="1"/>
  <c r="BF118" i="1"/>
  <c r="BE118" i="1"/>
  <c r="AR118" i="1"/>
  <c r="AR125" i="1" s="1"/>
  <c r="AR126" i="1" s="1"/>
  <c r="BF122" i="1" s="1"/>
  <c r="BF117" i="1"/>
  <c r="BC96" i="1"/>
  <c r="BC117" i="1" s="1"/>
  <c r="BC118" i="1" s="1"/>
  <c r="BL121" i="1" s="1"/>
  <c r="BJ124" i="1" s="1"/>
  <c r="BC98" i="1"/>
  <c r="BC105" i="1"/>
  <c r="BC94" i="1"/>
  <c r="BC91" i="1"/>
  <c r="BC87" i="1"/>
  <c r="BC83" i="1"/>
  <c r="AC96" i="1"/>
  <c r="AC83" i="1"/>
  <c r="AC106" i="1"/>
  <c r="BG124" i="1"/>
  <c r="AR116" i="1"/>
  <c r="AQ116" i="1"/>
  <c r="BD115" i="1"/>
  <c r="AR114" i="1"/>
  <c r="AQ114" i="1"/>
  <c r="AR113" i="1"/>
  <c r="AR110" i="1"/>
  <c r="AR108" i="1"/>
  <c r="AR98" i="1"/>
  <c r="AR80" i="1"/>
  <c r="AQ110" i="1"/>
  <c r="AQ108" i="1"/>
  <c r="AQ98" i="1"/>
  <c r="AQ80" i="1"/>
  <c r="AY108" i="1"/>
  <c r="J108" i="1"/>
  <c r="C107" i="1"/>
  <c r="C109" i="1" s="1"/>
  <c r="BD125" i="1" s="1"/>
  <c r="B107" i="1"/>
  <c r="B104" i="1"/>
  <c r="B99" i="1"/>
  <c r="B95" i="1"/>
  <c r="B92" i="1"/>
  <c r="B89" i="1"/>
  <c r="B86" i="1"/>
  <c r="B109" i="1"/>
  <c r="BD124" i="1" s="1"/>
  <c r="AM106" i="1"/>
  <c r="AI106" i="1"/>
  <c r="AH106" i="1"/>
  <c r="AD96" i="1"/>
  <c r="AD83" i="1"/>
  <c r="AD106" i="1"/>
  <c r="BG125" i="1"/>
  <c r="BD105" i="1"/>
  <c r="BD117" i="1" s="1"/>
  <c r="G105" i="1"/>
  <c r="G107" i="1"/>
  <c r="G109" i="1" s="1"/>
  <c r="J104" i="1"/>
  <c r="G104" i="1"/>
  <c r="E104" i="1"/>
  <c r="E89" i="1"/>
  <c r="E109" i="1"/>
  <c r="C104" i="1"/>
  <c r="C99" i="1"/>
  <c r="C95" i="1"/>
  <c r="C92" i="1"/>
  <c r="C89" i="1"/>
  <c r="C86" i="1"/>
  <c r="N96" i="1"/>
  <c r="N102" i="1" s="1"/>
  <c r="N91" i="1"/>
  <c r="N84" i="1"/>
  <c r="J100" i="1"/>
  <c r="G99" i="1"/>
  <c r="BD98" i="1"/>
  <c r="AY98" i="1"/>
  <c r="AT98" i="1"/>
  <c r="BD96" i="1"/>
  <c r="BD94" i="1"/>
  <c r="BD91" i="1"/>
  <c r="BD87" i="1"/>
  <c r="BD83" i="1"/>
  <c r="BD118" i="1"/>
  <c r="BL122" i="1" s="1"/>
  <c r="BJ125" i="1" s="1"/>
  <c r="BL125" i="1" s="1"/>
  <c r="S96" i="1"/>
  <c r="S102" i="1" s="1"/>
  <c r="S91" i="1"/>
  <c r="R96" i="1"/>
  <c r="M96" i="1"/>
  <c r="M91" i="1"/>
  <c r="M84" i="1"/>
  <c r="J95" i="1"/>
  <c r="E95" i="1"/>
  <c r="BL94" i="1"/>
  <c r="G94" i="1"/>
  <c r="J92" i="1"/>
  <c r="BL91" i="1"/>
  <c r="R91" i="1"/>
  <c r="R102" i="1"/>
  <c r="G91" i="1"/>
  <c r="G92" i="1" s="1"/>
  <c r="G90" i="1"/>
  <c r="J89" i="1"/>
  <c r="G89" i="1"/>
  <c r="BL87" i="1"/>
  <c r="J85" i="1"/>
  <c r="G85" i="1"/>
  <c r="AY84" i="1"/>
  <c r="BL83" i="1"/>
  <c r="J83" i="1"/>
  <c r="G82" i="1"/>
  <c r="BL80" i="1"/>
  <c r="AY80" i="1"/>
  <c r="J80" i="1"/>
  <c r="BL78" i="1"/>
  <c r="BL118" i="1" s="1"/>
  <c r="BL76" i="1"/>
  <c r="J76" i="1"/>
  <c r="J109" i="1"/>
  <c r="G75" i="1"/>
  <c r="AR45" i="1"/>
  <c r="AR46" i="1"/>
  <c r="AR50" i="1"/>
  <c r="AR51" i="1"/>
  <c r="AR52" i="1"/>
  <c r="AR54" i="1"/>
  <c r="AR57" i="1"/>
  <c r="AR61" i="1" s="1"/>
  <c r="AR62" i="1" s="1"/>
  <c r="BF58" i="1" s="1"/>
  <c r="AR44" i="1"/>
  <c r="AR33" i="1"/>
  <c r="AR34" i="1" s="1"/>
  <c r="AR16" i="1"/>
  <c r="AQ57" i="1"/>
  <c r="BD56" i="1"/>
  <c r="AQ55" i="1"/>
  <c r="BI54" i="1"/>
  <c r="BH54" i="1"/>
  <c r="BG54" i="1"/>
  <c r="BF54" i="1"/>
  <c r="BE54" i="1"/>
  <c r="AQ54" i="1"/>
  <c r="AQ61" i="1" s="1"/>
  <c r="AQ62" i="1" s="1"/>
  <c r="BF57" i="1" s="1"/>
  <c r="BL53" i="1"/>
  <c r="BD55" i="1" s="1"/>
  <c r="BF53" i="1"/>
  <c r="AQ52" i="1"/>
  <c r="BD50" i="1"/>
  <c r="AQ50" i="1"/>
  <c r="BC48" i="1"/>
  <c r="AV48" i="1"/>
  <c r="AV47" i="1"/>
  <c r="AY61" i="1" s="1"/>
  <c r="BD47" i="1"/>
  <c r="AQ46" i="1"/>
  <c r="BD45" i="1"/>
  <c r="BC45" i="1"/>
  <c r="AQ45" i="1"/>
  <c r="AQ44" i="1"/>
  <c r="AQ25" i="1"/>
  <c r="AQ34" i="1"/>
  <c r="AQ16" i="1"/>
  <c r="AY44" i="1"/>
  <c r="J44" i="1"/>
  <c r="C43" i="1"/>
  <c r="C45" i="1" s="1"/>
  <c r="BD61" i="1" s="1"/>
  <c r="B43" i="1"/>
  <c r="B40" i="1"/>
  <c r="B35" i="1"/>
  <c r="B31" i="1"/>
  <c r="B28" i="1"/>
  <c r="B24" i="1"/>
  <c r="B45" i="1"/>
  <c r="BD60" i="1"/>
  <c r="AM42" i="1"/>
  <c r="AI42" i="1"/>
  <c r="AH42" i="1"/>
  <c r="AD32" i="1"/>
  <c r="AD19" i="1"/>
  <c r="AD42" i="1"/>
  <c r="BG61" i="1"/>
  <c r="G42" i="1"/>
  <c r="BD41" i="1"/>
  <c r="G41" i="1"/>
  <c r="J40" i="1"/>
  <c r="G40" i="1"/>
  <c r="E40" i="1"/>
  <c r="E24" i="1"/>
  <c r="E45" i="1" s="1"/>
  <c r="C40" i="1"/>
  <c r="C35" i="1"/>
  <c r="C31" i="1"/>
  <c r="C28" i="1"/>
  <c r="C24" i="1"/>
  <c r="BD38" i="1"/>
  <c r="BD53" i="1" s="1"/>
  <c r="BD54" i="1" s="1"/>
  <c r="BL58" i="1" s="1"/>
  <c r="BJ61" i="1" s="1"/>
  <c r="BC38" i="1"/>
  <c r="S32" i="1"/>
  <c r="S38" i="1" s="1"/>
  <c r="S27" i="1"/>
  <c r="BD37" i="1"/>
  <c r="BC37" i="1"/>
  <c r="BC36" i="1"/>
  <c r="J36" i="1"/>
  <c r="BD35" i="1"/>
  <c r="AY34" i="1"/>
  <c r="AT34" i="1"/>
  <c r="G34" i="1"/>
  <c r="BD33" i="1"/>
  <c r="BD32" i="1"/>
  <c r="BD30" i="1"/>
  <c r="BD26" i="1"/>
  <c r="BD27" i="1"/>
  <c r="BD23" i="1"/>
  <c r="BD19" i="1"/>
  <c r="BC32" i="1"/>
  <c r="BC53" i="1" s="1"/>
  <c r="BC54" i="1" s="1"/>
  <c r="BL57" i="1" s="1"/>
  <c r="BJ60" i="1" s="1"/>
  <c r="BL60" i="1" s="1"/>
  <c r="BC30" i="1"/>
  <c r="BC27" i="1"/>
  <c r="BC23" i="1"/>
  <c r="BC19" i="1"/>
  <c r="AC32" i="1"/>
  <c r="AC42" i="1" s="1"/>
  <c r="BG60" i="1" s="1"/>
  <c r="AC19" i="1"/>
  <c r="R32" i="1"/>
  <c r="R27" i="1"/>
  <c r="R38" i="1"/>
  <c r="N32" i="1"/>
  <c r="M32" i="1"/>
  <c r="M38" i="1" s="1"/>
  <c r="G32" i="1"/>
  <c r="G35" i="1" s="1"/>
  <c r="J31" i="1"/>
  <c r="E31" i="1"/>
  <c r="BL30" i="1"/>
  <c r="G30" i="1"/>
  <c r="J28" i="1"/>
  <c r="BL27" i="1"/>
  <c r="N27" i="1"/>
  <c r="M27" i="1"/>
  <c r="G26" i="1"/>
  <c r="G25" i="1"/>
  <c r="G28" i="1"/>
  <c r="J24" i="1"/>
  <c r="G24" i="1"/>
  <c r="BL23" i="1"/>
  <c r="J21" i="1"/>
  <c r="G21" i="1"/>
  <c r="AY20" i="1"/>
  <c r="N20" i="1"/>
  <c r="N38" i="1"/>
  <c r="M20" i="1"/>
  <c r="BL19" i="1"/>
  <c r="J19" i="1"/>
  <c r="G18" i="1"/>
  <c r="BL16" i="1"/>
  <c r="AY16" i="1"/>
  <c r="J16" i="1"/>
  <c r="BL14" i="1"/>
  <c r="BL54" i="1" s="1"/>
  <c r="BL12" i="1"/>
  <c r="J12" i="1"/>
  <c r="G11" i="1"/>
  <c r="BI148" i="2"/>
  <c r="R624" i="2"/>
  <c r="E244" i="2"/>
  <c r="M497" i="2"/>
  <c r="M372" i="1"/>
  <c r="M301" i="1"/>
  <c r="C639" i="1"/>
  <c r="BD655" i="1"/>
  <c r="B703" i="1"/>
  <c r="BD718" i="1" s="1"/>
  <c r="BL780" i="1"/>
  <c r="BJ783" i="1"/>
  <c r="G768" i="1"/>
  <c r="AC239" i="1"/>
  <c r="BG257" i="1"/>
  <c r="E242" i="1"/>
  <c r="BL388" i="1"/>
  <c r="AR395" i="1"/>
  <c r="AR396" i="1"/>
  <c r="BF392" i="1" s="1"/>
  <c r="M506" i="1"/>
  <c r="E513" i="1"/>
  <c r="E639" i="1"/>
  <c r="BF651" i="1"/>
  <c r="J703" i="1"/>
  <c r="BD387" i="1"/>
  <c r="BD388" i="1"/>
  <c r="BL392" i="1"/>
  <c r="BJ395" i="1" s="1"/>
  <c r="BD457" i="1"/>
  <c r="BD458" i="1" s="1"/>
  <c r="BL462" i="1"/>
  <c r="BL522" i="1"/>
  <c r="BC521" i="1"/>
  <c r="BL648" i="1"/>
  <c r="S632" i="1"/>
  <c r="G639" i="1"/>
  <c r="BC711" i="1"/>
  <c r="BC712" i="1" s="1"/>
  <c r="BL715" i="1" s="1"/>
  <c r="AD700" i="1"/>
  <c r="BG719" i="1" s="1"/>
  <c r="J768" i="1"/>
  <c r="BH341" i="9"/>
  <c r="BH477" i="9"/>
  <c r="BI541" i="9"/>
  <c r="E316" i="9"/>
  <c r="BH22" i="9"/>
  <c r="AJ241" i="9"/>
  <c r="AJ242" i="9" s="1"/>
  <c r="AP249" i="9" s="1"/>
  <c r="AR249" i="9" s="1"/>
  <c r="BH330" i="9"/>
  <c r="AR306" i="9"/>
  <c r="AY122" i="9"/>
  <c r="N388" i="9"/>
  <c r="W640" i="9"/>
  <c r="AZ329" i="9"/>
  <c r="AZ330" i="9" s="1"/>
  <c r="BH334" i="9" s="1"/>
  <c r="AB317" i="9"/>
  <c r="S316" i="9"/>
  <c r="S317" i="9"/>
  <c r="AB320" i="9" s="1"/>
  <c r="Z323" i="9" s="1"/>
  <c r="AB323" i="9" s="1"/>
  <c r="S574" i="9"/>
  <c r="S575" i="9" s="1"/>
  <c r="AB578" i="9" s="1"/>
  <c r="Z581" i="9" s="1"/>
  <c r="AB581" i="9" s="1"/>
  <c r="V769" i="9"/>
  <c r="AY22" i="9"/>
  <c r="BH192" i="9"/>
  <c r="AY465" i="9"/>
  <c r="AY466" i="9" s="1"/>
  <c r="BF472" i="9" s="1"/>
  <c r="BH472" i="9" s="1"/>
  <c r="BI473" i="9" s="1"/>
  <c r="BH476" i="9"/>
  <c r="BI477" i="9" s="1"/>
  <c r="AI433" i="9"/>
  <c r="AI434" i="9"/>
  <c r="AR437" i="9" s="1"/>
  <c r="AZ122" i="9"/>
  <c r="AZ123" i="9" s="1"/>
  <c r="T316" i="9"/>
  <c r="T317" i="9"/>
  <c r="AB321" i="9" s="1"/>
  <c r="Z324" i="9" s="1"/>
  <c r="AB324" i="9" s="1"/>
  <c r="AJ620" i="9"/>
  <c r="AJ621" i="9" s="1"/>
  <c r="N54" i="9"/>
  <c r="AB447" i="9"/>
  <c r="AR186" i="9"/>
  <c r="AR496" i="9"/>
  <c r="BH340" i="9"/>
  <c r="BI341" i="9"/>
  <c r="AZ396" i="9"/>
  <c r="AZ397" i="9"/>
  <c r="BH401" i="9"/>
  <c r="F117" i="9"/>
  <c r="F118" i="9"/>
  <c r="N122" i="9" s="1"/>
  <c r="L125" i="9" s="1"/>
  <c r="N125" i="9" s="1"/>
  <c r="F776" i="9"/>
  <c r="W575" i="9"/>
  <c r="S702" i="9"/>
  <c r="S703" i="9"/>
  <c r="AB706" i="9" s="1"/>
  <c r="AR54" i="9"/>
  <c r="AI241" i="9"/>
  <c r="AI242" i="9"/>
  <c r="AJ433" i="9"/>
  <c r="BI65" i="9"/>
  <c r="F184" i="9"/>
  <c r="F185" i="9" s="1"/>
  <c r="N189" i="9"/>
  <c r="L192" i="9"/>
  <c r="N192" i="9" s="1"/>
  <c r="AZ53" i="9"/>
  <c r="AY53" i="9"/>
  <c r="AZ231" i="9"/>
  <c r="AZ262" i="9"/>
  <c r="BH266" i="9"/>
  <c r="F250" i="9"/>
  <c r="F251" i="9"/>
  <c r="N255" i="9"/>
  <c r="L258" i="9" s="1"/>
  <c r="N258" i="9" s="1"/>
  <c r="E457" i="9"/>
  <c r="N648" i="9"/>
  <c r="E647" i="9"/>
  <c r="AJ53" i="9"/>
  <c r="AJ368" i="9"/>
  <c r="AP375" i="9" s="1"/>
  <c r="AR375" i="9" s="1"/>
  <c r="AR372" i="9"/>
  <c r="AI683" i="9"/>
  <c r="AI746" i="9"/>
  <c r="BH262" i="9"/>
  <c r="E317" i="9"/>
  <c r="N320" i="9"/>
  <c r="L323" i="9" s="1"/>
  <c r="N323" i="9" s="1"/>
  <c r="E776" i="9"/>
  <c r="E777" i="9" s="1"/>
  <c r="N780" i="9" s="1"/>
  <c r="L783" i="9" s="1"/>
  <c r="N783" i="9" s="1"/>
  <c r="T512" i="9"/>
  <c r="T513" i="9"/>
  <c r="AB517" i="9"/>
  <c r="Z520" i="9" s="1"/>
  <c r="AB520" i="9" s="1"/>
  <c r="AB640" i="9"/>
  <c r="N185" i="9"/>
  <c r="E250" i="9"/>
  <c r="E251" i="9" s="1"/>
  <c r="N254" i="9" s="1"/>
  <c r="L257" i="9" s="1"/>
  <c r="N257" i="9" s="1"/>
  <c r="F387" i="9"/>
  <c r="F388" i="9" s="1"/>
  <c r="N392" i="9" s="1"/>
  <c r="L395" i="9" s="1"/>
  <c r="N395" i="9" s="1"/>
  <c r="N458" i="9"/>
  <c r="F777" i="9"/>
  <c r="N781" i="9" s="1"/>
  <c r="L784" i="9" s="1"/>
  <c r="N784" i="9" s="1"/>
  <c r="AB703" i="9"/>
  <c r="AZ465" i="9"/>
  <c r="AZ466" i="9"/>
  <c r="BF473" i="9"/>
  <c r="BH473" i="9" s="1"/>
  <c r="E184" i="9"/>
  <c r="E185" i="9" s="1"/>
  <c r="N188" i="9" s="1"/>
  <c r="L191" i="9" s="1"/>
  <c r="N191" i="9" s="1"/>
  <c r="N522" i="9"/>
  <c r="E521" i="9"/>
  <c r="E522" i="9"/>
  <c r="N525" i="9" s="1"/>
  <c r="L528" i="9" s="1"/>
  <c r="N528" i="9" s="1"/>
  <c r="E584" i="9"/>
  <c r="E585" i="9" s="1"/>
  <c r="N588" i="9" s="1"/>
  <c r="L591" i="9" s="1"/>
  <c r="N591" i="9" s="1"/>
  <c r="T122" i="9"/>
  <c r="T123" i="9"/>
  <c r="AB127" i="9" s="1"/>
  <c r="Z130" i="9" s="1"/>
  <c r="AB130" i="9" s="1"/>
  <c r="Y148" i="9"/>
  <c r="S512" i="9"/>
  <c r="S513" i="9" s="1"/>
  <c r="AB516" i="9" s="1"/>
  <c r="Z519" i="9" s="1"/>
  <c r="AB519" i="9" s="1"/>
  <c r="T574" i="9"/>
  <c r="T575" i="9"/>
  <c r="AB579" i="9" s="1"/>
  <c r="Z582" i="9" s="1"/>
  <c r="AB582" i="9" s="1"/>
  <c r="AR125" i="9"/>
  <c r="AR179" i="9"/>
  <c r="AJ434" i="9"/>
  <c r="AP441" i="9" s="1"/>
  <c r="AR441" i="9" s="1"/>
  <c r="AR557" i="9"/>
  <c r="AJ556" i="9"/>
  <c r="AZ191" i="9"/>
  <c r="E53" i="9"/>
  <c r="E54" i="9" s="1"/>
  <c r="N57" i="9" s="1"/>
  <c r="L60" i="9" s="1"/>
  <c r="N60" i="9" s="1"/>
  <c r="N317" i="9"/>
  <c r="E387" i="9"/>
  <c r="E388" i="9"/>
  <c r="N391" i="9" s="1"/>
  <c r="L394" i="9" s="1"/>
  <c r="N394" i="9" s="1"/>
  <c r="F457" i="9"/>
  <c r="F458" i="9"/>
  <c r="N462" i="9"/>
  <c r="L465" i="9" s="1"/>
  <c r="N465" i="9" s="1"/>
  <c r="F584" i="9"/>
  <c r="F585" i="9" s="1"/>
  <c r="N589" i="9" s="1"/>
  <c r="L592" i="9" s="1"/>
  <c r="N592" i="9" s="1"/>
  <c r="AB54" i="9"/>
  <c r="S53" i="9"/>
  <c r="S54" i="9"/>
  <c r="AB57" i="9" s="1"/>
  <c r="Z60" i="9" s="1"/>
  <c r="AB60" i="9" s="1"/>
  <c r="S446" i="9"/>
  <c r="S447" i="9"/>
  <c r="AB450" i="9" s="1"/>
  <c r="Z453" i="9" s="1"/>
  <c r="AB453" i="9" s="1"/>
  <c r="AI118" i="9"/>
  <c r="AP124" i="9" s="1"/>
  <c r="AR124" i="9" s="1"/>
  <c r="AJ495" i="9"/>
  <c r="AJ496" i="9"/>
  <c r="AP503" i="9" s="1"/>
  <c r="AR503" i="9" s="1"/>
  <c r="AR500" i="9"/>
  <c r="AJ746" i="9"/>
  <c r="BH123" i="9"/>
  <c r="S252" i="9"/>
  <c r="BC268" i="9"/>
  <c r="BF268" i="9" s="1"/>
  <c r="BH268" i="9" s="1"/>
  <c r="BI269" i="9" s="1"/>
  <c r="AY396" i="9"/>
  <c r="AY397" i="9" s="1"/>
  <c r="BH466" i="9"/>
  <c r="E117" i="9"/>
  <c r="E118" i="9"/>
  <c r="N121" i="9" s="1"/>
  <c r="L124" i="9" s="1"/>
  <c r="N124" i="9" s="1"/>
  <c r="F521" i="9"/>
  <c r="F522" i="9"/>
  <c r="N526" i="9" s="1"/>
  <c r="L529" i="9" s="1"/>
  <c r="N529" i="9" s="1"/>
  <c r="N777" i="9"/>
  <c r="T53" i="9"/>
  <c r="T54" i="9"/>
  <c r="AB58" i="9" s="1"/>
  <c r="Z61" i="9" s="1"/>
  <c r="AB61" i="9" s="1"/>
  <c r="T446" i="9"/>
  <c r="T447" i="9"/>
  <c r="AB451" i="9"/>
  <c r="Z454" i="9" s="1"/>
  <c r="AB454" i="9" s="1"/>
  <c r="W703" i="9"/>
  <c r="S768" i="9"/>
  <c r="AR242" i="9"/>
  <c r="AI495" i="9"/>
  <c r="AI496" i="9"/>
  <c r="AP502" i="9" s="1"/>
  <c r="AR502" i="9" s="1"/>
  <c r="AI556" i="9"/>
  <c r="AI557" i="9" s="1"/>
  <c r="AR684" i="9"/>
  <c r="AR747" i="9"/>
  <c r="BI134" i="9"/>
  <c r="AY191" i="9"/>
  <c r="AY192" i="9" s="1"/>
  <c r="AY329" i="9"/>
  <c r="AY330" i="9" s="1"/>
  <c r="F316" i="9"/>
  <c r="F317" i="9" s="1"/>
  <c r="N321" i="9" s="1"/>
  <c r="L324" i="9" s="1"/>
  <c r="N324" i="9" s="1"/>
  <c r="N585" i="9"/>
  <c r="E711" i="9"/>
  <c r="W447" i="9"/>
  <c r="S639" i="9"/>
  <c r="S640" i="9" s="1"/>
  <c r="AB643" i="9" s="1"/>
  <c r="Z646" i="9" s="1"/>
  <c r="AB646" i="9" s="1"/>
  <c r="T769" i="9"/>
  <c r="AB773" i="9" s="1"/>
  <c r="Z776" i="9" s="1"/>
  <c r="AB776" i="9" s="1"/>
  <c r="AI179" i="9"/>
  <c r="AP185" i="9"/>
  <c r="AR185" i="9" s="1"/>
  <c r="AR434" i="9"/>
  <c r="AI620" i="9"/>
  <c r="AI621" i="9" s="1"/>
  <c r="AY123" i="9"/>
  <c r="BH126" i="9"/>
  <c r="AY262" i="9"/>
  <c r="BH265" i="9" s="1"/>
  <c r="BH397" i="9"/>
  <c r="N251" i="9"/>
  <c r="AB123" i="9"/>
  <c r="AB575" i="9"/>
  <c r="T639" i="9"/>
  <c r="T640" i="9"/>
  <c r="AB644" i="9" s="1"/>
  <c r="Z647" i="9" s="1"/>
  <c r="AB647" i="9" s="1"/>
  <c r="AJ305" i="9"/>
  <c r="AJ306" i="9"/>
  <c r="AR310" i="9" s="1"/>
  <c r="AI684" i="9"/>
  <c r="AR687" i="9"/>
  <c r="AJ683" i="9"/>
  <c r="AJ684" i="9" s="1"/>
  <c r="BC269" i="9"/>
  <c r="BF269" i="9" s="1"/>
  <c r="BH269" i="9" s="1"/>
  <c r="T253" i="9"/>
  <c r="AB257" i="9"/>
  <c r="Z260" i="9" s="1"/>
  <c r="AB260" i="9" s="1"/>
  <c r="E458" i="9"/>
  <c r="N461" i="9" s="1"/>
  <c r="L464" i="9" s="1"/>
  <c r="N464" i="9" s="1"/>
  <c r="BI203" i="9"/>
  <c r="AY54" i="9"/>
  <c r="BF60" i="9" s="1"/>
  <c r="BH60" i="9" s="1"/>
  <c r="BI61" i="9" s="1"/>
  <c r="AR182" i="9"/>
  <c r="S253" i="9"/>
  <c r="AB256" i="9" s="1"/>
  <c r="Z259" i="9" s="1"/>
  <c r="AB259" i="9" s="1"/>
  <c r="AP690" i="9"/>
  <c r="AR690" i="9" s="1"/>
  <c r="BH469" i="9"/>
  <c r="AR121" i="9"/>
  <c r="AP248" i="9"/>
  <c r="AR248" i="9"/>
  <c r="AR245" i="9"/>
  <c r="AR438" i="9"/>
  <c r="BF404" i="9"/>
  <c r="BH404" i="9" s="1"/>
  <c r="AP440" i="9"/>
  <c r="AR440" i="9" s="1"/>
  <c r="BH470" i="9"/>
  <c r="N753" i="2" l="1"/>
  <c r="AQ768" i="2"/>
  <c r="BD768" i="2"/>
  <c r="AQ513" i="2"/>
  <c r="BF516" i="2" s="1"/>
  <c r="B567" i="2"/>
  <c r="BD581" i="2" s="1"/>
  <c r="BL769" i="2"/>
  <c r="BL253" i="2"/>
  <c r="B308" i="2"/>
  <c r="BD323" i="2" s="1"/>
  <c r="J439" i="2"/>
  <c r="R431" i="2"/>
  <c r="B176" i="2"/>
  <c r="BD191" i="2" s="1"/>
  <c r="AY131" i="2"/>
  <c r="BG447" i="2"/>
  <c r="AD369" i="2"/>
  <c r="BG388" i="2" s="1"/>
  <c r="S38" i="2"/>
  <c r="E45" i="2"/>
  <c r="N497" i="2"/>
  <c r="AY62" i="2"/>
  <c r="AY381" i="2"/>
  <c r="AD691" i="2"/>
  <c r="BG710" i="2" s="1"/>
  <c r="N237" i="2"/>
  <c r="AR130" i="2"/>
  <c r="C567" i="2"/>
  <c r="BD582" i="2" s="1"/>
  <c r="S237" i="2"/>
  <c r="BG513" i="2"/>
  <c r="AC628" i="2"/>
  <c r="BG646" i="2" s="1"/>
  <c r="BL54" i="2"/>
  <c r="C176" i="2"/>
  <c r="BD192" i="2" s="1"/>
  <c r="M301" i="2"/>
  <c r="BD446" i="2"/>
  <c r="AD241" i="2"/>
  <c r="BG260" i="2" s="1"/>
  <c r="J114" i="2"/>
  <c r="R107" i="2"/>
  <c r="B114" i="2"/>
  <c r="BD129" i="2" s="1"/>
  <c r="G174" i="2"/>
  <c r="R365" i="2"/>
  <c r="BL447" i="2"/>
  <c r="N431" i="2"/>
  <c r="BC446" i="2"/>
  <c r="BC447" i="2" s="1"/>
  <c r="BL450" i="2" s="1"/>
  <c r="J567" i="2"/>
  <c r="AC563" i="2"/>
  <c r="BG581" i="2" s="1"/>
  <c r="AY639" i="2"/>
  <c r="AY640" i="2" s="1"/>
  <c r="BD122" i="2"/>
  <c r="AC241" i="2"/>
  <c r="BG259" i="2" s="1"/>
  <c r="BL317" i="2"/>
  <c r="G291" i="2"/>
  <c r="G308" i="2" s="1"/>
  <c r="J308" i="2"/>
  <c r="J373" i="2"/>
  <c r="AR380" i="2"/>
  <c r="AR381" i="2" s="1"/>
  <c r="BF385" i="2" s="1"/>
  <c r="BG381" i="2"/>
  <c r="AD501" i="2"/>
  <c r="BG520" i="2" s="1"/>
  <c r="AD563" i="2"/>
  <c r="BG582" i="2" s="1"/>
  <c r="AQ574" i="2"/>
  <c r="AQ575" i="2" s="1"/>
  <c r="BF578" i="2" s="1"/>
  <c r="N624" i="2"/>
  <c r="R753" i="2"/>
  <c r="AR768" i="2"/>
  <c r="AR769" i="2" s="1"/>
  <c r="BF773" i="2" s="1"/>
  <c r="AR192" i="2"/>
  <c r="AR193" i="2" s="1"/>
  <c r="BF189" i="2" s="1"/>
  <c r="M237" i="2"/>
  <c r="AY253" i="2"/>
  <c r="B244" i="2"/>
  <c r="BD259" i="2" s="1"/>
  <c r="G373" i="2"/>
  <c r="G505" i="2"/>
  <c r="BC122" i="2"/>
  <c r="BC123" i="2" s="1"/>
  <c r="BL126" i="2" s="1"/>
  <c r="AQ192" i="2"/>
  <c r="AQ193" i="2" s="1"/>
  <c r="BF188" i="2" s="1"/>
  <c r="B373" i="2"/>
  <c r="BD387" i="2" s="1"/>
  <c r="AQ446" i="2"/>
  <c r="AQ447" i="2" s="1"/>
  <c r="BF450" i="2" s="1"/>
  <c r="N559" i="2"/>
  <c r="C761" i="2"/>
  <c r="BD776" i="2" s="1"/>
  <c r="B45" i="2"/>
  <c r="BD60" i="2" s="1"/>
  <c r="AC173" i="2"/>
  <c r="BG191" i="2" s="1"/>
  <c r="S497" i="2"/>
  <c r="AD628" i="2"/>
  <c r="BG647" i="2" s="1"/>
  <c r="AR702" i="2"/>
  <c r="AR703" i="2" s="1"/>
  <c r="BF707" i="2" s="1"/>
  <c r="BJ520" i="2"/>
  <c r="AR61" i="2"/>
  <c r="BD316" i="2"/>
  <c r="BD317" i="2" s="1"/>
  <c r="BL321" i="2" s="1"/>
  <c r="N107" i="2"/>
  <c r="G114" i="2"/>
  <c r="G166" i="2"/>
  <c r="AQ316" i="2"/>
  <c r="AQ317" i="2" s="1"/>
  <c r="BF320" i="2" s="1"/>
  <c r="AY447" i="2"/>
  <c r="M431" i="2"/>
  <c r="AD435" i="2"/>
  <c r="BG454" i="2" s="1"/>
  <c r="M687" i="2"/>
  <c r="AC691" i="2"/>
  <c r="BG709" i="2" s="1"/>
  <c r="BG703" i="2"/>
  <c r="J176" i="2"/>
  <c r="R38" i="2"/>
  <c r="AD42" i="2"/>
  <c r="BG61" i="2" s="1"/>
  <c r="E308" i="2"/>
  <c r="AQ380" i="2"/>
  <c r="AQ381" i="2" s="1"/>
  <c r="BF384" i="2" s="1"/>
  <c r="AY513" i="2"/>
  <c r="C505" i="2"/>
  <c r="BD520" i="2" s="1"/>
  <c r="M753" i="2"/>
  <c r="BC53" i="2"/>
  <c r="BC54" i="2" s="1"/>
  <c r="BL57" i="2" s="1"/>
  <c r="BJ60" i="2" s="1"/>
  <c r="AR62" i="2"/>
  <c r="BF58" i="2" s="1"/>
  <c r="AQ130" i="2"/>
  <c r="AQ131" i="2" s="1"/>
  <c r="BF126" i="2" s="1"/>
  <c r="N169" i="2"/>
  <c r="AY317" i="2"/>
  <c r="AC305" i="2"/>
  <c r="BG323" i="2" s="1"/>
  <c r="BD447" i="2"/>
  <c r="BL451" i="2" s="1"/>
  <c r="G439" i="2"/>
  <c r="C439" i="2"/>
  <c r="BD454" i="2" s="1"/>
  <c r="M559" i="2"/>
  <c r="S753" i="2"/>
  <c r="BD53" i="2"/>
  <c r="BD54" i="2" s="1"/>
  <c r="BL58" i="2" s="1"/>
  <c r="R237" i="2"/>
  <c r="C308" i="2"/>
  <c r="BD324" i="2" s="1"/>
  <c r="AD305" i="2"/>
  <c r="BG324" i="2" s="1"/>
  <c r="N365" i="2"/>
  <c r="BC380" i="2"/>
  <c r="AR446" i="2"/>
  <c r="AR447" i="2" s="1"/>
  <c r="BF451" i="2" s="1"/>
  <c r="BC512" i="2"/>
  <c r="BC513" i="2" s="1"/>
  <c r="BL516" i="2" s="1"/>
  <c r="BJ519" i="2" s="1"/>
  <c r="G567" i="2"/>
  <c r="BD639" i="2"/>
  <c r="BD640" i="2" s="1"/>
  <c r="BL644" i="2" s="1"/>
  <c r="BL703" i="2"/>
  <c r="BD702" i="2"/>
  <c r="BD703" i="2" s="1"/>
  <c r="BL707" i="2" s="1"/>
  <c r="BJ710" i="2" s="1"/>
  <c r="AY769" i="2"/>
  <c r="M107" i="2"/>
  <c r="AD111" i="2"/>
  <c r="BG130" i="2" s="1"/>
  <c r="BD184" i="2"/>
  <c r="BD185" i="2" s="1"/>
  <c r="BL189" i="2" s="1"/>
  <c r="BJ192" i="2" s="1"/>
  <c r="BC252" i="2"/>
  <c r="BC253" i="2" s="1"/>
  <c r="BL256" i="2" s="1"/>
  <c r="BJ259" i="2" s="1"/>
  <c r="BL259" i="2" s="1"/>
  <c r="BC316" i="2"/>
  <c r="BC317" i="2" s="1"/>
  <c r="BL320" i="2" s="1"/>
  <c r="AC369" i="2"/>
  <c r="BG387" i="2" s="1"/>
  <c r="C373" i="2"/>
  <c r="BD388" i="2" s="1"/>
  <c r="E505" i="2"/>
  <c r="BD574" i="2"/>
  <c r="BL575" i="2"/>
  <c r="BC639" i="2"/>
  <c r="BC640" i="2" s="1"/>
  <c r="BL643" i="2" s="1"/>
  <c r="BG640" i="2"/>
  <c r="C695" i="2"/>
  <c r="BD710" i="2" s="1"/>
  <c r="AQ702" i="2"/>
  <c r="AQ703" i="2" s="1"/>
  <c r="BF706" i="2" s="1"/>
  <c r="AR252" i="2"/>
  <c r="AR253" i="2" s="1"/>
  <c r="BF257" i="2" s="1"/>
  <c r="BD380" i="2"/>
  <c r="BD381" i="2" s="1"/>
  <c r="BL385" i="2" s="1"/>
  <c r="BJ388" i="2" s="1"/>
  <c r="BL381" i="2"/>
  <c r="BC574" i="2"/>
  <c r="BC575" i="2" s="1"/>
  <c r="BL578" i="2" s="1"/>
  <c r="BJ581" i="2" s="1"/>
  <c r="BL581" i="2" s="1"/>
  <c r="J632" i="2"/>
  <c r="BL640" i="2"/>
  <c r="AR639" i="2"/>
  <c r="AR640" i="2" s="1"/>
  <c r="BF644" i="2" s="1"/>
  <c r="B761" i="2"/>
  <c r="BD775" i="2" s="1"/>
  <c r="AQ61" i="2"/>
  <c r="AQ62" i="2" s="1"/>
  <c r="BF57" i="2" s="1"/>
  <c r="S107" i="2"/>
  <c r="BC185" i="2"/>
  <c r="BL188" i="2" s="1"/>
  <c r="BJ191" i="2" s="1"/>
  <c r="BL191" i="2" s="1"/>
  <c r="AC435" i="2"/>
  <c r="BG453" i="2" s="1"/>
  <c r="BJ453" i="2" s="1"/>
  <c r="E439" i="2"/>
  <c r="R559" i="2"/>
  <c r="E632" i="2"/>
  <c r="AQ639" i="2"/>
  <c r="AQ640" i="2" s="1"/>
  <c r="BF643" i="2" s="1"/>
  <c r="G695" i="2"/>
  <c r="E695" i="2"/>
  <c r="G756" i="2"/>
  <c r="G761" i="2" s="1"/>
  <c r="M169" i="2"/>
  <c r="G176" i="2"/>
  <c r="J244" i="2"/>
  <c r="E373" i="2"/>
  <c r="R497" i="2"/>
  <c r="J505" i="2"/>
  <c r="B505" i="2"/>
  <c r="BD519" i="2" s="1"/>
  <c r="S559" i="2"/>
  <c r="AY574" i="2"/>
  <c r="AY575" i="2" s="1"/>
  <c r="S624" i="2"/>
  <c r="BF130" i="9"/>
  <c r="BH130" i="9" s="1"/>
  <c r="BH127" i="9"/>
  <c r="BL185" i="2"/>
  <c r="AR688" i="9"/>
  <c r="AP691" i="9"/>
  <c r="AR691" i="9" s="1"/>
  <c r="BF198" i="9"/>
  <c r="BH198" i="9" s="1"/>
  <c r="BI199" i="9" s="1"/>
  <c r="BH195" i="9"/>
  <c r="AR750" i="9"/>
  <c r="AP753" i="9"/>
  <c r="AR753" i="9" s="1"/>
  <c r="BL61" i="1"/>
  <c r="AR309" i="9"/>
  <c r="AP312" i="9"/>
  <c r="AR312" i="9" s="1"/>
  <c r="AP563" i="9"/>
  <c r="AR563" i="9" s="1"/>
  <c r="AR560" i="9"/>
  <c r="AR625" i="9"/>
  <c r="AP628" i="9"/>
  <c r="AR628" i="9" s="1"/>
  <c r="BL257" i="1"/>
  <c r="AP564" i="9"/>
  <c r="AR564" i="9" s="1"/>
  <c r="AR561" i="9"/>
  <c r="AP754" i="9"/>
  <c r="AR754" i="9" s="1"/>
  <c r="AR751" i="9"/>
  <c r="AP627" i="9"/>
  <c r="AR627" i="9" s="1"/>
  <c r="AR624" i="9"/>
  <c r="BH400" i="9"/>
  <c r="BF403" i="9"/>
  <c r="BH403" i="9" s="1"/>
  <c r="BI404" i="9" s="1"/>
  <c r="BL124" i="1"/>
  <c r="BF336" i="9"/>
  <c r="BH336" i="9" s="1"/>
  <c r="BI337" i="9" s="1"/>
  <c r="BH333" i="9"/>
  <c r="AP60" i="9"/>
  <c r="AR60" i="9" s="1"/>
  <c r="AV62" i="9" s="1"/>
  <c r="AR57" i="9"/>
  <c r="AP374" i="9"/>
  <c r="AR374" i="9" s="1"/>
  <c r="AR371" i="9"/>
  <c r="BH196" i="9"/>
  <c r="BF199" i="9"/>
  <c r="BH199" i="9" s="1"/>
  <c r="E648" i="9"/>
  <c r="N651" i="9" s="1"/>
  <c r="L654" i="9" s="1"/>
  <c r="N654" i="9" s="1"/>
  <c r="Z709" i="9"/>
  <c r="AB709" i="9" s="1"/>
  <c r="G43" i="1"/>
  <c r="G45" i="1" s="1"/>
  <c r="M102" i="1"/>
  <c r="AY192" i="1"/>
  <c r="AY193" i="1" s="1"/>
  <c r="C379" i="1"/>
  <c r="BD395" i="1" s="1"/>
  <c r="BL395" i="1" s="1"/>
  <c r="AD446" i="1"/>
  <c r="BG465" i="1" s="1"/>
  <c r="BJ465" i="1" s="1"/>
  <c r="BL465" i="1" s="1"/>
  <c r="BC458" i="1"/>
  <c r="BL461" i="1" s="1"/>
  <c r="BJ464" i="1" s="1"/>
  <c r="BL464" i="1" s="1"/>
  <c r="L182" i="6"/>
  <c r="BH57" i="9"/>
  <c r="AR246" i="9"/>
  <c r="S122" i="9"/>
  <c r="S123" i="9" s="1"/>
  <c r="AB126" i="9" s="1"/>
  <c r="Z129" i="9" s="1"/>
  <c r="AB129" i="9" s="1"/>
  <c r="BC522" i="1"/>
  <c r="BL525" i="1" s="1"/>
  <c r="BJ528" i="1" s="1"/>
  <c r="BL528" i="1" s="1"/>
  <c r="AY126" i="1"/>
  <c r="J176" i="1"/>
  <c r="AQ192" i="1"/>
  <c r="AQ193" i="1" s="1"/>
  <c r="BF188" i="1" s="1"/>
  <c r="AR192" i="1"/>
  <c r="AR193" i="1" s="1"/>
  <c r="BF189" i="1" s="1"/>
  <c r="BD317" i="1"/>
  <c r="BL321" i="1" s="1"/>
  <c r="BJ324" i="1" s="1"/>
  <c r="BL324" i="1" s="1"/>
  <c r="G308" i="1"/>
  <c r="J513" i="1"/>
  <c r="E576" i="1"/>
  <c r="AQ785" i="1"/>
  <c r="BF780" i="1" s="1"/>
  <c r="BL251" i="1"/>
  <c r="G242" i="1"/>
  <c r="G379" i="1"/>
  <c r="BE54" i="6"/>
  <c r="BN57" i="6" s="1"/>
  <c r="BF337" i="9"/>
  <c r="BH337" i="9" s="1"/>
  <c r="AY62" i="1"/>
  <c r="AR258" i="1"/>
  <c r="AR259" i="1" s="1"/>
  <c r="BF255" i="1" s="1"/>
  <c r="BL317" i="1"/>
  <c r="BC584" i="1"/>
  <c r="BC585" i="1" s="1"/>
  <c r="BL588" i="1" s="1"/>
  <c r="BJ591" i="1" s="1"/>
  <c r="BD584" i="1"/>
  <c r="BD585" i="1" s="1"/>
  <c r="BL589" i="1" s="1"/>
  <c r="BJ592" i="1" s="1"/>
  <c r="BL592" i="1" s="1"/>
  <c r="AR593" i="1"/>
  <c r="BF589" i="1" s="1"/>
  <c r="B768" i="1"/>
  <c r="BD783" i="1" s="1"/>
  <c r="BL783" i="1" s="1"/>
  <c r="B439" i="2"/>
  <c r="BD453" i="2" s="1"/>
  <c r="BL557" i="3"/>
  <c r="N712" i="9"/>
  <c r="N442" i="1"/>
  <c r="AQ466" i="1"/>
  <c r="BF461" i="1" s="1"/>
  <c r="AR466" i="1"/>
  <c r="BF462" i="1" s="1"/>
  <c r="BD522" i="1"/>
  <c r="BL526" i="1" s="1"/>
  <c r="BJ529" i="1" s="1"/>
  <c r="BL529" i="1" s="1"/>
  <c r="BD712" i="1"/>
  <c r="BL716" i="1" s="1"/>
  <c r="BJ719" i="1" s="1"/>
  <c r="AR131" i="2"/>
  <c r="BF127" i="2" s="1"/>
  <c r="J45" i="1"/>
  <c r="BL655" i="1"/>
  <c r="BL246" i="3"/>
  <c r="BJ249" i="3"/>
  <c r="AR499" i="9"/>
  <c r="AZ54" i="9"/>
  <c r="N169" i="1"/>
  <c r="AY259" i="1"/>
  <c r="J308" i="1"/>
  <c r="AR324" i="1"/>
  <c r="AR325" i="1" s="1"/>
  <c r="BF321" i="1" s="1"/>
  <c r="J379" i="1"/>
  <c r="AY466" i="1"/>
  <c r="C703" i="1"/>
  <c r="BD719" i="1" s="1"/>
  <c r="C632" i="2"/>
  <c r="BD647" i="2" s="1"/>
  <c r="J695" i="2"/>
  <c r="BC702" i="2"/>
  <c r="BC703" i="2" s="1"/>
  <c r="BL706" i="2" s="1"/>
  <c r="N226" i="3"/>
  <c r="AR655" i="1"/>
  <c r="AR656" i="1" s="1"/>
  <c r="BF652" i="1" s="1"/>
  <c r="R696" i="1"/>
  <c r="BD776" i="1"/>
  <c r="BD777" i="1" s="1"/>
  <c r="BL781" i="1" s="1"/>
  <c r="BJ784" i="1" s="1"/>
  <c r="BL784" i="1" s="1"/>
  <c r="M38" i="2"/>
  <c r="AR316" i="2"/>
  <c r="AR317" i="2" s="1"/>
  <c r="BF321" i="2" s="1"/>
  <c r="B632" i="2"/>
  <c r="BD646" i="2" s="1"/>
  <c r="BC769" i="2"/>
  <c r="BL772" i="2" s="1"/>
  <c r="BJ775" i="2" s="1"/>
  <c r="AQ769" i="2"/>
  <c r="BF772" i="2" s="1"/>
  <c r="BL313" i="3"/>
  <c r="BL628" i="3"/>
  <c r="P106" i="6"/>
  <c r="BL472" i="6"/>
  <c r="AQ593" i="1"/>
  <c r="BF588" i="1" s="1"/>
  <c r="BL513" i="2"/>
  <c r="G632" i="2"/>
  <c r="J761" i="2"/>
  <c r="AC167" i="3"/>
  <c r="BG185" i="3" s="1"/>
  <c r="BJ185" i="3" s="1"/>
  <c r="BL185" i="3" s="1"/>
  <c r="AR307" i="3"/>
  <c r="BF310" i="3" s="1"/>
  <c r="BD496" i="3"/>
  <c r="BL500" i="3" s="1"/>
  <c r="G548" i="3"/>
  <c r="AY592" i="1"/>
  <c r="AY593" i="1" s="1"/>
  <c r="B639" i="1"/>
  <c r="BD654" i="1" s="1"/>
  <c r="BL654" i="1" s="1"/>
  <c r="BL712" i="1"/>
  <c r="AC700" i="1"/>
  <c r="BG718" i="1" s="1"/>
  <c r="BJ718" i="1" s="1"/>
  <c r="BL718" i="1" s="1"/>
  <c r="C114" i="2"/>
  <c r="BD130" i="2" s="1"/>
  <c r="BC381" i="2"/>
  <c r="BL384" i="2" s="1"/>
  <c r="BJ387" i="2" s="1"/>
  <c r="BL387" i="2" s="1"/>
  <c r="AR512" i="2"/>
  <c r="AR513" i="2" s="1"/>
  <c r="BF517" i="2" s="1"/>
  <c r="J45" i="3"/>
  <c r="BC306" i="3"/>
  <c r="BL564" i="3"/>
  <c r="AD734" i="3"/>
  <c r="BG754" i="3" s="1"/>
  <c r="BJ754" i="3" s="1"/>
  <c r="BL754" i="3" s="1"/>
  <c r="BN199" i="6"/>
  <c r="J45" i="2"/>
  <c r="G45" i="2"/>
  <c r="BL123" i="2"/>
  <c r="E114" i="2"/>
  <c r="AY193" i="2"/>
  <c r="BD253" i="2"/>
  <c r="BL257" i="2" s="1"/>
  <c r="BJ260" i="2" s="1"/>
  <c r="AQ252" i="2"/>
  <c r="AQ253" i="2" s="1"/>
  <c r="BF256" i="2" s="1"/>
  <c r="C244" i="2"/>
  <c r="BD260" i="2" s="1"/>
  <c r="M365" i="2"/>
  <c r="BD575" i="2"/>
  <c r="BL579" i="2" s="1"/>
  <c r="BJ582" i="2" s="1"/>
  <c r="BL582" i="2" s="1"/>
  <c r="AR574" i="2"/>
  <c r="AR575" i="2" s="1"/>
  <c r="BF579" i="2" s="1"/>
  <c r="BD769" i="2"/>
  <c r="BL773" i="2" s="1"/>
  <c r="BD684" i="3"/>
  <c r="BL688" i="3" s="1"/>
  <c r="BJ691" i="3"/>
  <c r="AQ719" i="1"/>
  <c r="AQ720" i="1" s="1"/>
  <c r="BF715" i="1" s="1"/>
  <c r="BD123" i="2"/>
  <c r="BL127" i="2" s="1"/>
  <c r="G244" i="2"/>
  <c r="BJ503" i="3"/>
  <c r="BL374" i="3"/>
  <c r="BL563" i="3"/>
  <c r="B675" i="3"/>
  <c r="BD690" i="3" s="1"/>
  <c r="BL690" i="3" s="1"/>
  <c r="B576" i="1"/>
  <c r="BD591" i="1" s="1"/>
  <c r="AY785" i="1"/>
  <c r="AR785" i="1"/>
  <c r="BF781" i="1" s="1"/>
  <c r="C45" i="2"/>
  <c r="BD61" i="2" s="1"/>
  <c r="AC111" i="2"/>
  <c r="BG129" i="2" s="1"/>
  <c r="AY703" i="2"/>
  <c r="AD757" i="2"/>
  <c r="BG776" i="2" s="1"/>
  <c r="E109" i="3"/>
  <c r="BL186" i="3"/>
  <c r="N605" i="3"/>
  <c r="BF123" i="6"/>
  <c r="BN127" i="6" s="1"/>
  <c r="BN130" i="6"/>
  <c r="BL118" i="3"/>
  <c r="BC179" i="3"/>
  <c r="BL182" i="3" s="1"/>
  <c r="C359" i="3"/>
  <c r="BD375" i="3" s="1"/>
  <c r="R480" i="3"/>
  <c r="C487" i="3"/>
  <c r="BD503" i="3" s="1"/>
  <c r="BL503" i="3" s="1"/>
  <c r="AQ556" i="3"/>
  <c r="AQ557" i="3" s="1"/>
  <c r="BF560" i="3" s="1"/>
  <c r="J738" i="3"/>
  <c r="BL60" i="6"/>
  <c r="BN60" i="6" s="1"/>
  <c r="AF113" i="6"/>
  <c r="BI130" i="6" s="1"/>
  <c r="BL130" i="6" s="1"/>
  <c r="BL129" i="6"/>
  <c r="D113" i="6"/>
  <c r="BF129" i="6" s="1"/>
  <c r="BN129" i="6" s="1"/>
  <c r="BO130" i="6" s="1"/>
  <c r="AT191" i="6"/>
  <c r="AT192" i="6" s="1"/>
  <c r="BH196" i="6" s="1"/>
  <c r="BE262" i="6"/>
  <c r="BN265" i="6" s="1"/>
  <c r="AS326" i="6"/>
  <c r="BH333" i="6" s="1"/>
  <c r="BL336" i="6"/>
  <c r="BJ441" i="3"/>
  <c r="BL441" i="3" s="1"/>
  <c r="BJ563" i="3"/>
  <c r="AC621" i="3"/>
  <c r="BG627" i="3" s="1"/>
  <c r="BJ627" i="3" s="1"/>
  <c r="BL627" i="3" s="1"/>
  <c r="G612" i="3"/>
  <c r="BC620" i="3"/>
  <c r="BC621" i="3" s="1"/>
  <c r="BL624" i="3" s="1"/>
  <c r="BA54" i="6"/>
  <c r="BA326" i="6"/>
  <c r="O131" i="8"/>
  <c r="BL54" i="3"/>
  <c r="N163" i="3"/>
  <c r="BC242" i="3"/>
  <c r="J297" i="3"/>
  <c r="BC433" i="3"/>
  <c r="BC434" i="3" s="1"/>
  <c r="J487" i="3"/>
  <c r="E44" i="6"/>
  <c r="BF61" i="6" s="1"/>
  <c r="BO134" i="6"/>
  <c r="V62" i="8"/>
  <c r="BC53" i="3"/>
  <c r="BC54" i="3" s="1"/>
  <c r="BL57" i="3" s="1"/>
  <c r="B109" i="3"/>
  <c r="BD124" i="3" s="1"/>
  <c r="BL124" i="3" s="1"/>
  <c r="J170" i="3"/>
  <c r="BC496" i="3"/>
  <c r="AR683" i="3"/>
  <c r="AR684" i="3" s="1"/>
  <c r="BF688" i="3" s="1"/>
  <c r="C675" i="3"/>
  <c r="BD691" i="3" s="1"/>
  <c r="AS123" i="6"/>
  <c r="BH126" i="6" s="1"/>
  <c r="AT123" i="6"/>
  <c r="BH127" i="6" s="1"/>
  <c r="BL268" i="6"/>
  <c r="BN268" i="6" s="1"/>
  <c r="BN336" i="6"/>
  <c r="B45" i="3"/>
  <c r="BD60" i="3" s="1"/>
  <c r="J359" i="3"/>
  <c r="BD368" i="3"/>
  <c r="J675" i="3"/>
  <c r="B738" i="3"/>
  <c r="BD753" i="3" s="1"/>
  <c r="BL753" i="3" s="1"/>
  <c r="AQ745" i="3"/>
  <c r="AQ746" i="3" s="1"/>
  <c r="BF750" i="3" s="1"/>
  <c r="BN54" i="6"/>
  <c r="AT53" i="6"/>
  <c r="AT54" i="6" s="1"/>
  <c r="BH58" i="6" s="1"/>
  <c r="AF44" i="6"/>
  <c r="BI61" i="6" s="1"/>
  <c r="BL61" i="6" s="1"/>
  <c r="BO203" i="6"/>
  <c r="J109" i="3"/>
  <c r="M102" i="3"/>
  <c r="R102" i="3"/>
  <c r="J233" i="3"/>
  <c r="B233" i="3"/>
  <c r="BD248" i="3" s="1"/>
  <c r="C233" i="3"/>
  <c r="BD249" i="3" s="1"/>
  <c r="BL249" i="3" s="1"/>
  <c r="AQ306" i="3"/>
  <c r="AQ307" i="3" s="1"/>
  <c r="BF309" i="3" s="1"/>
  <c r="AY368" i="3"/>
  <c r="AY369" i="3" s="1"/>
  <c r="G487" i="3"/>
  <c r="AQ621" i="3"/>
  <c r="BF624" i="3" s="1"/>
  <c r="AY684" i="3"/>
  <c r="O106" i="6"/>
  <c r="BL199" i="6"/>
  <c r="Z307" i="8"/>
  <c r="BN340" i="6"/>
  <c r="BO341" i="6" s="1"/>
  <c r="AS392" i="6"/>
  <c r="AS393" i="6" s="1"/>
  <c r="BH400" i="6" s="1"/>
  <c r="Y556" i="8"/>
  <c r="Y557" i="8" s="1"/>
  <c r="N639" i="8"/>
  <c r="N640" i="8" s="1"/>
  <c r="V703" i="8"/>
  <c r="I182" i="6"/>
  <c r="BN192" i="6"/>
  <c r="BE191" i="6"/>
  <c r="BE192" i="6" s="1"/>
  <c r="BN262" i="6"/>
  <c r="BF330" i="6"/>
  <c r="BN334" i="6" s="1"/>
  <c r="AE387" i="6"/>
  <c r="BI403" i="6" s="1"/>
  <c r="BL403" i="6" s="1"/>
  <c r="BN403" i="6" s="1"/>
  <c r="AS461" i="6"/>
  <c r="AS462" i="6" s="1"/>
  <c r="BH469" i="6" s="1"/>
  <c r="AF456" i="6"/>
  <c r="BI473" i="6" s="1"/>
  <c r="Y306" i="8"/>
  <c r="Y307" i="8" s="1"/>
  <c r="Z496" i="8"/>
  <c r="N252" i="8"/>
  <c r="N253" i="8" s="1"/>
  <c r="O316" i="8"/>
  <c r="O317" i="8" s="1"/>
  <c r="N380" i="8"/>
  <c r="N381" i="8" s="1"/>
  <c r="N512" i="8"/>
  <c r="N513" i="8" s="1"/>
  <c r="AF252" i="6"/>
  <c r="BI269" i="6" s="1"/>
  <c r="BL269" i="6" s="1"/>
  <c r="BN269" i="6" s="1"/>
  <c r="BA393" i="6"/>
  <c r="BF396" i="6"/>
  <c r="BF397" i="6" s="1"/>
  <c r="BN401" i="6" s="1"/>
  <c r="BO408" i="6"/>
  <c r="BF466" i="6"/>
  <c r="BN470" i="6" s="1"/>
  <c r="AG496" i="8"/>
  <c r="O380" i="8"/>
  <c r="O381" i="8" s="1"/>
  <c r="N574" i="8"/>
  <c r="N575" i="8" s="1"/>
  <c r="V640" i="8"/>
  <c r="O702" i="8"/>
  <c r="O703" i="8" s="1"/>
  <c r="N768" i="8"/>
  <c r="N769" i="8" s="1"/>
  <c r="O768" i="8"/>
  <c r="O769" i="8" s="1"/>
  <c r="AU462" i="8"/>
  <c r="AT461" i="6"/>
  <c r="AT462" i="6" s="1"/>
  <c r="BH470" i="6" s="1"/>
  <c r="BE466" i="6"/>
  <c r="BN469" i="6" s="1"/>
  <c r="Y242" i="8"/>
  <c r="Y243" i="8" s="1"/>
  <c r="Y620" i="8"/>
  <c r="Y621" i="8" s="1"/>
  <c r="AG684" i="8"/>
  <c r="N130" i="8"/>
  <c r="N131" i="8" s="1"/>
  <c r="O192" i="8"/>
  <c r="O193" i="8" s="1"/>
  <c r="D182" i="6"/>
  <c r="BF198" i="6" s="1"/>
  <c r="BN330" i="6"/>
  <c r="U380" i="6"/>
  <c r="Z620" i="8"/>
  <c r="Z621" i="8" s="1"/>
  <c r="V575" i="8"/>
  <c r="O639" i="8"/>
  <c r="O640" i="8" s="1"/>
  <c r="P245" i="6"/>
  <c r="G320" i="6"/>
  <c r="AF387" i="6"/>
  <c r="BI404" i="6" s="1"/>
  <c r="BL404" i="6" s="1"/>
  <c r="BN404" i="6" s="1"/>
  <c r="BN466" i="6"/>
  <c r="E453" i="6"/>
  <c r="BF473" i="6" s="1"/>
  <c r="D453" i="6"/>
  <c r="BF472" i="6" s="1"/>
  <c r="Z119" i="8"/>
  <c r="Y683" i="8"/>
  <c r="Y684" i="8" s="1"/>
  <c r="N61" i="8"/>
  <c r="N62" i="8" s="1"/>
  <c r="V381" i="8"/>
  <c r="B7" i="6"/>
  <c r="BJ709" i="2" l="1"/>
  <c r="BL709" i="2" s="1"/>
  <c r="BL60" i="2"/>
  <c r="BJ324" i="2"/>
  <c r="BL519" i="2"/>
  <c r="BL775" i="2"/>
  <c r="BJ646" i="2"/>
  <c r="BL646" i="2" s="1"/>
  <c r="BL192" i="2"/>
  <c r="BL388" i="2"/>
  <c r="BJ647" i="2"/>
  <c r="BL647" i="2" s="1"/>
  <c r="BL260" i="2"/>
  <c r="BJ454" i="2"/>
  <c r="BL454" i="2" s="1"/>
  <c r="BL520" i="2"/>
  <c r="BL710" i="2"/>
  <c r="BJ129" i="2"/>
  <c r="BL129" i="2" s="1"/>
  <c r="BJ130" i="2"/>
  <c r="BL130" i="2" s="1"/>
  <c r="BL324" i="2"/>
  <c r="BL453" i="2"/>
  <c r="BJ323" i="2"/>
  <c r="BL323" i="2" s="1"/>
  <c r="BJ61" i="2"/>
  <c r="BL61" i="2" s="1"/>
  <c r="BO269" i="6"/>
  <c r="BO337" i="6"/>
  <c r="BL245" i="3"/>
  <c r="BJ248" i="3"/>
  <c r="BL248" i="3" s="1"/>
  <c r="BN195" i="6"/>
  <c r="BL198" i="6"/>
  <c r="BN198" i="6" s="1"/>
  <c r="BO199" i="6" s="1"/>
  <c r="BL473" i="6"/>
  <c r="BJ776" i="2"/>
  <c r="BL776" i="2" s="1"/>
  <c r="BJ312" i="3"/>
  <c r="BL312" i="3" s="1"/>
  <c r="BL309" i="3"/>
  <c r="BH58" i="9"/>
  <c r="BF61" i="9"/>
  <c r="BH61" i="9" s="1"/>
  <c r="BL591" i="1"/>
  <c r="BL337" i="6"/>
  <c r="BN337" i="6" s="1"/>
  <c r="BO404" i="6"/>
  <c r="BL691" i="3"/>
  <c r="BN61" i="6"/>
  <c r="BO61" i="6" s="1"/>
  <c r="BN473" i="6"/>
  <c r="BL372" i="3"/>
  <c r="BJ375" i="3"/>
  <c r="BL375" i="3" s="1"/>
  <c r="BJ60" i="3"/>
  <c r="BL60" i="3" s="1"/>
  <c r="BM62" i="3" s="1"/>
  <c r="BN472" i="6"/>
  <c r="BL499" i="3"/>
  <c r="BJ502" i="3"/>
  <c r="BL502" i="3" s="1"/>
  <c r="BJ440" i="3"/>
  <c r="BL440" i="3" s="1"/>
  <c r="BL437" i="3"/>
  <c r="BL719" i="1"/>
  <c r="BO473" i="6" l="1"/>
</calcChain>
</file>

<file path=xl/sharedStrings.xml><?xml version="1.0" encoding="utf-8"?>
<sst xmlns="http://schemas.openxmlformats.org/spreadsheetml/2006/main" count="44232" uniqueCount="2451">
  <si>
    <t xml:space="preserve">         STATISTIQUES DE TRAFIC</t>
  </si>
  <si>
    <t xml:space="preserve">  STATISTIQUES DE TRAFIC</t>
  </si>
  <si>
    <t>TRAFIC PASSAGERS</t>
  </si>
  <si>
    <t>TRAFIC FRET</t>
  </si>
  <si>
    <t xml:space="preserve">       STATISTIQUES DE TRAFIC</t>
  </si>
  <si>
    <t xml:space="preserve">    STATISTIQUES DE TRAFIC</t>
  </si>
  <si>
    <t xml:space="preserve"> </t>
  </si>
  <si>
    <t>SERVICES INTERNATIONAUX REGULIERS</t>
  </si>
  <si>
    <t xml:space="preserve">      SERVICES INTERNATIONAUX REGULIERS</t>
  </si>
  <si>
    <t xml:space="preserve">      TRAFIC PASSAGERS/ FRET( EN KILOS)</t>
  </si>
  <si>
    <t>JANVIER 2014</t>
  </si>
  <si>
    <t>SERVICES INTERNATIONAUX NON REGULIERS</t>
  </si>
  <si>
    <t xml:space="preserve">     TRAFIC AERIEN LOCAL REGULIERS &amp; NON REGULIERS</t>
  </si>
  <si>
    <t xml:space="preserve"> AVIATION GENERALE REGULIERS / NON REGULIERS</t>
  </si>
  <si>
    <t>1/5</t>
  </si>
  <si>
    <t xml:space="preserve"> 2/5</t>
  </si>
  <si>
    <t>5/5</t>
  </si>
  <si>
    <t>DE</t>
  </si>
  <si>
    <t xml:space="preserve">       PASSAGERS</t>
  </si>
  <si>
    <t xml:space="preserve">                  TRANSIT</t>
  </si>
  <si>
    <t>SIEGES</t>
  </si>
  <si>
    <t xml:space="preserve">     TOTAL VOLS</t>
  </si>
  <si>
    <t>VOLS COMBINES</t>
  </si>
  <si>
    <t xml:space="preserve">    VOLS CARGO</t>
  </si>
  <si>
    <t xml:space="preserve">        POSTE</t>
  </si>
  <si>
    <t xml:space="preserve"> 3/5</t>
  </si>
  <si>
    <t>4/5</t>
  </si>
  <si>
    <t xml:space="preserve">  PASSAGERS</t>
  </si>
  <si>
    <t xml:space="preserve">     TRANSIT</t>
  </si>
  <si>
    <t>FRET    /</t>
  </si>
  <si>
    <t>POSTE</t>
  </si>
  <si>
    <t>TOTAL VOLS PAR</t>
  </si>
  <si>
    <t xml:space="preserve">     /</t>
  </si>
  <si>
    <t xml:space="preserve">     PAR TYPES &amp;</t>
  </si>
  <si>
    <t>DE   /</t>
  </si>
  <si>
    <t xml:space="preserve">    PASSAGERS</t>
  </si>
  <si>
    <t xml:space="preserve">         TRANSIT</t>
  </si>
  <si>
    <t xml:space="preserve">        FRET</t>
  </si>
  <si>
    <t xml:space="preserve">   TOTAL VOLS PAR</t>
  </si>
  <si>
    <t xml:space="preserve">     PASSAGERS</t>
  </si>
  <si>
    <t xml:space="preserve">  TOTAL VOLS PAR TYPES &amp; COMPAGNIES</t>
  </si>
  <si>
    <t>TYPES &amp; PAR</t>
  </si>
  <si>
    <t>VERS</t>
  </si>
  <si>
    <t>DEB</t>
  </si>
  <si>
    <t>EMB</t>
  </si>
  <si>
    <t>C</t>
  </si>
  <si>
    <t>DIR</t>
  </si>
  <si>
    <t xml:space="preserve">  DPL</t>
  </si>
  <si>
    <t>DISP.</t>
  </si>
  <si>
    <t xml:space="preserve">     COMPAGNIES</t>
  </si>
  <si>
    <t xml:space="preserve">     VERS</t>
  </si>
  <si>
    <t>TRANSIT</t>
  </si>
  <si>
    <t>DPL</t>
  </si>
  <si>
    <t xml:space="preserve"> TYPES &amp; COMPAGNIES</t>
  </si>
  <si>
    <t>COMPAGNIES</t>
  </si>
  <si>
    <t xml:space="preserve">      AIR CANADA</t>
  </si>
  <si>
    <t>CAP</t>
  </si>
  <si>
    <t>TORTUG'AIR</t>
  </si>
  <si>
    <t xml:space="preserve">     AIR TURKS AND CAICOS </t>
  </si>
  <si>
    <t>YUL</t>
  </si>
  <si>
    <t>T/A</t>
  </si>
  <si>
    <t>B767-300</t>
  </si>
  <si>
    <t xml:space="preserve">  AIR TRANSAT</t>
  </si>
  <si>
    <t>PAX</t>
  </si>
  <si>
    <t>PLS</t>
  </si>
  <si>
    <t>EMB-120</t>
  </si>
  <si>
    <t>A-330</t>
  </si>
  <si>
    <t>JEE</t>
  </si>
  <si>
    <t>L410</t>
  </si>
  <si>
    <t>BE-99</t>
  </si>
  <si>
    <t xml:space="preserve">      COPA PANAMA</t>
  </si>
  <si>
    <t xml:space="preserve">   BAHAMAS AIR  </t>
  </si>
  <si>
    <t>CYA</t>
  </si>
  <si>
    <t>BA-31</t>
  </si>
  <si>
    <t>PTY</t>
  </si>
  <si>
    <t>ERJ -190</t>
  </si>
  <si>
    <t>Nas*</t>
  </si>
  <si>
    <t>B737-5</t>
  </si>
  <si>
    <t>JAK</t>
  </si>
  <si>
    <t>B 737 - 700</t>
  </si>
  <si>
    <t xml:space="preserve">           COPA AIRLINES</t>
  </si>
  <si>
    <t>MSN</t>
  </si>
  <si>
    <t xml:space="preserve">      JAMAICA BROILERS</t>
  </si>
  <si>
    <t>B 737 -800</t>
  </si>
  <si>
    <t>TOTAL</t>
  </si>
  <si>
    <t>KIN</t>
  </si>
  <si>
    <t>LJ-45</t>
  </si>
  <si>
    <t xml:space="preserve">     SPIRIT AIRLINES</t>
  </si>
  <si>
    <t>CUR</t>
  </si>
  <si>
    <t>SCU</t>
  </si>
  <si>
    <t xml:space="preserve">        AEROGAVIOTA</t>
  </si>
  <si>
    <t>SUNRISE AIRWAYS</t>
  </si>
  <si>
    <t>I    B    C</t>
  </si>
  <si>
    <t>FLL</t>
  </si>
  <si>
    <t>A 319</t>
  </si>
  <si>
    <t>AUA</t>
  </si>
  <si>
    <t xml:space="preserve">     INSEL AIR</t>
  </si>
  <si>
    <t>HAV</t>
  </si>
  <si>
    <t>ATR-45</t>
  </si>
  <si>
    <t>MIA</t>
  </si>
  <si>
    <t>SF34</t>
  </si>
  <si>
    <t>A 320</t>
  </si>
  <si>
    <t>SXM</t>
  </si>
  <si>
    <t>AN-26</t>
  </si>
  <si>
    <t xml:space="preserve">      AIR CARAïBES</t>
  </si>
  <si>
    <t>PTP</t>
  </si>
  <si>
    <t xml:space="preserve"> ATR 72</t>
  </si>
  <si>
    <t>NAS</t>
  </si>
  <si>
    <t>SDQ</t>
  </si>
  <si>
    <t>ORY</t>
  </si>
  <si>
    <t>M</t>
  </si>
  <si>
    <t>A</t>
  </si>
  <si>
    <t>F</t>
  </si>
  <si>
    <t>JBQ</t>
  </si>
  <si>
    <t>A330</t>
  </si>
  <si>
    <t>LGN</t>
  </si>
  <si>
    <t xml:space="preserve">      AMERICAN AIRLINES</t>
  </si>
  <si>
    <t>U N</t>
  </si>
  <si>
    <t xml:space="preserve">       JETBLUE AIRWAYS</t>
  </si>
  <si>
    <t>B737-8</t>
  </si>
  <si>
    <t>JFK</t>
  </si>
  <si>
    <t>AN-124</t>
  </si>
  <si>
    <t>PGN</t>
  </si>
  <si>
    <t>C206</t>
  </si>
  <si>
    <t>B 767</t>
  </si>
  <si>
    <t>ARN</t>
  </si>
  <si>
    <t>C208</t>
  </si>
  <si>
    <t>ERJ-190</t>
  </si>
  <si>
    <t>MTFB</t>
  </si>
  <si>
    <t>C207</t>
  </si>
  <si>
    <t>Aerolineas Mas</t>
  </si>
  <si>
    <t xml:space="preserve">       INSEL AIR</t>
  </si>
  <si>
    <t>MTGO</t>
  </si>
  <si>
    <t>STI</t>
  </si>
  <si>
    <t>MD-83</t>
  </si>
  <si>
    <t xml:space="preserve">         AIR FRANCE</t>
  </si>
  <si>
    <t xml:space="preserve">       AEROCARIBBEAN </t>
  </si>
  <si>
    <t>CMW</t>
  </si>
  <si>
    <t>OUA</t>
  </si>
  <si>
    <t>PUJ</t>
  </si>
  <si>
    <t xml:space="preserve">       CHARTERS DIVERS</t>
  </si>
  <si>
    <t>ATR-72</t>
  </si>
  <si>
    <t>MFI</t>
  </si>
  <si>
    <t>9 DC-3</t>
  </si>
  <si>
    <t>B 737-823</t>
  </si>
  <si>
    <t>ATR-42</t>
  </si>
  <si>
    <t>AGAPE FLGHTS    *</t>
  </si>
  <si>
    <t>5  -110BANDE</t>
  </si>
  <si>
    <t>B 767-323</t>
  </si>
  <si>
    <t xml:space="preserve">      AIR HAITI EXPRESS</t>
  </si>
  <si>
    <t>.</t>
  </si>
  <si>
    <t>AVG</t>
  </si>
  <si>
    <t>B 757-200</t>
  </si>
  <si>
    <t>B767-200</t>
  </si>
  <si>
    <t>7 C-550</t>
  </si>
  <si>
    <t>2  B-200</t>
  </si>
  <si>
    <t>9 C500</t>
  </si>
  <si>
    <t xml:space="preserve">        AMERIJET INT'L</t>
  </si>
  <si>
    <t>POP</t>
  </si>
  <si>
    <t>7 C-208</t>
  </si>
  <si>
    <t>3 LJ 35</t>
  </si>
  <si>
    <t>2 EC-120</t>
  </si>
  <si>
    <t xml:space="preserve">      AIR FRANCE</t>
  </si>
  <si>
    <t>B727-200</t>
  </si>
  <si>
    <t>LRM</t>
  </si>
  <si>
    <t>2 MU-300</t>
  </si>
  <si>
    <t>1 BE-55</t>
  </si>
  <si>
    <t>1 PA-27</t>
  </si>
  <si>
    <t>HIN</t>
  </si>
  <si>
    <t>FXE</t>
  </si>
  <si>
    <t>2 BE-58</t>
  </si>
  <si>
    <t>2 C 337</t>
  </si>
  <si>
    <t>1 R44</t>
  </si>
  <si>
    <t xml:space="preserve">         SATINAIR</t>
  </si>
  <si>
    <t>SJU</t>
  </si>
  <si>
    <t>1 BE-1900</t>
  </si>
  <si>
    <t>3 HS-25</t>
  </si>
  <si>
    <t>2 C 560</t>
  </si>
  <si>
    <t>4 C182</t>
  </si>
  <si>
    <t>2 C-172</t>
  </si>
  <si>
    <t>1 PA-32</t>
  </si>
  <si>
    <t>ATL</t>
  </si>
  <si>
    <t xml:space="preserve">      DELTA AIRLINES</t>
  </si>
  <si>
    <t>C-206</t>
  </si>
  <si>
    <t>MS*</t>
  </si>
  <si>
    <t>1 C402</t>
  </si>
  <si>
    <t>1 C 650</t>
  </si>
  <si>
    <t xml:space="preserve">1 B429 </t>
  </si>
  <si>
    <t>B 737-800</t>
  </si>
  <si>
    <t>#7</t>
  </si>
  <si>
    <t>SIG</t>
  </si>
  <si>
    <t>1 C421</t>
  </si>
  <si>
    <t>1 Falcon10</t>
  </si>
  <si>
    <t>* REFUGIES</t>
  </si>
  <si>
    <t>3 SR-22</t>
  </si>
  <si>
    <t>2 Falcon 50</t>
  </si>
  <si>
    <t>KTMB</t>
  </si>
  <si>
    <t>1 PA 1</t>
  </si>
  <si>
    <t>1 Falcon 900</t>
  </si>
  <si>
    <t>#9</t>
  </si>
  <si>
    <t>OPF</t>
  </si>
  <si>
    <t>7 PA 31</t>
  </si>
  <si>
    <t>5 PA 34</t>
  </si>
  <si>
    <t>1 CN.235</t>
  </si>
  <si>
    <t>C182</t>
  </si>
  <si>
    <t>ROC</t>
  </si>
  <si>
    <t>1 PA 23</t>
  </si>
  <si>
    <t>1 C525</t>
  </si>
  <si>
    <t>1 CL600</t>
  </si>
  <si>
    <t>MTAQ</t>
  </si>
  <si>
    <t>C 208</t>
  </si>
  <si>
    <t>GGT</t>
  </si>
  <si>
    <t>1 G IV</t>
  </si>
  <si>
    <t>C-172</t>
  </si>
  <si>
    <t>BRX</t>
  </si>
  <si>
    <t>PA-32</t>
  </si>
  <si>
    <t>PA-34</t>
  </si>
  <si>
    <t>R-44</t>
  </si>
  <si>
    <t>FPR</t>
  </si>
  <si>
    <t>Alouette</t>
  </si>
  <si>
    <t>TEB</t>
  </si>
  <si>
    <t>B-206</t>
  </si>
  <si>
    <t>C-207</t>
  </si>
  <si>
    <t>G . TOTAL</t>
  </si>
  <si>
    <t>C337A</t>
  </si>
  <si>
    <t>AVIATION GENERALE:</t>
  </si>
  <si>
    <t>MS*   RSD DFW</t>
  </si>
  <si>
    <t>MTPS</t>
  </si>
  <si>
    <t>AS350</t>
  </si>
  <si>
    <t>AVIONS MILITAIRES:</t>
  </si>
  <si>
    <t>SVL</t>
  </si>
  <si>
    <t>M-20 M</t>
  </si>
  <si>
    <t>VOLS INTERIEURS</t>
  </si>
  <si>
    <t>PAX DEBARQUES   :</t>
  </si>
  <si>
    <t>VOLS EXTERIEURS</t>
  </si>
  <si>
    <t>C210</t>
  </si>
  <si>
    <t>PAX EMBARQUES  :</t>
  </si>
  <si>
    <t>EC-120</t>
  </si>
  <si>
    <t>PAGE 1</t>
  </si>
  <si>
    <t>VOLS INT'L REG</t>
  </si>
  <si>
    <t>PAGE 3</t>
  </si>
  <si>
    <t>VOLS INT'L IRREG</t>
  </si>
  <si>
    <t>PAGE 3+5</t>
  </si>
  <si>
    <t>VOLS EXTERIEURS + VOLS INT'L IRREG</t>
  </si>
  <si>
    <t>EXP</t>
  </si>
  <si>
    <t>GTTL</t>
  </si>
  <si>
    <t>C-152</t>
  </si>
  <si>
    <t>#4</t>
  </si>
  <si>
    <t>FEVRIER 2014</t>
  </si>
  <si>
    <t>BE-200</t>
  </si>
  <si>
    <t>FDF</t>
  </si>
  <si>
    <t>4  DC-3</t>
  </si>
  <si>
    <t>ELM/ILM</t>
  </si>
  <si>
    <t>4 -110BANDE</t>
  </si>
  <si>
    <t>1 B206</t>
  </si>
  <si>
    <t>1 LJ -45</t>
  </si>
  <si>
    <t>2 C-680</t>
  </si>
  <si>
    <t>8 C208</t>
  </si>
  <si>
    <t>1 BD-700</t>
  </si>
  <si>
    <t>1 G-550</t>
  </si>
  <si>
    <t>6 C182</t>
  </si>
  <si>
    <t>4 C 421</t>
  </si>
  <si>
    <t>1 BE-99</t>
  </si>
  <si>
    <t>OPF/FXE</t>
  </si>
  <si>
    <t>1 C172</t>
  </si>
  <si>
    <t>1 EMB-135</t>
  </si>
  <si>
    <t>SJU/BGI</t>
  </si>
  <si>
    <t>12  PA34</t>
  </si>
  <si>
    <t>1 TBM -7</t>
  </si>
  <si>
    <t>1 G-IV</t>
  </si>
  <si>
    <t>BRX-SDQ</t>
  </si>
  <si>
    <t>1  PA27</t>
  </si>
  <si>
    <t>1 G-V</t>
  </si>
  <si>
    <t>5 C-550</t>
  </si>
  <si>
    <t>1  PA1</t>
  </si>
  <si>
    <t>1 B428</t>
  </si>
  <si>
    <t>2 C-500</t>
  </si>
  <si>
    <t>MSY/SML</t>
  </si>
  <si>
    <t>2  PA31</t>
  </si>
  <si>
    <t>2 PC-12</t>
  </si>
  <si>
    <t>1 C-310</t>
  </si>
  <si>
    <t>2  PA23</t>
  </si>
  <si>
    <t>1 M20M</t>
  </si>
  <si>
    <t>1 B407</t>
  </si>
  <si>
    <t>B 757</t>
  </si>
  <si>
    <t>1  PA28</t>
  </si>
  <si>
    <t>4 H-25B</t>
  </si>
  <si>
    <t>1 B212</t>
  </si>
  <si>
    <t>AZS</t>
  </si>
  <si>
    <t>2 FLACON 900</t>
  </si>
  <si>
    <t>1 JL-55</t>
  </si>
  <si>
    <t>1 FLACON 7X</t>
  </si>
  <si>
    <t>1 C-501</t>
  </si>
  <si>
    <t>3 MU-3</t>
  </si>
  <si>
    <t>1 B337</t>
  </si>
  <si>
    <t>2BD-100</t>
  </si>
  <si>
    <t>MDW</t>
  </si>
  <si>
    <t>GUA</t>
  </si>
  <si>
    <t>MS*   MRY , HPN, ATL, BOG,TIX</t>
  </si>
  <si>
    <t>MARS 2014</t>
  </si>
  <si>
    <t>2 EMB120</t>
  </si>
  <si>
    <t>CUN</t>
  </si>
  <si>
    <t>A 340</t>
  </si>
  <si>
    <t>4   DC-3</t>
  </si>
  <si>
    <t>3 LJ-45</t>
  </si>
  <si>
    <t>1 FALCON 50</t>
  </si>
  <si>
    <t>ccs</t>
  </si>
  <si>
    <t>1 G-650</t>
  </si>
  <si>
    <t>2 FALCON 10</t>
  </si>
  <si>
    <t>1 LJ-60</t>
  </si>
  <si>
    <t>2 LJ-35</t>
  </si>
  <si>
    <t>4 C-500</t>
  </si>
  <si>
    <t>OPF/FLL</t>
  </si>
  <si>
    <t>2 G-IV</t>
  </si>
  <si>
    <t>3 P68C</t>
  </si>
  <si>
    <t>2 B-206</t>
  </si>
  <si>
    <t>2 H25B</t>
  </si>
  <si>
    <t>1 TBM-7</t>
  </si>
  <si>
    <t>1 MU-300</t>
  </si>
  <si>
    <t>2  BD-100-1A10</t>
  </si>
  <si>
    <t>1 BA-31</t>
  </si>
  <si>
    <t>SVD</t>
  </si>
  <si>
    <t>2 C-560</t>
  </si>
  <si>
    <t>HVN</t>
  </si>
  <si>
    <t>1 C525B</t>
  </si>
  <si>
    <t>1 SR-22</t>
  </si>
  <si>
    <t>2 125-700</t>
  </si>
  <si>
    <t>1 C-421</t>
  </si>
  <si>
    <t>ILG</t>
  </si>
  <si>
    <t>1 P-180</t>
  </si>
  <si>
    <t>1 AS-350</t>
  </si>
  <si>
    <t>DUB</t>
  </si>
  <si>
    <t>3 PA-34</t>
  </si>
  <si>
    <t>1 PC-12</t>
  </si>
  <si>
    <t>1 BE-20</t>
  </si>
  <si>
    <t>1 EC-120C</t>
  </si>
  <si>
    <t>1 PA-30</t>
  </si>
  <si>
    <t>MDE</t>
  </si>
  <si>
    <t>12 C182</t>
  </si>
  <si>
    <t>11 C208</t>
  </si>
  <si>
    <t>4 PA-31</t>
  </si>
  <si>
    <t>6 C550</t>
  </si>
  <si>
    <t>1 B-90</t>
  </si>
  <si>
    <t>2 B200</t>
  </si>
  <si>
    <t>9 PA-23</t>
  </si>
  <si>
    <t>1 R-44</t>
  </si>
  <si>
    <t>1 B40</t>
  </si>
  <si>
    <t>2 AS-350</t>
  </si>
  <si>
    <t>2 B-429</t>
  </si>
  <si>
    <t>1 AS-355</t>
  </si>
  <si>
    <t>B428</t>
  </si>
  <si>
    <t>AS355</t>
  </si>
  <si>
    <t>PC-12</t>
  </si>
  <si>
    <t>PA-30</t>
  </si>
  <si>
    <t>AVRIL 2014</t>
  </si>
  <si>
    <t>SAB 360</t>
  </si>
  <si>
    <t>CAYMAN AIRWAYS</t>
  </si>
  <si>
    <t>svl</t>
  </si>
  <si>
    <t>GCM</t>
  </si>
  <si>
    <t>B737-300</t>
  </si>
  <si>
    <t>3 LJ45</t>
  </si>
  <si>
    <t>4  C500</t>
  </si>
  <si>
    <t>2 SR-22</t>
  </si>
  <si>
    <t>4 B200</t>
  </si>
  <si>
    <t>2C-172</t>
  </si>
  <si>
    <t>2 AS356</t>
  </si>
  <si>
    <t>1 G-4</t>
  </si>
  <si>
    <t>8 C-182</t>
  </si>
  <si>
    <t>1 C207</t>
  </si>
  <si>
    <t>2 P-180</t>
  </si>
  <si>
    <t>8 PA-34</t>
  </si>
  <si>
    <t>1 C560</t>
  </si>
  <si>
    <t>4 P68C</t>
  </si>
  <si>
    <t>2 PA-23</t>
  </si>
  <si>
    <t>1 EC-120</t>
  </si>
  <si>
    <t>1 DB-100</t>
  </si>
  <si>
    <t>1C650</t>
  </si>
  <si>
    <t>1 C550</t>
  </si>
  <si>
    <t>1 EC-130</t>
  </si>
  <si>
    <t>3 PA-31</t>
  </si>
  <si>
    <t>1 C501</t>
  </si>
  <si>
    <t>1 AS 355</t>
  </si>
  <si>
    <t>1 C337</t>
  </si>
  <si>
    <t>1 C525C</t>
  </si>
  <si>
    <t>STT</t>
  </si>
  <si>
    <t>2 B206</t>
  </si>
  <si>
    <t>3 BE-1900C</t>
  </si>
  <si>
    <t>1PC-12</t>
  </si>
  <si>
    <t>JAN</t>
  </si>
  <si>
    <t>CGU</t>
  </si>
  <si>
    <t>BE-58</t>
  </si>
  <si>
    <t>B407</t>
  </si>
  <si>
    <t>C-310</t>
  </si>
  <si>
    <t xml:space="preserve">           MAI 2014</t>
  </si>
  <si>
    <t xml:space="preserve"> MAI 2014</t>
  </si>
  <si>
    <t xml:space="preserve">  MAI 2014</t>
  </si>
  <si>
    <t xml:space="preserve">      AIR CANADA ROUGE</t>
  </si>
  <si>
    <t>4  EMB120</t>
  </si>
  <si>
    <t>A-310</t>
  </si>
  <si>
    <t>ATR-70</t>
  </si>
  <si>
    <t>metro</t>
  </si>
  <si>
    <t>B757</t>
  </si>
  <si>
    <t>5   DC-3</t>
  </si>
  <si>
    <t>BGI</t>
  </si>
  <si>
    <t>3 C 208</t>
  </si>
  <si>
    <t>1 C 172</t>
  </si>
  <si>
    <t>7 C 182</t>
  </si>
  <si>
    <t>11 PA-34</t>
  </si>
  <si>
    <t>2 AS 350</t>
  </si>
  <si>
    <t>2 C-550</t>
  </si>
  <si>
    <t>1 C 500</t>
  </si>
  <si>
    <t>2 C510</t>
  </si>
  <si>
    <t>8 PA23</t>
  </si>
  <si>
    <t>CYDC</t>
  </si>
  <si>
    <t>7 B200</t>
  </si>
  <si>
    <t>3 B206</t>
  </si>
  <si>
    <t>5 CL300</t>
  </si>
  <si>
    <t>5 C560</t>
  </si>
  <si>
    <t>4 LJ 35</t>
  </si>
  <si>
    <t>4 LJ 45</t>
  </si>
  <si>
    <t>1 LC 60</t>
  </si>
  <si>
    <t>2 C525B</t>
  </si>
  <si>
    <t>CZM</t>
  </si>
  <si>
    <t>1 G -IV</t>
  </si>
  <si>
    <t>2 GIII</t>
  </si>
  <si>
    <t>1 H25B</t>
  </si>
  <si>
    <t>TCL</t>
  </si>
  <si>
    <t>4 BE 90</t>
  </si>
  <si>
    <t>1 FLACON 50</t>
  </si>
  <si>
    <t>MCO</t>
  </si>
  <si>
    <t>PBM/POS</t>
  </si>
  <si>
    <t>PSM</t>
  </si>
  <si>
    <t>BED</t>
  </si>
  <si>
    <t>PA-31</t>
  </si>
  <si>
    <t xml:space="preserve">        JUIN 2014</t>
  </si>
  <si>
    <t xml:space="preserve">  EMB120</t>
  </si>
  <si>
    <t>B737-800</t>
  </si>
  <si>
    <t>ff</t>
  </si>
  <si>
    <t>6  DC-3</t>
  </si>
  <si>
    <t>4 B 206</t>
  </si>
  <si>
    <t>6 B-200</t>
  </si>
  <si>
    <t>6 C-510</t>
  </si>
  <si>
    <t>7 PA-23</t>
  </si>
  <si>
    <t>10 C-208</t>
  </si>
  <si>
    <t>2 C-650</t>
  </si>
  <si>
    <t>SKB</t>
  </si>
  <si>
    <t>2 BA-31</t>
  </si>
  <si>
    <t>1 PA-34</t>
  </si>
  <si>
    <t>1 PA-28</t>
  </si>
  <si>
    <t>5 PA-31</t>
  </si>
  <si>
    <t>1 SAB360</t>
  </si>
  <si>
    <t>1 C-206</t>
  </si>
  <si>
    <t>OFP</t>
  </si>
  <si>
    <t>12 BD-100</t>
  </si>
  <si>
    <t>2 CC550</t>
  </si>
  <si>
    <t>1 G650</t>
  </si>
  <si>
    <t>1 C310</t>
  </si>
  <si>
    <t>4 LJ345</t>
  </si>
  <si>
    <t>3 HS-125</t>
  </si>
  <si>
    <t>1 BE1900C</t>
  </si>
  <si>
    <t>6 BE-90</t>
  </si>
  <si>
    <t>2 C402</t>
  </si>
  <si>
    <t>4 C-182</t>
  </si>
  <si>
    <t>4 AS-350</t>
  </si>
  <si>
    <t>1  SR-22</t>
  </si>
  <si>
    <t>10 PA-34</t>
  </si>
  <si>
    <t>2 BE-20</t>
  </si>
  <si>
    <t>EIS</t>
  </si>
  <si>
    <t>IAD</t>
  </si>
  <si>
    <t>1 PA-28 1 PA-27 1 BE-90</t>
  </si>
  <si>
    <t>PDK</t>
  </si>
  <si>
    <t>C152</t>
  </si>
  <si>
    <t>PA-23</t>
  </si>
  <si>
    <t>JUILLET 2014</t>
  </si>
  <si>
    <t>EMB120</t>
  </si>
  <si>
    <t>PUJ,SDQ</t>
  </si>
  <si>
    <t>6 C-182B</t>
  </si>
  <si>
    <t>1 C-500</t>
  </si>
  <si>
    <t>9 PA-34</t>
  </si>
  <si>
    <t>1 LJ-55</t>
  </si>
  <si>
    <t>2 P-68</t>
  </si>
  <si>
    <t>1 HS25B</t>
  </si>
  <si>
    <t>1 LJ-35</t>
  </si>
  <si>
    <t>1 B58</t>
  </si>
  <si>
    <t>YOW</t>
  </si>
  <si>
    <t>CHARTER</t>
  </si>
  <si>
    <t>GIG</t>
  </si>
  <si>
    <t>2 G-III</t>
  </si>
  <si>
    <t>6 BE90</t>
  </si>
  <si>
    <t>AVP</t>
  </si>
  <si>
    <t>1 C-402</t>
  </si>
  <si>
    <t>5 C-510</t>
  </si>
  <si>
    <t>4 EC-120</t>
  </si>
  <si>
    <t>UNK</t>
  </si>
  <si>
    <t>1 C-525B</t>
  </si>
  <si>
    <t>CLT</t>
  </si>
  <si>
    <t>1 FLACON 20</t>
  </si>
  <si>
    <t>4 C550</t>
  </si>
  <si>
    <t>2 EXP</t>
  </si>
  <si>
    <t>3 PA 23</t>
  </si>
  <si>
    <t>2 BD-100</t>
  </si>
  <si>
    <t>SVCS</t>
  </si>
  <si>
    <t>PBM</t>
  </si>
  <si>
    <t>p-68c</t>
  </si>
  <si>
    <t>HPN</t>
  </si>
  <si>
    <t>AOUT 2014</t>
  </si>
  <si>
    <t>EMB-145</t>
  </si>
  <si>
    <t>2 C-525</t>
  </si>
  <si>
    <t>3 C-500</t>
  </si>
  <si>
    <t>15 C-208</t>
  </si>
  <si>
    <t>1 C-510</t>
  </si>
  <si>
    <t>4 LJ-35</t>
  </si>
  <si>
    <t>3 BE-90</t>
  </si>
  <si>
    <t>1 C-172</t>
  </si>
  <si>
    <t>5 C-182</t>
  </si>
  <si>
    <t>1 B-429</t>
  </si>
  <si>
    <t>2 P68C</t>
  </si>
  <si>
    <t>1 FALCON 20</t>
  </si>
  <si>
    <t>1 C 401</t>
  </si>
  <si>
    <t>4 B206</t>
  </si>
  <si>
    <t>1 B-55</t>
  </si>
  <si>
    <t>2 B200C</t>
  </si>
  <si>
    <t>1 BD-100</t>
  </si>
  <si>
    <t>ILM</t>
  </si>
  <si>
    <t>PWM</t>
  </si>
  <si>
    <t>BE-20</t>
  </si>
  <si>
    <t>KPBI</t>
  </si>
  <si>
    <t>SEPTEMBRE 2014</t>
  </si>
  <si>
    <t>A319</t>
  </si>
  <si>
    <t>AN-24</t>
  </si>
  <si>
    <t>l-410</t>
  </si>
  <si>
    <t>sti</t>
  </si>
  <si>
    <t>8 C-208</t>
  </si>
  <si>
    <t>1 B-407</t>
  </si>
  <si>
    <t>3 LJ-35</t>
  </si>
  <si>
    <r>
      <t>1</t>
    </r>
    <r>
      <rPr>
        <sz val="8"/>
        <color theme="1"/>
        <rFont val="Calibri"/>
        <family val="2"/>
        <scheme val="minor"/>
      </rPr>
      <t xml:space="preserve"> falcon 900</t>
    </r>
  </si>
  <si>
    <t>MTDA</t>
  </si>
  <si>
    <t>1 BE-300</t>
  </si>
  <si>
    <t>1  MU2</t>
  </si>
  <si>
    <t>1 C340</t>
  </si>
  <si>
    <t>2 C-337</t>
  </si>
  <si>
    <t>3 C560</t>
  </si>
  <si>
    <t>1 GV</t>
  </si>
  <si>
    <t>3 HS25</t>
  </si>
  <si>
    <t>1 C-750</t>
  </si>
  <si>
    <t>1 B-400</t>
  </si>
  <si>
    <t>1 AC-500</t>
  </si>
  <si>
    <t>1 GII</t>
  </si>
  <si>
    <t>1 DA-42</t>
  </si>
  <si>
    <t>TPA</t>
  </si>
  <si>
    <t>4 PA-32</t>
  </si>
  <si>
    <t>3 AS-355</t>
  </si>
  <si>
    <t>DA-42</t>
  </si>
  <si>
    <t>B400</t>
  </si>
  <si>
    <t>EC-130</t>
  </si>
  <si>
    <t>pa-32</t>
  </si>
  <si>
    <t>OCTOBRE 2014</t>
  </si>
  <si>
    <t>scu</t>
  </si>
  <si>
    <t>B737</t>
  </si>
  <si>
    <t>PBM/SXM</t>
  </si>
  <si>
    <t>5-110BANDE</t>
  </si>
  <si>
    <t>2  GIV</t>
  </si>
  <si>
    <t>3 LJ 60</t>
  </si>
  <si>
    <t>1 C206</t>
  </si>
  <si>
    <t>CCS</t>
  </si>
  <si>
    <t>1 B737-400</t>
  </si>
  <si>
    <t>2 B420</t>
  </si>
  <si>
    <t>16 C-208</t>
  </si>
  <si>
    <t>2 B-55</t>
  </si>
  <si>
    <t>5 C172</t>
  </si>
  <si>
    <t>1 FALCON  10</t>
  </si>
  <si>
    <t>2 C-182</t>
  </si>
  <si>
    <t>1 B200</t>
  </si>
  <si>
    <t>14 PA34</t>
  </si>
  <si>
    <t>POS</t>
  </si>
  <si>
    <t>3 EC-120</t>
  </si>
  <si>
    <t>8 PA-23</t>
  </si>
  <si>
    <t>2 B407</t>
  </si>
  <si>
    <t>1 PA-12</t>
  </si>
  <si>
    <t>1 B-121</t>
  </si>
  <si>
    <t>2 LJ-45</t>
  </si>
  <si>
    <t>2 HS25B</t>
  </si>
  <si>
    <t>2 LJ-55</t>
  </si>
  <si>
    <t>SLM</t>
  </si>
  <si>
    <t>2 C-510</t>
  </si>
  <si>
    <t>3 BE-20</t>
  </si>
  <si>
    <t>1 C-650</t>
  </si>
  <si>
    <t>2 C-421</t>
  </si>
  <si>
    <t>1 B-99</t>
  </si>
  <si>
    <t>2 BD-100CL300</t>
  </si>
  <si>
    <t>NOVEMBRE 2014</t>
  </si>
  <si>
    <t>4  -110BANDE</t>
  </si>
  <si>
    <t>11 C 208</t>
  </si>
  <si>
    <t>1 C 207</t>
  </si>
  <si>
    <t>2 H-25S</t>
  </si>
  <si>
    <t>1 BE-90</t>
  </si>
  <si>
    <t>FRG</t>
  </si>
  <si>
    <t>5 C-172</t>
  </si>
  <si>
    <t>14 PA-34</t>
  </si>
  <si>
    <t>12 PA-23</t>
  </si>
  <si>
    <t>1 B-206</t>
  </si>
  <si>
    <t>1 PA-24</t>
  </si>
  <si>
    <t>1 P68C</t>
  </si>
  <si>
    <t>2 PA-31</t>
  </si>
  <si>
    <t>5 C-500</t>
  </si>
  <si>
    <t>PAC</t>
  </si>
  <si>
    <t>7 PA-350</t>
  </si>
  <si>
    <t>1 B200C</t>
  </si>
  <si>
    <t>BRM</t>
  </si>
  <si>
    <t>2 PA-32</t>
  </si>
  <si>
    <t>IAD/DUB</t>
  </si>
  <si>
    <t>6 EC-120</t>
  </si>
  <si>
    <t>3 G-200</t>
  </si>
  <si>
    <t>PBI</t>
  </si>
  <si>
    <t>1 LJ 45</t>
  </si>
  <si>
    <t>1 LJ 35</t>
  </si>
  <si>
    <t>aua</t>
  </si>
  <si>
    <t>PA-24</t>
  </si>
  <si>
    <t>AS-350</t>
  </si>
  <si>
    <t>DECEMBRE 2014</t>
  </si>
  <si>
    <t>5  DC-3</t>
  </si>
  <si>
    <t>8 C-172</t>
  </si>
  <si>
    <t>2 C-207</t>
  </si>
  <si>
    <t>9 C-208</t>
  </si>
  <si>
    <t>BGI/SXM</t>
  </si>
  <si>
    <t>1 CL-600</t>
  </si>
  <si>
    <t>1 C-182</t>
  </si>
  <si>
    <t>1 BE-40</t>
  </si>
  <si>
    <t>1 P-68</t>
  </si>
  <si>
    <t>2 BE1900</t>
  </si>
  <si>
    <t>2 G200</t>
  </si>
  <si>
    <t>1 C421B</t>
  </si>
  <si>
    <t>GCM/CYB</t>
  </si>
  <si>
    <t>5 EC-120</t>
  </si>
  <si>
    <t>2 FALCON50</t>
  </si>
  <si>
    <t>1 B-58</t>
  </si>
  <si>
    <t>GYE</t>
  </si>
  <si>
    <t>3 AS-350</t>
  </si>
  <si>
    <t>1 C510</t>
  </si>
  <si>
    <t>1 G 650</t>
  </si>
  <si>
    <t>SJU/DFW</t>
  </si>
  <si>
    <t>1 B35</t>
  </si>
  <si>
    <t>2 C350</t>
  </si>
  <si>
    <t>1  LJ35</t>
  </si>
  <si>
    <t>1 P180</t>
  </si>
  <si>
    <t>2 1900C</t>
  </si>
  <si>
    <t>1 B100</t>
  </si>
  <si>
    <t>3 PA 32</t>
  </si>
  <si>
    <t>2 FLACON-900</t>
  </si>
  <si>
    <t>7 C500</t>
  </si>
  <si>
    <t>3 BD-100</t>
  </si>
  <si>
    <t>1 LJ-45</t>
  </si>
  <si>
    <t>BWI</t>
  </si>
  <si>
    <t>c-210</t>
  </si>
  <si>
    <t>C350</t>
  </si>
  <si>
    <t>B 407</t>
  </si>
  <si>
    <t>JANVIER 2015</t>
  </si>
  <si>
    <t>MBJ</t>
  </si>
  <si>
    <t xml:space="preserve">PUJ </t>
  </si>
  <si>
    <t>3  -110BANDE</t>
  </si>
  <si>
    <t>1 C-207</t>
  </si>
  <si>
    <t>12 PA34</t>
  </si>
  <si>
    <t>2C-500</t>
  </si>
  <si>
    <t>3 C-421</t>
  </si>
  <si>
    <t>4 C172</t>
  </si>
  <si>
    <t>3 PA31</t>
  </si>
  <si>
    <t>1 B429</t>
  </si>
  <si>
    <t>6 B55</t>
  </si>
  <si>
    <t>1 PA28</t>
  </si>
  <si>
    <t>CTG</t>
  </si>
  <si>
    <t>4 SR-22</t>
  </si>
  <si>
    <t>2 AS-355</t>
  </si>
  <si>
    <t>1 EMB-125</t>
  </si>
  <si>
    <t>BEC</t>
  </si>
  <si>
    <t>1 C310G</t>
  </si>
  <si>
    <t>1 LJ35</t>
  </si>
  <si>
    <t>2 MU-3</t>
  </si>
  <si>
    <t>2 G-200</t>
  </si>
  <si>
    <t>SJO</t>
  </si>
  <si>
    <t>FRG/ILM</t>
  </si>
  <si>
    <t>1 PA31</t>
  </si>
  <si>
    <t>PA-28</t>
  </si>
  <si>
    <t>DC-3</t>
  </si>
  <si>
    <t>FEVRIER 2015</t>
  </si>
  <si>
    <t>3 BA-32</t>
  </si>
  <si>
    <t>6 C-208</t>
  </si>
  <si>
    <t>1 BE1900</t>
  </si>
  <si>
    <t>1 G550</t>
  </si>
  <si>
    <t>1TA-3B</t>
  </si>
  <si>
    <t>5 PA 23</t>
  </si>
  <si>
    <t>3 BE91</t>
  </si>
  <si>
    <t>4 C-172</t>
  </si>
  <si>
    <t>3 C500</t>
  </si>
  <si>
    <t>1 PA32</t>
  </si>
  <si>
    <t>1 CH-1</t>
  </si>
  <si>
    <t>2 BE- 55</t>
  </si>
  <si>
    <t>5 PA28</t>
  </si>
  <si>
    <t>2 C421</t>
  </si>
  <si>
    <t>6 PA-34</t>
  </si>
  <si>
    <t>LAX</t>
  </si>
  <si>
    <t>1 FLACON 900</t>
  </si>
  <si>
    <t>ORL</t>
  </si>
  <si>
    <t>4 CL-300</t>
  </si>
  <si>
    <t>SDL</t>
  </si>
  <si>
    <t>APF</t>
  </si>
  <si>
    <t>TEB/OMA</t>
  </si>
  <si>
    <t>C1-152</t>
  </si>
  <si>
    <t>MARS 2015</t>
  </si>
  <si>
    <t xml:space="preserve">             MIAMI AIR</t>
  </si>
  <si>
    <t>TTL</t>
  </si>
  <si>
    <t>3 AS 350</t>
  </si>
  <si>
    <t>2 AS 355</t>
  </si>
  <si>
    <t>3 PA 31</t>
  </si>
  <si>
    <t>1 PC12</t>
  </si>
  <si>
    <t>1 HS-125</t>
  </si>
  <si>
    <t>4 BD-100</t>
  </si>
  <si>
    <t>MTMS</t>
  </si>
  <si>
    <t>2 BE-40</t>
  </si>
  <si>
    <t>4 B-200C</t>
  </si>
  <si>
    <t>4 PA-34</t>
  </si>
  <si>
    <t>2 LJ 35</t>
  </si>
  <si>
    <t>1 LJ 50</t>
  </si>
  <si>
    <t>11 LJ 45</t>
  </si>
  <si>
    <t>2 FLACON50</t>
  </si>
  <si>
    <t>1 B-421B</t>
  </si>
  <si>
    <t>1 C-560</t>
  </si>
  <si>
    <t>1 H-25B</t>
  </si>
  <si>
    <t>A-319</t>
  </si>
  <si>
    <t>kTMB</t>
  </si>
  <si>
    <t>AVRIL 2015</t>
  </si>
  <si>
    <t>5 DC-3</t>
  </si>
  <si>
    <t>2 BD-100-1</t>
  </si>
  <si>
    <t>1 G200</t>
  </si>
  <si>
    <t>1 PC-68C</t>
  </si>
  <si>
    <t>1 C-680</t>
  </si>
  <si>
    <t>2 PA-46</t>
  </si>
  <si>
    <t>3 PA-32</t>
  </si>
  <si>
    <t>10 PA-23</t>
  </si>
  <si>
    <t>4 B4078</t>
  </si>
  <si>
    <t>1 AS355</t>
  </si>
  <si>
    <t>3 PA34</t>
  </si>
  <si>
    <t>5 C-208</t>
  </si>
  <si>
    <t>7 C-182</t>
  </si>
  <si>
    <t>#5</t>
  </si>
  <si>
    <t>1 B55</t>
  </si>
  <si>
    <t>1 TBM</t>
  </si>
  <si>
    <t>1 BE900</t>
  </si>
  <si>
    <t>3 BE-99</t>
  </si>
  <si>
    <t>2 BE-300</t>
  </si>
  <si>
    <t>2 SW-3</t>
  </si>
  <si>
    <t>MS*  RYY/GUA,ILM,PTY.SRQ</t>
  </si>
  <si>
    <t xml:space="preserve">                 SERVICES INTERNATIONAUX REGULIERS</t>
  </si>
  <si>
    <t>MAI 2015</t>
  </si>
  <si>
    <t>3 DHC-6</t>
  </si>
  <si>
    <t>AN 24</t>
  </si>
  <si>
    <t>AUS</t>
  </si>
  <si>
    <t>BOG</t>
  </si>
  <si>
    <t>5  C-172</t>
  </si>
  <si>
    <t>6 C-182</t>
  </si>
  <si>
    <t>1 ARGONAUT</t>
  </si>
  <si>
    <t>MSY</t>
  </si>
  <si>
    <t>5 B-206</t>
  </si>
  <si>
    <t>5 LJ-35</t>
  </si>
  <si>
    <t>6 LJ-45</t>
  </si>
  <si>
    <t>2 LJ-36</t>
  </si>
  <si>
    <t>GWW</t>
  </si>
  <si>
    <t>2 AS355</t>
  </si>
  <si>
    <t>13 PA-23</t>
  </si>
  <si>
    <t>4 C-510</t>
  </si>
  <si>
    <t>C-337</t>
  </si>
  <si>
    <t>LAX/EWR</t>
  </si>
  <si>
    <t>1 G-200</t>
  </si>
  <si>
    <t>FRG/BOG</t>
  </si>
  <si>
    <t>B-55</t>
  </si>
  <si>
    <t>C-441</t>
  </si>
  <si>
    <t>TUL</t>
  </si>
  <si>
    <t xml:space="preserve">MS* </t>
  </si>
  <si>
    <t>JUIN 2015</t>
  </si>
  <si>
    <t xml:space="preserve">   VOLS COMBINES</t>
  </si>
  <si>
    <t xml:space="preserve">       VOLS CARGO</t>
  </si>
  <si>
    <t>MD-80</t>
  </si>
  <si>
    <t>Atr 42</t>
  </si>
  <si>
    <t>LUFTHANSA CARGO</t>
  </si>
  <si>
    <t>BQN</t>
  </si>
  <si>
    <t xml:space="preserve"> MD-11F</t>
  </si>
  <si>
    <t>BOS</t>
  </si>
  <si>
    <t>IAD-IND</t>
  </si>
  <si>
    <t>7 PA-34</t>
  </si>
  <si>
    <t>3 CL-600</t>
  </si>
  <si>
    <t>MAZ</t>
  </si>
  <si>
    <t>3 B300</t>
  </si>
  <si>
    <t>1 MU-2</t>
  </si>
  <si>
    <t>3 B-429</t>
  </si>
  <si>
    <t>5 LJ-36</t>
  </si>
  <si>
    <t>1 COL-3</t>
  </si>
  <si>
    <t>1 125-700</t>
  </si>
  <si>
    <t>3 G-IV</t>
  </si>
  <si>
    <t>4 BD-700</t>
  </si>
  <si>
    <t>1 B350</t>
  </si>
  <si>
    <t>1 B55B</t>
  </si>
  <si>
    <t>2 BE900XP</t>
  </si>
  <si>
    <t>KSAV</t>
  </si>
  <si>
    <t>2 C-208</t>
  </si>
  <si>
    <t>1 PA-31</t>
  </si>
  <si>
    <t>1-B420</t>
  </si>
  <si>
    <t>VNY/LAX</t>
  </si>
  <si>
    <t>3 C-550</t>
  </si>
  <si>
    <t>2 C500</t>
  </si>
  <si>
    <t>GDT</t>
  </si>
  <si>
    <t>MS*   LEE -BGI/CUR</t>
  </si>
  <si>
    <t>JUILLET 2015</t>
  </si>
  <si>
    <t>UNITED ARAB EMIRATES</t>
  </si>
  <si>
    <t>B 777</t>
  </si>
  <si>
    <t>IL-76</t>
  </si>
  <si>
    <t>6 DC-3</t>
  </si>
  <si>
    <t>FOKKER 50</t>
  </si>
  <si>
    <t>5 -110BANDE</t>
  </si>
  <si>
    <t>LIM</t>
  </si>
  <si>
    <t>1 C208</t>
  </si>
  <si>
    <t>1 C500</t>
  </si>
  <si>
    <t>1 C182</t>
  </si>
  <si>
    <t>3 C172</t>
  </si>
  <si>
    <t>3 C510</t>
  </si>
  <si>
    <t>3 C550</t>
  </si>
  <si>
    <t>2 LJ-60</t>
  </si>
  <si>
    <t>2 CL-600</t>
  </si>
  <si>
    <t>CBJ/BFS</t>
  </si>
  <si>
    <t>AOUT 2015</t>
  </si>
  <si>
    <t xml:space="preserve">   FLY JAMAICA AIRWAYS</t>
  </si>
  <si>
    <t>WESTERN AIR</t>
  </si>
  <si>
    <t>SF 34/ BE900</t>
  </si>
  <si>
    <t>UN</t>
  </si>
  <si>
    <t xml:space="preserve">       AEROCARIBBEAN /</t>
  </si>
  <si>
    <t>CUBANA DE AVIACION</t>
  </si>
  <si>
    <t>2-BA31</t>
  </si>
  <si>
    <t>2 BE-36</t>
  </si>
  <si>
    <t>1 MU-3</t>
  </si>
  <si>
    <t>2-LJ-35</t>
  </si>
  <si>
    <t>2 C-760</t>
  </si>
  <si>
    <t>2 BE-400</t>
  </si>
  <si>
    <t>SKP</t>
  </si>
  <si>
    <t>4 C-208</t>
  </si>
  <si>
    <t>1 B-350</t>
  </si>
  <si>
    <t>7 C-414</t>
  </si>
  <si>
    <t>#8</t>
  </si>
  <si>
    <t>1 BE-200</t>
  </si>
  <si>
    <t>1- 1121JET</t>
  </si>
  <si>
    <t>1 ATR-42</t>
  </si>
  <si>
    <t>1 BE-4000</t>
  </si>
  <si>
    <t>5 PA-32</t>
  </si>
  <si>
    <t>1 PA-42</t>
  </si>
  <si>
    <t>BE-36</t>
  </si>
  <si>
    <t>FOK</t>
  </si>
  <si>
    <t>AS-365</t>
  </si>
  <si>
    <t>BN-2</t>
  </si>
  <si>
    <t>BZE</t>
  </si>
  <si>
    <t>SEPTEMBRE 2015</t>
  </si>
  <si>
    <t xml:space="preserve">   AERO MEXICO</t>
  </si>
  <si>
    <t>MEX</t>
  </si>
  <si>
    <t>AN 124</t>
  </si>
  <si>
    <t>1 G280</t>
  </si>
  <si>
    <t>1 ATR-45</t>
  </si>
  <si>
    <t>SML</t>
  </si>
  <si>
    <t>3 C421</t>
  </si>
  <si>
    <t>1AS 350</t>
  </si>
  <si>
    <t>2 LJ 45</t>
  </si>
  <si>
    <t>1 B-40</t>
  </si>
  <si>
    <r>
      <t>3</t>
    </r>
    <r>
      <rPr>
        <sz val="8"/>
        <color theme="1"/>
        <rFont val="Calibri"/>
        <family val="2"/>
        <scheme val="minor"/>
      </rPr>
      <t xml:space="preserve"> FLACON 50</t>
    </r>
  </si>
  <si>
    <t>2 PA31</t>
  </si>
  <si>
    <t>1 BN-2</t>
  </si>
  <si>
    <t>C 414</t>
  </si>
  <si>
    <t>1 B-36</t>
  </si>
  <si>
    <t>1 L410</t>
  </si>
  <si>
    <t>1 C-208</t>
  </si>
  <si>
    <t>BNA</t>
  </si>
  <si>
    <t>3 B55B</t>
  </si>
  <si>
    <t>4 C-414</t>
  </si>
  <si>
    <t>AC-1121</t>
  </si>
  <si>
    <t>BE-55</t>
  </si>
  <si>
    <t>FALCON 50</t>
  </si>
  <si>
    <t xml:space="preserve"> BR-22</t>
  </si>
  <si>
    <t>OCTOBRE 2015</t>
  </si>
  <si>
    <t>b747</t>
  </si>
  <si>
    <t xml:space="preserve">     AEROCARIBBEAN /</t>
  </si>
  <si>
    <t>AN 158</t>
  </si>
  <si>
    <t>2 EMB505</t>
  </si>
  <si>
    <t>2 C650</t>
  </si>
  <si>
    <t>1 SR22</t>
  </si>
  <si>
    <t>2  C421</t>
  </si>
  <si>
    <t>1 PA23</t>
  </si>
  <si>
    <t>1 C680</t>
  </si>
  <si>
    <t>1 C 750</t>
  </si>
  <si>
    <t>1 G 200</t>
  </si>
  <si>
    <t>6 LJ 35</t>
  </si>
  <si>
    <t>3 C182</t>
  </si>
  <si>
    <t>10 C172</t>
  </si>
  <si>
    <t>2 AS350</t>
  </si>
  <si>
    <t>2 BE20</t>
  </si>
  <si>
    <t>C340</t>
  </si>
  <si>
    <t>2 PA34</t>
  </si>
  <si>
    <t>7 C414</t>
  </si>
  <si>
    <t>9 B 55</t>
  </si>
  <si>
    <t>1 BE 99</t>
  </si>
  <si>
    <t>C-182</t>
  </si>
  <si>
    <t>C-414</t>
  </si>
  <si>
    <t>DC3</t>
  </si>
  <si>
    <t>M202M</t>
  </si>
  <si>
    <t>NOVEMBRE 2015</t>
  </si>
  <si>
    <t>AN-156</t>
  </si>
  <si>
    <t>1  PA32</t>
  </si>
  <si>
    <t>1 C-340</t>
  </si>
  <si>
    <t>6 C 172</t>
  </si>
  <si>
    <t>3 B407</t>
  </si>
  <si>
    <t>5 C414</t>
  </si>
  <si>
    <t>4 MU-300</t>
  </si>
  <si>
    <t>1 CRJ200</t>
  </si>
  <si>
    <t>1 LJ 60</t>
  </si>
  <si>
    <t>2 PA 23</t>
  </si>
  <si>
    <t>1 FALCON900</t>
  </si>
  <si>
    <t>1 T3B</t>
  </si>
  <si>
    <t xml:space="preserve"> C510</t>
  </si>
  <si>
    <t>4 B-55</t>
  </si>
  <si>
    <t>2 pa-31</t>
  </si>
  <si>
    <t>C-500</t>
  </si>
  <si>
    <t>SLC</t>
  </si>
  <si>
    <t>DECEMBRE 2015</t>
  </si>
  <si>
    <t>B-777</t>
  </si>
  <si>
    <t>A 321</t>
  </si>
  <si>
    <t>TU-204</t>
  </si>
  <si>
    <t>2  PA32</t>
  </si>
  <si>
    <t>1 MU2</t>
  </si>
  <si>
    <t>2 C 172</t>
  </si>
  <si>
    <t>2 B58</t>
  </si>
  <si>
    <t>3 C414</t>
  </si>
  <si>
    <t>1 C-505</t>
  </si>
  <si>
    <t>KTMB/PBM</t>
  </si>
  <si>
    <t>1 ERJ-190</t>
  </si>
  <si>
    <t>4 PC-12</t>
  </si>
  <si>
    <t>3 C-560</t>
  </si>
  <si>
    <t>#6</t>
  </si>
  <si>
    <t>1 FALCON50</t>
  </si>
  <si>
    <t>1 B-337</t>
  </si>
  <si>
    <t>1 HS-25</t>
  </si>
  <si>
    <t>1 C-550</t>
  </si>
  <si>
    <t>1 EMB-500</t>
  </si>
  <si>
    <t>B350</t>
  </si>
  <si>
    <t>MSP</t>
  </si>
  <si>
    <t>BCT</t>
  </si>
  <si>
    <t>JANVIER 2016</t>
  </si>
  <si>
    <t>1/5/</t>
  </si>
  <si>
    <t>5/5/</t>
  </si>
  <si>
    <t>4/5/</t>
  </si>
  <si>
    <t xml:space="preserve">PR/   BAHAMAS AIR  </t>
  </si>
  <si>
    <t xml:space="preserve">   CUBANA DE AVIACION</t>
  </si>
  <si>
    <t>3  DC-3</t>
  </si>
  <si>
    <r>
      <t xml:space="preserve">4  </t>
    </r>
    <r>
      <rPr>
        <sz val="8"/>
        <color theme="1"/>
        <rFont val="Calibri"/>
        <family val="2"/>
        <scheme val="minor"/>
      </rPr>
      <t>-110BANDE</t>
    </r>
  </si>
  <si>
    <t>LTN</t>
  </si>
  <si>
    <t>3 LJ 45</t>
  </si>
  <si>
    <t>A321</t>
  </si>
  <si>
    <t>2 EMB135</t>
  </si>
  <si>
    <t>6 C-414</t>
  </si>
  <si>
    <t>5 C208</t>
  </si>
  <si>
    <t>1 C525A</t>
  </si>
  <si>
    <t>2 FALCON 900</t>
  </si>
  <si>
    <t>2 FALCON 20</t>
  </si>
  <si>
    <t>1 PA-23</t>
  </si>
  <si>
    <t>SFG</t>
  </si>
  <si>
    <t>B429</t>
  </si>
  <si>
    <t>LZZ/AZS</t>
  </si>
  <si>
    <t>1 AC500</t>
  </si>
  <si>
    <t>PIT/PBI</t>
  </si>
  <si>
    <t>CMF</t>
  </si>
  <si>
    <t>ELM</t>
  </si>
  <si>
    <t>FEVRIER 2016</t>
  </si>
  <si>
    <t>cmw</t>
  </si>
  <si>
    <r>
      <t xml:space="preserve">2  </t>
    </r>
    <r>
      <rPr>
        <sz val="8"/>
        <color theme="1"/>
        <rFont val="Calibri"/>
        <family val="2"/>
        <scheme val="minor"/>
      </rPr>
      <t>-110BANDE</t>
    </r>
  </si>
  <si>
    <t>CLE</t>
  </si>
  <si>
    <t>MHH</t>
  </si>
  <si>
    <t>3 C310</t>
  </si>
  <si>
    <t>6 C-500</t>
  </si>
  <si>
    <t>4 C208</t>
  </si>
  <si>
    <t>1 FALCON 900</t>
  </si>
  <si>
    <t>5 C-340</t>
  </si>
  <si>
    <t>C-150</t>
  </si>
  <si>
    <t>1 ASTRA 1125</t>
  </si>
  <si>
    <t>5 C-421</t>
  </si>
  <si>
    <t>2 C550</t>
  </si>
  <si>
    <t>SAP</t>
  </si>
  <si>
    <t>1 M-20</t>
  </si>
  <si>
    <t>1 C-337</t>
  </si>
  <si>
    <t>CAK</t>
  </si>
  <si>
    <t>SR-22</t>
  </si>
  <si>
    <t>MTMI</t>
  </si>
  <si>
    <t>MARS 2016</t>
  </si>
  <si>
    <t xml:space="preserve">    AIR CENTURY   S.A.</t>
  </si>
  <si>
    <t>HEF</t>
  </si>
  <si>
    <t>TU 204</t>
  </si>
  <si>
    <t>FMY</t>
  </si>
  <si>
    <t>TGU</t>
  </si>
  <si>
    <t>3 C-172</t>
  </si>
  <si>
    <t>3 C-208</t>
  </si>
  <si>
    <t>1 AEROSTAR</t>
  </si>
  <si>
    <t>1 BE-58</t>
  </si>
  <si>
    <t>2 C-421B</t>
  </si>
  <si>
    <t>1 LJ-36</t>
  </si>
  <si>
    <t>1 B-55B</t>
  </si>
  <si>
    <t>1 C-525</t>
  </si>
  <si>
    <t>1 FALCON20</t>
  </si>
  <si>
    <t>B4212</t>
  </si>
  <si>
    <t>PIE</t>
  </si>
  <si>
    <t>PA-27</t>
  </si>
  <si>
    <t>AVRIL 2016</t>
  </si>
  <si>
    <t>2  DC-3</t>
  </si>
  <si>
    <t>CGT</t>
  </si>
  <si>
    <t>TLR</t>
  </si>
  <si>
    <t>1 ec120</t>
  </si>
  <si>
    <t>6 PA32</t>
  </si>
  <si>
    <t>2 PA28</t>
  </si>
  <si>
    <t>SAB 60</t>
  </si>
  <si>
    <t>1 SAB-60</t>
  </si>
  <si>
    <t>3 BE-1900</t>
  </si>
  <si>
    <t>1 CN-255</t>
  </si>
  <si>
    <t>AEROSTAR</t>
  </si>
  <si>
    <t>BE-40</t>
  </si>
  <si>
    <t>MAI 2016</t>
  </si>
  <si>
    <t>CAICOS EXPRESS AIRWAYS</t>
  </si>
  <si>
    <t>BE-1900</t>
  </si>
  <si>
    <t>SDQ/AUA</t>
  </si>
  <si>
    <t>PVD</t>
  </si>
  <si>
    <t>3 MU-300</t>
  </si>
  <si>
    <t>1 C337A</t>
  </si>
  <si>
    <t>4  B-737</t>
  </si>
  <si>
    <t>4 PA 32</t>
  </si>
  <si>
    <t>1 C-414</t>
  </si>
  <si>
    <t>1 B1900</t>
  </si>
  <si>
    <t>1 TA-38</t>
  </si>
  <si>
    <t>1 PC 12</t>
  </si>
  <si>
    <t>1 PA 42</t>
  </si>
  <si>
    <t>C-208</t>
  </si>
  <si>
    <t>1 SR 22</t>
  </si>
  <si>
    <t>2 PA 31</t>
  </si>
  <si>
    <t>LEE</t>
  </si>
  <si>
    <t>PA 23</t>
  </si>
  <si>
    <t>EYW</t>
  </si>
  <si>
    <t>JUIN 2016</t>
  </si>
  <si>
    <t>DHC-6</t>
  </si>
  <si>
    <t>B737-700</t>
  </si>
  <si>
    <t>B 737 - 800</t>
  </si>
  <si>
    <t xml:space="preserve">       CHILE JET</t>
  </si>
  <si>
    <t>JJI</t>
  </si>
  <si>
    <t xml:space="preserve">      JETBLUE AIRWAYS </t>
  </si>
  <si>
    <r>
      <t xml:space="preserve">5  </t>
    </r>
    <r>
      <rPr>
        <sz val="8"/>
        <color theme="1"/>
        <rFont val="Calibri"/>
        <family val="2"/>
        <scheme val="minor"/>
      </rPr>
      <t>-110BANDE</t>
    </r>
  </si>
  <si>
    <t>FEB</t>
  </si>
  <si>
    <t>1BE-55B</t>
  </si>
  <si>
    <t>3 G IV</t>
  </si>
  <si>
    <t>1 D508</t>
  </si>
  <si>
    <t>1 S-76</t>
  </si>
  <si>
    <t>3 BD100-</t>
  </si>
  <si>
    <t>1 B300</t>
  </si>
  <si>
    <t>1 MU 2</t>
  </si>
  <si>
    <t>1 PREMIER 1</t>
  </si>
  <si>
    <t>1 B400</t>
  </si>
  <si>
    <t>4 H25B</t>
  </si>
  <si>
    <t>1 PA 31</t>
  </si>
  <si>
    <t>DPA</t>
  </si>
  <si>
    <t>FALCON 20</t>
  </si>
  <si>
    <t>SMA</t>
  </si>
  <si>
    <t>S-76</t>
  </si>
  <si>
    <t>C441</t>
  </si>
  <si>
    <t>#3</t>
  </si>
  <si>
    <t>JUILLET 2016</t>
  </si>
  <si>
    <t>nas</t>
  </si>
  <si>
    <t>FOKKER 70</t>
  </si>
  <si>
    <t>2 C560xl</t>
  </si>
  <si>
    <t>1 PRM 1</t>
  </si>
  <si>
    <t>1 G-2</t>
  </si>
  <si>
    <t>1 EC120</t>
  </si>
  <si>
    <t>1 BE58</t>
  </si>
  <si>
    <t>2 C172</t>
  </si>
  <si>
    <t>2 PA23</t>
  </si>
  <si>
    <t>1 FOKKER 70</t>
  </si>
  <si>
    <t>MGA/CZM</t>
  </si>
  <si>
    <t>2 PA-27</t>
  </si>
  <si>
    <t>1 AEROSTAR 600</t>
  </si>
  <si>
    <t>1 FALCON7X</t>
  </si>
  <si>
    <t>1 SAB 60</t>
  </si>
  <si>
    <t>1 C650</t>
  </si>
  <si>
    <t>1 C402C</t>
  </si>
  <si>
    <t>2 B350</t>
  </si>
  <si>
    <t>2 C208</t>
  </si>
  <si>
    <t>HAM</t>
  </si>
  <si>
    <t>AOUT 2016</t>
  </si>
  <si>
    <t xml:space="preserve">  PAWA DOMINICANA</t>
  </si>
  <si>
    <t>lrm</t>
  </si>
  <si>
    <t>b737-800</t>
  </si>
  <si>
    <t>IGA</t>
  </si>
  <si>
    <r>
      <t xml:space="preserve">3  </t>
    </r>
    <r>
      <rPr>
        <sz val="8"/>
        <color theme="1"/>
        <rFont val="Calibri"/>
        <family val="2"/>
        <scheme val="minor"/>
      </rPr>
      <t>-110BANDE</t>
    </r>
  </si>
  <si>
    <t>1 C210</t>
  </si>
  <si>
    <t>2 PA-34</t>
  </si>
  <si>
    <t>1 C750</t>
  </si>
  <si>
    <t>2 BE90</t>
  </si>
  <si>
    <t>SAAB 60</t>
  </si>
  <si>
    <t>TGG</t>
  </si>
  <si>
    <t>2 HS-125</t>
  </si>
  <si>
    <t>MAD</t>
  </si>
  <si>
    <t>NATIONAL AIR CGO</t>
  </si>
  <si>
    <t>B747</t>
  </si>
  <si>
    <t>3 BA-31</t>
  </si>
  <si>
    <t>2 C525</t>
  </si>
  <si>
    <t>2 C-414</t>
  </si>
  <si>
    <t>1 DO-328</t>
  </si>
  <si>
    <t>2 B-737-500</t>
  </si>
  <si>
    <t>C 210</t>
  </si>
  <si>
    <t>1 FK 70</t>
  </si>
  <si>
    <t>3 B1900C</t>
  </si>
  <si>
    <t>1 EA50</t>
  </si>
  <si>
    <t>DC 3</t>
  </si>
  <si>
    <t>B 206</t>
  </si>
  <si>
    <t>ANU</t>
  </si>
  <si>
    <t>SEPTEMBRE 2016</t>
  </si>
  <si>
    <t>SCL</t>
  </si>
  <si>
    <t>ccs/MAR</t>
  </si>
  <si>
    <t>B777</t>
  </si>
  <si>
    <t>2 C 310C</t>
  </si>
  <si>
    <t>3 P 68C</t>
  </si>
  <si>
    <t>1 AEROSTAR600</t>
  </si>
  <si>
    <t>LJ36</t>
  </si>
  <si>
    <r>
      <t xml:space="preserve">4 </t>
    </r>
    <r>
      <rPr>
        <sz val="9"/>
        <color theme="1"/>
        <rFont val="Calibri"/>
        <family val="2"/>
        <scheme val="minor"/>
      </rPr>
      <t>FOKKER70</t>
    </r>
  </si>
  <si>
    <t>2 B390</t>
  </si>
  <si>
    <t>PMV</t>
  </si>
  <si>
    <t>AVIANCA COSTA RICA</t>
  </si>
  <si>
    <t>1 LJ 36</t>
  </si>
  <si>
    <r>
      <t>4</t>
    </r>
    <r>
      <rPr>
        <sz val="10"/>
        <color theme="1"/>
        <rFont val="Calibri"/>
        <family val="2"/>
        <scheme val="minor"/>
      </rPr>
      <t xml:space="preserve"> AS350</t>
    </r>
  </si>
  <si>
    <t>2 C525A</t>
  </si>
  <si>
    <t>A320</t>
  </si>
  <si>
    <t>1 PA 32</t>
  </si>
  <si>
    <t>2 C182</t>
  </si>
  <si>
    <t>1 CL300</t>
  </si>
  <si>
    <t>1 M20</t>
  </si>
  <si>
    <t>1 B 200C</t>
  </si>
  <si>
    <t>2 C 337A</t>
  </si>
  <si>
    <t>EETA</t>
  </si>
  <si>
    <t>c 150</t>
  </si>
  <si>
    <t>C310</t>
  </si>
  <si>
    <t>PA34</t>
  </si>
  <si>
    <t xml:space="preserve"> AEROSATAR 600</t>
  </si>
  <si>
    <t>OCTOBRE 2016</t>
  </si>
  <si>
    <t>TOTAL VOLS PAR TYPES</t>
  </si>
  <si>
    <t>ET PAR COMPAGNIES</t>
  </si>
  <si>
    <t>BE 200</t>
  </si>
  <si>
    <t>CTM/STI</t>
  </si>
  <si>
    <t>total</t>
  </si>
  <si>
    <t>AUA-CUR</t>
  </si>
  <si>
    <t>GSO</t>
  </si>
  <si>
    <t>LRM-PUJ</t>
  </si>
  <si>
    <t>8  DC-3</t>
  </si>
  <si>
    <t>TCL/CZM</t>
  </si>
  <si>
    <t>4 LJ-45</t>
  </si>
  <si>
    <t>3 BE-55</t>
  </si>
  <si>
    <t>B212</t>
  </si>
  <si>
    <r>
      <t xml:space="preserve">7 </t>
    </r>
    <r>
      <rPr>
        <sz val="8"/>
        <color theme="1"/>
        <rFont val="Calibri"/>
        <family val="2"/>
        <scheme val="minor"/>
      </rPr>
      <t>BD-100CL-600</t>
    </r>
  </si>
  <si>
    <t>PA 33</t>
  </si>
  <si>
    <t>1 D-50B</t>
  </si>
  <si>
    <t>1 EXP</t>
  </si>
  <si>
    <t>sr22</t>
  </si>
  <si>
    <t>1 R-66</t>
  </si>
  <si>
    <t>1 DC-3</t>
  </si>
  <si>
    <t xml:space="preserve">                HUMANITAIRE </t>
  </si>
  <si>
    <t>6 B407</t>
  </si>
  <si>
    <t>1 MERLIN IV</t>
  </si>
  <si>
    <t>LYS</t>
  </si>
  <si>
    <t>AIB</t>
  </si>
  <si>
    <t>CPH</t>
  </si>
  <si>
    <t>B747-2</t>
  </si>
  <si>
    <t>GTI</t>
  </si>
  <si>
    <t>16 BE-1900</t>
  </si>
  <si>
    <r>
      <t>1</t>
    </r>
    <r>
      <rPr>
        <sz val="8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EMB-120</t>
    </r>
  </si>
  <si>
    <t>JFK,PAS,YYZ</t>
  </si>
  <si>
    <t>CKS</t>
  </si>
  <si>
    <t>TER</t>
  </si>
  <si>
    <t>3 FALCON900</t>
  </si>
  <si>
    <t>4 C-525</t>
  </si>
  <si>
    <t>JFK,LGG,OPO</t>
  </si>
  <si>
    <t>B747-400</t>
  </si>
  <si>
    <t>NCR</t>
  </si>
  <si>
    <t>4 DHC8</t>
  </si>
  <si>
    <t>2CL-350</t>
  </si>
  <si>
    <t>FEW</t>
  </si>
  <si>
    <t>OAE</t>
  </si>
  <si>
    <t>REV/SXM</t>
  </si>
  <si>
    <t>1 G III</t>
  </si>
  <si>
    <t>SKY</t>
  </si>
  <si>
    <t>1 C360</t>
  </si>
  <si>
    <t>CMN</t>
  </si>
  <si>
    <t>MD-11F</t>
  </si>
  <si>
    <t>GAA</t>
  </si>
  <si>
    <t>1 PA 33</t>
  </si>
  <si>
    <t>MIA,PTY</t>
  </si>
  <si>
    <t>CWC</t>
  </si>
  <si>
    <t>B757-200</t>
  </si>
  <si>
    <t>FEDEX</t>
  </si>
  <si>
    <t>IAD/UIO</t>
  </si>
  <si>
    <t>NRL</t>
  </si>
  <si>
    <t>DC10 F</t>
  </si>
  <si>
    <t>110BANDER</t>
  </si>
  <si>
    <t xml:space="preserve"> C337A</t>
  </si>
  <si>
    <t>R-66</t>
  </si>
  <si>
    <t>ms*</t>
  </si>
  <si>
    <r>
      <rPr>
        <b/>
        <sz val="11"/>
        <color theme="1"/>
        <rFont val="Calibri"/>
        <family val="2"/>
        <scheme val="minor"/>
      </rPr>
      <t>TIX</t>
    </r>
    <r>
      <rPr>
        <sz val="11"/>
        <color theme="1"/>
        <rFont val="Calibri"/>
        <family val="2"/>
        <scheme val="minor"/>
      </rPr>
      <t xml:space="preserve"> 1/0 </t>
    </r>
    <r>
      <rPr>
        <b/>
        <sz val="11"/>
        <color theme="1"/>
        <rFont val="Calibri"/>
        <family val="2"/>
        <scheme val="minor"/>
      </rPr>
      <t>BDR</t>
    </r>
    <r>
      <rPr>
        <sz val="11"/>
        <color theme="1"/>
        <rFont val="Calibri"/>
        <family val="2"/>
        <scheme val="minor"/>
      </rPr>
      <t xml:space="preserve"> 4/0  </t>
    </r>
    <r>
      <rPr>
        <b/>
        <sz val="11"/>
        <color theme="1"/>
        <rFont val="Calibri"/>
        <family val="2"/>
        <scheme val="minor"/>
      </rPr>
      <t>STT</t>
    </r>
    <r>
      <rPr>
        <sz val="11"/>
        <color theme="1"/>
        <rFont val="Calibri"/>
        <family val="2"/>
        <scheme val="minor"/>
      </rPr>
      <t xml:space="preserve"> 1/1 </t>
    </r>
    <r>
      <rPr>
        <b/>
        <sz val="11"/>
        <color theme="1"/>
        <rFont val="Calibri"/>
        <family val="2"/>
        <scheme val="minor"/>
      </rPr>
      <t>AZS</t>
    </r>
    <r>
      <rPr>
        <sz val="11"/>
        <color theme="1"/>
        <rFont val="Calibri"/>
        <family val="2"/>
        <scheme val="minor"/>
      </rPr>
      <t xml:space="preserve"> 0/2  </t>
    </r>
    <r>
      <rPr>
        <b/>
        <sz val="11"/>
        <color theme="1"/>
        <rFont val="Calibri"/>
        <family val="2"/>
        <scheme val="minor"/>
      </rPr>
      <t>MIA</t>
    </r>
    <r>
      <rPr>
        <sz val="11"/>
        <color theme="1"/>
        <rFont val="Calibri"/>
        <family val="2"/>
        <scheme val="minor"/>
      </rPr>
      <t xml:space="preserve"> 0/3</t>
    </r>
    <r>
      <rPr>
        <b/>
        <sz val="11"/>
        <color theme="1"/>
        <rFont val="Calibri"/>
        <family val="2"/>
        <scheme val="minor"/>
      </rPr>
      <t xml:space="preserve"> LEE</t>
    </r>
    <r>
      <rPr>
        <sz val="11"/>
        <color theme="1"/>
        <rFont val="Calibri"/>
        <family val="2"/>
        <scheme val="minor"/>
      </rPr>
      <t xml:space="preserve"> 2/0 </t>
    </r>
    <r>
      <rPr>
        <b/>
        <sz val="11"/>
        <color theme="1"/>
        <rFont val="Calibri"/>
        <family val="2"/>
        <scheme val="minor"/>
      </rPr>
      <t>KPWG</t>
    </r>
    <r>
      <rPr>
        <sz val="11"/>
        <color theme="1"/>
        <rFont val="Calibri"/>
        <family val="2"/>
        <scheme val="minor"/>
      </rPr>
      <t xml:space="preserve"> 2/0</t>
    </r>
  </si>
  <si>
    <t>NOVEMBRE 2016</t>
  </si>
  <si>
    <t>DHL</t>
  </si>
  <si>
    <t>AFE</t>
  </si>
  <si>
    <r>
      <t xml:space="preserve">4 </t>
    </r>
    <r>
      <rPr>
        <sz val="8"/>
        <color theme="1"/>
        <rFont val="Calibri"/>
        <family val="2"/>
        <scheme val="minor"/>
      </rPr>
      <t>-110BANDE</t>
    </r>
  </si>
  <si>
    <t>1 pc-12</t>
  </si>
  <si>
    <t>3 AS350</t>
  </si>
  <si>
    <t>1 SD3-60</t>
  </si>
  <si>
    <t>1 CL35</t>
  </si>
  <si>
    <t>1 PA-46</t>
  </si>
  <si>
    <t>2 C310</t>
  </si>
  <si>
    <t>PA33</t>
  </si>
  <si>
    <t>4 LJ45</t>
  </si>
  <si>
    <t>PA23</t>
  </si>
  <si>
    <t>sju</t>
  </si>
  <si>
    <t>1 PA-33</t>
  </si>
  <si>
    <t>ALBATROS AIRLINES</t>
  </si>
  <si>
    <t>C412</t>
  </si>
  <si>
    <t>16 B407</t>
  </si>
  <si>
    <t>1 BE-190</t>
  </si>
  <si>
    <t>B737-500</t>
  </si>
  <si>
    <t>C510</t>
  </si>
  <si>
    <t>KLUK</t>
  </si>
  <si>
    <t>1 BE60</t>
  </si>
  <si>
    <t>LUFTHANZA CARGO</t>
  </si>
  <si>
    <t>PA60</t>
  </si>
  <si>
    <t>1 FALCON10</t>
  </si>
  <si>
    <t>30BD100</t>
  </si>
  <si>
    <t>FRA</t>
  </si>
  <si>
    <t>MD-11</t>
  </si>
  <si>
    <t>PC12</t>
  </si>
  <si>
    <t>2 B60</t>
  </si>
  <si>
    <t>KALITTA AIR</t>
  </si>
  <si>
    <t>AERO600</t>
  </si>
  <si>
    <t>SAL</t>
  </si>
  <si>
    <t>1 FOKKER70</t>
  </si>
  <si>
    <t>2 PC68C</t>
  </si>
  <si>
    <t>YQX</t>
  </si>
  <si>
    <t>747-200</t>
  </si>
  <si>
    <t>FPO</t>
  </si>
  <si>
    <t>1 T34B</t>
  </si>
  <si>
    <t>10 B206</t>
  </si>
  <si>
    <t>4 BE55</t>
  </si>
  <si>
    <t>WESTERN GLOBAL AIRLINES</t>
  </si>
  <si>
    <t>ilm</t>
  </si>
  <si>
    <t>ANC</t>
  </si>
  <si>
    <t>MD11</t>
  </si>
  <si>
    <t>TTN</t>
  </si>
  <si>
    <t>CARGOLUX AIRLINES INTL</t>
  </si>
  <si>
    <t>3 C208</t>
  </si>
  <si>
    <t>1 PA33</t>
  </si>
  <si>
    <t>LUX</t>
  </si>
  <si>
    <t>#10</t>
  </si>
  <si>
    <t>P68C</t>
  </si>
  <si>
    <t>DECEMBRE 2016</t>
  </si>
  <si>
    <t xml:space="preserve">           CHILE JET</t>
  </si>
  <si>
    <t>CUR/BGI</t>
  </si>
  <si>
    <t xml:space="preserve">    FLY ALLWAYS N.V</t>
  </si>
  <si>
    <t>EWB</t>
  </si>
  <si>
    <t>C337</t>
  </si>
  <si>
    <t>3  B200C</t>
  </si>
  <si>
    <t>1 PA43</t>
  </si>
  <si>
    <t>2 G-550</t>
  </si>
  <si>
    <t>1 B390</t>
  </si>
  <si>
    <t>C310C</t>
  </si>
  <si>
    <t>1 PA46</t>
  </si>
  <si>
    <t>2 G-650</t>
  </si>
  <si>
    <t>6  LJ-60</t>
  </si>
  <si>
    <t>A-321</t>
  </si>
  <si>
    <t>5 PA34</t>
  </si>
  <si>
    <t>DTO</t>
  </si>
  <si>
    <t>1 falcon900</t>
  </si>
  <si>
    <t>EOH/BOG</t>
  </si>
  <si>
    <t>r-44</t>
  </si>
  <si>
    <t>B 212</t>
  </si>
  <si>
    <t xml:space="preserve"> PC -12</t>
  </si>
  <si>
    <t xml:space="preserve">    CHILE JET</t>
  </si>
  <si>
    <t>B737-430</t>
  </si>
  <si>
    <t xml:space="preserve">TRAFIC FRET    </t>
  </si>
  <si>
    <t>JANVIER  2018</t>
  </si>
  <si>
    <t>/ KILO</t>
  </si>
  <si>
    <t>FRET    / KILO</t>
  </si>
  <si>
    <t>A310</t>
  </si>
  <si>
    <t xml:space="preserve">     T/A</t>
  </si>
  <si>
    <t>BE-31</t>
  </si>
  <si>
    <t xml:space="preserve">   2 DHC</t>
  </si>
  <si>
    <t>188B</t>
  </si>
  <si>
    <t>MD-82</t>
  </si>
  <si>
    <t>B737-505</t>
  </si>
  <si>
    <t>SF-34</t>
  </si>
  <si>
    <t>BAHAMAS  AIR</t>
  </si>
  <si>
    <t>ART-72</t>
  </si>
  <si>
    <t>Nas</t>
  </si>
  <si>
    <t xml:space="preserve">  A320</t>
  </si>
  <si>
    <t xml:space="preserve">   LAW</t>
  </si>
  <si>
    <t xml:space="preserve"> B737-800</t>
  </si>
  <si>
    <t>SH-360</t>
  </si>
  <si>
    <t xml:space="preserve"> BE-31</t>
  </si>
  <si>
    <t>ERJ 190</t>
  </si>
  <si>
    <t>TXL</t>
  </si>
  <si>
    <t>2 C-152</t>
  </si>
  <si>
    <t>10 b407</t>
  </si>
  <si>
    <t>8 B206</t>
  </si>
  <si>
    <t>B737-338</t>
  </si>
  <si>
    <t>C-210</t>
  </si>
  <si>
    <t>1 B402</t>
  </si>
  <si>
    <t>LJ-36</t>
  </si>
  <si>
    <t>2 b429</t>
  </si>
  <si>
    <t>BVB</t>
  </si>
  <si>
    <t>B767-323</t>
  </si>
  <si>
    <t>B767-338</t>
  </si>
  <si>
    <t>MTHE</t>
  </si>
  <si>
    <t>MAR</t>
  </si>
  <si>
    <t>4-110bandereirante</t>
  </si>
  <si>
    <t xml:space="preserve">  1 PA 31</t>
  </si>
  <si>
    <t>1 CL-35</t>
  </si>
  <si>
    <t xml:space="preserve"> 1 BE-58</t>
  </si>
  <si>
    <t xml:space="preserve"> 4 BA-31</t>
  </si>
  <si>
    <t xml:space="preserve">          WINAIR</t>
  </si>
  <si>
    <t>3 R-44</t>
  </si>
  <si>
    <t>DC-9</t>
  </si>
  <si>
    <t>NMCO</t>
  </si>
  <si>
    <t xml:space="preserve"> 1 LJ-35</t>
  </si>
  <si>
    <t>1 B90</t>
  </si>
  <si>
    <t>1 C-210</t>
  </si>
  <si>
    <t xml:space="preserve"> 2 C-510</t>
  </si>
  <si>
    <t>3 G-4</t>
  </si>
  <si>
    <t>1 EMB-145</t>
  </si>
  <si>
    <t>1-188B</t>
  </si>
  <si>
    <t>VNY</t>
  </si>
  <si>
    <t>1 SH-360</t>
  </si>
  <si>
    <t>CHS</t>
  </si>
  <si>
    <r>
      <t xml:space="preserve">AVIATION </t>
    </r>
    <r>
      <rPr>
        <sz val="10"/>
        <color theme="1"/>
        <rFont val="Calibri"/>
        <family val="2"/>
        <scheme val="minor"/>
      </rPr>
      <t>GENERALE:</t>
    </r>
  </si>
  <si>
    <t>FEVRIER  2018</t>
  </si>
  <si>
    <t xml:space="preserve">     3  DHC</t>
  </si>
  <si>
    <t>B737-501</t>
  </si>
  <si>
    <t>B737-401</t>
  </si>
  <si>
    <t>CWW</t>
  </si>
  <si>
    <t>B767-336</t>
  </si>
  <si>
    <t>MEC</t>
  </si>
  <si>
    <t>TRU</t>
  </si>
  <si>
    <t>B 757-3B7</t>
  </si>
  <si>
    <t>SVL(Test Flihgt)</t>
  </si>
  <si>
    <t>23 C-172</t>
  </si>
  <si>
    <t>28 C-182</t>
  </si>
  <si>
    <t>10C-210</t>
  </si>
  <si>
    <t>MTAR</t>
  </si>
  <si>
    <t>82 PA-32</t>
  </si>
  <si>
    <t>44 PA-34</t>
  </si>
  <si>
    <t>PASSAGERS</t>
  </si>
  <si>
    <t>1BE-1900</t>
  </si>
  <si>
    <t xml:space="preserve">KIN </t>
  </si>
  <si>
    <t>2 DC-3</t>
  </si>
  <si>
    <t xml:space="preserve">     VERS </t>
  </si>
  <si>
    <t xml:space="preserve"> DEB</t>
  </si>
  <si>
    <t xml:space="preserve">         EMB</t>
  </si>
  <si>
    <t>6 EXP</t>
  </si>
  <si>
    <t xml:space="preserve"> 6  DC-3</t>
  </si>
  <si>
    <t xml:space="preserve"> 4-110bandereirante</t>
  </si>
  <si>
    <t>ALS</t>
  </si>
  <si>
    <t xml:space="preserve"> 1  PA 31</t>
  </si>
  <si>
    <t xml:space="preserve">4 FALCON501 </t>
  </si>
  <si>
    <t xml:space="preserve"> 5  BA-31</t>
  </si>
  <si>
    <t>1 F-70</t>
  </si>
  <si>
    <t>1 DA-20</t>
  </si>
  <si>
    <t>KMTB</t>
  </si>
  <si>
    <t>GND</t>
  </si>
  <si>
    <t>1-1124 WESTWIND</t>
  </si>
  <si>
    <t>SLU</t>
  </si>
  <si>
    <t>1 C-200</t>
  </si>
  <si>
    <t>3 C-182</t>
  </si>
  <si>
    <t>2 Bae-125</t>
  </si>
  <si>
    <t>PJU</t>
  </si>
  <si>
    <t>7 B-206</t>
  </si>
  <si>
    <t>15 b407</t>
  </si>
  <si>
    <t>4 CL-35</t>
  </si>
  <si>
    <t>2 C-17</t>
  </si>
  <si>
    <t>TVSA</t>
  </si>
  <si>
    <t>2 ec-120</t>
  </si>
  <si>
    <t>3 S-76</t>
  </si>
  <si>
    <t>3 R-66</t>
  </si>
  <si>
    <t>163+6</t>
  </si>
  <si>
    <t>105+28</t>
  </si>
  <si>
    <t>&lt;=======&gt;</t>
  </si>
  <si>
    <t>MARS  2018</t>
  </si>
  <si>
    <t>B737-4B7</t>
  </si>
  <si>
    <t>26 SF-34</t>
  </si>
  <si>
    <t>2 ATR-46</t>
  </si>
  <si>
    <t>MNS</t>
  </si>
  <si>
    <t>SVL0</t>
  </si>
  <si>
    <r>
      <t>SVL(</t>
    </r>
    <r>
      <rPr>
        <sz val="8"/>
        <color theme="1"/>
        <rFont val="Calibri"/>
        <family val="2"/>
        <scheme val="minor"/>
      </rPr>
      <t>RET.TO PAP)</t>
    </r>
  </si>
  <si>
    <t>B 757-223</t>
  </si>
  <si>
    <t>YHZ</t>
  </si>
  <si>
    <t>1C-208</t>
  </si>
  <si>
    <t>36 C-172</t>
  </si>
  <si>
    <t>5 EXP</t>
  </si>
  <si>
    <t>12 C-210</t>
  </si>
  <si>
    <t>22 C-182</t>
  </si>
  <si>
    <t>I-188B</t>
  </si>
  <si>
    <t>6 BE-1900</t>
  </si>
  <si>
    <t>2 C-402</t>
  </si>
  <si>
    <t>105 PA-32</t>
  </si>
  <si>
    <t>B7757-200</t>
  </si>
  <si>
    <t>ENU</t>
  </si>
  <si>
    <t>4-110 BANDEIRANTE</t>
  </si>
  <si>
    <t>2 AERROSTAR-600</t>
  </si>
  <si>
    <t>4 DC-3</t>
  </si>
  <si>
    <t>4 -110bandereirante</t>
  </si>
  <si>
    <t xml:space="preserve">  2 PA 31</t>
  </si>
  <si>
    <t>6 ATR-72</t>
  </si>
  <si>
    <t>1 SF-34</t>
  </si>
  <si>
    <t xml:space="preserve">6 FALCON50 </t>
  </si>
  <si>
    <t>1B-31</t>
  </si>
  <si>
    <t>KTF</t>
  </si>
  <si>
    <t>1 EMB-505</t>
  </si>
  <si>
    <t>CHO</t>
  </si>
  <si>
    <t>6 LJ-35</t>
  </si>
  <si>
    <t>UIO</t>
  </si>
  <si>
    <t>9 b407</t>
  </si>
  <si>
    <t>1 C-390</t>
  </si>
  <si>
    <t>2 B429</t>
  </si>
  <si>
    <t>LZU</t>
  </si>
  <si>
    <t>2 B90</t>
  </si>
  <si>
    <t>PHL</t>
  </si>
  <si>
    <t>5 EC-130</t>
  </si>
  <si>
    <t>DEN</t>
  </si>
  <si>
    <t>TIX</t>
  </si>
  <si>
    <t>AEX</t>
  </si>
  <si>
    <t>1 C-130</t>
  </si>
  <si>
    <t>KNQX</t>
  </si>
  <si>
    <t>6 CL-35</t>
  </si>
  <si>
    <t>1 WESTWIND-25</t>
  </si>
  <si>
    <t>7 BD-100</t>
  </si>
  <si>
    <t>88+34</t>
  </si>
  <si>
    <t>142+16</t>
  </si>
  <si>
    <t xml:space="preserve">              STATISTIQUES DE TRAFIC</t>
  </si>
  <si>
    <t xml:space="preserve">                  STATISTIQUES DE TRAFIC</t>
  </si>
  <si>
    <t xml:space="preserve">               STATISTIQUES DE TRAFIC</t>
  </si>
  <si>
    <t xml:space="preserve">        SERVICES INTERNATIONAUX REGULIERS</t>
  </si>
  <si>
    <t xml:space="preserve">       TRAFIC AERIEN LOCAL REGULIERS &amp; NON REGULIERS</t>
  </si>
  <si>
    <t xml:space="preserve">                 AVRIL  2018</t>
  </si>
  <si>
    <t>AVRIL  2018</t>
  </si>
  <si>
    <t xml:space="preserve">                       AVRIL  2018</t>
  </si>
  <si>
    <t xml:space="preserve">              AVIATION GENERALE REGULIERS / NON REGULIERS</t>
  </si>
  <si>
    <t>/</t>
  </si>
  <si>
    <t>VOLS CARGO</t>
  </si>
  <si>
    <t xml:space="preserve">      </t>
  </si>
  <si>
    <t xml:space="preserve">                                                               AVRIL  2018</t>
  </si>
  <si>
    <t>FRETS</t>
  </si>
  <si>
    <t>POSTES</t>
  </si>
  <si>
    <t>DEPORTES</t>
  </si>
  <si>
    <t>POSTE    EN  KG</t>
  </si>
  <si>
    <t>CIE</t>
  </si>
  <si>
    <t>VOLS DEPORTES</t>
  </si>
  <si>
    <t>RSD</t>
  </si>
  <si>
    <t>ART-42</t>
  </si>
  <si>
    <t>A-320</t>
  </si>
  <si>
    <t>`</t>
  </si>
  <si>
    <t>9 BE-1900</t>
  </si>
  <si>
    <t>HOG</t>
  </si>
  <si>
    <t>AN-158</t>
  </si>
  <si>
    <t>2-110 BANDEIRANTE</t>
  </si>
  <si>
    <t>1 AEROSTAR=600</t>
  </si>
  <si>
    <t>7 EXP</t>
  </si>
  <si>
    <t>DE /</t>
  </si>
  <si>
    <t>MDS</t>
  </si>
  <si>
    <t xml:space="preserve"> 4 DC-3</t>
  </si>
  <si>
    <t>AEROSTAR-600</t>
  </si>
  <si>
    <t>2-110bandereirante</t>
  </si>
  <si>
    <t>CN-235</t>
  </si>
  <si>
    <t>1 LJ-58</t>
  </si>
  <si>
    <t>5 B206</t>
  </si>
  <si>
    <t>5 CL-35</t>
  </si>
  <si>
    <t>1TMB-7</t>
  </si>
  <si>
    <t>BDA</t>
  </si>
  <si>
    <t>2 S-76</t>
  </si>
  <si>
    <t>AFP</t>
  </si>
  <si>
    <t>1 DH-25</t>
  </si>
  <si>
    <t>7 BA-31</t>
  </si>
  <si>
    <t>BKO</t>
  </si>
  <si>
    <t>1 C-350</t>
  </si>
  <si>
    <t>3 ATR-42</t>
  </si>
  <si>
    <t>1 C-152</t>
  </si>
  <si>
    <t>5 ATR-45</t>
  </si>
  <si>
    <t>LDSS</t>
  </si>
  <si>
    <t>13 R-44</t>
  </si>
  <si>
    <t>1AEROSTAR-600</t>
  </si>
  <si>
    <t>TAP</t>
  </si>
  <si>
    <t>1 R-22</t>
  </si>
  <si>
    <t>2 767-200</t>
  </si>
  <si>
    <t>2 PA-28</t>
  </si>
  <si>
    <t>1 737-500</t>
  </si>
  <si>
    <t>1 LJ-40</t>
  </si>
  <si>
    <t>VRA</t>
  </si>
  <si>
    <t>6 FALCON50</t>
  </si>
  <si>
    <t>G. TOTAL VOLS INTERNATIONAUX</t>
  </si>
  <si>
    <t xml:space="preserve">G. TOTAL VOLS DOMESTIQUES </t>
  </si>
  <si>
    <t xml:space="preserve">TOTAL FRETS </t>
  </si>
  <si>
    <t>TOTAL POSTES</t>
  </si>
  <si>
    <t>TOTAL TRANSIT</t>
  </si>
  <si>
    <t>JANVIER 2017</t>
  </si>
  <si>
    <t>be-1900</t>
  </si>
  <si>
    <t>2 falcon20</t>
  </si>
  <si>
    <t>4 Falcon50</t>
  </si>
  <si>
    <t>3 B36T</t>
  </si>
  <si>
    <t>8  LJj45</t>
  </si>
  <si>
    <t>1falcon900</t>
  </si>
  <si>
    <t>2  C560</t>
  </si>
  <si>
    <t>2 SR22</t>
  </si>
  <si>
    <t>SAB-60</t>
  </si>
  <si>
    <t>1 TBM900</t>
  </si>
  <si>
    <t>1 C310c</t>
  </si>
  <si>
    <t>5 B 55</t>
  </si>
  <si>
    <t>1 PA27</t>
  </si>
  <si>
    <t>4 PA34</t>
  </si>
  <si>
    <t>1 P68c</t>
  </si>
  <si>
    <t>2 LJ j35</t>
  </si>
  <si>
    <t>B 747</t>
  </si>
  <si>
    <t>2 C200c</t>
  </si>
  <si>
    <t>1 SR-76</t>
  </si>
  <si>
    <t>1 CL350</t>
  </si>
  <si>
    <t>4 LJ60</t>
  </si>
  <si>
    <t>STX</t>
  </si>
  <si>
    <t>B36</t>
  </si>
  <si>
    <t>ttl 2016</t>
  </si>
  <si>
    <t>FEVRIER 2017</t>
  </si>
  <si>
    <t>4 LJ35</t>
  </si>
  <si>
    <t>GCM/NEV</t>
  </si>
  <si>
    <t>1 B337A</t>
  </si>
  <si>
    <t>1 HS-128</t>
  </si>
  <si>
    <t>1 LT</t>
  </si>
  <si>
    <t>SRQ</t>
  </si>
  <si>
    <t>1 B-212</t>
  </si>
  <si>
    <t>1 PC68</t>
  </si>
  <si>
    <t>1 EA-320</t>
  </si>
  <si>
    <t xml:space="preserve">2 LJ60 </t>
  </si>
  <si>
    <t>LJ-60</t>
  </si>
  <si>
    <t>4 FALCON50</t>
  </si>
  <si>
    <t>2 PC12</t>
  </si>
  <si>
    <t>GEO</t>
  </si>
  <si>
    <t>1 B1900D</t>
  </si>
  <si>
    <t>MARS  2017</t>
  </si>
  <si>
    <t>KIN/GEO</t>
  </si>
  <si>
    <t xml:space="preserve"> B757-222</t>
  </si>
  <si>
    <t>LZU/BED</t>
  </si>
  <si>
    <r>
      <t xml:space="preserve">6 </t>
    </r>
    <r>
      <rPr>
        <sz val="8"/>
        <color theme="1"/>
        <rFont val="Calibri"/>
        <family val="2"/>
        <scheme val="minor"/>
      </rPr>
      <t>-110Bandeirante</t>
    </r>
  </si>
  <si>
    <t>7 LJ45</t>
  </si>
  <si>
    <t>2 CL350</t>
  </si>
  <si>
    <t>2 B337A</t>
  </si>
  <si>
    <t>1 BE55</t>
  </si>
  <si>
    <t>6 PA34</t>
  </si>
  <si>
    <t>3 PRM 1</t>
  </si>
  <si>
    <t>2 M20</t>
  </si>
  <si>
    <t>3 HS+125</t>
  </si>
  <si>
    <t>1 B36</t>
  </si>
  <si>
    <t>1 LJ60</t>
  </si>
  <si>
    <t>1 PA22</t>
  </si>
  <si>
    <t>1 188B</t>
  </si>
  <si>
    <t>1 T182</t>
  </si>
  <si>
    <t>MS</t>
  </si>
  <si>
    <t>3 PA32</t>
  </si>
  <si>
    <t>1 CN235</t>
  </si>
  <si>
    <t>1 EC130</t>
  </si>
  <si>
    <t>3 FLACON 50</t>
  </si>
  <si>
    <t>T182</t>
  </si>
  <si>
    <t>HAV/CCS</t>
  </si>
  <si>
    <t>BCT/JFK</t>
  </si>
  <si>
    <t>MS:   OUT PDK,SJC</t>
  </si>
  <si>
    <t>AVRIL  2017</t>
  </si>
  <si>
    <t>RJ-100</t>
  </si>
  <si>
    <r>
      <t xml:space="preserve">3 </t>
    </r>
    <r>
      <rPr>
        <sz val="8"/>
        <color theme="1"/>
        <rFont val="Calibri"/>
        <family val="2"/>
        <scheme val="minor"/>
      </rPr>
      <t>-110Bandeirante</t>
    </r>
  </si>
  <si>
    <t>PA-22</t>
  </si>
  <si>
    <t>SBH</t>
  </si>
  <si>
    <t>2 LJ35</t>
  </si>
  <si>
    <t>2 C180</t>
  </si>
  <si>
    <t>2  C525A</t>
  </si>
  <si>
    <t>2 B212</t>
  </si>
  <si>
    <t>3 C650</t>
  </si>
  <si>
    <t>1 C60</t>
  </si>
  <si>
    <t>2 C414</t>
  </si>
  <si>
    <t>ELH</t>
  </si>
  <si>
    <t>2 C-750</t>
  </si>
  <si>
    <t>YYZ</t>
  </si>
  <si>
    <t>1 350</t>
  </si>
  <si>
    <t>1 WW1124</t>
  </si>
  <si>
    <t>1 PA 22</t>
  </si>
  <si>
    <t>B 36</t>
  </si>
  <si>
    <t>CCU</t>
  </si>
  <si>
    <t>EIS/FRG</t>
  </si>
  <si>
    <t>MAI  2017</t>
  </si>
  <si>
    <t>C 168B</t>
  </si>
  <si>
    <t>MTOA</t>
  </si>
  <si>
    <t>3 DC-3</t>
  </si>
  <si>
    <r>
      <t xml:space="preserve">5 </t>
    </r>
    <r>
      <rPr>
        <sz val="8"/>
        <color theme="1"/>
        <rFont val="Calibri"/>
        <family val="2"/>
        <scheme val="minor"/>
      </rPr>
      <t>-110Bandeirante</t>
    </r>
  </si>
  <si>
    <t>CAT</t>
  </si>
  <si>
    <t>BAD</t>
  </si>
  <si>
    <t>1 CL-1300</t>
  </si>
  <si>
    <t>1 C188A</t>
  </si>
  <si>
    <t>4  LJ60</t>
  </si>
  <si>
    <t>3 PA 34</t>
  </si>
  <si>
    <t>2 FALCON 50</t>
  </si>
  <si>
    <t>1 AC 500</t>
  </si>
  <si>
    <t>1 PA 28</t>
  </si>
  <si>
    <t>GMC</t>
  </si>
  <si>
    <t>2 G IV</t>
  </si>
  <si>
    <t>2 CL 35</t>
  </si>
  <si>
    <t>4 C525</t>
  </si>
  <si>
    <t>JUIN  2017</t>
  </si>
  <si>
    <t>1 LJ 55</t>
  </si>
  <si>
    <t>1 CL 350</t>
  </si>
  <si>
    <t>1 C521</t>
  </si>
  <si>
    <t>2 PA 32</t>
  </si>
  <si>
    <t>2 PC 12</t>
  </si>
  <si>
    <t>1 C 377A</t>
  </si>
  <si>
    <t>5 FALCON 50</t>
  </si>
  <si>
    <t>1 B737-8</t>
  </si>
  <si>
    <t>MAO</t>
  </si>
  <si>
    <t>2 CL-300</t>
  </si>
  <si>
    <t>1 LJ 25</t>
  </si>
  <si>
    <t>1 LJ 40</t>
  </si>
  <si>
    <t>1 C390</t>
  </si>
  <si>
    <t>3 PA27</t>
  </si>
  <si>
    <t>1 SAAB340</t>
  </si>
  <si>
    <t>JUILLET  2017</t>
  </si>
  <si>
    <t>1 DHC6</t>
  </si>
  <si>
    <t>ATR 72</t>
  </si>
  <si>
    <r>
      <t xml:space="preserve">2 </t>
    </r>
    <r>
      <rPr>
        <sz val="8"/>
        <color theme="1"/>
        <rFont val="Calibri"/>
        <family val="2"/>
        <scheme val="minor"/>
      </rPr>
      <t>-110Bandeirante</t>
    </r>
  </si>
  <si>
    <t>BE36</t>
  </si>
  <si>
    <t>4 BA31</t>
  </si>
  <si>
    <t>1 BD100</t>
  </si>
  <si>
    <t>1 R66</t>
  </si>
  <si>
    <t>1 118B</t>
  </si>
  <si>
    <t>C402</t>
  </si>
  <si>
    <t>1 Falcon20</t>
  </si>
  <si>
    <t xml:space="preserve">       PAWA DOMINICANA</t>
  </si>
  <si>
    <t>2 C402b</t>
  </si>
  <si>
    <t>2 Falcon50</t>
  </si>
  <si>
    <t>2 CL 350</t>
  </si>
  <si>
    <t>1 C 310</t>
  </si>
  <si>
    <t>1PA 34</t>
  </si>
  <si>
    <t>1 CN 235</t>
  </si>
  <si>
    <t>B200</t>
  </si>
  <si>
    <t>1LJ 35</t>
  </si>
  <si>
    <t>4 AS350</t>
  </si>
  <si>
    <t>AOUT 2017</t>
  </si>
  <si>
    <t>5*5</t>
  </si>
  <si>
    <t>2 DHC6</t>
  </si>
  <si>
    <t>2B737-200</t>
  </si>
  <si>
    <t xml:space="preserve">                       SAPAIR</t>
  </si>
  <si>
    <t>BGI/TBPQ</t>
  </si>
  <si>
    <t>AEROSTAR600</t>
  </si>
  <si>
    <t>EC-135</t>
  </si>
  <si>
    <t>MFE</t>
  </si>
  <si>
    <t>MYG</t>
  </si>
  <si>
    <r>
      <t xml:space="preserve">4 </t>
    </r>
    <r>
      <rPr>
        <sz val="8"/>
        <color theme="1"/>
        <rFont val="Calibri"/>
        <family val="2"/>
        <scheme val="minor"/>
      </rPr>
      <t>-110Bandeirante</t>
    </r>
  </si>
  <si>
    <t>KIN/RVR</t>
  </si>
  <si>
    <t>3C208</t>
  </si>
  <si>
    <t>1C500</t>
  </si>
  <si>
    <t>1 BE200</t>
  </si>
  <si>
    <t>3AS350</t>
  </si>
  <si>
    <t>6LJ-35</t>
  </si>
  <si>
    <t>1PA31</t>
  </si>
  <si>
    <t>MGA</t>
  </si>
  <si>
    <t>1R-44</t>
  </si>
  <si>
    <t>1FALCON10</t>
  </si>
  <si>
    <t>4C560</t>
  </si>
  <si>
    <t>2CL35</t>
  </si>
  <si>
    <t>1BD-700</t>
  </si>
  <si>
    <t>B206</t>
  </si>
  <si>
    <t>3C680</t>
  </si>
  <si>
    <t>1C414</t>
  </si>
  <si>
    <t>1C402</t>
  </si>
  <si>
    <t>1BA-31</t>
  </si>
  <si>
    <t>2PA27</t>
  </si>
  <si>
    <t>4PA-34</t>
  </si>
  <si>
    <t>1EC135</t>
  </si>
  <si>
    <t>1C172</t>
  </si>
  <si>
    <t>TXI</t>
  </si>
  <si>
    <t>2LJ-60</t>
  </si>
  <si>
    <t>6PA32</t>
  </si>
  <si>
    <t>1C188</t>
  </si>
  <si>
    <t>LAL</t>
  </si>
  <si>
    <t>1PA-28</t>
  </si>
  <si>
    <t>1H25</t>
  </si>
  <si>
    <t>1B337</t>
  </si>
  <si>
    <t>1LJ-40</t>
  </si>
  <si>
    <t>SEPTEMBRE 2017</t>
  </si>
  <si>
    <t>1 ATR-46</t>
  </si>
  <si>
    <t>MTSV</t>
  </si>
  <si>
    <t>6 C-172</t>
  </si>
  <si>
    <t>9 C-182</t>
  </si>
  <si>
    <t>5 C-150</t>
  </si>
  <si>
    <t>29 C-207</t>
  </si>
  <si>
    <t>27 C-206</t>
  </si>
  <si>
    <t>4 C-210</t>
  </si>
  <si>
    <t>52 PA-32</t>
  </si>
  <si>
    <t>BRX/FPR</t>
  </si>
  <si>
    <t>1 BE99</t>
  </si>
  <si>
    <t>HAV/FLL</t>
  </si>
  <si>
    <t>1 EMB120</t>
  </si>
  <si>
    <t>3 EXP</t>
  </si>
  <si>
    <t>FGR</t>
  </si>
  <si>
    <t>1BE200</t>
  </si>
  <si>
    <t>MZP/BZE</t>
  </si>
  <si>
    <t>1FALCON-900</t>
  </si>
  <si>
    <t>CHS/RBW</t>
  </si>
  <si>
    <t>8 R-44</t>
  </si>
  <si>
    <t>EIS/CLT</t>
  </si>
  <si>
    <t>2 C560</t>
  </si>
  <si>
    <t>4CL35</t>
  </si>
  <si>
    <t>3BD-100</t>
  </si>
  <si>
    <t>C-200</t>
  </si>
  <si>
    <t>4b-407</t>
  </si>
  <si>
    <t>2B206</t>
  </si>
  <si>
    <t>53 PA32</t>
  </si>
  <si>
    <t>1B727-200</t>
  </si>
  <si>
    <t>1LJ-60</t>
  </si>
  <si>
    <t>1C210</t>
  </si>
  <si>
    <t>1H-125</t>
  </si>
  <si>
    <t>1BA-103</t>
  </si>
  <si>
    <t>SMA/LRM</t>
  </si>
  <si>
    <t>1LJ-45</t>
  </si>
  <si>
    <t>8b407</t>
  </si>
  <si>
    <t>2B767-300</t>
  </si>
  <si>
    <t>3 CL-35</t>
  </si>
  <si>
    <t>2 C-210</t>
  </si>
  <si>
    <t>1B737-401</t>
  </si>
  <si>
    <t>1CL-600</t>
  </si>
  <si>
    <t>1 A-300</t>
  </si>
  <si>
    <t>1C-17</t>
  </si>
  <si>
    <t>1B429</t>
  </si>
  <si>
    <t>1 DC-8</t>
  </si>
  <si>
    <t>1DC-9</t>
  </si>
  <si>
    <t>4 S-76</t>
  </si>
  <si>
    <t>GRU</t>
  </si>
  <si>
    <t>1LJ-76</t>
  </si>
  <si>
    <t>1TBM900</t>
  </si>
  <si>
    <t>NOVEMBRE  2017</t>
  </si>
  <si>
    <t xml:space="preserve">  1  DHC</t>
  </si>
  <si>
    <t>A320-200</t>
  </si>
  <si>
    <t>ART-46</t>
  </si>
  <si>
    <t>LIMA</t>
  </si>
  <si>
    <t>LI-60</t>
  </si>
  <si>
    <t xml:space="preserve">               1 AEROTAR-600</t>
  </si>
  <si>
    <t>1 AS350</t>
  </si>
  <si>
    <t>3 ac-500</t>
  </si>
  <si>
    <t>29 C-182</t>
  </si>
  <si>
    <t xml:space="preserve">      PASSAGERS</t>
  </si>
  <si>
    <t>17 C-172</t>
  </si>
  <si>
    <t xml:space="preserve"> 1 S-76</t>
  </si>
  <si>
    <t>VDF</t>
  </si>
  <si>
    <t xml:space="preserve">         VERS</t>
  </si>
  <si>
    <t xml:space="preserve">          EMB</t>
  </si>
  <si>
    <t xml:space="preserve">  SLC</t>
  </si>
  <si>
    <t xml:space="preserve"> 7 C-210</t>
  </si>
  <si>
    <t xml:space="preserve">  SML</t>
  </si>
  <si>
    <t>8-110Bandeirante</t>
  </si>
  <si>
    <t xml:space="preserve"> SWF</t>
  </si>
  <si>
    <t xml:space="preserve"> 1 PA 31</t>
  </si>
  <si>
    <t xml:space="preserve"> UKB</t>
  </si>
  <si>
    <t xml:space="preserve"> 13 b407</t>
  </si>
  <si>
    <t xml:space="preserve"> 82 PA-32</t>
  </si>
  <si>
    <t xml:space="preserve"> BHM</t>
  </si>
  <si>
    <t>4 EXP</t>
  </si>
  <si>
    <t xml:space="preserve"> BWI</t>
  </si>
  <si>
    <t>30 AS350</t>
  </si>
  <si>
    <t xml:space="preserve"> 36 B737-800</t>
  </si>
  <si>
    <t xml:space="preserve"> SVL</t>
  </si>
  <si>
    <t>10 R-44</t>
  </si>
  <si>
    <t xml:space="preserve"> PLS</t>
  </si>
  <si>
    <t>8 LJ-45</t>
  </si>
  <si>
    <t>1 b407</t>
  </si>
  <si>
    <t>1 C-17</t>
  </si>
  <si>
    <t xml:space="preserve"> YUL</t>
  </si>
  <si>
    <t>11 B429</t>
  </si>
  <si>
    <t xml:space="preserve"> BQN</t>
  </si>
  <si>
    <t>SUA</t>
  </si>
  <si>
    <t xml:space="preserve"> TIX</t>
  </si>
  <si>
    <t>2 ac-500</t>
  </si>
  <si>
    <t xml:space="preserve"> BRX</t>
  </si>
  <si>
    <t>1 B767-300</t>
  </si>
  <si>
    <t>LIT</t>
  </si>
  <si>
    <t xml:space="preserve"> POS</t>
  </si>
  <si>
    <t>6 PA 34</t>
  </si>
  <si>
    <t xml:space="preserve"> TEB</t>
  </si>
  <si>
    <t>5 FALCON50</t>
  </si>
  <si>
    <t>1 HS-800</t>
  </si>
  <si>
    <t xml:space="preserve"> APF</t>
  </si>
  <si>
    <t xml:space="preserve"> MSP</t>
  </si>
  <si>
    <t xml:space="preserve"> CHS</t>
  </si>
  <si>
    <t>1 B737-300</t>
  </si>
  <si>
    <t xml:space="preserve"> PTY</t>
  </si>
  <si>
    <t>1 AEROSTAR-600</t>
  </si>
  <si>
    <t>1 TUB</t>
  </si>
  <si>
    <t>3 PC12</t>
  </si>
  <si>
    <r>
      <t xml:space="preserve">1 PRM </t>
    </r>
    <r>
      <rPr>
        <sz val="9"/>
        <color theme="1"/>
        <rFont val="Calibri"/>
        <family val="2"/>
        <scheme val="minor"/>
      </rPr>
      <t>1</t>
    </r>
  </si>
  <si>
    <t>&lt;======&gt;</t>
  </si>
  <si>
    <t>8621+33</t>
  </si>
  <si>
    <t>10934+22</t>
  </si>
  <si>
    <t>DECEMBRE  2017</t>
  </si>
  <si>
    <t>1 B737-505</t>
  </si>
  <si>
    <t xml:space="preserve"> 0 DHC</t>
  </si>
  <si>
    <t>GLA</t>
  </si>
  <si>
    <t xml:space="preserve">          7      AEROTAR-600</t>
  </si>
  <si>
    <t>1 C152</t>
  </si>
  <si>
    <t>CL-35</t>
  </si>
  <si>
    <t>HWQ</t>
  </si>
  <si>
    <t>8 BA-31</t>
  </si>
  <si>
    <t>7 B429</t>
  </si>
  <si>
    <t>7 B206</t>
  </si>
  <si>
    <t>9 B407</t>
  </si>
  <si>
    <t>3 C-510</t>
  </si>
  <si>
    <t>3 B90</t>
  </si>
  <si>
    <t>4 FALCON900</t>
  </si>
  <si>
    <t>ROA</t>
  </si>
  <si>
    <t>7 R-44</t>
  </si>
  <si>
    <t>2 G-4</t>
  </si>
  <si>
    <t>MCA</t>
  </si>
  <si>
    <t>1-SH-36</t>
  </si>
  <si>
    <t>1 ac-500</t>
  </si>
  <si>
    <t>1 AN-158</t>
  </si>
  <si>
    <t>B -737</t>
  </si>
  <si>
    <t>TTL 2016</t>
  </si>
  <si>
    <t xml:space="preserve">      PAWA DOMINICANA</t>
  </si>
  <si>
    <t>BAQ</t>
  </si>
  <si>
    <t>OCTOBRE 2017</t>
  </si>
  <si>
    <t xml:space="preserve">    DHC6</t>
  </si>
  <si>
    <t xml:space="preserve"> 31 A320</t>
  </si>
  <si>
    <t>28 B737-800</t>
  </si>
  <si>
    <t>5 SH-360</t>
  </si>
  <si>
    <t>95 BE-31</t>
  </si>
  <si>
    <t>29 C-172</t>
  </si>
  <si>
    <t>26 C-182</t>
  </si>
  <si>
    <t>1 C-150</t>
  </si>
  <si>
    <t xml:space="preserve"> UVF</t>
  </si>
  <si>
    <t>4 b407</t>
  </si>
  <si>
    <t xml:space="preserve"> X14</t>
  </si>
  <si>
    <t xml:space="preserve"> YQX</t>
  </si>
  <si>
    <t xml:space="preserve"> 5 PA 31</t>
  </si>
  <si>
    <t>1 BN-24</t>
  </si>
  <si>
    <t xml:space="preserve"> EETA</t>
  </si>
  <si>
    <t>4 BA-31</t>
  </si>
  <si>
    <t>6 b407</t>
  </si>
  <si>
    <t>9 C-210</t>
  </si>
  <si>
    <t xml:space="preserve"> GIG</t>
  </si>
  <si>
    <t xml:space="preserve"> GRU</t>
  </si>
  <si>
    <t>1 B737-200</t>
  </si>
  <si>
    <t>83 PA-32</t>
  </si>
  <si>
    <t>1 B767-200</t>
  </si>
  <si>
    <t>1 UH-1H</t>
  </si>
  <si>
    <t>ARI</t>
  </si>
  <si>
    <t>BKV</t>
  </si>
  <si>
    <t>8 B429</t>
  </si>
  <si>
    <t>2 PA-30</t>
  </si>
  <si>
    <t>1B767-300</t>
  </si>
  <si>
    <t>1 402</t>
  </si>
  <si>
    <t>DKR</t>
  </si>
  <si>
    <t>2 CL35</t>
  </si>
  <si>
    <t>1 G-3</t>
  </si>
  <si>
    <t>RVR</t>
  </si>
  <si>
    <t>1 ERJ-170</t>
  </si>
  <si>
    <t xml:space="preserve">      5246+9</t>
  </si>
  <si>
    <t xml:space="preserve">                 NOVEMBRE  2017</t>
  </si>
  <si>
    <t>NOVEMBRE 2017</t>
  </si>
  <si>
    <t>DECEMBRE   2017</t>
  </si>
  <si>
    <r>
      <t>AUTORIT</t>
    </r>
    <r>
      <rPr>
        <b/>
        <sz val="16"/>
        <color theme="1"/>
        <rFont val="Calibri"/>
        <family val="2"/>
      </rPr>
      <t>É AÉROPORTUAIRE NATIONALE</t>
    </r>
  </si>
  <si>
    <t xml:space="preserve">                MAI  2018</t>
  </si>
  <si>
    <t xml:space="preserve">                 MAI  2018</t>
  </si>
  <si>
    <t>MAI  2018</t>
  </si>
  <si>
    <t xml:space="preserve">                       MAI  2018</t>
  </si>
  <si>
    <t>MAI 2018</t>
  </si>
  <si>
    <t>C-188B</t>
  </si>
  <si>
    <t>3  DHC-6</t>
  </si>
  <si>
    <t>B-1900</t>
  </si>
  <si>
    <t>B-737</t>
  </si>
  <si>
    <t>MTH</t>
  </si>
  <si>
    <t>B 737</t>
  </si>
  <si>
    <t>2  B-429</t>
  </si>
  <si>
    <t>4  B-407</t>
  </si>
  <si>
    <t>B767</t>
  </si>
  <si>
    <t>3  B-206</t>
  </si>
  <si>
    <t>2  S-76</t>
  </si>
  <si>
    <t xml:space="preserve"> 5 DC-3</t>
  </si>
  <si>
    <t>1  C-550</t>
  </si>
  <si>
    <t>1  AC-500</t>
  </si>
  <si>
    <t>3  CL-350</t>
  </si>
  <si>
    <t>3  PA-31</t>
  </si>
  <si>
    <t>MTIV</t>
  </si>
  <si>
    <t>5  C-210</t>
  </si>
  <si>
    <t>5   LJ-35</t>
  </si>
  <si>
    <t>1  ERJ-170</t>
  </si>
  <si>
    <t>2  C-206</t>
  </si>
  <si>
    <t>1  M-20</t>
  </si>
  <si>
    <t>4  PA-34</t>
  </si>
  <si>
    <t>2  PC-12</t>
  </si>
  <si>
    <t>4  C-210</t>
  </si>
  <si>
    <t>1  PA-28</t>
  </si>
  <si>
    <t>8  BA-31</t>
  </si>
  <si>
    <t>2  C-560</t>
  </si>
  <si>
    <t>2  CL-300</t>
  </si>
  <si>
    <t>1  G-550</t>
  </si>
  <si>
    <t>1  F-900</t>
  </si>
  <si>
    <t>ISP</t>
  </si>
  <si>
    <t>1  PA-23</t>
  </si>
  <si>
    <t>5  C-208</t>
  </si>
  <si>
    <t>1  AS-35</t>
  </si>
  <si>
    <t>3  MD-83</t>
  </si>
  <si>
    <t>2  B-737</t>
  </si>
  <si>
    <t>3  C-182</t>
  </si>
  <si>
    <t>LPA</t>
  </si>
  <si>
    <t>2 B-407</t>
  </si>
  <si>
    <t>2  PA-32</t>
  </si>
  <si>
    <t>1  B-409</t>
  </si>
  <si>
    <t>1  B-206</t>
  </si>
  <si>
    <t>5  FA-50</t>
  </si>
  <si>
    <t>#8 CIE</t>
  </si>
  <si>
    <t>3 B-90</t>
  </si>
  <si>
    <t>IND</t>
  </si>
  <si>
    <t>Month</t>
  </si>
  <si>
    <t>Carrier</t>
  </si>
  <si>
    <t>Year</t>
  </si>
  <si>
    <t>MAF</t>
  </si>
  <si>
    <t>INBOUND</t>
  </si>
  <si>
    <t>OUTBOUND</t>
  </si>
  <si>
    <t>DEST</t>
  </si>
  <si>
    <t>OPERATOR</t>
  </si>
  <si>
    <t xml:space="preserve">YEAR </t>
  </si>
  <si>
    <t>MONTH</t>
  </si>
  <si>
    <t>TYPE</t>
  </si>
  <si>
    <t>DOMESTIC</t>
  </si>
  <si>
    <t>JBU</t>
  </si>
  <si>
    <t>AA</t>
  </si>
  <si>
    <t>SPIRIT</t>
  </si>
  <si>
    <r>
      <t>AUTORIT</t>
    </r>
    <r>
      <rPr>
        <b/>
        <sz val="16"/>
        <color theme="1"/>
        <rFont val="Calibri"/>
        <family val="2"/>
      </rPr>
      <t>É</t>
    </r>
    <r>
      <rPr>
        <b/>
        <sz val="16"/>
        <color theme="1"/>
        <rFont val="Calibri"/>
        <family val="2"/>
        <scheme val="minor"/>
      </rPr>
      <t xml:space="preserve"> A</t>
    </r>
    <r>
      <rPr>
        <b/>
        <sz val="16"/>
        <color theme="1"/>
        <rFont val="Calibri"/>
        <family val="2"/>
      </rPr>
      <t>É</t>
    </r>
    <r>
      <rPr>
        <b/>
        <sz val="16"/>
        <color theme="1"/>
        <rFont val="Calibri"/>
        <family val="2"/>
        <scheme val="minor"/>
      </rPr>
      <t>ROPORTUAIRE NATIONALE</t>
    </r>
  </si>
  <si>
    <t xml:space="preserve">                      STATISTIQUES DE TRAFIC</t>
  </si>
  <si>
    <t xml:space="preserve">                   STATISTIQUES DE TRAFIC</t>
  </si>
  <si>
    <t xml:space="preserve">        </t>
  </si>
  <si>
    <t xml:space="preserve">      TRAFIC PASSAGERS</t>
  </si>
  <si>
    <t xml:space="preserve">    SERVICES INTERNATIONAUX REGULIERS</t>
  </si>
  <si>
    <t xml:space="preserve">            SERVICES INTERNATIONAUX REGULIERS</t>
  </si>
  <si>
    <t xml:space="preserve">      TRAFIC AERIEN LOCAL REGULIERS &amp; NON REGULIERS</t>
  </si>
  <si>
    <t xml:space="preserve">           AVIATION GENERALE REGULIERS / NON REGULIERS</t>
  </si>
  <si>
    <t xml:space="preserve">                             JANVIER  2018</t>
  </si>
  <si>
    <t xml:space="preserve">                      JANVIER  2018</t>
  </si>
  <si>
    <t xml:space="preserve">          JANVIER  2018</t>
  </si>
  <si>
    <t xml:space="preserve">                    JANVIER  2018</t>
  </si>
  <si>
    <t xml:space="preserve">                                               JANVIER  2018</t>
  </si>
  <si>
    <t>POSTES EN KG</t>
  </si>
  <si>
    <t>/ KG</t>
  </si>
  <si>
    <t xml:space="preserve">  VOLS DEPORTES  </t>
  </si>
  <si>
    <t>9       CIE</t>
  </si>
  <si>
    <t>TOTAL VOLS INTERNATIONAUX</t>
  </si>
  <si>
    <t>TOTAL VOLS DOMESTIQUES</t>
  </si>
  <si>
    <t>TOTAL FRETS</t>
  </si>
  <si>
    <t xml:space="preserve">                              STATISTIQUES DE TRAFIC</t>
  </si>
  <si>
    <t xml:space="preserve">                    STATISTIQUES DE TRAFIC</t>
  </si>
  <si>
    <t xml:space="preserve">                                   TRAFIC  PASSAGERS</t>
  </si>
  <si>
    <t xml:space="preserve">                                   TRAFIC FRET</t>
  </si>
  <si>
    <t xml:space="preserve">             TRAFIC PASSAGERS</t>
  </si>
  <si>
    <t xml:space="preserve">             SERVICES INTERNATIONAUX REGULIERS</t>
  </si>
  <si>
    <t xml:space="preserve">          TRAFIC PASSAGERS</t>
  </si>
  <si>
    <t xml:space="preserve">                                                    FEVRIER  2018</t>
  </si>
  <si>
    <t xml:space="preserve">                     FEVRIER  2018</t>
  </si>
  <si>
    <t xml:space="preserve">       FEVRIER  2018</t>
  </si>
  <si>
    <t xml:space="preserve">                                             FEVRIER  2018</t>
  </si>
  <si>
    <t xml:space="preserve">         </t>
  </si>
  <si>
    <t>POSTES EN  KG</t>
  </si>
  <si>
    <t xml:space="preserve">VOLS DEPORTES   </t>
  </si>
  <si>
    <t xml:space="preserve">TOTAL </t>
  </si>
  <si>
    <t xml:space="preserve">                         STATISTIQUES DE TRAFIC</t>
  </si>
  <si>
    <t xml:space="preserve">                STATISTIQUES DE TRAFIC</t>
  </si>
  <si>
    <t xml:space="preserve">        TRAFIC PASSAGERS</t>
  </si>
  <si>
    <t xml:space="preserve">                                  MARS  2018</t>
  </si>
  <si>
    <t xml:space="preserve">                   MARS  2018</t>
  </si>
  <si>
    <t xml:space="preserve">   MARS  2018</t>
  </si>
  <si>
    <t xml:space="preserve">                                         MARS  2018</t>
  </si>
  <si>
    <t>POSTES  EN  KG</t>
  </si>
  <si>
    <t xml:space="preserve">      COPA AIRLINES</t>
  </si>
  <si>
    <t xml:space="preserve">VOLS  DEPORTES  </t>
  </si>
  <si>
    <t>TYPES D'AVIONS</t>
  </si>
  <si>
    <t>VOLS</t>
  </si>
  <si>
    <t xml:space="preserve"> EXP</t>
  </si>
  <si>
    <t xml:space="preserve"> C-210</t>
  </si>
  <si>
    <t xml:space="preserve"> C-182</t>
  </si>
  <si>
    <t xml:space="preserve"> PA-32</t>
  </si>
  <si>
    <t xml:space="preserve"> PA-31</t>
  </si>
  <si>
    <t>110 BANDEIRANTE</t>
  </si>
  <si>
    <t>AERROSTAR-600</t>
  </si>
  <si>
    <t xml:space="preserve"> DC-3</t>
  </si>
  <si>
    <t>110bandereirante</t>
  </si>
  <si>
    <t xml:space="preserve">   PA 31</t>
  </si>
  <si>
    <t xml:space="preserve"> C-208</t>
  </si>
  <si>
    <t xml:space="preserve"> FALCON50 </t>
  </si>
  <si>
    <t>B-31</t>
  </si>
  <si>
    <t xml:space="preserve"> FALCON7X</t>
  </si>
  <si>
    <t>EMB-505</t>
  </si>
  <si>
    <t>C-501</t>
  </si>
  <si>
    <t>LJ-35</t>
  </si>
  <si>
    <t xml:space="preserve"> B206</t>
  </si>
  <si>
    <t xml:space="preserve"> C-172</t>
  </si>
  <si>
    <t>LJ-55</t>
  </si>
  <si>
    <t>b407</t>
  </si>
  <si>
    <t xml:space="preserve"> C-390</t>
  </si>
  <si>
    <t xml:space="preserve"> B429</t>
  </si>
  <si>
    <t xml:space="preserve"> B90</t>
  </si>
  <si>
    <t xml:space="preserve"> C-680</t>
  </si>
  <si>
    <t xml:space="preserve"> R-44</t>
  </si>
  <si>
    <t xml:space="preserve"> C550</t>
  </si>
  <si>
    <t xml:space="preserve"> HS-125</t>
  </si>
  <si>
    <t>C-17</t>
  </si>
  <si>
    <t xml:space="preserve"> SR-22</t>
  </si>
  <si>
    <t>C-130</t>
  </si>
  <si>
    <t xml:space="preserve"> R-66</t>
  </si>
  <si>
    <t xml:space="preserve"> G650</t>
  </si>
  <si>
    <t xml:space="preserve"> EMB-135</t>
  </si>
  <si>
    <t xml:space="preserve"> CL-35</t>
  </si>
  <si>
    <t xml:space="preserve"> WESTWIND-25</t>
  </si>
  <si>
    <t xml:space="preserve"> BD-100</t>
  </si>
  <si>
    <t xml:space="preserve">              JUIN  2018</t>
  </si>
  <si>
    <t xml:space="preserve">                 JUIN  2018</t>
  </si>
  <si>
    <t>JUIN  2018</t>
  </si>
  <si>
    <t xml:space="preserve">                       JUIN  2018</t>
  </si>
  <si>
    <t>JUIN 2018</t>
  </si>
  <si>
    <t>CAY</t>
  </si>
  <si>
    <t>B737-405</t>
  </si>
  <si>
    <t>737-800</t>
  </si>
  <si>
    <t>BE-19</t>
  </si>
  <si>
    <t xml:space="preserve"> 6 BE-1900</t>
  </si>
  <si>
    <t xml:space="preserve"> 2 C-402A</t>
  </si>
  <si>
    <t>1 -110 BANDEIRANTE</t>
  </si>
  <si>
    <t>B-407</t>
  </si>
  <si>
    <t>B-429</t>
  </si>
  <si>
    <t xml:space="preserve"> AEROSTAR=600</t>
  </si>
  <si>
    <t xml:space="preserve"> 3 EXP</t>
  </si>
  <si>
    <t>37 C-182</t>
  </si>
  <si>
    <t>BUR</t>
  </si>
  <si>
    <t>BE-90</t>
  </si>
  <si>
    <t>4 R-44</t>
  </si>
  <si>
    <t>UVH</t>
  </si>
  <si>
    <t xml:space="preserve">  3 DC-3</t>
  </si>
  <si>
    <t>PA-36</t>
  </si>
  <si>
    <t>1-110bandereirante</t>
  </si>
  <si>
    <t xml:space="preserve"> C-206</t>
  </si>
  <si>
    <t xml:space="preserve"> PA-36</t>
  </si>
  <si>
    <t>4 BE-90</t>
  </si>
  <si>
    <t xml:space="preserve">  2 C-172</t>
  </si>
  <si>
    <t>3 FALCON 7X</t>
  </si>
  <si>
    <t>NBW</t>
  </si>
  <si>
    <t>7 LJ-35</t>
  </si>
  <si>
    <t>3 B-407</t>
  </si>
  <si>
    <t>7-ATR-42</t>
  </si>
  <si>
    <t>SBY</t>
  </si>
  <si>
    <t>2 BE-35</t>
  </si>
  <si>
    <t xml:space="preserve"> 1 PA-31</t>
  </si>
  <si>
    <t xml:space="preserve"> 1 SR-22</t>
  </si>
  <si>
    <t xml:space="preserve"> 1 B-206</t>
  </si>
  <si>
    <t xml:space="preserve">  2 PA-27</t>
  </si>
  <si>
    <t>3 B-737</t>
  </si>
  <si>
    <t>SYQ</t>
  </si>
  <si>
    <t>2-C-12</t>
  </si>
  <si>
    <t xml:space="preserve"> 5 FALCON50</t>
  </si>
  <si>
    <t>1 BE-390</t>
  </si>
  <si>
    <t xml:space="preserve"> 3 C-560</t>
  </si>
  <si>
    <t xml:space="preserve"> 1 C-206</t>
  </si>
  <si>
    <t xml:space="preserve"> STATISTIQUES DE TRAFIC</t>
  </si>
  <si>
    <t xml:space="preserve">                      TRAFIC AERIEN LOCAL REGULIERS &amp; NON REGULIERS</t>
  </si>
  <si>
    <t xml:space="preserve">                   JUILLET  2018</t>
  </si>
  <si>
    <t>JUILLET  2018</t>
  </si>
  <si>
    <t>AEROPORT INTERNATIONAL TOUSSAINT LOUVERTURE</t>
  </si>
  <si>
    <t xml:space="preserve">      COPA ARILINES</t>
  </si>
  <si>
    <t>1 DC-9</t>
  </si>
  <si>
    <t>GCJ</t>
  </si>
  <si>
    <t>B37-3YO</t>
  </si>
  <si>
    <t>85 PA-32</t>
  </si>
  <si>
    <t>14 S-76</t>
  </si>
  <si>
    <t>1-110BANDEIRANTE</t>
  </si>
  <si>
    <t>14 B-407</t>
  </si>
  <si>
    <t>20 C-182</t>
  </si>
  <si>
    <t>13 C-210</t>
  </si>
  <si>
    <t>2 C-206</t>
  </si>
  <si>
    <t>2 BE-90</t>
  </si>
  <si>
    <t>2 BE-200</t>
  </si>
  <si>
    <t>3 LJ-60</t>
  </si>
  <si>
    <t>3 C-680</t>
  </si>
  <si>
    <t>6 C-206</t>
  </si>
  <si>
    <t>7 C-525</t>
  </si>
  <si>
    <t>3 PA-28</t>
  </si>
  <si>
    <t xml:space="preserve">              AOUT  2018</t>
  </si>
  <si>
    <t xml:space="preserve">                AOUT  2018</t>
  </si>
  <si>
    <t>AOUT 2018</t>
  </si>
  <si>
    <t>AOUT  2018</t>
  </si>
  <si>
    <t xml:space="preserve"> DC-9</t>
  </si>
  <si>
    <t>MTLG</t>
  </si>
  <si>
    <t>MTPG</t>
  </si>
  <si>
    <t>B737-3YO</t>
  </si>
  <si>
    <t>RDU</t>
  </si>
  <si>
    <t>1-10BANDEIRANTE</t>
  </si>
  <si>
    <t>7 B-429</t>
  </si>
  <si>
    <t>10 C-172</t>
  </si>
  <si>
    <t>11 C-182</t>
  </si>
  <si>
    <t>9 b-407</t>
  </si>
  <si>
    <t>70 PA-32</t>
  </si>
  <si>
    <t>8 BE-31</t>
  </si>
  <si>
    <t>1  LJ-58</t>
  </si>
  <si>
    <t>2 B737-300</t>
  </si>
  <si>
    <t>8 FALCO-50</t>
  </si>
  <si>
    <t>5 BE-90</t>
  </si>
  <si>
    <t>SWF</t>
  </si>
  <si>
    <t>2 510</t>
  </si>
  <si>
    <t>DSS</t>
  </si>
  <si>
    <t>1 FALCON-20</t>
  </si>
  <si>
    <t xml:space="preserve">     STATISTIQUES DE TRAFIC</t>
  </si>
  <si>
    <t xml:space="preserve">     TRAFIC PASSAGERS</t>
  </si>
  <si>
    <t xml:space="preserve">            SEPTEMBRE  2018</t>
  </si>
  <si>
    <t>SEPTEMBRE  2018</t>
  </si>
  <si>
    <t xml:space="preserve"> S-76</t>
  </si>
  <si>
    <t xml:space="preserve"> 6 B-429</t>
  </si>
  <si>
    <t xml:space="preserve"> 7 B-206</t>
  </si>
  <si>
    <t xml:space="preserve"> b-407</t>
  </si>
  <si>
    <t xml:space="preserve"> 3 DC-3</t>
  </si>
  <si>
    <t xml:space="preserve"> 9 C-208</t>
  </si>
  <si>
    <t>1 BE-31</t>
  </si>
  <si>
    <t xml:space="preserve"> 1 C-210</t>
  </si>
  <si>
    <t xml:space="preserve"> 1 C525</t>
  </si>
  <si>
    <t>1 B757-300</t>
  </si>
  <si>
    <t xml:space="preserve"> 1 C-560</t>
  </si>
  <si>
    <t xml:space="preserve"> 2 C-172</t>
  </si>
  <si>
    <t xml:space="preserve">            OCTOBRE  2018</t>
  </si>
  <si>
    <t>OCTOBRE  2018</t>
  </si>
  <si>
    <t>C-188</t>
  </si>
  <si>
    <t>60 B737-300</t>
  </si>
  <si>
    <t>54 BE-31</t>
  </si>
  <si>
    <t xml:space="preserve"> 3 C-208</t>
  </si>
  <si>
    <t>4 BANDEIRANTE 110</t>
  </si>
  <si>
    <t xml:space="preserve"> 8 B-429</t>
  </si>
  <si>
    <t xml:space="preserve"> 16 C-172</t>
  </si>
  <si>
    <t xml:space="preserve">  8 B-206</t>
  </si>
  <si>
    <t xml:space="preserve"> 25 C-182</t>
  </si>
  <si>
    <t xml:space="preserve"> 9 C-210</t>
  </si>
  <si>
    <t>1 AS-35</t>
  </si>
  <si>
    <t>1 BE-350</t>
  </si>
  <si>
    <t>11 B-407</t>
  </si>
  <si>
    <t>26 PA-32</t>
  </si>
  <si>
    <t>7  DC-3</t>
  </si>
  <si>
    <t xml:space="preserve">  4 C-208</t>
  </si>
  <si>
    <t xml:space="preserve"> 3 BA-31</t>
  </si>
  <si>
    <t>2 B-737</t>
  </si>
  <si>
    <t>8 CL-35</t>
  </si>
  <si>
    <t>2 BE-55</t>
  </si>
  <si>
    <t>2  LJ-60</t>
  </si>
  <si>
    <t>4 PA-27</t>
  </si>
  <si>
    <t>3 LJ-501</t>
  </si>
  <si>
    <t xml:space="preserve"> 2 PA-28</t>
  </si>
  <si>
    <t xml:space="preserve"> LJ-45</t>
  </si>
  <si>
    <t xml:space="preserve"> 7 LJ-35</t>
  </si>
  <si>
    <t>1 F-50</t>
  </si>
  <si>
    <t xml:space="preserve"> 1 ERJ-175</t>
  </si>
  <si>
    <t>2 ATR-72</t>
  </si>
  <si>
    <t xml:space="preserve">           NOVEMBRE  2018</t>
  </si>
  <si>
    <t>NOVEMBRE  2018</t>
  </si>
  <si>
    <t>737-300</t>
  </si>
  <si>
    <t>1 A321</t>
  </si>
  <si>
    <t>4  C-208</t>
  </si>
  <si>
    <t>1 BANDEIRANTE</t>
  </si>
  <si>
    <t>16 C-172</t>
  </si>
  <si>
    <t>17 C-210</t>
  </si>
  <si>
    <t>1 ATR-72</t>
  </si>
  <si>
    <t>59 PA-32</t>
  </si>
  <si>
    <t>15 b-407</t>
  </si>
  <si>
    <t>3 AEROSTAR-600</t>
  </si>
  <si>
    <t>1b407</t>
  </si>
  <si>
    <t>7 BE-31</t>
  </si>
  <si>
    <t>GYH</t>
  </si>
  <si>
    <t>2 B767-300</t>
  </si>
  <si>
    <t>4 B429</t>
  </si>
  <si>
    <t>1ec-120</t>
  </si>
  <si>
    <t>LFEX</t>
  </si>
  <si>
    <t>1C-525</t>
  </si>
  <si>
    <t>BOW</t>
  </si>
  <si>
    <t xml:space="preserve">                                              STATISTIQUES DE TRAFIC</t>
  </si>
  <si>
    <t xml:space="preserve">                                                TRAFIC AERIEN LOCAL REGULIERS &amp; NON REGULIERS</t>
  </si>
  <si>
    <t>DECEMBRE  2018</t>
  </si>
  <si>
    <t xml:space="preserve">                 DECEMBRE  2018</t>
  </si>
  <si>
    <t xml:space="preserve">                      DECEMBRE  2018</t>
  </si>
  <si>
    <t xml:space="preserve">                                               DECEMBRE  2018</t>
  </si>
  <si>
    <t xml:space="preserve">                    DECEMBRE  2018</t>
  </si>
  <si>
    <t xml:space="preserve">                                                  AEROPORT INTERNATIONAL TOUSSAINT LOUVERTURE</t>
  </si>
  <si>
    <t xml:space="preserve"> AEROPORT INTERNATIONAL TOUSSAINT LOUVERTURE</t>
  </si>
  <si>
    <t>B737-400</t>
  </si>
  <si>
    <t xml:space="preserve"> 2C-208</t>
  </si>
  <si>
    <t xml:space="preserve"> 1-110BANDEIRANTE</t>
  </si>
  <si>
    <t xml:space="preserve"> 2 S-76</t>
  </si>
  <si>
    <t xml:space="preserve"> 2 B429</t>
  </si>
  <si>
    <t xml:space="preserve"> 39 C-172</t>
  </si>
  <si>
    <t>1 EC-135</t>
  </si>
  <si>
    <t xml:space="preserve"> 11 C-182</t>
  </si>
  <si>
    <t xml:space="preserve"> 1 PC-12</t>
  </si>
  <si>
    <t xml:space="preserve"> 3 B206</t>
  </si>
  <si>
    <t xml:space="preserve"> ATR-72</t>
  </si>
  <si>
    <t xml:space="preserve"> 2 b407</t>
  </si>
  <si>
    <t xml:space="preserve"> 70 PA-32</t>
  </si>
  <si>
    <t xml:space="preserve"> 3 AEROSTAR-600</t>
  </si>
  <si>
    <t xml:space="preserve"> 6 R-44</t>
  </si>
  <si>
    <t>13 C-152</t>
  </si>
  <si>
    <t>1 C-330</t>
  </si>
  <si>
    <t>8 C-210</t>
  </si>
  <si>
    <t>3 B737-300</t>
  </si>
  <si>
    <t>1 CN-235</t>
  </si>
  <si>
    <t>6 BE-31</t>
  </si>
  <si>
    <t xml:space="preserve"> 4 G-4</t>
  </si>
  <si>
    <t>2 EC-135</t>
  </si>
  <si>
    <t>1 BE-100</t>
  </si>
  <si>
    <t>2 CL-35</t>
  </si>
  <si>
    <t>1 B700-300ER</t>
  </si>
  <si>
    <t>2 BE-100</t>
  </si>
  <si>
    <t>1  LJ-60</t>
  </si>
  <si>
    <t>3 R-22</t>
  </si>
  <si>
    <t>YQB</t>
  </si>
  <si>
    <t>2 C-330</t>
  </si>
  <si>
    <t>1 Bae-125</t>
  </si>
  <si>
    <t>JANVIER  2019</t>
  </si>
  <si>
    <t xml:space="preserve">             JANVIER  2019</t>
  </si>
  <si>
    <t xml:space="preserve">                JANVIER  2019</t>
  </si>
  <si>
    <t xml:space="preserve">                   JANVIER 2019</t>
  </si>
  <si>
    <t>2-110BANDEIRANTE</t>
  </si>
  <si>
    <t xml:space="preserve"> 3 S-76</t>
  </si>
  <si>
    <t xml:space="preserve"> 31 C-172</t>
  </si>
  <si>
    <t xml:space="preserve"> 19 C-182</t>
  </si>
  <si>
    <t xml:space="preserve">  PC-12</t>
  </si>
  <si>
    <t>7 C-210</t>
  </si>
  <si>
    <t>1B206</t>
  </si>
  <si>
    <t xml:space="preserve"> 5 b407</t>
  </si>
  <si>
    <t xml:space="preserve"> 64 PA-32</t>
  </si>
  <si>
    <t>9  AEROSTAR-600</t>
  </si>
  <si>
    <t>4  EXP</t>
  </si>
  <si>
    <t xml:space="preserve"> 3 R-44</t>
  </si>
  <si>
    <t>6 C-152</t>
  </si>
  <si>
    <t>C-330</t>
  </si>
  <si>
    <t>11 DC-3</t>
  </si>
  <si>
    <t>UVF</t>
  </si>
  <si>
    <t>HOU</t>
  </si>
  <si>
    <t>3 C-525</t>
  </si>
  <si>
    <t>MCR</t>
  </si>
  <si>
    <t>2 C-130</t>
  </si>
  <si>
    <t>FEVRIER  2019</t>
  </si>
  <si>
    <t xml:space="preserve">             FEVRIER  2019</t>
  </si>
  <si>
    <t xml:space="preserve">                FEVRIER  2019</t>
  </si>
  <si>
    <t xml:space="preserve">                   FEVRIER 2019</t>
  </si>
  <si>
    <t>1  DHC-6</t>
  </si>
  <si>
    <t>B-737-800</t>
  </si>
  <si>
    <t>B-737-300</t>
  </si>
  <si>
    <t>GON</t>
  </si>
  <si>
    <t>34 C210</t>
  </si>
  <si>
    <t>4 B-206</t>
  </si>
  <si>
    <t>1-110 BANDEIRANTE</t>
  </si>
  <si>
    <t>5 C=208</t>
  </si>
  <si>
    <t>51 B-407</t>
  </si>
  <si>
    <t>30 C-172</t>
  </si>
  <si>
    <t>40 B-429</t>
  </si>
  <si>
    <t>30 C-182</t>
  </si>
  <si>
    <t>8 DC-3</t>
  </si>
  <si>
    <t>5 C-152</t>
  </si>
  <si>
    <t>ANR</t>
  </si>
  <si>
    <t>1 C=441</t>
  </si>
  <si>
    <t>19 AEROSTAR 600</t>
  </si>
  <si>
    <t>61 S-76</t>
  </si>
  <si>
    <t>5EXP</t>
  </si>
  <si>
    <t>113 PA-32</t>
  </si>
  <si>
    <t>13 PA-31</t>
  </si>
  <si>
    <t>8 PA--32</t>
  </si>
  <si>
    <t>2 AEROSTAR 600</t>
  </si>
  <si>
    <t>1 B-1900</t>
  </si>
  <si>
    <t>2 B-424</t>
  </si>
  <si>
    <t>2 BD=100</t>
  </si>
  <si>
    <t>1 G757</t>
  </si>
  <si>
    <t>7 PA-31</t>
  </si>
  <si>
    <t>1G-3</t>
  </si>
  <si>
    <t>GHB</t>
  </si>
  <si>
    <t>1 PA-900</t>
  </si>
  <si>
    <t>2 H-25</t>
  </si>
  <si>
    <t xml:space="preserve">                                                                  TRAFIC AERIEN LOCAL REGULIERS &amp; NON REGULIERS</t>
  </si>
  <si>
    <t>Mars  2019</t>
  </si>
  <si>
    <t xml:space="preserve">             MARS  2019</t>
  </si>
  <si>
    <t xml:space="preserve">                MARS  2019</t>
  </si>
  <si>
    <t xml:space="preserve">                                               MARS  2019</t>
  </si>
  <si>
    <t xml:space="preserve">                   Mars 2019</t>
  </si>
  <si>
    <t>1 DHC-6</t>
  </si>
  <si>
    <t>11 C-210</t>
  </si>
  <si>
    <t xml:space="preserve"> 8 B-407</t>
  </si>
  <si>
    <t>13 C-182</t>
  </si>
  <si>
    <t xml:space="preserve"> EC-135</t>
  </si>
  <si>
    <t>64 PA-32</t>
  </si>
  <si>
    <t>8 AEROSTAR 600</t>
  </si>
  <si>
    <t>AEROSTAR 600</t>
  </si>
  <si>
    <t>1C-500</t>
  </si>
  <si>
    <t>6 FALCON 50</t>
  </si>
  <si>
    <t>3 FALCON50</t>
  </si>
  <si>
    <t>4 C-350</t>
  </si>
  <si>
    <t>C-510</t>
  </si>
  <si>
    <t>1 HS-25B</t>
  </si>
  <si>
    <t>4 C-550</t>
  </si>
  <si>
    <t>SGT</t>
  </si>
  <si>
    <t>2 HS-800</t>
  </si>
  <si>
    <t>2 b407</t>
  </si>
  <si>
    <t xml:space="preserve">                                      STATISTIQUES DE TRAFIC</t>
  </si>
  <si>
    <t xml:space="preserve">                     TRAFIC PASSAGERS</t>
  </si>
  <si>
    <t xml:space="preserve">                         SERVICES INTERNATIONAUX REGULIERS</t>
  </si>
  <si>
    <t xml:space="preserve">                            AVRIL  2019</t>
  </si>
  <si>
    <t xml:space="preserve">            AVRIL  2019</t>
  </si>
  <si>
    <t xml:space="preserve">                AVRIL  2019</t>
  </si>
  <si>
    <t xml:space="preserve">                                               AVRIL  2019</t>
  </si>
  <si>
    <t xml:space="preserve">                   AVRIL 2019</t>
  </si>
  <si>
    <t xml:space="preserve"> TRANSIT</t>
  </si>
  <si>
    <t>CHARTERS DIVERS( DEPORTES)</t>
  </si>
  <si>
    <t>1ATR-46</t>
  </si>
  <si>
    <t xml:space="preserve">  AMERICAN AIRLINES</t>
  </si>
  <si>
    <t>B737-447</t>
  </si>
  <si>
    <t>5 C-210</t>
  </si>
  <si>
    <t>9 B206</t>
  </si>
  <si>
    <t>24 C-172</t>
  </si>
  <si>
    <t>5 b407</t>
  </si>
  <si>
    <t>4 C-152</t>
  </si>
  <si>
    <t>A 320-200</t>
  </si>
  <si>
    <t>72 PA-32</t>
  </si>
  <si>
    <t>5 S-76</t>
  </si>
  <si>
    <t>AVIATION GENERALE</t>
  </si>
  <si>
    <t>9 EC-135</t>
  </si>
  <si>
    <t>BLB</t>
  </si>
  <si>
    <t>6 B429</t>
  </si>
  <si>
    <t>9 C-207</t>
  </si>
  <si>
    <t>5 B767-300</t>
  </si>
  <si>
    <t>1 B727-264</t>
  </si>
  <si>
    <t>1 B757-23A</t>
  </si>
  <si>
    <t xml:space="preserve">                                                                                                                                                  STATISTIQUES DE TRAFIC</t>
  </si>
  <si>
    <t xml:space="preserve">                                                              TRAFIC FRET    </t>
  </si>
  <si>
    <t xml:space="preserve">                                                                                                       TRAFIC PASSAGERS</t>
  </si>
  <si>
    <t xml:space="preserve">                           SERVICES INTERNATIONAUX REGULIERS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</si>
  <si>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TRAFIC AERIEN LOCAL REGULIERS &amp; NON REGULIERS</t>
  </si>
  <si>
    <t xml:space="preserve">                             MAI  2019</t>
  </si>
  <si>
    <t xml:space="preserve">                                                                                                        AVRIL  2019</t>
  </si>
  <si>
    <t xml:space="preserve">                  </t>
  </si>
  <si>
    <t xml:space="preserve">              MAI  2019</t>
  </si>
  <si>
    <t xml:space="preserve">                                                                                                                AVRIL  2019</t>
  </si>
  <si>
    <t xml:space="preserve">                   </t>
  </si>
  <si>
    <t xml:space="preserve">                   MAI  2019 </t>
  </si>
  <si>
    <t xml:space="preserve">                                                                                                                                                   AVRIL  2019</t>
  </si>
  <si>
    <t>MAI  2019</t>
  </si>
  <si>
    <t xml:space="preserve">                                                                                                              AVRIL 2019</t>
  </si>
  <si>
    <t xml:space="preserve">          MAI  2019</t>
  </si>
  <si>
    <t xml:space="preserve">                                           </t>
  </si>
  <si>
    <t xml:space="preserve">                                                                                                                                                             AEROPORT INTERNATIONAL TOUSSAINT LOUVERTURE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</si>
  <si>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AEROPORT INTERNATIONAL TOUSSAINT LOUVERTURE</t>
  </si>
  <si>
    <t>10 C-210</t>
  </si>
  <si>
    <t>11 C-172</t>
  </si>
  <si>
    <t>38 PA-32</t>
  </si>
  <si>
    <t>5 AEROSTAR 600</t>
  </si>
  <si>
    <t>7 S-76</t>
  </si>
  <si>
    <t>8 C-152</t>
  </si>
  <si>
    <t>10 EC-135</t>
  </si>
  <si>
    <t>PIC</t>
  </si>
  <si>
    <t>BANDEIRANTE</t>
  </si>
  <si>
    <t>8  B429</t>
  </si>
  <si>
    <t>2 407</t>
  </si>
  <si>
    <t>2 LJ-58</t>
  </si>
  <si>
    <t>2  C-182</t>
  </si>
  <si>
    <t>2 BE-31</t>
  </si>
  <si>
    <t>1 ec-120</t>
  </si>
  <si>
    <t>OCJ</t>
  </si>
  <si>
    <t>1 PA-68C</t>
  </si>
  <si>
    <t>2014M1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</si>
  <si>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</si>
  <si>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</si>
  <si>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</si>
  <si>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</si>
  <si>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</si>
  <si>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</si>
  <si>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</si>
  <si>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</si>
  <si>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</si>
  <si>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</si>
  <si>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</si>
  <si>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</si>
  <si>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</si>
  <si>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</si>
  <si>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</si>
  <si>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</si>
  <si>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</si>
  <si>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</si>
  <si>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</si>
  <si>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</si>
  <si>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</si>
  <si>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</si>
  <si>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</si>
  <si>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</si>
  <si>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</si>
  <si>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</si>
  <si>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</si>
  <si>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</si>
  <si>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</si>
  <si>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</si>
  <si>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</si>
  <si>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</si>
  <si>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</si>
  <si>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</si>
  <si>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</si>
  <si>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</si>
  <si>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</si>
  <si>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</si>
  <si>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</si>
  <si>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</si>
  <si>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</si>
  <si>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</si>
  <si>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</si>
  <si>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</si>
  <si>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</si>
  <si>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</si>
  <si>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</si>
  <si>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</si>
  <si>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</si>
  <si>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</si>
  <si>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</si>
  <si>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</si>
  <si>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</si>
  <si>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</si>
  <si>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</si>
  <si>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</si>
  <si>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</si>
  <si>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</si>
  <si>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</si>
  <si>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</si>
  <si>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</si>
  <si>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</si>
  <si>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</si>
  <si>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</si>
  <si>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INT_REG_EMB</t>
  </si>
  <si>
    <t>INT_REG_DEB</t>
  </si>
  <si>
    <t>date</t>
  </si>
  <si>
    <t>1er aout</t>
  </si>
  <si>
    <t>2 aout</t>
  </si>
  <si>
    <t>3 aout</t>
  </si>
  <si>
    <t>chiffre d'aff</t>
  </si>
  <si>
    <t>benefices</t>
  </si>
  <si>
    <t>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</si>
</sst>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b/>
      <sz val="10"/>
      <name val="Arial"/>
      <family val="2"/>
    </font>
    <font>
      <sz val="10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Arial"/>
      <family val="2"/>
    </font>
    <font>
      <b/>
      <sz val="1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1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5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97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3" fontId="4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413">
    <xf numFmtId="0" fontId="0" fillId="0" borderId="0" xfId="0"/>
    <xf numFmtId="0" fontId="5" fillId="0" borderId="0" xfId="4" applyNumberFormat="1" applyFont="1"/>
    <xf numFmtId="0" fontId="0" fillId="0" borderId="0" xfId="4" applyNumberFormat="1" applyFont="1"/>
    <xf numFmtId="0" fontId="4" fillId="0" borderId="0" xfId="4" applyNumberFormat="1"/>
    <xf numFmtId="16" fontId="4" fillId="0" borderId="0" xfId="4" quotePrefix="1" applyNumberFormat="1"/>
    <xf numFmtId="16" fontId="4" fillId="0" borderId="0" xfId="4" applyNumberFormat="1"/>
    <xf numFmtId="0" fontId="4" fillId="0" borderId="1" xfId="4" applyNumberFormat="1" applyBorder="1"/>
    <xf numFmtId="0" fontId="4" fillId="0" borderId="2" xfId="4" applyNumberFormat="1" applyBorder="1"/>
    <xf numFmtId="0" fontId="4" fillId="0" borderId="3" xfId="4" applyNumberFormat="1" applyBorder="1"/>
    <xf numFmtId="0" fontId="4" fillId="0" borderId="4" xfId="4" applyNumberFormat="1" applyBorder="1"/>
    <xf numFmtId="0" fontId="4" fillId="0" borderId="5" xfId="4" applyNumberFormat="1" applyBorder="1"/>
    <xf numFmtId="0" fontId="4" fillId="0" borderId="6" xfId="4" applyNumberFormat="1" applyBorder="1"/>
    <xf numFmtId="0" fontId="4" fillId="0" borderId="7" xfId="4" applyNumberFormat="1" applyBorder="1"/>
    <xf numFmtId="0" fontId="4" fillId="0" borderId="8" xfId="4" applyNumberFormat="1" applyBorder="1"/>
    <xf numFmtId="0" fontId="4" fillId="0" borderId="8" xfId="4" applyNumberFormat="1" applyBorder="1" applyAlignment="1">
      <alignment horizontal="right"/>
    </xf>
    <xf numFmtId="0" fontId="4" fillId="0" borderId="9" xfId="4" applyNumberFormat="1" applyBorder="1" applyAlignment="1">
      <alignment horizontal="right"/>
    </xf>
    <xf numFmtId="0" fontId="4" fillId="0" borderId="10" xfId="4" applyNumberFormat="1" applyBorder="1" applyAlignment="1">
      <alignment horizontal="right"/>
    </xf>
    <xf numFmtId="0" fontId="4" fillId="0" borderId="11" xfId="4" applyNumberFormat="1" applyBorder="1"/>
    <xf numFmtId="0" fontId="4" fillId="0" borderId="0" xfId="4" applyNumberFormat="1" applyBorder="1"/>
    <xf numFmtId="0" fontId="4" fillId="0" borderId="5" xfId="4" applyNumberFormat="1" applyBorder="1" applyAlignment="1">
      <alignment horizontal="right"/>
    </xf>
    <xf numFmtId="0" fontId="4" fillId="0" borderId="6" xfId="4" applyNumberFormat="1" applyBorder="1" applyAlignment="1">
      <alignment horizontal="right"/>
    </xf>
    <xf numFmtId="0" fontId="4" fillId="0" borderId="0" xfId="4" applyNumberFormat="1" applyBorder="1" applyAlignment="1">
      <alignment horizontal="right"/>
    </xf>
    <xf numFmtId="0" fontId="4" fillId="0" borderId="5" xfId="4" applyNumberFormat="1" applyBorder="1" applyAlignment="1">
      <alignment horizontal="center"/>
    </xf>
    <xf numFmtId="0" fontId="4" fillId="0" borderId="6" xfId="4" applyNumberFormat="1" applyBorder="1" applyAlignment="1">
      <alignment horizontal="center"/>
    </xf>
    <xf numFmtId="0" fontId="4" fillId="0" borderId="0" xfId="4" applyNumberFormat="1" applyAlignment="1">
      <alignment horizontal="center"/>
    </xf>
    <xf numFmtId="0" fontId="4" fillId="0" borderId="7" xfId="4" applyNumberFormat="1" applyBorder="1" applyAlignment="1">
      <alignment horizontal="center"/>
    </xf>
    <xf numFmtId="0" fontId="4" fillId="0" borderId="9" xfId="4" applyNumberFormat="1" applyBorder="1"/>
    <xf numFmtId="0" fontId="4" fillId="0" borderId="10" xfId="4" applyNumberFormat="1" applyBorder="1"/>
    <xf numFmtId="0" fontId="0" fillId="0" borderId="0" xfId="0" applyBorder="1"/>
    <xf numFmtId="0" fontId="0" fillId="0" borderId="1" xfId="4" applyNumberFormat="1" applyFont="1" applyBorder="1"/>
    <xf numFmtId="0" fontId="0" fillId="0" borderId="2" xfId="4" applyNumberFormat="1" applyFont="1" applyBorder="1"/>
    <xf numFmtId="0" fontId="0" fillId="0" borderId="3" xfId="4" applyNumberFormat="1" applyFont="1" applyBorder="1"/>
    <xf numFmtId="0" fontId="0" fillId="0" borderId="4" xfId="0" applyBorder="1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4" applyNumberFormat="1" applyFont="1" applyBorder="1"/>
    <xf numFmtId="0" fontId="0" fillId="0" borderId="0" xfId="4" applyNumberFormat="1" applyFont="1" applyBorder="1"/>
    <xf numFmtId="0" fontId="0" fillId="0" borderId="0" xfId="0" applyFill="1" applyBorder="1" applyAlignment="1">
      <alignment horizontal="center"/>
    </xf>
    <xf numFmtId="0" fontId="0" fillId="0" borderId="6" xfId="4" applyNumberFormat="1" applyFont="1" applyBorder="1"/>
    <xf numFmtId="0" fontId="0" fillId="0" borderId="6" xfId="0" applyBorder="1"/>
    <xf numFmtId="0" fontId="0" fillId="0" borderId="7" xfId="0" applyBorder="1"/>
    <xf numFmtId="0" fontId="0" fillId="0" borderId="5" xfId="0" applyBorder="1"/>
    <xf numFmtId="0" fontId="0" fillId="0" borderId="0" xfId="0" applyFill="1" applyBorder="1"/>
    <xf numFmtId="0" fontId="0" fillId="0" borderId="7" xfId="4" applyNumberFormat="1" applyFont="1" applyBorder="1"/>
    <xf numFmtId="0" fontId="4" fillId="0" borderId="0" xfId="4" applyNumberFormat="1" applyFill="1" applyBorder="1"/>
    <xf numFmtId="0" fontId="0" fillId="0" borderId="11" xfId="0" applyBorder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0" fillId="0" borderId="4" xfId="4" applyNumberFormat="1" applyFont="1" applyBorder="1"/>
    <xf numFmtId="0" fontId="0" fillId="0" borderId="10" xfId="0" applyFill="1" applyBorder="1"/>
    <xf numFmtId="0" fontId="0" fillId="0" borderId="5" xfId="4" applyNumberFormat="1" applyFont="1" applyFill="1" applyBorder="1"/>
    <xf numFmtId="0" fontId="0" fillId="0" borderId="1" xfId="0" applyFill="1" applyBorder="1"/>
    <xf numFmtId="0" fontId="0" fillId="0" borderId="0" xfId="4" applyNumberFormat="1" applyFont="1" applyFill="1" applyBorder="1"/>
    <xf numFmtId="1" fontId="0" fillId="0" borderId="3" xfId="4" applyNumberFormat="1" applyFont="1" applyBorder="1"/>
    <xf numFmtId="0" fontId="0" fillId="0" borderId="6" xfId="0" applyFill="1" applyBorder="1"/>
    <xf numFmtId="0" fontId="6" fillId="0" borderId="0" xfId="4" applyNumberFormat="1" applyFont="1" applyBorder="1" applyAlignment="1">
      <alignment horizontal="right"/>
    </xf>
    <xf numFmtId="1" fontId="4" fillId="0" borderId="10" xfId="4" applyNumberFormat="1" applyBorder="1"/>
    <xf numFmtId="0" fontId="0" fillId="0" borderId="8" xfId="4" applyNumberFormat="1" applyFont="1" applyBorder="1"/>
    <xf numFmtId="0" fontId="0" fillId="0" borderId="9" xfId="4" applyNumberFormat="1" applyFont="1" applyBorder="1"/>
    <xf numFmtId="0" fontId="4" fillId="0" borderId="3" xfId="4" applyNumberFormat="1" applyFont="1" applyBorder="1" applyAlignment="1">
      <alignment horizontal="right"/>
    </xf>
    <xf numFmtId="0" fontId="0" fillId="0" borderId="11" xfId="0" applyFill="1" applyBorder="1"/>
    <xf numFmtId="0" fontId="4" fillId="2" borderId="1" xfId="4" applyNumberFormat="1" applyFill="1" applyBorder="1"/>
    <xf numFmtId="0" fontId="4" fillId="2" borderId="3" xfId="4" applyNumberFormat="1" applyFill="1" applyBorder="1"/>
    <xf numFmtId="0" fontId="4" fillId="0" borderId="1" xfId="4" applyNumberFormat="1" applyFill="1" applyBorder="1"/>
    <xf numFmtId="0" fontId="4" fillId="0" borderId="2" xfId="4" applyNumberFormat="1" applyFill="1" applyBorder="1"/>
    <xf numFmtId="0" fontId="0" fillId="0" borderId="5" xfId="0" applyFill="1" applyBorder="1"/>
    <xf numFmtId="0" fontId="0" fillId="0" borderId="7" xfId="0" applyFill="1" applyBorder="1"/>
    <xf numFmtId="0" fontId="4" fillId="0" borderId="7" xfId="4" applyNumberFormat="1" applyFill="1" applyBorder="1"/>
    <xf numFmtId="0" fontId="4" fillId="2" borderId="5" xfId="4" applyNumberFormat="1" applyFill="1" applyBorder="1"/>
    <xf numFmtId="0" fontId="4" fillId="2" borderId="0" xfId="4" applyNumberFormat="1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10" xfId="4" applyNumberFormat="1" applyFont="1" applyFill="1" applyBorder="1"/>
    <xf numFmtId="0" fontId="4" fillId="0" borderId="8" xfId="4" applyNumberFormat="1" applyFill="1" applyBorder="1"/>
    <xf numFmtId="0" fontId="0" fillId="0" borderId="8" xfId="4" applyNumberFormat="1" applyFont="1" applyFill="1" applyBorder="1"/>
    <xf numFmtId="0" fontId="3" fillId="0" borderId="0" xfId="4" applyNumberFormat="1" applyFont="1" applyBorder="1"/>
    <xf numFmtId="0" fontId="0" fillId="2" borderId="1" xfId="0" applyFill="1" applyBorder="1"/>
    <xf numFmtId="0" fontId="0" fillId="2" borderId="2" xfId="0" applyFill="1" applyBorder="1"/>
    <xf numFmtId="0" fontId="4" fillId="0" borderId="3" xfId="4" applyNumberFormat="1" applyFill="1" applyBorder="1"/>
    <xf numFmtId="0" fontId="0" fillId="0" borderId="10" xfId="4" applyNumberFormat="1" applyFont="1" applyBorder="1"/>
    <xf numFmtId="0" fontId="0" fillId="0" borderId="9" xfId="4" applyNumberFormat="1" applyFont="1" applyFill="1" applyBorder="1"/>
    <xf numFmtId="0" fontId="7" fillId="0" borderId="3" xfId="0" applyFont="1" applyBorder="1"/>
    <xf numFmtId="0" fontId="4" fillId="0" borderId="5" xfId="4" applyNumberFormat="1" applyFill="1" applyBorder="1"/>
    <xf numFmtId="0" fontId="4" fillId="0" borderId="6" xfId="4" applyNumberFormat="1" applyFill="1" applyBorder="1"/>
    <xf numFmtId="0" fontId="0" fillId="0" borderId="6" xfId="4" applyNumberFormat="1" applyFont="1" applyFill="1" applyBorder="1"/>
    <xf numFmtId="0" fontId="0" fillId="0" borderId="11" xfId="4" applyNumberFormat="1" applyFont="1" applyBorder="1"/>
    <xf numFmtId="0" fontId="0" fillId="0" borderId="1" xfId="0" applyFont="1" applyBorder="1"/>
    <xf numFmtId="0" fontId="0" fillId="0" borderId="3" xfId="4" applyNumberFormat="1" applyFont="1" applyFill="1" applyBorder="1"/>
    <xf numFmtId="0" fontId="0" fillId="0" borderId="6" xfId="2" applyNumberFormat="1" applyFont="1" applyBorder="1"/>
    <xf numFmtId="0" fontId="0" fillId="0" borderId="0" xfId="4" applyNumberFormat="1" applyFont="1" applyAlignment="1">
      <alignment horizontal="center"/>
    </xf>
    <xf numFmtId="0" fontId="0" fillId="0" borderId="5" xfId="0" applyFont="1" applyBorder="1"/>
    <xf numFmtId="0" fontId="8" fillId="0" borderId="5" xfId="4" applyNumberFormat="1" applyFont="1" applyBorder="1"/>
    <xf numFmtId="0" fontId="9" fillId="0" borderId="6" xfId="4" applyNumberFormat="1" applyFont="1" applyBorder="1"/>
    <xf numFmtId="0" fontId="6" fillId="0" borderId="0" xfId="0" applyFont="1"/>
    <xf numFmtId="0" fontId="9" fillId="0" borderId="6" xfId="0" applyFont="1" applyBorder="1"/>
    <xf numFmtId="0" fontId="0" fillId="0" borderId="2" xfId="0" applyFill="1" applyBorder="1"/>
    <xf numFmtId="0" fontId="10" fillId="0" borderId="5" xfId="4" applyNumberFormat="1" applyFont="1" applyBorder="1"/>
    <xf numFmtId="0" fontId="11" fillId="0" borderId="6" xfId="4" applyNumberFormat="1" applyFont="1" applyBorder="1"/>
    <xf numFmtId="0" fontId="11" fillId="0" borderId="0" xfId="0" applyFont="1" applyBorder="1"/>
    <xf numFmtId="0" fontId="4" fillId="2" borderId="12" xfId="4" applyNumberFormat="1" applyFill="1" applyBorder="1"/>
    <xf numFmtId="0" fontId="4" fillId="0" borderId="13" xfId="4" applyNumberFormat="1" applyBorder="1"/>
    <xf numFmtId="0" fontId="4" fillId="0" borderId="14" xfId="4" applyNumberFormat="1" applyBorder="1"/>
    <xf numFmtId="0" fontId="4" fillId="0" borderId="15" xfId="4" applyNumberFormat="1" applyBorder="1"/>
    <xf numFmtId="0" fontId="0" fillId="0" borderId="14" xfId="4" applyNumberFormat="1" applyFont="1" applyBorder="1"/>
    <xf numFmtId="0" fontId="0" fillId="0" borderId="15" xfId="4" applyNumberFormat="1" applyFont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3" applyNumberFormat="1" applyFont="1"/>
    <xf numFmtId="1" fontId="4" fillId="0" borderId="14" xfId="4" applyNumberFormat="1" applyBorder="1"/>
    <xf numFmtId="1" fontId="4" fillId="0" borderId="15" xfId="4" applyNumberFormat="1" applyBorder="1"/>
    <xf numFmtId="0" fontId="0" fillId="0" borderId="13" xfId="4" applyNumberFormat="1" applyFont="1" applyBorder="1"/>
    <xf numFmtId="0" fontId="4" fillId="0" borderId="5" xfId="4" applyNumberFormat="1" applyFont="1" applyFill="1" applyBorder="1"/>
    <xf numFmtId="0" fontId="0" fillId="0" borderId="0" xfId="2" applyNumberFormat="1" applyFont="1"/>
    <xf numFmtId="0" fontId="7" fillId="0" borderId="6" xfId="4" applyNumberFormat="1" applyFont="1" applyBorder="1"/>
    <xf numFmtId="43" fontId="0" fillId="0" borderId="0" xfId="1" applyFont="1"/>
    <xf numFmtId="13" fontId="0" fillId="0" borderId="0" xfId="3" applyNumberFormat="1" applyFont="1"/>
    <xf numFmtId="0" fontId="5" fillId="0" borderId="8" xfId="4" applyNumberFormat="1" applyFont="1" applyBorder="1"/>
    <xf numFmtId="0" fontId="5" fillId="0" borderId="14" xfId="4" applyNumberFormat="1" applyFont="1" applyBorder="1"/>
    <xf numFmtId="0" fontId="5" fillId="0" borderId="13" xfId="4" applyNumberFormat="1" applyFont="1" applyBorder="1"/>
    <xf numFmtId="0" fontId="5" fillId="0" borderId="15" xfId="4" applyNumberFormat="1" applyFont="1" applyBorder="1"/>
    <xf numFmtId="0" fontId="5" fillId="0" borderId="10" xfId="4" applyNumberFormat="1" applyFont="1" applyBorder="1"/>
    <xf numFmtId="13" fontId="0" fillId="0" borderId="0" xfId="0" applyNumberFormat="1"/>
    <xf numFmtId="0" fontId="0" fillId="0" borderId="3" xfId="0" applyFill="1" applyBorder="1"/>
    <xf numFmtId="0" fontId="7" fillId="0" borderId="5" xfId="4" applyNumberFormat="1" applyFont="1" applyBorder="1"/>
    <xf numFmtId="0" fontId="0" fillId="0" borderId="7" xfId="4" applyNumberFormat="1" applyFont="1" applyFill="1" applyBorder="1"/>
    <xf numFmtId="9" fontId="0" fillId="0" borderId="0" xfId="3" applyFont="1"/>
    <xf numFmtId="0" fontId="0" fillId="0" borderId="5" xfId="0" applyFont="1" applyFill="1" applyBorder="1"/>
    <xf numFmtId="0" fontId="7" fillId="0" borderId="0" xfId="4" applyNumberFormat="1" applyFont="1" applyBorder="1"/>
    <xf numFmtId="0" fontId="6" fillId="0" borderId="6" xfId="4" applyNumberFormat="1" applyFont="1" applyBorder="1"/>
    <xf numFmtId="1" fontId="4" fillId="0" borderId="8" xfId="4" applyNumberFormat="1" applyBorder="1"/>
    <xf numFmtId="0" fontId="7" fillId="0" borderId="0" xfId="0" applyFont="1"/>
    <xf numFmtId="0" fontId="4" fillId="0" borderId="0" xfId="0" applyFont="1"/>
    <xf numFmtId="0" fontId="12" fillId="0" borderId="0" xfId="0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7" fillId="0" borderId="17" xfId="0" applyFont="1" applyBorder="1"/>
    <xf numFmtId="0" fontId="0" fillId="0" borderId="19" xfId="0" applyBorder="1"/>
    <xf numFmtId="0" fontId="3" fillId="0" borderId="20" xfId="0" applyFont="1" applyBorder="1"/>
    <xf numFmtId="0" fontId="3" fillId="0" borderId="0" xfId="0" applyFont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3" fillId="0" borderId="23" xfId="0" applyFont="1" applyBorder="1"/>
    <xf numFmtId="0" fontId="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4" fillId="0" borderId="5" xfId="4" applyNumberFormat="1" applyFont="1" applyBorder="1"/>
    <xf numFmtId="0" fontId="11" fillId="0" borderId="5" xfId="4" applyNumberFormat="1" applyFont="1" applyBorder="1"/>
    <xf numFmtId="0" fontId="0" fillId="0" borderId="1" xfId="4" applyNumberFormat="1" applyFont="1" applyFill="1" applyBorder="1"/>
    <xf numFmtId="0" fontId="7" fillId="0" borderId="5" xfId="0" applyFont="1" applyBorder="1"/>
    <xf numFmtId="0" fontId="8" fillId="0" borderId="0" xfId="4" applyNumberFormat="1" applyFont="1" applyBorder="1"/>
    <xf numFmtId="0" fontId="10" fillId="0" borderId="0" xfId="4" applyNumberFormat="1" applyFont="1" applyBorder="1"/>
    <xf numFmtId="0" fontId="9" fillId="0" borderId="0" xfId="4" applyNumberFormat="1" applyFont="1" applyFill="1" applyBorder="1"/>
    <xf numFmtId="0" fontId="9" fillId="0" borderId="0" xfId="4" applyNumberFormat="1" applyFont="1" applyBorder="1"/>
    <xf numFmtId="0" fontId="4" fillId="0" borderId="0" xfId="4" applyNumberFormat="1" applyFont="1" applyBorder="1"/>
    <xf numFmtId="0" fontId="4" fillId="0" borderId="0" xfId="4" applyNumberFormat="1" applyFont="1" applyFill="1" applyBorder="1"/>
    <xf numFmtId="1" fontId="4" fillId="0" borderId="9" xfId="4" applyNumberFormat="1" applyBorder="1"/>
    <xf numFmtId="0" fontId="2" fillId="0" borderId="0" xfId="4" applyNumberFormat="1" applyFont="1" applyFill="1" applyBorder="1"/>
    <xf numFmtId="0" fontId="2" fillId="0" borderId="0" xfId="4" applyNumberFormat="1" applyFont="1" applyBorder="1"/>
    <xf numFmtId="43" fontId="0" fillId="0" borderId="0" xfId="3" applyNumberFormat="1" applyFont="1"/>
    <xf numFmtId="0" fontId="3" fillId="0" borderId="3" xfId="4" applyNumberFormat="1" applyFont="1" applyBorder="1"/>
    <xf numFmtId="0" fontId="7" fillId="0" borderId="8" xfId="0" applyFont="1" applyBorder="1"/>
    <xf numFmtId="12" fontId="0" fillId="0" borderId="0" xfId="3" applyNumberFormat="1" applyFont="1"/>
    <xf numFmtId="0" fontId="13" fillId="0" borderId="6" xfId="4" applyNumberFormat="1" applyFont="1" applyBorder="1"/>
    <xf numFmtId="0" fontId="13" fillId="0" borderId="6" xfId="0" applyFont="1" applyBorder="1"/>
    <xf numFmtId="0" fontId="0" fillId="0" borderId="12" xfId="0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3" fillId="0" borderId="5" xfId="0" applyFont="1" applyBorder="1"/>
    <xf numFmtId="0" fontId="3" fillId="0" borderId="6" xfId="0" applyFont="1" applyBorder="1"/>
    <xf numFmtId="0" fontId="6" fillId="0" borderId="6" xfId="4" applyNumberFormat="1" applyFont="1" applyFill="1" applyBorder="1"/>
    <xf numFmtId="0" fontId="3" fillId="0" borderId="8" xfId="4" applyNumberFormat="1" applyFont="1" applyBorder="1"/>
    <xf numFmtId="0" fontId="6" fillId="0" borderId="9" xfId="4" applyNumberFormat="1" applyFont="1" applyBorder="1"/>
    <xf numFmtId="0" fontId="0" fillId="0" borderId="0" xfId="0" applyFont="1" applyBorder="1"/>
    <xf numFmtId="0" fontId="7" fillId="0" borderId="0" xfId="4" applyNumberFormat="1" applyFont="1" applyFill="1" applyBorder="1"/>
    <xf numFmtId="0" fontId="0" fillId="0" borderId="6" xfId="0" applyFont="1" applyBorder="1"/>
    <xf numFmtId="0" fontId="14" fillId="0" borderId="5" xfId="4" applyNumberFormat="1" applyFont="1" applyBorder="1"/>
    <xf numFmtId="0" fontId="15" fillId="0" borderId="6" xfId="4" applyNumberFormat="1" applyFont="1" applyBorder="1"/>
    <xf numFmtId="0" fontId="0" fillId="0" borderId="22" xfId="4" applyNumberFormat="1" applyFont="1" applyBorder="1"/>
    <xf numFmtId="0" fontId="3" fillId="0" borderId="0" xfId="0" applyFont="1"/>
    <xf numFmtId="0" fontId="7" fillId="0" borderId="6" xfId="0" applyFont="1" applyBorder="1"/>
    <xf numFmtId="0" fontId="0" fillId="0" borderId="0" xfId="0" applyFont="1" applyFill="1" applyBorder="1"/>
    <xf numFmtId="0" fontId="4" fillId="0" borderId="1" xfId="4" applyNumberFormat="1" applyBorder="1" applyAlignment="1">
      <alignment horizontal="left"/>
    </xf>
    <xf numFmtId="0" fontId="14" fillId="0" borderId="0" xfId="4" applyNumberFormat="1" applyFont="1" applyBorder="1"/>
    <xf numFmtId="0" fontId="13" fillId="0" borderId="10" xfId="0" applyFont="1" applyBorder="1"/>
    <xf numFmtId="12" fontId="0" fillId="0" borderId="0" xfId="1" applyNumberFormat="1" applyFont="1"/>
    <xf numFmtId="12" fontId="0" fillId="0" borderId="0" xfId="2" applyNumberFormat="1" applyFont="1"/>
    <xf numFmtId="0" fontId="5" fillId="0" borderId="9" xfId="4" applyNumberFormat="1" applyFont="1" applyBorder="1"/>
    <xf numFmtId="0" fontId="0" fillId="0" borderId="0" xfId="1" applyNumberFormat="1" applyFont="1"/>
    <xf numFmtId="16" fontId="0" fillId="0" borderId="0" xfId="0" quotePrefix="1" applyNumberFormat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3" fillId="0" borderId="36" xfId="0" applyFont="1" applyBorder="1"/>
    <xf numFmtId="0" fontId="3" fillId="0" borderId="13" xfId="0" applyFont="1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20" xfId="0" applyFill="1" applyBorder="1"/>
    <xf numFmtId="0" fontId="0" fillId="0" borderId="36" xfId="0" applyBorder="1"/>
    <xf numFmtId="0" fontId="0" fillId="0" borderId="28" xfId="0" applyFill="1" applyBorder="1"/>
    <xf numFmtId="0" fontId="0" fillId="0" borderId="19" xfId="0" applyFill="1" applyBorder="1"/>
    <xf numFmtId="0" fontId="13" fillId="0" borderId="20" xfId="0" applyFont="1" applyFill="1" applyBorder="1"/>
    <xf numFmtId="0" fontId="9" fillId="0" borderId="19" xfId="0" applyFont="1" applyFill="1" applyBorder="1"/>
    <xf numFmtId="0" fontId="13" fillId="0" borderId="0" xfId="0" applyFont="1" applyBorder="1"/>
    <xf numFmtId="0" fontId="13" fillId="0" borderId="22" xfId="0" applyFont="1" applyBorder="1"/>
    <xf numFmtId="0" fontId="7" fillId="0" borderId="19" xfId="0" applyFont="1" applyFill="1" applyBorder="1"/>
    <xf numFmtId="0" fontId="9" fillId="0" borderId="0" xfId="0" applyFont="1" applyBorder="1"/>
    <xf numFmtId="0" fontId="7" fillId="0" borderId="28" xfId="0" applyFont="1" applyBorder="1"/>
    <xf numFmtId="0" fontId="9" fillId="0" borderId="0" xfId="0" applyFont="1" applyFill="1" applyBorder="1"/>
    <xf numFmtId="0" fontId="9" fillId="0" borderId="19" xfId="0" applyFont="1" applyBorder="1"/>
    <xf numFmtId="0" fontId="7" fillId="0" borderId="0" xfId="0" applyFont="1" applyFill="1" applyBorder="1"/>
    <xf numFmtId="0" fontId="7" fillId="0" borderId="19" xfId="0" applyFont="1" applyBorder="1"/>
    <xf numFmtId="0" fontId="0" fillId="0" borderId="22" xfId="0" applyFill="1" applyBorder="1"/>
    <xf numFmtId="0" fontId="9" fillId="0" borderId="18" xfId="0" applyFont="1" applyBorder="1"/>
    <xf numFmtId="0" fontId="3" fillId="0" borderId="28" xfId="0" applyFont="1" applyBorder="1"/>
    <xf numFmtId="0" fontId="9" fillId="0" borderId="9" xfId="0" applyFont="1" applyBorder="1"/>
    <xf numFmtId="0" fontId="13" fillId="0" borderId="0" xfId="0" applyFont="1" applyFill="1" applyBorder="1"/>
    <xf numFmtId="16" fontId="0" fillId="0" borderId="0" xfId="0" applyNumberFormat="1"/>
    <xf numFmtId="0" fontId="13" fillId="2" borderId="0" xfId="0" applyFont="1" applyFill="1" applyBorder="1"/>
    <xf numFmtId="0" fontId="0" fillId="0" borderId="40" xfId="0" applyBorder="1"/>
    <xf numFmtId="0" fontId="0" fillId="0" borderId="13" xfId="0" applyFill="1" applyBorder="1"/>
    <xf numFmtId="0" fontId="0" fillId="0" borderId="27" xfId="0" applyFill="1" applyBorder="1"/>
    <xf numFmtId="0" fontId="13" fillId="0" borderId="16" xfId="0" applyFont="1" applyBorder="1"/>
    <xf numFmtId="0" fontId="11" fillId="0" borderId="28" xfId="0" applyFont="1" applyBorder="1"/>
    <xf numFmtId="0" fontId="9" fillId="0" borderId="0" xfId="0" applyFont="1"/>
    <xf numFmtId="0" fontId="0" fillId="0" borderId="0" xfId="0" applyAlignment="1">
      <alignment horizontal="center"/>
    </xf>
    <xf numFmtId="16" fontId="0" fillId="0" borderId="0" xfId="0" applyNumberFormat="1" applyBorder="1"/>
    <xf numFmtId="0" fontId="0" fillId="0" borderId="31" xfId="0" applyFill="1" applyBorder="1"/>
    <xf numFmtId="0" fontId="0" fillId="0" borderId="16" xfId="0" applyFill="1" applyBorder="1"/>
    <xf numFmtId="0" fontId="0" fillId="0" borderId="17" xfId="0" applyFill="1" applyBorder="1"/>
    <xf numFmtId="0" fontId="0" fillId="0" borderId="18" xfId="0" applyFill="1" applyBorder="1"/>
    <xf numFmtId="0" fontId="0" fillId="0" borderId="17" xfId="0" applyBorder="1" applyAlignment="1">
      <alignment horizontal="center"/>
    </xf>
    <xf numFmtId="0" fontId="0" fillId="0" borderId="43" xfId="0" applyBorder="1"/>
    <xf numFmtId="0" fontId="0" fillId="0" borderId="44" xfId="0" applyBorder="1"/>
    <xf numFmtId="17" fontId="0" fillId="0" borderId="0" xfId="0" applyNumberFormat="1" applyBorder="1"/>
    <xf numFmtId="0" fontId="0" fillId="0" borderId="29" xfId="0" applyFill="1" applyBorder="1"/>
    <xf numFmtId="0" fontId="0" fillId="0" borderId="45" xfId="0" applyFill="1" applyBorder="1"/>
    <xf numFmtId="0" fontId="0" fillId="0" borderId="45" xfId="0" applyBorder="1"/>
    <xf numFmtId="0" fontId="0" fillId="0" borderId="22" xfId="0" applyBorder="1" applyAlignment="1">
      <alignment horizontal="center"/>
    </xf>
    <xf numFmtId="0" fontId="0" fillId="0" borderId="23" xfId="0" applyFill="1" applyBorder="1"/>
    <xf numFmtId="0" fontId="0" fillId="0" borderId="19" xfId="0" applyBorder="1" applyAlignment="1">
      <alignment horizontal="right"/>
    </xf>
    <xf numFmtId="0" fontId="0" fillId="0" borderId="36" xfId="0" applyFont="1" applyBorder="1"/>
    <xf numFmtId="0" fontId="0" fillId="0" borderId="12" xfId="0" applyBorder="1"/>
    <xf numFmtId="0" fontId="0" fillId="0" borderId="0" xfId="0" applyBorder="1" applyAlignment="1">
      <alignment horizontal="right"/>
    </xf>
    <xf numFmtId="0" fontId="9" fillId="0" borderId="20" xfId="0" applyFont="1" applyBorder="1"/>
    <xf numFmtId="0" fontId="7" fillId="0" borderId="0" xfId="0" applyFont="1" applyBorder="1"/>
    <xf numFmtId="0" fontId="1" fillId="0" borderId="0" xfId="0" applyFont="1" applyFill="1" applyBorder="1"/>
    <xf numFmtId="0" fontId="1" fillId="0" borderId="28" xfId="0" applyFont="1" applyBorder="1"/>
    <xf numFmtId="17" fontId="0" fillId="0" borderId="20" xfId="0" applyNumberFormat="1" applyBorder="1"/>
    <xf numFmtId="0" fontId="0" fillId="0" borderId="20" xfId="0" applyFont="1" applyFill="1" applyBorder="1"/>
    <xf numFmtId="0" fontId="3" fillId="0" borderId="19" xfId="0" applyFont="1" applyBorder="1"/>
    <xf numFmtId="0" fontId="0" fillId="0" borderId="21" xfId="0" applyFill="1" applyBorder="1"/>
    <xf numFmtId="0" fontId="0" fillId="0" borderId="23" xfId="0" applyFont="1" applyFill="1" applyBorder="1"/>
    <xf numFmtId="0" fontId="0" fillId="0" borderId="46" xfId="0" applyFill="1" applyBorder="1"/>
    <xf numFmtId="0" fontId="0" fillId="0" borderId="45" xfId="0" applyFont="1" applyFill="1" applyBorder="1"/>
    <xf numFmtId="0" fontId="1" fillId="0" borderId="0" xfId="0" applyFont="1" applyBorder="1"/>
    <xf numFmtId="0" fontId="0" fillId="0" borderId="19" xfId="0" applyBorder="1" applyAlignment="1">
      <alignment horizontal="center"/>
    </xf>
    <xf numFmtId="17" fontId="0" fillId="0" borderId="19" xfId="0" applyNumberFormat="1" applyBorder="1"/>
    <xf numFmtId="0" fontId="0" fillId="0" borderId="0" xfId="0" applyFill="1" applyBorder="1" applyAlignment="1">
      <alignment horizontal="right"/>
    </xf>
    <xf numFmtId="0" fontId="0" fillId="0" borderId="14" xfId="0" applyFill="1" applyBorder="1"/>
    <xf numFmtId="0" fontId="0" fillId="0" borderId="15" xfId="0" applyFont="1" applyFill="1" applyBorder="1"/>
    <xf numFmtId="0" fontId="3" fillId="0" borderId="0" xfId="0" applyFont="1" applyAlignment="1">
      <alignment horizontal="center"/>
    </xf>
    <xf numFmtId="0" fontId="0" fillId="0" borderId="14" xfId="0" applyFont="1" applyBorder="1"/>
    <xf numFmtId="0" fontId="0" fillId="0" borderId="13" xfId="0" applyFont="1" applyBorder="1"/>
    <xf numFmtId="0" fontId="0" fillId="3" borderId="12" xfId="0" applyFill="1" applyBorder="1"/>
    <xf numFmtId="0" fontId="0" fillId="2" borderId="19" xfId="0" applyFill="1" applyBorder="1"/>
    <xf numFmtId="0" fontId="0" fillId="0" borderId="41" xfId="0" applyBorder="1"/>
    <xf numFmtId="0" fontId="0" fillId="0" borderId="42" xfId="0" applyBorder="1"/>
    <xf numFmtId="0" fontId="0" fillId="3" borderId="1" xfId="0" applyFill="1" applyBorder="1"/>
    <xf numFmtId="0" fontId="0" fillId="3" borderId="5" xfId="0" applyFill="1" applyBorder="1"/>
    <xf numFmtId="0" fontId="0" fillId="3" borderId="8" xfId="0" applyFill="1" applyBorder="1"/>
    <xf numFmtId="0" fontId="0" fillId="3" borderId="10" xfId="0" applyFill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3" borderId="14" xfId="0" applyFill="1" applyBorder="1"/>
    <xf numFmtId="0" fontId="0" fillId="4" borderId="13" xfId="0" applyFill="1" applyBorder="1"/>
    <xf numFmtId="0" fontId="0" fillId="2" borderId="0" xfId="0" applyFill="1" applyBorder="1"/>
    <xf numFmtId="0" fontId="13" fillId="0" borderId="20" xfId="0" applyFont="1" applyBorder="1"/>
    <xf numFmtId="0" fontId="0" fillId="4" borderId="4" xfId="0" applyFill="1" applyBorder="1"/>
    <xf numFmtId="0" fontId="3" fillId="0" borderId="3" xfId="0" applyFont="1" applyFill="1" applyBorder="1"/>
    <xf numFmtId="0" fontId="3" fillId="0" borderId="2" xfId="0" applyFont="1" applyFill="1" applyBorder="1"/>
    <xf numFmtId="0" fontId="3" fillId="0" borderId="1" xfId="0" applyFont="1" applyBorder="1" applyAlignment="1">
      <alignment horizontal="center"/>
    </xf>
    <xf numFmtId="0" fontId="3" fillId="0" borderId="3" xfId="0" applyFont="1" applyBorder="1"/>
    <xf numFmtId="0" fontId="3" fillId="0" borderId="6" xfId="0" applyFont="1" applyFill="1" applyBorder="1"/>
    <xf numFmtId="0" fontId="3" fillId="0" borderId="10" xfId="0" applyFont="1" applyBorder="1"/>
    <xf numFmtId="0" fontId="3" fillId="0" borderId="9" xfId="0" applyFont="1" applyBorder="1"/>
    <xf numFmtId="0" fontId="3" fillId="0" borderId="9" xfId="0" applyFont="1" applyFill="1" applyBorder="1"/>
    <xf numFmtId="0" fontId="0" fillId="0" borderId="3" xfId="0" applyFont="1" applyBorder="1"/>
    <xf numFmtId="0" fontId="3" fillId="0" borderId="2" xfId="0" applyFont="1" applyBorder="1"/>
    <xf numFmtId="0" fontId="7" fillId="0" borderId="13" xfId="0" applyFont="1" applyBorder="1"/>
    <xf numFmtId="0" fontId="9" fillId="0" borderId="5" xfId="0" applyFont="1" applyBorder="1"/>
    <xf numFmtId="0" fontId="9" fillId="0" borderId="8" xfId="0" applyFont="1" applyBorder="1"/>
    <xf numFmtId="0" fontId="3" fillId="0" borderId="15" xfId="0" applyFont="1" applyBorder="1"/>
    <xf numFmtId="0" fontId="0" fillId="0" borderId="2" xfId="0" applyFont="1" applyFill="1" applyBorder="1"/>
    <xf numFmtId="0" fontId="3" fillId="0" borderId="8" xfId="0" applyFont="1" applyBorder="1"/>
    <xf numFmtId="0" fontId="0" fillId="0" borderId="9" xfId="0" applyFont="1" applyBorder="1"/>
    <xf numFmtId="0" fontId="3" fillId="0" borderId="10" xfId="0" applyFont="1" applyFill="1" applyBorder="1"/>
    <xf numFmtId="0" fontId="0" fillId="0" borderId="51" xfId="0" applyBorder="1"/>
    <xf numFmtId="0" fontId="0" fillId="0" borderId="52" xfId="0" applyBorder="1"/>
    <xf numFmtId="0" fontId="0" fillId="0" borderId="19" xfId="0" applyFont="1" applyFill="1" applyBorder="1"/>
    <xf numFmtId="0" fontId="0" fillId="0" borderId="19" xfId="0" applyFont="1" applyBorder="1"/>
    <xf numFmtId="0" fontId="3" fillId="0" borderId="14" xfId="0" applyFont="1" applyBorder="1"/>
    <xf numFmtId="0" fontId="0" fillId="0" borderId="53" xfId="0" applyBorder="1"/>
    <xf numFmtId="0" fontId="3" fillId="0" borderId="1" xfId="0" applyFont="1" applyBorder="1"/>
    <xf numFmtId="0" fontId="9" fillId="0" borderId="10" xfId="0" applyFont="1" applyBorder="1"/>
    <xf numFmtId="0" fontId="18" fillId="0" borderId="1" xfId="0" applyFont="1" applyBorder="1"/>
    <xf numFmtId="16" fontId="0" fillId="0" borderId="0" xfId="0" quotePrefix="1" applyNumberFormat="1" applyBorder="1"/>
    <xf numFmtId="0" fontId="7" fillId="0" borderId="21" xfId="0" applyFont="1" applyBorder="1"/>
    <xf numFmtId="0" fontId="0" fillId="0" borderId="28" xfId="0" applyBorder="1" applyAlignment="1">
      <alignment horizontal="center"/>
    </xf>
    <xf numFmtId="0" fontId="0" fillId="0" borderId="46" xfId="0" applyBorder="1"/>
    <xf numFmtId="0" fontId="0" fillId="0" borderId="28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/>
    <xf numFmtId="0" fontId="19" fillId="0" borderId="0" xfId="0" applyFont="1" applyAlignment="1">
      <alignment horizontal="center"/>
    </xf>
    <xf numFmtId="16" fontId="0" fillId="0" borderId="0" xfId="0" applyNumberFormat="1" applyBorder="1" applyAlignment="1">
      <alignment horizontal="center"/>
    </xf>
    <xf numFmtId="0" fontId="0" fillId="0" borderId="44" xfId="0" applyFill="1" applyBorder="1"/>
    <xf numFmtId="0" fontId="0" fillId="0" borderId="42" xfId="0" applyFill="1" applyBorder="1"/>
    <xf numFmtId="17" fontId="0" fillId="0" borderId="19" xfId="0" applyNumberFormat="1" applyFill="1" applyBorder="1"/>
    <xf numFmtId="0" fontId="0" fillId="3" borderId="0" xfId="0" applyFill="1" applyBorder="1"/>
    <xf numFmtId="0" fontId="0" fillId="0" borderId="0" xfId="0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4" applyNumberFormat="1" applyFont="1" applyFill="1" applyBorder="1" applyAlignment="1">
      <alignment horizontal="left"/>
    </xf>
    <xf numFmtId="0" fontId="4" fillId="0" borderId="0" xfId="4" applyNumberFormat="1" applyFill="1" applyBorder="1" applyAlignment="1">
      <alignment horizontal="left"/>
    </xf>
    <xf numFmtId="0" fontId="0" fillId="2" borderId="0" xfId="0" applyFill="1" applyBorder="1" applyAlignment="1">
      <alignment horizontal="left"/>
    </xf>
    <xf numFmtId="0" fontId="0" fillId="0" borderId="0" xfId="4" applyNumberFormat="1" applyFont="1" applyBorder="1" applyAlignment="1">
      <alignment horizontal="left"/>
    </xf>
    <xf numFmtId="0" fontId="4" fillId="2" borderId="0" xfId="4" applyNumberFormat="1" applyFill="1" applyBorder="1" applyAlignment="1">
      <alignment horizontal="left"/>
    </xf>
    <xf numFmtId="43" fontId="0" fillId="0" borderId="0" xfId="1" applyFont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4" xfId="0" applyBorder="1"/>
    <xf numFmtId="0" fontId="0" fillId="4" borderId="12" xfId="0" applyFill="1" applyBorder="1"/>
    <xf numFmtId="0" fontId="0" fillId="0" borderId="18" xfId="0" applyFont="1" applyFill="1" applyBorder="1"/>
    <xf numFmtId="0" fontId="0" fillId="4" borderId="17" xfId="0" applyFill="1" applyBorder="1"/>
    <xf numFmtId="0" fontId="0" fillId="0" borderId="6" xfId="0" applyFont="1" applyFill="1" applyBorder="1"/>
    <xf numFmtId="0" fontId="1" fillId="0" borderId="13" xfId="0" applyFont="1" applyFill="1" applyBorder="1"/>
    <xf numFmtId="0" fontId="3" fillId="0" borderId="8" xfId="0" applyFont="1" applyFill="1" applyBorder="1"/>
    <xf numFmtId="0" fontId="0" fillId="0" borderId="9" xfId="0" applyFont="1" applyFill="1" applyBorder="1"/>
    <xf numFmtId="0" fontId="3" fillId="0" borderId="13" xfId="0" applyFont="1" applyFill="1" applyBorder="1"/>
    <xf numFmtId="0" fontId="9" fillId="0" borderId="14" xfId="0" applyFont="1" applyBorder="1"/>
    <xf numFmtId="0" fontId="0" fillId="0" borderId="5" xfId="0" applyBorder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0" fillId="0" borderId="4" xfId="0" applyFill="1" applyBorder="1" applyAlignment="1">
      <alignment horizontal="right"/>
    </xf>
    <xf numFmtId="17" fontId="0" fillId="0" borderId="6" xfId="0" applyNumberFormat="1" applyBorder="1"/>
    <xf numFmtId="0" fontId="3" fillId="0" borderId="11" xfId="0" applyFont="1" applyBorder="1"/>
    <xf numFmtId="0" fontId="3" fillId="0" borderId="8" xfId="0" applyFont="1" applyBorder="1" applyAlignment="1">
      <alignment horizontal="center"/>
    </xf>
    <xf numFmtId="0" fontId="3" fillId="0" borderId="11" xfId="0" applyFont="1" applyFill="1" applyBorder="1" applyAlignment="1">
      <alignment horizontal="right"/>
    </xf>
    <xf numFmtId="16" fontId="0" fillId="0" borderId="0" xfId="0" quotePrefix="1" applyNumberFormat="1" applyAlignment="1">
      <alignment horizontal="center"/>
    </xf>
    <xf numFmtId="16" fontId="0" fillId="0" borderId="0" xfId="0" applyNumberFormat="1" applyBorder="1" applyAlignment="1"/>
    <xf numFmtId="0" fontId="0" fillId="0" borderId="20" xfId="0" applyBorder="1" applyAlignment="1">
      <alignment horizontal="center"/>
    </xf>
    <xf numFmtId="0" fontId="0" fillId="0" borderId="0" xfId="0" applyFill="1"/>
    <xf numFmtId="0" fontId="9" fillId="0" borderId="20" xfId="0" applyFont="1" applyFill="1" applyBorder="1"/>
    <xf numFmtId="17" fontId="0" fillId="0" borderId="20" xfId="0" applyNumberFormat="1" applyFill="1" applyBorder="1"/>
    <xf numFmtId="0" fontId="1" fillId="0" borderId="19" xfId="0" applyFont="1" applyBorder="1"/>
    <xf numFmtId="0" fontId="0" fillId="0" borderId="21" xfId="0" applyBorder="1" applyAlignment="1">
      <alignment horizontal="center"/>
    </xf>
    <xf numFmtId="0" fontId="0" fillId="0" borderId="22" xfId="0" applyFill="1" applyBorder="1" applyAlignment="1">
      <alignment horizontal="right"/>
    </xf>
    <xf numFmtId="0" fontId="0" fillId="0" borderId="36" xfId="0" applyFill="1" applyBorder="1"/>
    <xf numFmtId="0" fontId="0" fillId="0" borderId="32" xfId="0" applyFill="1" applyBorder="1"/>
    <xf numFmtId="0" fontId="3" fillId="0" borderId="34" xfId="0" applyFont="1" applyBorder="1"/>
    <xf numFmtId="0" fontId="3" fillId="0" borderId="0" xfId="0" applyFont="1" applyFill="1" applyBorder="1"/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left"/>
    </xf>
    <xf numFmtId="22" fontId="7" fillId="0" borderId="0" xfId="0" applyNumberFormat="1" applyFont="1" applyFill="1" applyBorder="1"/>
    <xf numFmtId="0" fontId="0" fillId="3" borderId="3" xfId="0" applyFill="1" applyBorder="1"/>
    <xf numFmtId="0" fontId="0" fillId="0" borderId="0" xfId="0" applyAlignment="1">
      <alignment horizontal="left"/>
    </xf>
    <xf numFmtId="0" fontId="0" fillId="0" borderId="10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2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30" xfId="0" applyFill="1" applyBorder="1"/>
    <xf numFmtId="0" fontId="0" fillId="0" borderId="30" xfId="0" applyBorder="1" applyAlignment="1">
      <alignment horizontal="center"/>
    </xf>
    <xf numFmtId="0" fontId="0" fillId="0" borderId="55" xfId="0" applyBorder="1"/>
    <xf numFmtId="0" fontId="0" fillId="0" borderId="30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17" xfId="0" applyFill="1" applyBorder="1" applyAlignment="1">
      <alignment horizontal="center"/>
    </xf>
    <xf numFmtId="0" fontId="0" fillId="0" borderId="8" xfId="0" applyFont="1" applyBorder="1"/>
    <xf numFmtId="0" fontId="0" fillId="0" borderId="10" xfId="0" applyFont="1" applyBorder="1"/>
    <xf numFmtId="0" fontId="0" fillId="0" borderId="34" xfId="0" applyFont="1" applyBorder="1"/>
    <xf numFmtId="0" fontId="0" fillId="0" borderId="56" xfId="0" applyBorder="1"/>
    <xf numFmtId="0" fontId="0" fillId="0" borderId="41" xfId="0" applyFill="1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3" borderId="2" xfId="0" applyFill="1" applyBorder="1"/>
    <xf numFmtId="0" fontId="1" fillId="0" borderId="22" xfId="0" applyFont="1" applyFill="1" applyBorder="1"/>
    <xf numFmtId="0" fontId="0" fillId="4" borderId="11" xfId="0" applyFill="1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</cellXfs>
  <cellStyles count="97">
    <cellStyle name="Comma" xfId="1" builtinId="3"/>
    <cellStyle name="Comma0" xfId="4" xr:uid="{00000000-0005-0000-0000-000001000000}"/>
    <cellStyle name="Currency" xfId="2" builtinId="4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N786"/>
  <sheetViews>
    <sheetView topLeftCell="A747" zoomScale="85" zoomScaleNormal="85" zoomScalePageLayoutView="10" workbookViewId="0">
      <selection activeCell="B768" sqref="B768:C768"/>
    </sheetView>
  </sheetViews>
  <sheetFormatPr defaultColWidth="8.88671875" defaultRowHeight="14.4" x14ac:dyDescent="0.3"/>
  <sheetData>
    <row r="2" spans="1:64" ht="15.6" x14ac:dyDescent="0.3">
      <c r="C2" s="1" t="s">
        <v>0</v>
      </c>
      <c r="P2" s="1" t="s">
        <v>1</v>
      </c>
    </row>
    <row r="3" spans="1:64" ht="15.6" x14ac:dyDescent="0.3">
      <c r="D3" t="s">
        <v>2</v>
      </c>
      <c r="Q3" t="s">
        <v>3</v>
      </c>
      <c r="AE3" s="2"/>
      <c r="AF3" s="1" t="s">
        <v>0</v>
      </c>
      <c r="AG3" s="1"/>
      <c r="AI3" s="1"/>
      <c r="AJ3" s="1"/>
      <c r="AS3" s="1" t="s">
        <v>4</v>
      </c>
      <c r="BE3" s="1"/>
      <c r="BF3" s="1" t="s">
        <v>5</v>
      </c>
      <c r="BG3" s="1"/>
      <c r="BH3" s="1"/>
      <c r="BI3" s="1"/>
      <c r="BJ3" s="1"/>
    </row>
    <row r="4" spans="1:64" ht="15.6" x14ac:dyDescent="0.3">
      <c r="A4" t="s">
        <v>6</v>
      </c>
      <c r="C4" t="s">
        <v>7</v>
      </c>
      <c r="O4" t="s">
        <v>8</v>
      </c>
      <c r="AE4" s="3"/>
      <c r="AF4" s="2" t="s">
        <v>9</v>
      </c>
      <c r="AG4" s="1"/>
      <c r="AI4" s="1"/>
      <c r="AJ4" s="1"/>
      <c r="AT4" t="s">
        <v>2</v>
      </c>
      <c r="BG4" t="s">
        <v>2</v>
      </c>
    </row>
    <row r="5" spans="1:64" ht="15.6" x14ac:dyDescent="0.3">
      <c r="D5" t="s">
        <v>10</v>
      </c>
      <c r="Q5" t="s">
        <v>10</v>
      </c>
      <c r="AF5" s="3" t="s">
        <v>11</v>
      </c>
      <c r="AG5" s="1"/>
      <c r="AI5" s="1"/>
      <c r="AJ5" s="1"/>
      <c r="AR5" t="s">
        <v>12</v>
      </c>
      <c r="BE5" t="s">
        <v>13</v>
      </c>
    </row>
    <row r="6" spans="1:64" ht="15" thickBot="1" x14ac:dyDescent="0.35">
      <c r="I6" s="4" t="s">
        <v>14</v>
      </c>
      <c r="U6" s="5" t="s">
        <v>15</v>
      </c>
      <c r="AG6" t="s">
        <v>10</v>
      </c>
      <c r="AT6" t="s">
        <v>10</v>
      </c>
      <c r="AY6" s="5"/>
      <c r="BG6" t="s">
        <v>10</v>
      </c>
      <c r="BK6" s="5" t="s">
        <v>16</v>
      </c>
    </row>
    <row r="7" spans="1:64" ht="15" thickBot="1" x14ac:dyDescent="0.35">
      <c r="A7" s="6" t="s">
        <v>17</v>
      </c>
      <c r="B7" s="6" t="s">
        <v>18</v>
      </c>
      <c r="C7" s="7"/>
      <c r="D7" s="8" t="s">
        <v>19</v>
      </c>
      <c r="E7" s="8"/>
      <c r="F7" s="8"/>
      <c r="G7" s="9" t="s">
        <v>20</v>
      </c>
      <c r="H7" s="8" t="s">
        <v>21</v>
      </c>
      <c r="I7" s="8"/>
      <c r="J7" s="7"/>
      <c r="L7" s="6" t="s">
        <v>17</v>
      </c>
      <c r="M7" s="6" t="s">
        <v>22</v>
      </c>
      <c r="N7" s="7"/>
      <c r="O7" s="8" t="s">
        <v>23</v>
      </c>
      <c r="P7" s="8"/>
      <c r="Q7" s="8"/>
      <c r="R7" s="6" t="s">
        <v>24</v>
      </c>
      <c r="S7" s="7"/>
      <c r="T7" s="8" t="s">
        <v>21</v>
      </c>
      <c r="U7" s="8"/>
      <c r="V7" s="7"/>
      <c r="AL7" s="5" t="s">
        <v>25</v>
      </c>
      <c r="AX7" s="5" t="s">
        <v>26</v>
      </c>
      <c r="BB7" s="6" t="s">
        <v>17</v>
      </c>
      <c r="BC7" s="6" t="s">
        <v>27</v>
      </c>
      <c r="BD7" s="7"/>
      <c r="BE7" s="8" t="s">
        <v>28</v>
      </c>
      <c r="BF7" s="8"/>
      <c r="BG7" s="8"/>
      <c r="BH7" s="6" t="s">
        <v>29</v>
      </c>
      <c r="BI7" s="7" t="s">
        <v>30</v>
      </c>
      <c r="BJ7" s="8" t="s">
        <v>31</v>
      </c>
      <c r="BK7" s="8"/>
      <c r="BL7" s="7"/>
    </row>
    <row r="8" spans="1:64" x14ac:dyDescent="0.3">
      <c r="A8" s="10" t="s">
        <v>32</v>
      </c>
      <c r="B8" s="10"/>
      <c r="C8" s="11"/>
      <c r="D8" s="3"/>
      <c r="E8" s="3"/>
      <c r="F8" s="3"/>
      <c r="G8" s="12"/>
      <c r="H8" s="3" t="s">
        <v>33</v>
      </c>
      <c r="I8" s="3"/>
      <c r="J8" s="11"/>
      <c r="L8" s="10"/>
      <c r="M8" s="10"/>
      <c r="N8" s="11"/>
      <c r="O8" s="3"/>
      <c r="P8" s="3"/>
      <c r="Q8" s="3"/>
      <c r="R8" s="10"/>
      <c r="S8" s="11"/>
      <c r="T8" s="3" t="s">
        <v>33</v>
      </c>
      <c r="U8" s="3"/>
      <c r="V8" s="11"/>
      <c r="AB8" s="6" t="s">
        <v>34</v>
      </c>
      <c r="AC8" s="6" t="s">
        <v>35</v>
      </c>
      <c r="AD8" s="7"/>
      <c r="AE8" s="6" t="s">
        <v>36</v>
      </c>
      <c r="AF8" s="8"/>
      <c r="AG8" s="7"/>
      <c r="AH8" s="8" t="s">
        <v>37</v>
      </c>
      <c r="AI8" s="8"/>
      <c r="AJ8" s="9" t="s">
        <v>30</v>
      </c>
      <c r="AK8" s="8" t="s">
        <v>38</v>
      </c>
      <c r="AL8" s="8"/>
      <c r="AM8" s="7"/>
      <c r="AP8" s="6" t="s">
        <v>17</v>
      </c>
      <c r="AQ8" s="6" t="s">
        <v>39</v>
      </c>
      <c r="AR8" s="7"/>
      <c r="AS8" s="6" t="s">
        <v>29</v>
      </c>
      <c r="AT8" s="7" t="s">
        <v>30</v>
      </c>
      <c r="AU8" s="8" t="s">
        <v>40</v>
      </c>
      <c r="AV8" s="8"/>
      <c r="AW8" s="8"/>
      <c r="AX8" s="8"/>
      <c r="AY8" s="7"/>
      <c r="BB8" s="10"/>
      <c r="BC8" s="10"/>
      <c r="BD8" s="11"/>
      <c r="BE8" s="3"/>
      <c r="BF8" s="3"/>
      <c r="BG8" s="3"/>
      <c r="BH8" s="10"/>
      <c r="BI8" s="11" t="s">
        <v>6</v>
      </c>
      <c r="BJ8" s="3" t="s">
        <v>41</v>
      </c>
      <c r="BK8" s="3"/>
      <c r="BL8" s="11"/>
    </row>
    <row r="9" spans="1:64" ht="15" thickBot="1" x14ac:dyDescent="0.35">
      <c r="A9" s="13" t="s">
        <v>42</v>
      </c>
      <c r="B9" s="14" t="s">
        <v>43</v>
      </c>
      <c r="C9" s="15" t="s">
        <v>44</v>
      </c>
      <c r="D9" s="16" t="s">
        <v>45</v>
      </c>
      <c r="E9" s="16" t="s">
        <v>46</v>
      </c>
      <c r="F9" s="16" t="s">
        <v>47</v>
      </c>
      <c r="G9" s="17" t="s">
        <v>48</v>
      </c>
      <c r="H9" s="18" t="s">
        <v>49</v>
      </c>
      <c r="I9" s="18"/>
      <c r="J9" s="11"/>
      <c r="L9" s="10" t="s">
        <v>50</v>
      </c>
      <c r="M9" s="19" t="s">
        <v>43</v>
      </c>
      <c r="N9" s="20" t="s">
        <v>44</v>
      </c>
      <c r="O9" s="21" t="s">
        <v>43</v>
      </c>
      <c r="P9" s="18" t="s">
        <v>51</v>
      </c>
      <c r="Q9" s="21" t="s">
        <v>44</v>
      </c>
      <c r="R9" s="22" t="s">
        <v>43</v>
      </c>
      <c r="S9" s="23" t="s">
        <v>44</v>
      </c>
      <c r="T9" s="18" t="s">
        <v>49</v>
      </c>
      <c r="U9" s="18"/>
      <c r="V9" s="11"/>
      <c r="AB9" s="10" t="s">
        <v>50</v>
      </c>
      <c r="AC9" s="22" t="s">
        <v>43</v>
      </c>
      <c r="AD9" s="23" t="s">
        <v>44</v>
      </c>
      <c r="AE9" s="22" t="s">
        <v>45</v>
      </c>
      <c r="AF9" s="24" t="s">
        <v>46</v>
      </c>
      <c r="AG9" s="23" t="s">
        <v>52</v>
      </c>
      <c r="AH9" s="24" t="s">
        <v>43</v>
      </c>
      <c r="AI9" s="24" t="s">
        <v>44</v>
      </c>
      <c r="AJ9" s="25" t="s">
        <v>43</v>
      </c>
      <c r="AK9" s="3" t="s">
        <v>53</v>
      </c>
      <c r="AL9" s="3"/>
      <c r="AM9" s="11"/>
      <c r="AP9" s="13" t="s">
        <v>42</v>
      </c>
      <c r="AQ9" s="10" t="s">
        <v>43</v>
      </c>
      <c r="AR9" s="11" t="s">
        <v>44</v>
      </c>
      <c r="AS9" s="13" t="s">
        <v>43</v>
      </c>
      <c r="AT9" s="26" t="s">
        <v>44</v>
      </c>
      <c r="AU9" s="27"/>
      <c r="AV9" s="27"/>
      <c r="AW9" s="27"/>
      <c r="AX9" s="27"/>
      <c r="AY9" s="26"/>
      <c r="BB9" s="13" t="s">
        <v>42</v>
      </c>
      <c r="BC9" s="13" t="s">
        <v>43</v>
      </c>
      <c r="BD9" s="26" t="s">
        <v>44</v>
      </c>
      <c r="BE9" s="27" t="s">
        <v>45</v>
      </c>
      <c r="BF9" s="27" t="s">
        <v>46</v>
      </c>
      <c r="BG9" s="27" t="s">
        <v>52</v>
      </c>
      <c r="BH9" s="13" t="s">
        <v>43</v>
      </c>
      <c r="BI9" s="26" t="s">
        <v>44</v>
      </c>
      <c r="BJ9" s="27" t="s">
        <v>54</v>
      </c>
      <c r="BK9" s="27"/>
      <c r="BL9" s="26"/>
    </row>
    <row r="10" spans="1:64" ht="15" thickBot="1" x14ac:dyDescent="0.35">
      <c r="A10" s="6"/>
      <c r="B10" s="6"/>
      <c r="C10" s="7"/>
      <c r="D10" s="8"/>
      <c r="E10" s="8"/>
      <c r="F10" s="7"/>
      <c r="G10" s="8"/>
      <c r="H10" s="6" t="s">
        <v>55</v>
      </c>
      <c r="I10" s="8"/>
      <c r="J10" s="7"/>
      <c r="K10" s="28"/>
      <c r="L10" s="9"/>
      <c r="M10" s="8"/>
      <c r="N10" s="8"/>
      <c r="O10" s="6"/>
      <c r="P10" s="8"/>
      <c r="Q10" s="7"/>
      <c r="R10" s="8"/>
      <c r="S10" s="8"/>
      <c r="T10" s="6" t="s">
        <v>55</v>
      </c>
      <c r="U10" s="8"/>
      <c r="V10" s="7"/>
      <c r="W10" s="28"/>
      <c r="AB10" s="13"/>
      <c r="AC10" s="13"/>
      <c r="AD10" s="26"/>
      <c r="AE10" s="13"/>
      <c r="AF10" s="27"/>
      <c r="AG10" s="26"/>
      <c r="AH10" s="27"/>
      <c r="AI10" s="27"/>
      <c r="AJ10" s="17"/>
      <c r="AK10" s="27"/>
      <c r="AL10" s="27"/>
      <c r="AM10" s="26"/>
      <c r="AP10" s="6" t="s">
        <v>56</v>
      </c>
      <c r="AQ10" s="29">
        <v>1311</v>
      </c>
      <c r="AR10" s="30">
        <v>1201</v>
      </c>
      <c r="AU10" s="6"/>
      <c r="AV10" s="8"/>
      <c r="AW10" s="31" t="s">
        <v>57</v>
      </c>
      <c r="AX10" s="8"/>
      <c r="AY10" s="7"/>
      <c r="AZ10" s="28"/>
      <c r="BB10" s="32"/>
      <c r="BE10" s="33"/>
      <c r="BF10" s="34"/>
      <c r="BG10" s="34"/>
      <c r="BH10" s="33"/>
      <c r="BI10" s="35"/>
      <c r="BJ10" s="34" t="s">
        <v>58</v>
      </c>
      <c r="BK10" s="8"/>
      <c r="BL10" s="7"/>
    </row>
    <row r="11" spans="1:64" x14ac:dyDescent="0.3">
      <c r="A11" s="10" t="s">
        <v>59</v>
      </c>
      <c r="B11" s="36">
        <v>771</v>
      </c>
      <c r="C11" s="11">
        <v>724</v>
      </c>
      <c r="D11" s="37"/>
      <c r="E11" s="38" t="s">
        <v>60</v>
      </c>
      <c r="F11" s="39"/>
      <c r="G11" s="37">
        <f>4*212</f>
        <v>848</v>
      </c>
      <c r="H11" s="36">
        <v>4</v>
      </c>
      <c r="I11" s="37" t="s">
        <v>61</v>
      </c>
      <c r="J11" s="40"/>
      <c r="K11" s="28"/>
      <c r="L11" s="41" t="s">
        <v>59</v>
      </c>
      <c r="M11" s="28">
        <v>12612</v>
      </c>
      <c r="N11" s="28">
        <v>15923</v>
      </c>
      <c r="O11" s="42">
        <v>0</v>
      </c>
      <c r="P11" s="43">
        <v>0</v>
      </c>
      <c r="Q11" s="40">
        <v>0</v>
      </c>
      <c r="R11" s="43">
        <v>0</v>
      </c>
      <c r="S11" s="43">
        <v>0</v>
      </c>
      <c r="T11" s="42"/>
      <c r="U11" s="28"/>
      <c r="V11" s="40"/>
      <c r="W11" s="28"/>
      <c r="AB11" s="6"/>
      <c r="AC11" s="6"/>
      <c r="AD11" s="7"/>
      <c r="AE11" s="6"/>
      <c r="AF11" s="8"/>
      <c r="AG11" s="7"/>
      <c r="AH11" s="8"/>
      <c r="AI11" s="8"/>
      <c r="AJ11" s="6"/>
      <c r="AK11" s="6" t="s">
        <v>62</v>
      </c>
      <c r="AL11" s="8"/>
      <c r="AM11" s="7"/>
      <c r="AP11" s="36" t="s">
        <v>63</v>
      </c>
      <c r="AQ11" s="36">
        <v>43</v>
      </c>
      <c r="AR11" s="39">
        <v>98</v>
      </c>
      <c r="AT11" s="18"/>
      <c r="AU11" s="10"/>
      <c r="AV11" s="18"/>
      <c r="AW11" s="18"/>
      <c r="AX11" s="18"/>
      <c r="AY11" s="11"/>
      <c r="AZ11" s="28"/>
      <c r="BB11" s="44" t="s">
        <v>64</v>
      </c>
      <c r="BC11" s="18">
        <v>18</v>
      </c>
      <c r="BD11" s="18">
        <v>31</v>
      </c>
      <c r="BE11" s="10">
        <v>0</v>
      </c>
      <c r="BF11" s="18">
        <v>0</v>
      </c>
      <c r="BG11" s="18">
        <v>0</v>
      </c>
      <c r="BH11" s="10">
        <v>0</v>
      </c>
      <c r="BI11" s="11">
        <v>0</v>
      </c>
      <c r="BJ11" s="45"/>
      <c r="BK11" s="28" t="s">
        <v>65</v>
      </c>
      <c r="BL11" s="11"/>
    </row>
    <row r="12" spans="1:64" ht="15" thickBot="1" x14ac:dyDescent="0.35">
      <c r="A12" s="36" t="s">
        <v>6</v>
      </c>
      <c r="B12" s="10"/>
      <c r="C12" s="11"/>
      <c r="D12" s="18"/>
      <c r="E12" s="18"/>
      <c r="F12" s="18"/>
      <c r="G12" s="36"/>
      <c r="H12" s="42"/>
      <c r="I12" s="28"/>
      <c r="J12" s="40">
        <f>SUM(H11)</f>
        <v>4</v>
      </c>
      <c r="K12" s="28"/>
      <c r="L12" s="12"/>
      <c r="M12" s="37"/>
      <c r="N12" s="37"/>
      <c r="O12" s="10"/>
      <c r="P12" s="18"/>
      <c r="Q12" s="11"/>
      <c r="R12" s="18"/>
      <c r="S12" s="18"/>
      <c r="T12" s="10"/>
      <c r="U12" s="18"/>
      <c r="V12" s="11"/>
      <c r="W12" s="28"/>
      <c r="AB12" s="36" t="s">
        <v>59</v>
      </c>
      <c r="AC12" s="36">
        <v>1412</v>
      </c>
      <c r="AD12" s="39">
        <v>1297</v>
      </c>
      <c r="AE12" s="10">
        <v>0</v>
      </c>
      <c r="AF12" s="3">
        <v>0</v>
      </c>
      <c r="AG12" s="39">
        <v>0</v>
      </c>
      <c r="AH12" s="2">
        <v>1217</v>
      </c>
      <c r="AI12" s="2">
        <v>10461</v>
      </c>
      <c r="AJ12" s="10">
        <v>0</v>
      </c>
      <c r="AK12" s="36">
        <v>5</v>
      </c>
      <c r="AL12" s="2" t="s">
        <v>66</v>
      </c>
      <c r="AM12" s="11"/>
      <c r="AP12" s="36" t="s">
        <v>67</v>
      </c>
      <c r="AQ12" s="36">
        <v>380</v>
      </c>
      <c r="AR12" s="39">
        <v>360</v>
      </c>
      <c r="AT12" s="18"/>
      <c r="AU12" s="10"/>
      <c r="AV12" s="37">
        <v>78</v>
      </c>
      <c r="AW12" s="37" t="s">
        <v>68</v>
      </c>
      <c r="AX12" s="18"/>
      <c r="AY12" s="11"/>
      <c r="AZ12" s="28"/>
      <c r="BA12" s="28"/>
      <c r="BB12" s="46"/>
      <c r="BE12" s="47"/>
      <c r="BF12" s="48"/>
      <c r="BG12" s="48"/>
      <c r="BH12" s="47"/>
      <c r="BI12" s="49"/>
      <c r="BJ12" s="48">
        <v>6</v>
      </c>
      <c r="BK12" s="48" t="s">
        <v>69</v>
      </c>
      <c r="BL12" s="49">
        <f>SUM(BJ11:BJ12)</f>
        <v>6</v>
      </c>
    </row>
    <row r="13" spans="1:64" ht="15" thickBot="1" x14ac:dyDescent="0.35">
      <c r="A13" s="32"/>
      <c r="B13" s="34"/>
      <c r="C13" s="34"/>
      <c r="D13" s="33"/>
      <c r="E13" s="34"/>
      <c r="F13" s="35"/>
      <c r="G13" s="34"/>
      <c r="H13" s="6" t="s">
        <v>70</v>
      </c>
      <c r="I13" s="8"/>
      <c r="J13" s="7"/>
      <c r="K13" s="28"/>
      <c r="L13" s="17"/>
      <c r="M13" s="27"/>
      <c r="N13" s="27"/>
      <c r="O13" s="13"/>
      <c r="P13" s="27"/>
      <c r="Q13" s="26"/>
      <c r="R13" s="27"/>
      <c r="S13" s="27"/>
      <c r="T13" s="13"/>
      <c r="U13" s="27"/>
      <c r="V13" s="26"/>
      <c r="W13" s="28"/>
      <c r="AB13" s="50" t="s">
        <v>6</v>
      </c>
      <c r="AC13" s="8"/>
      <c r="AD13" s="8"/>
      <c r="AE13" s="6"/>
      <c r="AF13" s="8"/>
      <c r="AG13" s="7"/>
      <c r="AH13" s="6"/>
      <c r="AI13" s="7"/>
      <c r="AJ13" s="8"/>
      <c r="AK13" s="29" t="s">
        <v>71</v>
      </c>
      <c r="AL13" s="8"/>
      <c r="AM13" s="7"/>
      <c r="AP13" s="36" t="s">
        <v>72</v>
      </c>
      <c r="AQ13" s="36">
        <v>0</v>
      </c>
      <c r="AR13" s="39">
        <v>9</v>
      </c>
      <c r="AT13" s="18"/>
      <c r="AU13" s="10"/>
      <c r="AV13" s="37">
        <v>69</v>
      </c>
      <c r="AW13" s="37" t="s">
        <v>73</v>
      </c>
      <c r="AX13" s="18"/>
      <c r="AY13" s="11"/>
      <c r="AZ13" s="28"/>
      <c r="BA13" s="28"/>
      <c r="BB13" s="33"/>
      <c r="BC13" s="33"/>
      <c r="BD13" s="35"/>
      <c r="BE13" s="34"/>
      <c r="BF13" s="34"/>
      <c r="BG13" s="34"/>
      <c r="BH13" s="33"/>
      <c r="BI13" s="35"/>
      <c r="BJ13" s="8" t="s">
        <v>6</v>
      </c>
      <c r="BK13" s="34"/>
      <c r="BL13" s="35"/>
    </row>
    <row r="14" spans="1:64" ht="15" thickBot="1" x14ac:dyDescent="0.35">
      <c r="A14" s="44" t="s">
        <v>74</v>
      </c>
      <c r="B14" s="37">
        <v>1277</v>
      </c>
      <c r="C14" s="18">
        <v>1943</v>
      </c>
      <c r="D14" s="36"/>
      <c r="E14" s="38" t="s">
        <v>60</v>
      </c>
      <c r="F14" s="39"/>
      <c r="G14" s="37">
        <v>2112</v>
      </c>
      <c r="H14" s="36">
        <v>4</v>
      </c>
      <c r="I14" s="28" t="s">
        <v>75</v>
      </c>
      <c r="J14" s="11"/>
      <c r="K14" s="28"/>
      <c r="L14" s="32"/>
      <c r="M14" s="34"/>
      <c r="N14" s="34"/>
      <c r="O14" s="33"/>
      <c r="P14" s="34"/>
      <c r="Q14" s="35"/>
      <c r="R14" s="34"/>
      <c r="S14" s="34"/>
      <c r="T14" s="33"/>
      <c r="U14" s="34"/>
      <c r="V14" s="35"/>
      <c r="W14" s="28"/>
      <c r="AB14" s="41" t="s">
        <v>76</v>
      </c>
      <c r="AC14">
        <v>228</v>
      </c>
      <c r="AD14">
        <v>0</v>
      </c>
      <c r="AE14" s="42">
        <v>0</v>
      </c>
      <c r="AF14" s="43">
        <v>0</v>
      </c>
      <c r="AG14" s="40">
        <v>0</v>
      </c>
      <c r="AH14" s="42">
        <v>0</v>
      </c>
      <c r="AI14" s="40">
        <v>0</v>
      </c>
      <c r="AJ14" s="43">
        <v>0</v>
      </c>
      <c r="AK14" s="42">
        <v>2</v>
      </c>
      <c r="AL14" s="28" t="s">
        <v>77</v>
      </c>
      <c r="AM14" s="40"/>
      <c r="AP14" s="36" t="s">
        <v>78</v>
      </c>
      <c r="AQ14" s="36">
        <v>0</v>
      </c>
      <c r="AR14" s="39">
        <v>0</v>
      </c>
      <c r="AT14" s="18"/>
      <c r="AU14" s="10"/>
      <c r="AV14" s="37"/>
      <c r="AW14" s="37"/>
      <c r="AX14" s="18"/>
      <c r="AY14" s="11"/>
      <c r="AZ14" s="28"/>
      <c r="BA14" s="28"/>
      <c r="BB14" s="47" t="s">
        <v>6</v>
      </c>
      <c r="BC14" s="47"/>
      <c r="BD14" s="49"/>
      <c r="BE14" s="48">
        <v>0</v>
      </c>
      <c r="BF14" s="48">
        <v>0</v>
      </c>
      <c r="BG14" s="48">
        <v>0</v>
      </c>
      <c r="BH14" s="47">
        <v>0</v>
      </c>
      <c r="BI14" s="49">
        <v>0</v>
      </c>
      <c r="BJ14" s="51"/>
      <c r="BK14" s="48" t="s">
        <v>6</v>
      </c>
      <c r="BL14" s="49">
        <f>SUM(BJ14)</f>
        <v>0</v>
      </c>
    </row>
    <row r="15" spans="1:64" x14ac:dyDescent="0.3">
      <c r="A15" s="41"/>
      <c r="D15" s="42"/>
      <c r="E15" s="28"/>
      <c r="F15" s="40"/>
      <c r="H15" s="42">
        <v>14</v>
      </c>
      <c r="I15" s="28" t="s">
        <v>79</v>
      </c>
      <c r="J15" s="40"/>
      <c r="K15" s="28"/>
      <c r="L15" s="41"/>
      <c r="M15" s="28"/>
      <c r="N15" s="28"/>
      <c r="O15" s="42"/>
      <c r="P15" s="28"/>
      <c r="Q15" s="40"/>
      <c r="R15" s="28"/>
      <c r="S15" s="28"/>
      <c r="T15" s="42" t="s">
        <v>80</v>
      </c>
      <c r="U15" s="28"/>
      <c r="V15" s="40"/>
      <c r="W15" s="28"/>
      <c r="AB15" s="32"/>
      <c r="AC15" s="34"/>
      <c r="AD15" s="34"/>
      <c r="AE15" s="33"/>
      <c r="AF15" s="34"/>
      <c r="AG15" s="35"/>
      <c r="AH15" s="33"/>
      <c r="AI15" s="35"/>
      <c r="AJ15" s="34"/>
      <c r="AK15" s="33"/>
      <c r="AL15" s="34"/>
      <c r="AM15" s="35"/>
      <c r="AP15" s="52" t="s">
        <v>81</v>
      </c>
      <c r="AQ15" s="36">
        <v>0</v>
      </c>
      <c r="AR15" s="39">
        <v>0</v>
      </c>
      <c r="AU15" s="42"/>
      <c r="AV15" s="28"/>
      <c r="AW15" s="28"/>
      <c r="AX15" s="28"/>
      <c r="AY15" s="40"/>
      <c r="AZ15" s="28"/>
      <c r="BA15" s="28"/>
      <c r="BB15" s="33"/>
      <c r="BC15" s="33"/>
      <c r="BD15" s="35"/>
      <c r="BE15" s="34"/>
      <c r="BF15" s="34"/>
      <c r="BG15" s="34"/>
      <c r="BH15" s="33"/>
      <c r="BI15" s="35"/>
      <c r="BJ15" s="53" t="s">
        <v>82</v>
      </c>
      <c r="BK15" s="34"/>
      <c r="BL15" s="35"/>
    </row>
    <row r="16" spans="1:64" ht="15" thickBot="1" x14ac:dyDescent="0.35">
      <c r="A16" s="46"/>
      <c r="B16" s="48"/>
      <c r="C16" s="48"/>
      <c r="D16" s="47"/>
      <c r="E16" s="48"/>
      <c r="F16" s="49"/>
      <c r="G16" s="48"/>
      <c r="H16" s="47"/>
      <c r="I16" s="28" t="s">
        <v>83</v>
      </c>
      <c r="J16" s="49">
        <f>SUM(H14:H16)</f>
        <v>18</v>
      </c>
      <c r="K16" s="28"/>
      <c r="L16" s="17" t="s">
        <v>74</v>
      </c>
      <c r="M16" s="27">
        <v>2365</v>
      </c>
      <c r="N16" s="27">
        <v>625</v>
      </c>
      <c r="O16" s="13">
        <v>0</v>
      </c>
      <c r="P16" s="27">
        <v>0</v>
      </c>
      <c r="Q16" s="26">
        <v>0</v>
      </c>
      <c r="R16" s="27">
        <v>200</v>
      </c>
      <c r="S16" s="27">
        <v>4</v>
      </c>
      <c r="T16" s="13"/>
      <c r="U16" s="27"/>
      <c r="V16" s="26"/>
      <c r="W16" s="28"/>
      <c r="AB16" s="46"/>
      <c r="AC16" s="48"/>
      <c r="AD16" s="48"/>
      <c r="AE16" s="47"/>
      <c r="AF16" s="48"/>
      <c r="AG16" s="49"/>
      <c r="AH16" s="47"/>
      <c r="AI16" s="49"/>
      <c r="AJ16" s="48"/>
      <c r="AK16" s="47"/>
      <c r="AL16" s="48"/>
      <c r="AM16" s="49"/>
      <c r="AP16" s="13" t="s">
        <v>84</v>
      </c>
      <c r="AQ16" s="13">
        <f>SUM(AQ10:AQ15)</f>
        <v>1734</v>
      </c>
      <c r="AR16" s="26">
        <f>SUM(AR10:AR15)</f>
        <v>1668</v>
      </c>
      <c r="AT16" s="18"/>
      <c r="AU16" s="13"/>
      <c r="AV16" s="27"/>
      <c r="AW16" s="27"/>
      <c r="AX16" s="27"/>
      <c r="AY16" s="26">
        <f>SUM(AV12:AV13)</f>
        <v>147</v>
      </c>
      <c r="AZ16" s="28"/>
      <c r="BA16" s="28"/>
      <c r="BB16" s="47" t="s">
        <v>85</v>
      </c>
      <c r="BC16" s="47">
        <v>10</v>
      </c>
      <c r="BD16" s="49">
        <v>10</v>
      </c>
      <c r="BE16" s="48">
        <v>0</v>
      </c>
      <c r="BF16" s="48">
        <v>0</v>
      </c>
      <c r="BG16" s="48">
        <v>0</v>
      </c>
      <c r="BH16" s="47">
        <v>0</v>
      </c>
      <c r="BI16" s="49">
        <v>0</v>
      </c>
      <c r="BJ16" s="51">
        <v>4</v>
      </c>
      <c r="BK16" s="48" t="s">
        <v>86</v>
      </c>
      <c r="BL16" s="49">
        <f>SUM(BJ16)</f>
        <v>4</v>
      </c>
    </row>
    <row r="17" spans="1:65" x14ac:dyDescent="0.3">
      <c r="A17" s="33"/>
      <c r="B17" s="33"/>
      <c r="C17" s="35"/>
      <c r="D17" s="34"/>
      <c r="E17" s="34"/>
      <c r="F17" s="34"/>
      <c r="G17" s="32"/>
      <c r="H17" s="6" t="s">
        <v>87</v>
      </c>
      <c r="I17" s="34"/>
      <c r="J17" s="35"/>
      <c r="K17" s="28"/>
      <c r="L17" s="12" t="s">
        <v>88</v>
      </c>
      <c r="M17" s="37">
        <v>0</v>
      </c>
      <c r="N17" s="37">
        <v>0</v>
      </c>
      <c r="O17" s="10"/>
      <c r="P17" s="18"/>
      <c r="Q17" s="11"/>
      <c r="R17" s="18"/>
      <c r="S17" s="18"/>
      <c r="T17" s="33" t="s">
        <v>6</v>
      </c>
      <c r="U17" s="31"/>
      <c r="V17" s="7"/>
      <c r="W17" s="28"/>
      <c r="AB17" s="6" t="s">
        <v>89</v>
      </c>
      <c r="AC17" s="6">
        <v>30</v>
      </c>
      <c r="AD17" s="7">
        <v>42</v>
      </c>
      <c r="AE17" s="8"/>
      <c r="AF17" s="8"/>
      <c r="AG17" s="8"/>
      <c r="AH17" s="6"/>
      <c r="AI17" s="7"/>
      <c r="AJ17" s="9"/>
      <c r="AK17" s="31" t="s">
        <v>90</v>
      </c>
      <c r="AL17" s="8"/>
      <c r="AM17" s="7"/>
      <c r="AP17" s="32" t="s">
        <v>6</v>
      </c>
      <c r="AQ17" s="43"/>
      <c r="AR17" s="54"/>
      <c r="AS17" s="33"/>
      <c r="AT17" s="35"/>
      <c r="AU17" s="33"/>
      <c r="AV17" s="34" t="s">
        <v>91</v>
      </c>
      <c r="AW17" s="34"/>
      <c r="AX17" s="34"/>
      <c r="AY17" s="35"/>
      <c r="AZ17" s="28"/>
      <c r="BA17" s="28"/>
      <c r="BB17" s="50"/>
      <c r="BC17" s="31"/>
      <c r="BD17" s="31"/>
      <c r="BE17" s="29"/>
      <c r="BF17" s="31"/>
      <c r="BG17" s="30"/>
      <c r="BH17" s="55"/>
      <c r="BI17" s="8"/>
      <c r="BJ17" s="29"/>
      <c r="BK17" s="34" t="s">
        <v>92</v>
      </c>
      <c r="BL17" s="35"/>
    </row>
    <row r="18" spans="1:65" x14ac:dyDescent="0.3">
      <c r="A18" s="36" t="s">
        <v>93</v>
      </c>
      <c r="B18" s="36">
        <v>3156</v>
      </c>
      <c r="C18" s="11">
        <v>4297</v>
      </c>
      <c r="D18" s="37"/>
      <c r="E18" s="38" t="s">
        <v>60</v>
      </c>
      <c r="F18" s="37"/>
      <c r="G18" s="12">
        <f>31*145</f>
        <v>4495</v>
      </c>
      <c r="H18" s="36">
        <v>31</v>
      </c>
      <c r="I18" s="37" t="s">
        <v>94</v>
      </c>
      <c r="J18" s="40"/>
      <c r="K18" s="28"/>
      <c r="L18" s="44" t="s">
        <v>95</v>
      </c>
      <c r="M18" s="37">
        <v>0</v>
      </c>
      <c r="N18" s="37">
        <v>0</v>
      </c>
      <c r="O18" s="10"/>
      <c r="P18" s="18"/>
      <c r="Q18" s="11"/>
      <c r="R18" s="18"/>
      <c r="S18" s="18"/>
      <c r="T18" s="10" t="s">
        <v>96</v>
      </c>
      <c r="U18" s="37"/>
      <c r="V18" s="11"/>
      <c r="W18" s="28"/>
      <c r="AB18" s="36" t="s">
        <v>97</v>
      </c>
      <c r="AC18" s="10">
        <v>0</v>
      </c>
      <c r="AD18" s="11">
        <v>0</v>
      </c>
      <c r="AE18" s="18">
        <v>0</v>
      </c>
      <c r="AF18" s="18">
        <v>0</v>
      </c>
      <c r="AG18" s="18">
        <v>0</v>
      </c>
      <c r="AH18" s="36">
        <v>0</v>
      </c>
      <c r="AI18" s="11">
        <v>0</v>
      </c>
      <c r="AJ18" s="12">
        <v>0</v>
      </c>
      <c r="AK18" s="37">
        <v>1</v>
      </c>
      <c r="AL18" s="37" t="s">
        <v>98</v>
      </c>
      <c r="AM18" s="11"/>
      <c r="AP18" s="41"/>
      <c r="AS18" s="42"/>
      <c r="AT18" s="40"/>
      <c r="AU18" s="42"/>
      <c r="AV18" s="28"/>
      <c r="AW18" s="28"/>
      <c r="AX18" s="28"/>
      <c r="AY18" s="40"/>
      <c r="AZ18" s="28" t="s">
        <v>6</v>
      </c>
      <c r="BA18" s="28"/>
      <c r="BB18" s="41" t="s">
        <v>99</v>
      </c>
      <c r="BC18" s="45">
        <v>0</v>
      </c>
      <c r="BD18" s="45">
        <v>0</v>
      </c>
      <c r="BE18" s="42">
        <v>0</v>
      </c>
      <c r="BF18" s="45">
        <v>0</v>
      </c>
      <c r="BG18" s="40">
        <v>0</v>
      </c>
      <c r="BH18" s="45">
        <v>38719</v>
      </c>
      <c r="BI18" s="56">
        <v>11986</v>
      </c>
      <c r="BJ18" s="52">
        <v>31</v>
      </c>
      <c r="BK18" s="37" t="s">
        <v>100</v>
      </c>
      <c r="BL18" s="40"/>
    </row>
    <row r="19" spans="1:65" ht="15" thickBot="1" x14ac:dyDescent="0.35">
      <c r="A19" s="47"/>
      <c r="B19" s="47"/>
      <c r="C19" s="49"/>
      <c r="D19" s="48"/>
      <c r="E19" s="48"/>
      <c r="F19" s="48"/>
      <c r="G19" s="46"/>
      <c r="H19" s="47"/>
      <c r="I19" s="48" t="s">
        <v>101</v>
      </c>
      <c r="J19" s="49">
        <f>SUM(H18:H19)</f>
        <v>31</v>
      </c>
      <c r="K19" s="28"/>
      <c r="L19" s="12" t="s">
        <v>102</v>
      </c>
      <c r="M19" s="18">
        <v>0</v>
      </c>
      <c r="N19" s="18">
        <v>0</v>
      </c>
      <c r="O19" s="10"/>
      <c r="P19" s="18"/>
      <c r="Q19" s="11"/>
      <c r="R19" s="18"/>
      <c r="S19" s="18"/>
      <c r="T19" s="10"/>
      <c r="U19" s="18"/>
      <c r="V19" s="11"/>
      <c r="W19" s="28"/>
      <c r="AB19" s="47" t="s">
        <v>84</v>
      </c>
      <c r="AC19" s="13">
        <f>SUM(AC17:AC18)</f>
        <v>30</v>
      </c>
      <c r="AD19" s="26">
        <f>SUM(AD17:AD18)</f>
        <v>42</v>
      </c>
      <c r="AE19" s="27"/>
      <c r="AF19" s="27"/>
      <c r="AG19" s="27"/>
      <c r="AH19" s="13"/>
      <c r="AI19" s="26"/>
      <c r="AJ19" s="17"/>
      <c r="AK19" s="57"/>
      <c r="AL19" s="37" t="s">
        <v>103</v>
      </c>
      <c r="AM19" s="11"/>
      <c r="AP19" s="41" t="s">
        <v>56</v>
      </c>
      <c r="AQ19">
        <v>760</v>
      </c>
      <c r="AR19">
        <v>812</v>
      </c>
      <c r="AS19" s="42"/>
      <c r="AT19" s="40"/>
      <c r="AU19" s="42"/>
      <c r="AV19" s="28"/>
      <c r="AW19" s="28"/>
      <c r="AX19" s="28"/>
      <c r="AY19" s="40"/>
      <c r="AZ19" s="28"/>
      <c r="BA19" s="28"/>
      <c r="BB19" s="17" t="s">
        <v>84</v>
      </c>
      <c r="BC19" s="18">
        <f>SUM(BC17:BC18)</f>
        <v>0</v>
      </c>
      <c r="BD19" s="18">
        <f>SUM(BD17:BD18)</f>
        <v>0</v>
      </c>
      <c r="BE19" s="13"/>
      <c r="BF19" s="27"/>
      <c r="BG19" s="26"/>
      <c r="BH19" s="58"/>
      <c r="BI19" s="27"/>
      <c r="BJ19" s="59"/>
      <c r="BK19" s="48" t="s">
        <v>6</v>
      </c>
      <c r="BL19" s="60">
        <f>SUM(BJ18:BJ19)</f>
        <v>31</v>
      </c>
    </row>
    <row r="20" spans="1:65" ht="15" thickBot="1" x14ac:dyDescent="0.35">
      <c r="A20" s="29"/>
      <c r="B20" s="29"/>
      <c r="C20" s="7"/>
      <c r="D20" s="8"/>
      <c r="E20" s="8"/>
      <c r="F20" s="8"/>
      <c r="G20" s="9"/>
      <c r="H20" s="6" t="s">
        <v>104</v>
      </c>
      <c r="I20" s="8"/>
      <c r="J20" s="7"/>
      <c r="K20" s="28"/>
      <c r="L20" s="12" t="s">
        <v>84</v>
      </c>
      <c r="M20" s="18">
        <f>SUM(M17:M19)</f>
        <v>0</v>
      </c>
      <c r="N20" s="18">
        <f>SUM(N17:N19)</f>
        <v>0</v>
      </c>
      <c r="O20" s="10">
        <v>0</v>
      </c>
      <c r="P20" s="18">
        <v>0</v>
      </c>
      <c r="Q20" s="11">
        <v>0</v>
      </c>
      <c r="R20" s="18">
        <v>0</v>
      </c>
      <c r="S20" s="18">
        <v>0</v>
      </c>
      <c r="T20" s="13"/>
      <c r="U20" s="27"/>
      <c r="V20" s="26"/>
      <c r="W20" s="28"/>
      <c r="AB20" s="44"/>
      <c r="AC20" s="18"/>
      <c r="AD20" s="18"/>
      <c r="AE20" s="10"/>
      <c r="AF20" s="18"/>
      <c r="AG20" s="11"/>
      <c r="AH20" s="10"/>
      <c r="AI20" s="11"/>
      <c r="AJ20" s="6"/>
      <c r="AK20" s="33" t="s">
        <v>6</v>
      </c>
      <c r="AL20" s="61" t="s">
        <v>6</v>
      </c>
      <c r="AM20" s="7"/>
      <c r="AP20" s="62" t="s">
        <v>6</v>
      </c>
      <c r="AQ20" s="43"/>
      <c r="AR20" s="43"/>
      <c r="AS20" s="47"/>
      <c r="AT20" s="49"/>
      <c r="AU20" s="47"/>
      <c r="AV20" s="48">
        <v>80</v>
      </c>
      <c r="AW20" s="48" t="s">
        <v>73</v>
      </c>
      <c r="AX20" s="48"/>
      <c r="AY20" s="49">
        <f>SUM(AV20)</f>
        <v>80</v>
      </c>
      <c r="AZ20" s="28"/>
      <c r="BA20" s="28" t="s">
        <v>6</v>
      </c>
      <c r="BB20" s="32" t="s">
        <v>6</v>
      </c>
      <c r="BC20" s="63"/>
      <c r="BD20" s="64"/>
      <c r="BE20" s="33"/>
      <c r="BF20" s="8"/>
      <c r="BG20" s="35"/>
      <c r="BH20" s="65"/>
      <c r="BI20" s="66"/>
      <c r="BJ20" s="29"/>
      <c r="BK20" s="31" t="s">
        <v>57</v>
      </c>
      <c r="BL20" s="35"/>
    </row>
    <row r="21" spans="1:65" ht="15" thickBot="1" x14ac:dyDescent="0.35">
      <c r="A21" s="42" t="s">
        <v>105</v>
      </c>
      <c r="B21" s="42">
        <v>303</v>
      </c>
      <c r="C21" s="40">
        <v>439</v>
      </c>
      <c r="D21" s="28"/>
      <c r="E21" s="38" t="s">
        <v>60</v>
      </c>
      <c r="F21" s="28"/>
      <c r="G21" s="41">
        <f>8*70</f>
        <v>560</v>
      </c>
      <c r="H21" s="67">
        <v>8</v>
      </c>
      <c r="I21" s="43" t="s">
        <v>106</v>
      </c>
      <c r="J21" s="40">
        <f>SUM(H21)</f>
        <v>8</v>
      </c>
      <c r="K21" s="28"/>
      <c r="L21" s="32"/>
      <c r="M21" s="33"/>
      <c r="N21" s="35"/>
      <c r="O21" s="34"/>
      <c r="P21" s="34"/>
      <c r="Q21" s="35"/>
      <c r="R21" s="33"/>
      <c r="S21" s="35"/>
      <c r="T21" s="6" t="s">
        <v>104</v>
      </c>
      <c r="U21" s="34"/>
      <c r="V21" s="35"/>
      <c r="W21" s="28"/>
      <c r="AB21" s="41" t="s">
        <v>6</v>
      </c>
      <c r="AC21" s="18"/>
      <c r="AD21" s="18"/>
      <c r="AE21" s="10">
        <v>0</v>
      </c>
      <c r="AF21" s="18">
        <v>0</v>
      </c>
      <c r="AG21" s="11">
        <v>0</v>
      </c>
      <c r="AH21" s="10"/>
      <c r="AI21" s="11"/>
      <c r="AJ21" s="10">
        <v>0</v>
      </c>
      <c r="AK21" s="10"/>
      <c r="AL21" s="37" t="s">
        <v>6</v>
      </c>
      <c r="AM21" s="11"/>
      <c r="AP21" s="10"/>
      <c r="AQ21" s="29"/>
      <c r="AR21" s="31"/>
      <c r="AS21" s="33"/>
      <c r="AT21" s="7"/>
      <c r="AU21" s="8"/>
      <c r="AV21" s="8"/>
      <c r="AW21" s="8"/>
      <c r="AX21" s="8"/>
      <c r="AY21" s="7"/>
      <c r="AZ21" s="28"/>
      <c r="BA21" s="28" t="s">
        <v>6</v>
      </c>
      <c r="BB21" s="68" t="s">
        <v>107</v>
      </c>
      <c r="BC21">
        <v>24</v>
      </c>
      <c r="BD21">
        <v>54</v>
      </c>
      <c r="BE21" s="42"/>
      <c r="BF21" s="28"/>
      <c r="BG21" s="40"/>
      <c r="BH21" s="42"/>
      <c r="BI21" s="40"/>
      <c r="BJ21" s="42"/>
      <c r="BK21" s="28"/>
      <c r="BL21" s="40"/>
    </row>
    <row r="22" spans="1:65" x14ac:dyDescent="0.3">
      <c r="A22" s="29" t="s">
        <v>108</v>
      </c>
      <c r="B22" s="29">
        <v>0</v>
      </c>
      <c r="C22" s="7">
        <v>0</v>
      </c>
      <c r="D22" s="8"/>
      <c r="E22" s="8">
        <v>1561</v>
      </c>
      <c r="F22" s="8"/>
      <c r="G22" s="50"/>
      <c r="H22" s="6" t="s">
        <v>104</v>
      </c>
      <c r="I22" s="31"/>
      <c r="J22" s="30"/>
      <c r="K22" s="28"/>
      <c r="L22" s="69" t="s">
        <v>109</v>
      </c>
      <c r="M22" s="42">
        <v>0</v>
      </c>
      <c r="N22" s="40">
        <v>0</v>
      </c>
      <c r="O22" s="28">
        <v>0</v>
      </c>
      <c r="P22" s="43">
        <v>0</v>
      </c>
      <c r="Q22" s="40">
        <v>0</v>
      </c>
      <c r="R22" s="42">
        <v>0</v>
      </c>
      <c r="S22" s="40">
        <v>0</v>
      </c>
      <c r="T22" s="28"/>
      <c r="U22" s="28"/>
      <c r="V22" s="40"/>
      <c r="W22" s="28"/>
      <c r="AA22" s="28"/>
      <c r="AB22" s="44"/>
      <c r="AC22" s="45"/>
      <c r="AD22" s="45"/>
      <c r="AE22" s="10">
        <v>0</v>
      </c>
      <c r="AF22" s="18">
        <v>0</v>
      </c>
      <c r="AG22" s="11">
        <v>0</v>
      </c>
      <c r="AH22" s="10"/>
      <c r="AI22" s="11"/>
      <c r="AJ22" s="67"/>
      <c r="AK22" s="42"/>
      <c r="AL22" s="54"/>
      <c r="AM22" s="40"/>
      <c r="AN22" s="28"/>
      <c r="AP22" s="36" t="s">
        <v>63</v>
      </c>
      <c r="AQ22" s="10">
        <v>74</v>
      </c>
      <c r="AR22" s="18">
        <v>40</v>
      </c>
      <c r="AS22" s="42"/>
      <c r="AT22" s="11"/>
      <c r="AU22" s="18"/>
      <c r="AV22" s="18" t="s">
        <v>110</v>
      </c>
      <c r="AW22" s="18" t="s">
        <v>111</v>
      </c>
      <c r="AX22" s="18" t="s">
        <v>112</v>
      </c>
      <c r="AY22" s="11"/>
      <c r="AZ22" s="45"/>
      <c r="BA22" s="28"/>
      <c r="BB22" s="41" t="s">
        <v>113</v>
      </c>
      <c r="BC22" s="70">
        <v>611</v>
      </c>
      <c r="BD22" s="71">
        <v>584</v>
      </c>
      <c r="BE22" s="42"/>
      <c r="BF22" s="28"/>
      <c r="BG22" s="40"/>
      <c r="BH22" s="42"/>
      <c r="BI22" s="40"/>
      <c r="BJ22" s="42"/>
      <c r="BK22" s="43" t="s">
        <v>6</v>
      </c>
      <c r="BL22" s="40"/>
    </row>
    <row r="23" spans="1:65" ht="15" thickBot="1" x14ac:dyDescent="0.35">
      <c r="A23" s="52" t="s">
        <v>109</v>
      </c>
      <c r="B23" s="36">
        <v>1310</v>
      </c>
      <c r="C23" s="11">
        <v>1382</v>
      </c>
      <c r="D23" s="45"/>
      <c r="E23" s="45">
        <v>0</v>
      </c>
      <c r="F23" s="45"/>
      <c r="G23" s="69"/>
      <c r="H23" s="45">
        <v>9</v>
      </c>
      <c r="I23" s="28" t="s">
        <v>114</v>
      </c>
      <c r="J23" s="40"/>
      <c r="K23" s="28"/>
      <c r="L23" s="46"/>
      <c r="M23" s="47"/>
      <c r="N23" s="49"/>
      <c r="O23" s="48"/>
      <c r="P23" s="48"/>
      <c r="Q23" s="49"/>
      <c r="R23" s="72"/>
      <c r="S23" s="73"/>
      <c r="T23" s="48"/>
      <c r="U23" s="48"/>
      <c r="V23" s="49"/>
      <c r="W23" s="28"/>
      <c r="AA23" s="28"/>
      <c r="AB23" s="41"/>
      <c r="AE23" s="10">
        <v>0</v>
      </c>
      <c r="AF23" s="18">
        <v>0</v>
      </c>
      <c r="AG23" s="11">
        <v>0</v>
      </c>
      <c r="AH23" s="10"/>
      <c r="AI23" s="11"/>
      <c r="AJ23" s="47"/>
      <c r="AK23" s="72"/>
      <c r="AL23" s="74"/>
      <c r="AM23" s="49"/>
      <c r="AN23" s="28"/>
      <c r="AP23" s="10" t="s">
        <v>115</v>
      </c>
      <c r="AQ23" s="36">
        <v>90</v>
      </c>
      <c r="AR23" s="37">
        <v>71</v>
      </c>
      <c r="AS23" s="42"/>
      <c r="AT23" s="11"/>
      <c r="AU23" s="18"/>
      <c r="AV23" s="18"/>
      <c r="AW23" s="18"/>
      <c r="AX23" s="18"/>
      <c r="AY23" s="11"/>
      <c r="AZ23" s="28"/>
      <c r="BA23" s="28"/>
      <c r="BB23" s="68" t="s">
        <v>84</v>
      </c>
      <c r="BC23">
        <f>SUM(BC20:BC22)</f>
        <v>635</v>
      </c>
      <c r="BD23">
        <f>SUM(BD20:BD22)</f>
        <v>638</v>
      </c>
      <c r="BE23" s="47">
        <v>0</v>
      </c>
      <c r="BF23" s="27">
        <v>0</v>
      </c>
      <c r="BG23" s="49">
        <v>0</v>
      </c>
      <c r="BH23" s="75">
        <v>0</v>
      </c>
      <c r="BI23" s="49">
        <v>0</v>
      </c>
      <c r="BJ23" s="47">
        <v>46</v>
      </c>
      <c r="BK23" s="51" t="s">
        <v>73</v>
      </c>
      <c r="BL23" s="49">
        <f>SUM(BJ21:BJ23)</f>
        <v>46</v>
      </c>
    </row>
    <row r="24" spans="1:65" ht="15" thickBot="1" x14ac:dyDescent="0.35">
      <c r="A24" s="76" t="s">
        <v>84</v>
      </c>
      <c r="B24" s="42">
        <f>SUM(B22:B23)</f>
        <v>1310</v>
      </c>
      <c r="C24" s="40">
        <f>SUM(C22:C23)</f>
        <v>1382</v>
      </c>
      <c r="D24" s="28"/>
      <c r="E24" s="28">
        <f>SUM(E22:E23)</f>
        <v>1561</v>
      </c>
      <c r="F24" s="28"/>
      <c r="G24" s="46">
        <f>9*355</f>
        <v>3195</v>
      </c>
      <c r="H24" s="48"/>
      <c r="I24" s="48"/>
      <c r="J24" s="49">
        <f>SUM(H23)</f>
        <v>9</v>
      </c>
      <c r="K24" s="28"/>
      <c r="L24" s="50" t="s">
        <v>93</v>
      </c>
      <c r="M24" s="8">
        <v>0</v>
      </c>
      <c r="N24" s="8">
        <v>0</v>
      </c>
      <c r="O24" s="6"/>
      <c r="P24" s="8"/>
      <c r="Q24" s="7"/>
      <c r="R24" s="8">
        <v>0</v>
      </c>
      <c r="S24" s="8">
        <v>0</v>
      </c>
      <c r="T24" s="10" t="s">
        <v>116</v>
      </c>
      <c r="U24" s="8"/>
      <c r="V24" s="7"/>
      <c r="W24" s="28"/>
      <c r="AA24" s="28"/>
      <c r="AB24" s="32"/>
      <c r="AC24" s="6"/>
      <c r="AD24" s="7"/>
      <c r="AE24" s="8"/>
      <c r="AF24" s="8"/>
      <c r="AG24" s="8"/>
      <c r="AH24" s="6"/>
      <c r="AI24" s="7"/>
      <c r="AJ24" s="8"/>
      <c r="AK24" s="36"/>
      <c r="AL24" s="77" t="s">
        <v>117</v>
      </c>
      <c r="AM24" s="11"/>
      <c r="AN24" s="28"/>
      <c r="AP24" s="52" t="s">
        <v>72</v>
      </c>
      <c r="AQ24" s="52">
        <v>3</v>
      </c>
      <c r="AR24" s="54">
        <v>0</v>
      </c>
      <c r="AS24" s="42"/>
      <c r="AT24" s="40"/>
      <c r="AU24" s="28"/>
      <c r="AV24" s="28"/>
      <c r="AW24" s="28"/>
      <c r="AX24" s="28"/>
      <c r="AY24" s="40"/>
      <c r="AZ24" s="28"/>
      <c r="BA24" s="28"/>
      <c r="BB24" s="33" t="s">
        <v>64</v>
      </c>
      <c r="BC24" s="78">
        <v>6</v>
      </c>
      <c r="BD24" s="79">
        <v>0</v>
      </c>
      <c r="BE24" s="34"/>
      <c r="BF24" s="8"/>
      <c r="BG24" s="35"/>
      <c r="BH24" s="80"/>
      <c r="BI24" s="34"/>
      <c r="BJ24" s="33"/>
      <c r="BK24" s="34" t="s">
        <v>91</v>
      </c>
      <c r="BL24" s="35"/>
    </row>
    <row r="25" spans="1:65" x14ac:dyDescent="0.3">
      <c r="A25" s="32" t="s">
        <v>93</v>
      </c>
      <c r="B25" s="33">
        <v>2966</v>
      </c>
      <c r="C25" s="35">
        <v>4096</v>
      </c>
      <c r="D25" s="33"/>
      <c r="E25" s="34"/>
      <c r="F25" s="34"/>
      <c r="G25" s="32">
        <f>60*100</f>
        <v>6000</v>
      </c>
      <c r="H25" s="33" t="s">
        <v>118</v>
      </c>
      <c r="I25" s="34"/>
      <c r="J25" s="35"/>
      <c r="K25" s="28"/>
      <c r="L25" s="12" t="s">
        <v>99</v>
      </c>
      <c r="M25" s="37">
        <v>27983</v>
      </c>
      <c r="N25" s="37">
        <v>26678</v>
      </c>
      <c r="O25" s="10"/>
      <c r="P25" s="18"/>
      <c r="Q25" s="11"/>
      <c r="R25" s="18">
        <v>3950</v>
      </c>
      <c r="S25" s="18">
        <v>1725</v>
      </c>
      <c r="T25" s="10"/>
      <c r="U25" s="18"/>
      <c r="V25" s="11"/>
      <c r="W25" s="28"/>
      <c r="AA25" s="28"/>
      <c r="AB25" s="68"/>
      <c r="AC25" s="42"/>
      <c r="AD25" s="40"/>
      <c r="AH25" s="42"/>
      <c r="AI25" s="40"/>
      <c r="AK25" s="42">
        <v>1</v>
      </c>
      <c r="AL25" s="54" t="s">
        <v>119</v>
      </c>
      <c r="AM25" s="40"/>
      <c r="AN25" s="28"/>
      <c r="AP25" s="36" t="s">
        <v>78</v>
      </c>
      <c r="AQ25" s="36">
        <f>28+2</f>
        <v>30</v>
      </c>
      <c r="AR25" s="37">
        <v>8</v>
      </c>
      <c r="AS25" s="42"/>
      <c r="AT25" s="11"/>
      <c r="AU25" s="18"/>
      <c r="AV25" s="37"/>
      <c r="AW25" s="18"/>
      <c r="AX25" s="37"/>
      <c r="AY25" s="11"/>
      <c r="AZ25" s="28"/>
      <c r="BA25" s="28"/>
      <c r="BB25" s="52" t="s">
        <v>102</v>
      </c>
      <c r="BC25" s="42">
        <v>16</v>
      </c>
      <c r="BD25" s="40">
        <v>0</v>
      </c>
      <c r="BE25" s="28"/>
      <c r="BF25" s="28"/>
      <c r="BG25" s="40"/>
      <c r="BJ25" s="42"/>
      <c r="BK25" s="28"/>
      <c r="BL25" s="40"/>
    </row>
    <row r="26" spans="1:65" x14ac:dyDescent="0.3">
      <c r="A26" s="41" t="s">
        <v>120</v>
      </c>
      <c r="B26" s="42">
        <v>2026</v>
      </c>
      <c r="C26" s="40">
        <v>2888</v>
      </c>
      <c r="D26" s="42"/>
      <c r="E26" s="28" t="s">
        <v>60</v>
      </c>
      <c r="F26" s="28"/>
      <c r="G26" s="41">
        <f>27*154</f>
        <v>4158</v>
      </c>
      <c r="H26" s="42">
        <v>27</v>
      </c>
      <c r="I26" s="28" t="s">
        <v>101</v>
      </c>
      <c r="J26" s="40"/>
      <c r="K26" s="28"/>
      <c r="L26" s="12" t="s">
        <v>120</v>
      </c>
      <c r="M26" s="37">
        <v>3211</v>
      </c>
      <c r="N26" s="37">
        <v>53438</v>
      </c>
      <c r="O26" s="10"/>
      <c r="P26" s="18"/>
      <c r="Q26" s="11"/>
      <c r="R26" s="18">
        <v>834</v>
      </c>
      <c r="S26" s="18">
        <v>171</v>
      </c>
      <c r="T26" s="10"/>
      <c r="U26" s="18"/>
      <c r="V26" s="11"/>
      <c r="W26" s="28"/>
      <c r="AA26" s="28"/>
      <c r="AB26" s="44"/>
      <c r="AC26" s="10"/>
      <c r="AD26" s="11"/>
      <c r="AE26" s="18"/>
      <c r="AF26" s="18"/>
      <c r="AG26" s="18"/>
      <c r="AH26" s="10"/>
      <c r="AI26" s="11"/>
      <c r="AJ26" s="18"/>
      <c r="AK26" s="10">
        <v>2</v>
      </c>
      <c r="AL26" s="37" t="s">
        <v>121</v>
      </c>
      <c r="AM26" s="11"/>
      <c r="AN26" s="28"/>
      <c r="AP26" s="10" t="s">
        <v>122</v>
      </c>
      <c r="AQ26" s="36">
        <v>108</v>
      </c>
      <c r="AR26" s="37">
        <v>61</v>
      </c>
      <c r="AS26" s="42"/>
      <c r="AT26" s="11"/>
      <c r="AU26" s="18"/>
      <c r="AV26" s="18">
        <v>32</v>
      </c>
      <c r="AW26" s="18" t="s">
        <v>123</v>
      </c>
      <c r="AX26" s="18"/>
      <c r="AY26" s="11"/>
      <c r="AZ26" s="28"/>
      <c r="BA26" s="28"/>
      <c r="BB26" s="67" t="s">
        <v>113</v>
      </c>
      <c r="BC26" s="42">
        <v>90</v>
      </c>
      <c r="BD26" s="40">
        <f>127+19</f>
        <v>146</v>
      </c>
      <c r="BE26" s="28"/>
      <c r="BF26" s="28"/>
      <c r="BG26" s="40"/>
      <c r="BH26" s="28"/>
      <c r="BI26" s="28"/>
      <c r="BJ26" s="67">
        <v>22</v>
      </c>
      <c r="BK26" s="43" t="s">
        <v>73</v>
      </c>
      <c r="BL26" s="40"/>
      <c r="BM26" t="s">
        <v>6</v>
      </c>
    </row>
    <row r="27" spans="1:65" ht="15" thickBot="1" x14ac:dyDescent="0.35">
      <c r="A27" s="68" t="s">
        <v>6</v>
      </c>
      <c r="B27" s="67"/>
      <c r="C27" s="56"/>
      <c r="G27" s="41"/>
      <c r="H27" s="42"/>
      <c r="I27" s="28"/>
      <c r="J27" s="40"/>
      <c r="K27" s="28"/>
      <c r="L27" s="12" t="s">
        <v>84</v>
      </c>
      <c r="M27" s="18">
        <f>SUM(M24:M26)</f>
        <v>31194</v>
      </c>
      <c r="N27" s="18">
        <f>SUM(N24:N26)</f>
        <v>80116</v>
      </c>
      <c r="O27" s="10">
        <v>0</v>
      </c>
      <c r="P27" s="18">
        <v>0</v>
      </c>
      <c r="Q27" s="11">
        <v>0</v>
      </c>
      <c r="R27" s="18">
        <f>SUM(R24:R26)</f>
        <v>4784</v>
      </c>
      <c r="S27" s="18">
        <f>SUM(S24:S26)</f>
        <v>1896</v>
      </c>
      <c r="T27" s="10"/>
      <c r="U27" s="18"/>
      <c r="V27" s="11"/>
      <c r="W27" s="28"/>
      <c r="AA27" s="28"/>
      <c r="AB27" s="46"/>
      <c r="AC27" s="47"/>
      <c r="AD27" s="49"/>
      <c r="AE27" s="48"/>
      <c r="AF27" s="48"/>
      <c r="AG27" s="48"/>
      <c r="AH27" s="47"/>
      <c r="AI27" s="49"/>
      <c r="AJ27" s="48"/>
      <c r="AK27" s="47">
        <v>4</v>
      </c>
      <c r="AL27" s="48" t="s">
        <v>124</v>
      </c>
      <c r="AM27" s="49"/>
      <c r="AN27" s="28"/>
      <c r="AP27" s="10" t="s">
        <v>125</v>
      </c>
      <c r="AQ27" s="36">
        <v>0</v>
      </c>
      <c r="AR27" s="37">
        <v>0</v>
      </c>
      <c r="AS27" s="42"/>
      <c r="AT27" s="11"/>
      <c r="AU27" s="18"/>
      <c r="AV27" s="18">
        <v>34</v>
      </c>
      <c r="AW27" s="18" t="s">
        <v>126</v>
      </c>
      <c r="AX27" s="18"/>
      <c r="AY27" s="11"/>
      <c r="AZ27" s="28"/>
      <c r="BA27" s="28"/>
      <c r="BB27" s="47" t="s">
        <v>84</v>
      </c>
      <c r="BC27" s="47">
        <f>SUM(BC24:BC26)</f>
        <v>112</v>
      </c>
      <c r="BD27" s="49">
        <f>SUM(BD24:BD26)</f>
        <v>146</v>
      </c>
      <c r="BE27" s="81">
        <v>0</v>
      </c>
      <c r="BF27" s="27">
        <v>0</v>
      </c>
      <c r="BG27" s="82">
        <v>0</v>
      </c>
      <c r="BH27" s="74">
        <v>0</v>
      </c>
      <c r="BI27" s="74">
        <v>0</v>
      </c>
      <c r="BJ27" s="47"/>
      <c r="BK27" s="51"/>
      <c r="BL27" s="49">
        <f>SUM(BJ26)</f>
        <v>22</v>
      </c>
    </row>
    <row r="28" spans="1:65" ht="15" thickBot="1" x14ac:dyDescent="0.35">
      <c r="A28" s="46" t="s">
        <v>84</v>
      </c>
      <c r="B28" s="47">
        <f>SUM(B25:B27)</f>
        <v>4992</v>
      </c>
      <c r="C28" s="49">
        <f>SUM(C25:C27)</f>
        <v>6984</v>
      </c>
      <c r="D28" s="47"/>
      <c r="E28" s="48"/>
      <c r="F28" s="48"/>
      <c r="G28" s="46">
        <f>SUM(G25:G27)</f>
        <v>10158</v>
      </c>
      <c r="H28" s="47">
        <v>60</v>
      </c>
      <c r="I28" s="48" t="s">
        <v>127</v>
      </c>
      <c r="J28" s="49">
        <f>SUM(H26:H28)</f>
        <v>87</v>
      </c>
      <c r="K28" s="28"/>
      <c r="L28" s="17"/>
      <c r="M28" s="27"/>
      <c r="N28" s="27"/>
      <c r="O28" s="13"/>
      <c r="P28" s="27"/>
      <c r="Q28" s="26"/>
      <c r="R28" s="27"/>
      <c r="S28" s="27"/>
      <c r="T28" s="13"/>
      <c r="U28" s="27"/>
      <c r="V28" s="26"/>
      <c r="W28" s="28"/>
      <c r="AA28" s="28"/>
      <c r="AB28" s="32"/>
      <c r="AE28" s="33"/>
      <c r="AF28" s="34"/>
      <c r="AG28" s="34"/>
      <c r="AH28" s="33"/>
      <c r="AI28" s="35"/>
      <c r="AJ28" s="32"/>
      <c r="AK28" s="83"/>
      <c r="AL28" s="34"/>
      <c r="AM28" s="35"/>
      <c r="AN28" s="28"/>
      <c r="AP28" s="84" t="s">
        <v>128</v>
      </c>
      <c r="AQ28" s="52">
        <v>4</v>
      </c>
      <c r="AR28" s="37">
        <v>4</v>
      </c>
      <c r="AS28" s="42"/>
      <c r="AT28" s="40"/>
      <c r="AU28" s="28"/>
      <c r="AV28" s="28">
        <v>23</v>
      </c>
      <c r="AW28" s="28" t="s">
        <v>129</v>
      </c>
      <c r="AX28" s="28"/>
      <c r="AY28" s="40"/>
      <c r="BA28" s="28"/>
      <c r="BB28" s="52" t="s">
        <v>113</v>
      </c>
      <c r="BC28" s="42">
        <v>696</v>
      </c>
      <c r="BD28" s="85">
        <v>587</v>
      </c>
      <c r="BE28" s="37"/>
      <c r="BF28" s="18"/>
      <c r="BG28" s="54"/>
      <c r="BH28" s="52"/>
      <c r="BI28" s="40"/>
      <c r="BJ28" s="67"/>
      <c r="BK28" s="34" t="s">
        <v>130</v>
      </c>
      <c r="BL28" s="40"/>
    </row>
    <row r="29" spans="1:65" ht="15" thickBot="1" x14ac:dyDescent="0.35">
      <c r="A29" s="41" t="s">
        <v>88</v>
      </c>
      <c r="B29" s="42">
        <v>320</v>
      </c>
      <c r="C29" s="40">
        <v>531</v>
      </c>
      <c r="D29" s="28"/>
      <c r="E29" s="45">
        <v>0</v>
      </c>
      <c r="F29" s="40"/>
      <c r="G29" s="40"/>
      <c r="H29" s="28" t="s">
        <v>131</v>
      </c>
      <c r="J29" s="40"/>
      <c r="K29" s="28"/>
      <c r="L29" s="12" t="s">
        <v>105</v>
      </c>
      <c r="M29" s="34">
        <v>3095</v>
      </c>
      <c r="N29" s="34">
        <v>6349</v>
      </c>
      <c r="O29" s="33"/>
      <c r="P29" s="34"/>
      <c r="Q29" s="35"/>
      <c r="R29" s="34">
        <v>320</v>
      </c>
      <c r="S29" s="34">
        <v>1</v>
      </c>
      <c r="T29" s="33"/>
      <c r="U29" s="34"/>
      <c r="V29" s="35"/>
      <c r="W29" s="28"/>
      <c r="AA29" s="28"/>
      <c r="AB29" s="46"/>
      <c r="AE29" s="47"/>
      <c r="AF29" s="48"/>
      <c r="AG29" s="48"/>
      <c r="AH29" s="47"/>
      <c r="AI29" s="49"/>
      <c r="AJ29" s="46"/>
      <c r="AK29" s="48"/>
      <c r="AL29" s="48" t="s">
        <v>6</v>
      </c>
      <c r="AM29" s="49"/>
      <c r="AN29" s="28"/>
      <c r="AP29" s="84" t="s">
        <v>132</v>
      </c>
      <c r="AQ29" s="42">
        <v>0</v>
      </c>
      <c r="AR29" s="37">
        <v>0</v>
      </c>
      <c r="AS29" s="42"/>
      <c r="AT29" s="40"/>
      <c r="AU29" s="28"/>
      <c r="AV29" s="28"/>
      <c r="AW29" s="28"/>
      <c r="AX29" s="28"/>
      <c r="AY29" s="40"/>
      <c r="AZ29" s="28"/>
      <c r="BA29" s="28"/>
      <c r="BB29" s="42" t="s">
        <v>133</v>
      </c>
      <c r="BC29" s="67">
        <v>0</v>
      </c>
      <c r="BD29" s="85">
        <v>0</v>
      </c>
      <c r="BE29" s="28"/>
      <c r="BF29" s="18"/>
      <c r="BG29" s="28"/>
      <c r="BH29" s="52"/>
      <c r="BI29" s="86"/>
      <c r="BJ29" s="52">
        <v>53</v>
      </c>
      <c r="BK29" s="43" t="s">
        <v>73</v>
      </c>
      <c r="BL29" s="40"/>
    </row>
    <row r="30" spans="1:65" ht="15" thickBot="1" x14ac:dyDescent="0.35">
      <c r="A30" s="41" t="s">
        <v>102</v>
      </c>
      <c r="B30" s="42">
        <v>278</v>
      </c>
      <c r="C30" s="85">
        <v>563</v>
      </c>
      <c r="D30" s="28"/>
      <c r="E30" s="45">
        <v>0</v>
      </c>
      <c r="F30" s="40"/>
      <c r="G30" s="40">
        <f>9*169</f>
        <v>1521</v>
      </c>
      <c r="H30" s="28">
        <v>9</v>
      </c>
      <c r="I30" s="28" t="s">
        <v>134</v>
      </c>
      <c r="J30" s="40"/>
      <c r="K30" s="28"/>
      <c r="L30" s="44" t="s">
        <v>99</v>
      </c>
      <c r="M30" s="18">
        <v>107</v>
      </c>
      <c r="N30" s="18">
        <v>0</v>
      </c>
      <c r="O30" s="10"/>
      <c r="P30" s="18"/>
      <c r="Q30" s="11"/>
      <c r="R30" s="18">
        <v>0</v>
      </c>
      <c r="S30" s="18">
        <v>0</v>
      </c>
      <c r="T30" s="10" t="s">
        <v>135</v>
      </c>
      <c r="U30" s="18"/>
      <c r="V30" s="11"/>
      <c r="W30" s="28"/>
      <c r="AA30" s="28"/>
      <c r="AB30" s="32" t="s">
        <v>89</v>
      </c>
      <c r="AC30" s="33">
        <v>481</v>
      </c>
      <c r="AD30" s="34">
        <v>276</v>
      </c>
      <c r="AE30" s="33"/>
      <c r="AF30" s="34"/>
      <c r="AG30" s="34"/>
      <c r="AH30" s="33"/>
      <c r="AI30" s="35"/>
      <c r="AJ30" s="35"/>
      <c r="AK30" s="34" t="s">
        <v>136</v>
      </c>
      <c r="AL30" s="34"/>
      <c r="AM30" s="35"/>
      <c r="AN30" s="28"/>
      <c r="AP30" s="84" t="s">
        <v>81</v>
      </c>
      <c r="AQ30" s="42">
        <v>35</v>
      </c>
      <c r="AR30" s="37">
        <v>18</v>
      </c>
      <c r="AS30" s="42"/>
      <c r="AT30" s="40"/>
      <c r="AU30" s="28"/>
      <c r="AV30" s="28"/>
      <c r="AW30" s="28"/>
      <c r="AX30" s="28"/>
      <c r="AY30" s="40"/>
      <c r="AZ30" s="28"/>
      <c r="BA30" s="28"/>
      <c r="BB30" s="59" t="s">
        <v>84</v>
      </c>
      <c r="BC30" s="13">
        <f>SUM(BC28:BC29)</f>
        <v>696</v>
      </c>
      <c r="BD30" s="60">
        <f>SUM(BD28:BD29)</f>
        <v>587</v>
      </c>
      <c r="BE30" s="81">
        <v>0</v>
      </c>
      <c r="BF30" s="27">
        <v>0</v>
      </c>
      <c r="BG30" s="27">
        <v>0</v>
      </c>
      <c r="BH30" s="13">
        <v>0</v>
      </c>
      <c r="BI30" s="26">
        <v>0</v>
      </c>
      <c r="BJ30" s="13"/>
      <c r="BK30" s="43"/>
      <c r="BL30" s="26">
        <f>SUM(BJ28:BJ29)</f>
        <v>53</v>
      </c>
    </row>
    <row r="31" spans="1:65" ht="15" thickBot="1" x14ac:dyDescent="0.35">
      <c r="A31" s="87" t="s">
        <v>84</v>
      </c>
      <c r="B31" s="59">
        <f>SUM(B29:B30)</f>
        <v>598</v>
      </c>
      <c r="C31" s="26">
        <f>SUM(C29:C30)</f>
        <v>1094</v>
      </c>
      <c r="D31" s="27"/>
      <c r="E31" s="16">
        <f>SUM(E26:E30)</f>
        <v>0</v>
      </c>
      <c r="F31" s="26"/>
      <c r="G31" s="49"/>
      <c r="H31" s="48"/>
      <c r="I31" s="48"/>
      <c r="J31" s="49">
        <f>SUM(H29:H30)</f>
        <v>9</v>
      </c>
      <c r="K31" s="28"/>
      <c r="L31" s="12"/>
      <c r="M31" s="18"/>
      <c r="N31" s="18"/>
      <c r="O31" s="10"/>
      <c r="P31" s="18"/>
      <c r="Q31" s="11"/>
      <c r="R31" s="18"/>
      <c r="S31" s="18"/>
      <c r="T31" s="10"/>
      <c r="U31" s="18"/>
      <c r="V31" s="11"/>
      <c r="W31" s="28"/>
      <c r="AA31" s="28"/>
      <c r="AB31" s="44" t="s">
        <v>137</v>
      </c>
      <c r="AC31" s="10">
        <v>108</v>
      </c>
      <c r="AD31" s="18">
        <v>61</v>
      </c>
      <c r="AE31" s="10"/>
      <c r="AF31" s="18"/>
      <c r="AG31" s="18"/>
      <c r="AH31" s="52"/>
      <c r="AI31" s="85"/>
      <c r="AJ31" s="40"/>
      <c r="AK31" s="45"/>
      <c r="AL31" s="37"/>
      <c r="AM31" s="40"/>
      <c r="AN31" s="28"/>
      <c r="AP31" s="10" t="s">
        <v>138</v>
      </c>
      <c r="AQ31" s="36">
        <v>3</v>
      </c>
      <c r="AR31" s="37">
        <v>0</v>
      </c>
      <c r="AS31" s="42"/>
      <c r="AT31" s="11"/>
      <c r="AU31" s="18"/>
      <c r="AV31" s="18"/>
      <c r="AW31" s="18"/>
      <c r="AX31" s="18"/>
      <c r="AY31" s="11"/>
      <c r="AZ31" s="28"/>
      <c r="BA31" s="28"/>
      <c r="BB31" s="88" t="s">
        <v>139</v>
      </c>
      <c r="BC31" s="33">
        <v>1</v>
      </c>
      <c r="BD31" s="35">
        <v>0</v>
      </c>
      <c r="BE31" s="89"/>
      <c r="BF31" s="89"/>
      <c r="BG31" s="80"/>
      <c r="BH31" s="6"/>
      <c r="BI31" s="35"/>
      <c r="BJ31" s="33" t="s">
        <v>140</v>
      </c>
      <c r="BK31" s="34"/>
      <c r="BL31" s="35"/>
    </row>
    <row r="32" spans="1:65" x14ac:dyDescent="0.3">
      <c r="A32" s="36" t="s">
        <v>93</v>
      </c>
      <c r="B32" s="42">
        <v>6303</v>
      </c>
      <c r="C32" s="90">
        <v>8421</v>
      </c>
      <c r="D32" s="3"/>
      <c r="E32" s="91" t="s">
        <v>60</v>
      </c>
      <c r="F32" s="18"/>
      <c r="G32" s="44">
        <f>62*160</f>
        <v>9920</v>
      </c>
      <c r="H32" s="10" t="s">
        <v>116</v>
      </c>
      <c r="I32" s="18"/>
      <c r="J32" s="11"/>
      <c r="K32" s="28"/>
      <c r="L32" s="12" t="s">
        <v>84</v>
      </c>
      <c r="M32" s="18">
        <f>SUM(M29:M31)</f>
        <v>3202</v>
      </c>
      <c r="N32" s="18">
        <f>SUM(N29:N31)</f>
        <v>6349</v>
      </c>
      <c r="O32" s="10">
        <v>0</v>
      </c>
      <c r="P32" s="18">
        <v>0</v>
      </c>
      <c r="Q32" s="11">
        <v>0</v>
      </c>
      <c r="R32" s="18">
        <f>SUM(R29:R31)</f>
        <v>320</v>
      </c>
      <c r="S32" s="18">
        <f>SUM(S29:S31)</f>
        <v>1</v>
      </c>
      <c r="T32" s="10"/>
      <c r="U32" s="18"/>
      <c r="V32" s="11"/>
      <c r="W32" s="28"/>
      <c r="AA32" s="28"/>
      <c r="AB32" s="41" t="s">
        <v>84</v>
      </c>
      <c r="AC32" s="42">
        <f>SUM(AC30:AC31)</f>
        <v>589</v>
      </c>
      <c r="AD32" s="28">
        <f>SUM(AD30:AD31)</f>
        <v>337</v>
      </c>
      <c r="AE32" s="42">
        <v>0</v>
      </c>
      <c r="AF32" s="28">
        <v>0</v>
      </c>
      <c r="AG32" s="28">
        <v>0</v>
      </c>
      <c r="AH32" s="42">
        <v>0</v>
      </c>
      <c r="AI32" s="40">
        <v>0</v>
      </c>
      <c r="AJ32" s="40">
        <v>0</v>
      </c>
      <c r="AK32" s="43">
        <v>9</v>
      </c>
      <c r="AL32" s="28" t="s">
        <v>141</v>
      </c>
      <c r="AM32" s="40"/>
      <c r="AN32" s="28"/>
      <c r="AP32" s="84" t="s">
        <v>56</v>
      </c>
      <c r="AQ32" s="42">
        <v>16</v>
      </c>
      <c r="AR32" s="54">
        <v>6</v>
      </c>
      <c r="AS32" s="42"/>
      <c r="AT32" s="40"/>
      <c r="AU32" s="28"/>
      <c r="AV32" s="28"/>
      <c r="AW32" s="28"/>
      <c r="AX32" s="28"/>
      <c r="AY32" s="40"/>
      <c r="AZ32" s="28"/>
      <c r="BA32" s="28"/>
      <c r="BB32" s="92" t="s">
        <v>113</v>
      </c>
      <c r="BC32" s="67">
        <f>7+4+2+13+44+7+6+4</f>
        <v>87</v>
      </c>
      <c r="BD32" s="56">
        <f>3+3+3+14+42+6+2+4</f>
        <v>77</v>
      </c>
      <c r="BE32" s="54"/>
      <c r="BF32" s="54"/>
      <c r="BG32" s="45"/>
      <c r="BH32" s="10"/>
      <c r="BI32" s="40"/>
      <c r="BJ32" s="10" t="s">
        <v>142</v>
      </c>
      <c r="BK32" s="18"/>
      <c r="BL32" s="39" t="s">
        <v>143</v>
      </c>
    </row>
    <row r="33" spans="1:64" ht="15" thickBot="1" x14ac:dyDescent="0.35">
      <c r="A33" s="10" t="s">
        <v>99</v>
      </c>
      <c r="B33" s="42">
        <v>15077</v>
      </c>
      <c r="C33" s="40">
        <v>17107</v>
      </c>
      <c r="D33" s="3"/>
      <c r="E33" s="91" t="s">
        <v>60</v>
      </c>
      <c r="F33" s="18"/>
      <c r="G33" s="12">
        <v>19815</v>
      </c>
      <c r="H33" s="10">
        <v>63</v>
      </c>
      <c r="I33" s="37" t="s">
        <v>144</v>
      </c>
      <c r="J33" s="11"/>
      <c r="K33" s="28"/>
      <c r="L33" s="12"/>
      <c r="M33" s="18"/>
      <c r="N33" s="18"/>
      <c r="O33" s="10"/>
      <c r="P33" s="18"/>
      <c r="Q33" s="11"/>
      <c r="R33" s="18"/>
      <c r="S33" s="18"/>
      <c r="T33" s="10"/>
      <c r="U33" s="18"/>
      <c r="V33" s="11"/>
      <c r="W33" s="28"/>
      <c r="AA33" s="28"/>
      <c r="AB33" s="46"/>
      <c r="AC33" s="47"/>
      <c r="AD33" s="48"/>
      <c r="AE33" s="47"/>
      <c r="AF33" s="48"/>
      <c r="AG33" s="48"/>
      <c r="AH33" s="47"/>
      <c r="AI33" s="49"/>
      <c r="AJ33" s="49"/>
      <c r="AK33" s="48">
        <v>6</v>
      </c>
      <c r="AL33" s="48" t="s">
        <v>145</v>
      </c>
      <c r="AM33" s="49"/>
      <c r="AN33" s="28"/>
      <c r="AP33" s="36" t="s">
        <v>67</v>
      </c>
      <c r="AQ33" s="10">
        <v>8</v>
      </c>
      <c r="AR33" s="18">
        <f>37+9</f>
        <v>46</v>
      </c>
      <c r="AS33" s="42"/>
      <c r="AT33" s="11"/>
      <c r="AU33" s="18"/>
      <c r="AV33" s="18"/>
      <c r="AW33" s="18"/>
      <c r="AX33" s="18"/>
      <c r="AY33" s="11"/>
      <c r="AZ33" s="28"/>
      <c r="BA33" s="28" t="s">
        <v>6</v>
      </c>
      <c r="BB33" s="92" t="s">
        <v>93</v>
      </c>
      <c r="BC33" s="67">
        <v>2</v>
      </c>
      <c r="BD33" s="56">
        <f>2+1</f>
        <v>3</v>
      </c>
      <c r="BE33" s="54"/>
      <c r="BF33" s="54"/>
      <c r="BG33" s="45"/>
      <c r="BH33" s="10"/>
      <c r="BI33" s="40"/>
      <c r="BJ33" s="93" t="s">
        <v>146</v>
      </c>
      <c r="BK33" s="28"/>
      <c r="BL33" s="94" t="s">
        <v>147</v>
      </c>
    </row>
    <row r="34" spans="1:64" ht="15" thickBot="1" x14ac:dyDescent="0.35">
      <c r="A34" s="10" t="s">
        <v>120</v>
      </c>
      <c r="B34" s="42">
        <v>4731</v>
      </c>
      <c r="C34" s="40">
        <v>5403</v>
      </c>
      <c r="D34" s="3"/>
      <c r="E34" s="91" t="s">
        <v>60</v>
      </c>
      <c r="F34" s="18"/>
      <c r="G34" s="12">
        <f>28*224</f>
        <v>6272</v>
      </c>
      <c r="H34" s="84">
        <v>91</v>
      </c>
      <c r="I34" s="37" t="s">
        <v>148</v>
      </c>
      <c r="J34" s="11"/>
      <c r="K34" s="28"/>
      <c r="L34" s="12"/>
      <c r="M34" s="18"/>
      <c r="N34" s="18"/>
      <c r="O34" s="10"/>
      <c r="P34" s="18"/>
      <c r="Q34" s="11"/>
      <c r="R34" s="18"/>
      <c r="S34" s="18"/>
      <c r="T34" s="10"/>
      <c r="U34" s="18"/>
      <c r="V34" s="11"/>
      <c r="W34" s="28"/>
      <c r="AA34" s="28"/>
      <c r="AB34" s="42"/>
      <c r="AC34" s="42"/>
      <c r="AD34" s="40"/>
      <c r="AE34" s="28"/>
      <c r="AF34" s="28"/>
      <c r="AG34" s="28"/>
      <c r="AH34" s="42"/>
      <c r="AI34" s="28"/>
      <c r="AJ34" s="41"/>
      <c r="AK34" s="28" t="s">
        <v>149</v>
      </c>
      <c r="AL34" s="28"/>
      <c r="AM34" s="40"/>
      <c r="AN34" s="28" t="s">
        <v>6</v>
      </c>
      <c r="AO34" s="95"/>
      <c r="AP34" s="13" t="s">
        <v>84</v>
      </c>
      <c r="AQ34" s="13">
        <f>SUM(AQ22:AQ33)</f>
        <v>371</v>
      </c>
      <c r="AR34" s="27">
        <f>SUM(AR22:AR33)</f>
        <v>254</v>
      </c>
      <c r="AS34" s="47"/>
      <c r="AT34" s="26">
        <f>SUM(AT26:AT33)</f>
        <v>0</v>
      </c>
      <c r="AU34" s="27"/>
      <c r="AV34" s="27"/>
      <c r="AW34" s="27"/>
      <c r="AX34" s="27"/>
      <c r="AY34" s="26">
        <f>SUM(AV26:AV28)</f>
        <v>89</v>
      </c>
      <c r="AZ34" s="28"/>
      <c r="BA34" s="28"/>
      <c r="BB34" s="52" t="s">
        <v>133</v>
      </c>
      <c r="BC34" s="67">
        <v>23</v>
      </c>
      <c r="BD34" s="56">
        <v>6</v>
      </c>
      <c r="BE34" s="54" t="s">
        <v>150</v>
      </c>
      <c r="BF34" s="54"/>
      <c r="BG34" s="45"/>
      <c r="BH34" s="10"/>
      <c r="BI34" s="40"/>
      <c r="BJ34" s="42" t="s">
        <v>151</v>
      </c>
      <c r="BK34" s="28"/>
      <c r="BL34" s="96"/>
    </row>
    <row r="35" spans="1:64" ht="15" thickBot="1" x14ac:dyDescent="0.35">
      <c r="A35" s="10" t="s">
        <v>84</v>
      </c>
      <c r="B35" s="42">
        <f>SUM(B32:B34)</f>
        <v>26111</v>
      </c>
      <c r="C35" s="40">
        <f>SUM(C32:C34)</f>
        <v>30931</v>
      </c>
      <c r="D35" s="3"/>
      <c r="E35" s="91" t="s">
        <v>60</v>
      </c>
      <c r="F35" s="18"/>
      <c r="G35" s="12">
        <f>SUM(G32:G34)</f>
        <v>36007</v>
      </c>
      <c r="H35" s="42">
        <v>30</v>
      </c>
      <c r="I35" s="54" t="s">
        <v>152</v>
      </c>
      <c r="J35" s="40"/>
      <c r="K35" s="28"/>
      <c r="L35" s="44"/>
      <c r="M35" s="18"/>
      <c r="N35" s="18"/>
      <c r="O35" s="10"/>
      <c r="P35" s="18"/>
      <c r="Q35" s="11"/>
      <c r="R35" s="18"/>
      <c r="S35" s="18"/>
      <c r="T35" s="10"/>
      <c r="U35" s="18"/>
      <c r="V35" s="11"/>
      <c r="W35" s="28"/>
      <c r="Y35" t="s">
        <v>6</v>
      </c>
      <c r="AB35" s="36" t="s">
        <v>99</v>
      </c>
      <c r="AC35" s="10">
        <v>0</v>
      </c>
      <c r="AD35" s="11">
        <v>0</v>
      </c>
      <c r="AE35" s="18">
        <v>0</v>
      </c>
      <c r="AF35" s="18">
        <v>0</v>
      </c>
      <c r="AG35" s="18">
        <v>0</v>
      </c>
      <c r="AH35" s="52">
        <v>65728</v>
      </c>
      <c r="AI35" s="45">
        <v>5426</v>
      </c>
      <c r="AJ35" s="41">
        <v>0</v>
      </c>
      <c r="AK35" s="45">
        <v>4</v>
      </c>
      <c r="AL35" s="37" t="s">
        <v>153</v>
      </c>
      <c r="AM35" s="40"/>
      <c r="AP35" s="32"/>
      <c r="AQ35" s="53"/>
      <c r="AR35" s="97"/>
      <c r="AS35" s="33"/>
      <c r="AT35" s="7"/>
      <c r="AU35" s="6"/>
      <c r="AV35" s="8"/>
      <c r="AW35" s="31"/>
      <c r="AX35" s="8"/>
      <c r="AY35" s="7"/>
      <c r="AZ35" s="28"/>
      <c r="BA35" s="28"/>
      <c r="BB35" s="52" t="s">
        <v>85</v>
      </c>
      <c r="BC35" s="42">
        <v>16</v>
      </c>
      <c r="BD35" s="56">
        <f>10+6</f>
        <v>16</v>
      </c>
      <c r="BE35" s="28"/>
      <c r="BF35" s="54"/>
      <c r="BG35" s="28"/>
      <c r="BH35" s="84"/>
      <c r="BI35" s="56"/>
      <c r="BJ35" s="42" t="s">
        <v>154</v>
      </c>
      <c r="BK35" s="28" t="s">
        <v>155</v>
      </c>
      <c r="BL35" s="40" t="s">
        <v>156</v>
      </c>
    </row>
    <row r="36" spans="1:64" ht="16.2" thickBot="1" x14ac:dyDescent="0.35">
      <c r="A36" s="13"/>
      <c r="B36" s="47"/>
      <c r="C36" s="49"/>
      <c r="D36" s="27"/>
      <c r="E36" s="27"/>
      <c r="F36" s="27"/>
      <c r="G36" s="17"/>
      <c r="H36" s="47"/>
      <c r="I36" s="27"/>
      <c r="J36" s="60">
        <f>SUM(H33:H35)</f>
        <v>184</v>
      </c>
      <c r="K36" s="28"/>
      <c r="L36" s="12"/>
      <c r="M36" s="18"/>
      <c r="N36" s="18"/>
      <c r="O36" s="10"/>
      <c r="P36" s="18"/>
      <c r="Q36" s="11"/>
      <c r="R36" s="18"/>
      <c r="S36" s="18"/>
      <c r="T36" s="10"/>
      <c r="U36" s="18"/>
      <c r="V36" s="11"/>
      <c r="W36" s="28"/>
      <c r="AB36" s="32"/>
      <c r="AC36" s="6"/>
      <c r="AD36" s="7"/>
      <c r="AE36" s="8"/>
      <c r="AF36" s="8"/>
      <c r="AG36" s="8"/>
      <c r="AH36" s="6"/>
      <c r="AI36" s="7"/>
      <c r="AJ36" s="8"/>
      <c r="AK36" s="29" t="s">
        <v>157</v>
      </c>
      <c r="AL36" s="8"/>
      <c r="AM36" s="7"/>
      <c r="AP36" s="62"/>
      <c r="AQ36" s="72"/>
      <c r="AR36" s="73"/>
      <c r="AS36" s="47"/>
      <c r="AT36" s="49"/>
      <c r="AU36" s="47"/>
      <c r="AV36" s="48"/>
      <c r="AW36" s="48"/>
      <c r="AX36" s="48"/>
      <c r="AY36" s="49"/>
      <c r="AZ36" s="28"/>
      <c r="BA36" s="28"/>
      <c r="BB36" s="36" t="s">
        <v>158</v>
      </c>
      <c r="BC36" s="36">
        <f>3+6</f>
        <v>9</v>
      </c>
      <c r="BD36" s="39">
        <v>3</v>
      </c>
      <c r="BE36" s="18"/>
      <c r="BF36" s="18"/>
      <c r="BG36" s="18"/>
      <c r="BH36" s="10"/>
      <c r="BI36" s="11"/>
      <c r="BJ36" s="98" t="s">
        <v>159</v>
      </c>
      <c r="BK36" s="28" t="s">
        <v>160</v>
      </c>
      <c r="BL36" s="99" t="s">
        <v>161</v>
      </c>
    </row>
    <row r="37" spans="1:64" ht="16.2" thickBot="1" x14ac:dyDescent="0.35">
      <c r="A37" s="6" t="s">
        <v>105</v>
      </c>
      <c r="B37" s="6">
        <v>1292</v>
      </c>
      <c r="C37" s="7">
        <v>2079</v>
      </c>
      <c r="D37" s="8"/>
      <c r="E37" s="80">
        <v>894</v>
      </c>
      <c r="F37" s="66"/>
      <c r="G37" s="8"/>
      <c r="H37" s="6" t="s">
        <v>162</v>
      </c>
      <c r="I37" s="8"/>
      <c r="J37" s="7"/>
      <c r="K37" s="28"/>
      <c r="L37" s="17"/>
      <c r="M37" s="27"/>
      <c r="N37" s="27"/>
      <c r="O37" s="13"/>
      <c r="P37" s="27"/>
      <c r="Q37" s="26"/>
      <c r="R37" s="27"/>
      <c r="S37" s="27"/>
      <c r="T37" s="13"/>
      <c r="U37" s="27"/>
      <c r="V37" s="26"/>
      <c r="W37" s="28"/>
      <c r="AB37" s="68" t="s">
        <v>99</v>
      </c>
      <c r="AC37" s="42">
        <v>0</v>
      </c>
      <c r="AD37" s="40">
        <v>0</v>
      </c>
      <c r="AE37">
        <v>0</v>
      </c>
      <c r="AF37">
        <v>0</v>
      </c>
      <c r="AG37">
        <v>0</v>
      </c>
      <c r="AH37" s="42">
        <v>165816</v>
      </c>
      <c r="AI37" s="40">
        <v>44247</v>
      </c>
      <c r="AJ37" s="43">
        <v>0</v>
      </c>
      <c r="AK37" s="42">
        <v>9</v>
      </c>
      <c r="AL37" s="54" t="s">
        <v>163</v>
      </c>
      <c r="AM37" s="40"/>
      <c r="AP37" s="67" t="s">
        <v>63</v>
      </c>
      <c r="AQ37" s="33">
        <v>6</v>
      </c>
      <c r="AR37" s="35">
        <v>1</v>
      </c>
      <c r="AU37" s="33"/>
      <c r="AV37" s="34"/>
      <c r="AW37" s="34"/>
      <c r="AX37" s="34"/>
      <c r="AY37" s="35"/>
      <c r="AZ37" s="28"/>
      <c r="BA37" s="28"/>
      <c r="BB37" s="92" t="s">
        <v>164</v>
      </c>
      <c r="BC37" s="42">
        <f>4+5+2</f>
        <v>11</v>
      </c>
      <c r="BD37" s="40">
        <f>3+1</f>
        <v>4</v>
      </c>
      <c r="BE37" s="18"/>
      <c r="BF37" s="18"/>
      <c r="BG37" s="18"/>
      <c r="BH37" s="10"/>
      <c r="BI37" s="11"/>
      <c r="BJ37" s="98" t="s">
        <v>165</v>
      </c>
      <c r="BK37" s="100" t="s">
        <v>166</v>
      </c>
      <c r="BL37" s="39" t="s">
        <v>167</v>
      </c>
    </row>
    <row r="38" spans="1:64" ht="15" thickBot="1" x14ac:dyDescent="0.35">
      <c r="A38" s="36" t="s">
        <v>99</v>
      </c>
      <c r="B38" s="10">
        <v>1177</v>
      </c>
      <c r="C38" s="11">
        <v>1953</v>
      </c>
      <c r="D38" s="18"/>
      <c r="E38" s="18">
        <v>742</v>
      </c>
      <c r="F38" s="85"/>
      <c r="G38" s="18"/>
      <c r="H38" s="42"/>
      <c r="I38" s="54"/>
      <c r="J38" s="11"/>
      <c r="L38" s="101" t="s">
        <v>84</v>
      </c>
      <c r="M38" s="102">
        <f>SUM(M32+M27+M22+M20+M16+M11)</f>
        <v>49373</v>
      </c>
      <c r="N38" s="102">
        <f>SUM(N32+N27+N22+N20+N16+N11)</f>
        <v>103013</v>
      </c>
      <c r="O38" s="103">
        <v>0</v>
      </c>
      <c r="P38" s="102">
        <v>0</v>
      </c>
      <c r="Q38" s="104">
        <v>0</v>
      </c>
      <c r="R38" s="102">
        <f>SUM(R32+R27+R22+R20+R11)</f>
        <v>5104</v>
      </c>
      <c r="S38" s="102">
        <f>SUM(S32+S27+S20+S16+S11)</f>
        <v>1901</v>
      </c>
      <c r="T38" s="105"/>
      <c r="U38" s="102"/>
      <c r="V38" s="106"/>
      <c r="AB38" s="44" t="s">
        <v>6</v>
      </c>
      <c r="AC38" s="10"/>
      <c r="AD38" s="11"/>
      <c r="AE38" s="18"/>
      <c r="AF38" s="18"/>
      <c r="AG38" s="18"/>
      <c r="AH38" s="10"/>
      <c r="AI38" s="11"/>
      <c r="AJ38" s="18"/>
      <c r="AK38" s="10">
        <v>5</v>
      </c>
      <c r="AL38" s="37" t="s">
        <v>153</v>
      </c>
      <c r="AM38" s="11"/>
      <c r="AP38" s="67" t="s">
        <v>168</v>
      </c>
      <c r="AQ38" s="42">
        <v>0</v>
      </c>
      <c r="AR38" s="40">
        <v>0</v>
      </c>
      <c r="AU38" s="42"/>
      <c r="AV38" s="28"/>
      <c r="AW38" s="28"/>
      <c r="AX38" s="28"/>
      <c r="AY38" s="40"/>
      <c r="AZ38" s="28"/>
      <c r="BA38" s="28"/>
      <c r="BB38" s="36" t="s">
        <v>169</v>
      </c>
      <c r="BC38" s="36">
        <f>6+7</f>
        <v>13</v>
      </c>
      <c r="BD38" s="39">
        <f>6+1+9+1+12</f>
        <v>29</v>
      </c>
      <c r="BE38" s="18"/>
      <c r="BF38" s="18"/>
      <c r="BG38" s="18"/>
      <c r="BH38" s="10"/>
      <c r="BI38" s="11"/>
      <c r="BJ38" s="98" t="s">
        <v>170</v>
      </c>
      <c r="BK38" s="37" t="s">
        <v>171</v>
      </c>
      <c r="BL38" s="39" t="s">
        <v>172</v>
      </c>
    </row>
    <row r="39" spans="1:64" ht="15" thickBot="1" x14ac:dyDescent="0.35">
      <c r="A39" s="10"/>
      <c r="B39" s="10"/>
      <c r="C39" s="39"/>
      <c r="D39" s="18"/>
      <c r="E39" s="18"/>
      <c r="F39" s="85"/>
      <c r="G39" s="18"/>
      <c r="H39" s="42">
        <v>47</v>
      </c>
      <c r="I39" s="37" t="s">
        <v>101</v>
      </c>
      <c r="J39" s="11"/>
      <c r="AB39" s="46" t="s">
        <v>6</v>
      </c>
      <c r="AC39" s="47"/>
      <c r="AD39" s="49"/>
      <c r="AE39" s="48"/>
      <c r="AF39" s="48"/>
      <c r="AG39" s="48"/>
      <c r="AH39" s="47"/>
      <c r="AI39" s="49"/>
      <c r="AJ39" s="48"/>
      <c r="AK39" s="47"/>
      <c r="AL39" s="48"/>
      <c r="AM39" s="49"/>
      <c r="AP39" s="52" t="s">
        <v>56</v>
      </c>
      <c r="AQ39" s="52">
        <v>1</v>
      </c>
      <c r="AR39" s="85">
        <v>8</v>
      </c>
      <c r="AS39" s="28"/>
      <c r="AT39" s="28"/>
      <c r="AU39" s="42"/>
      <c r="AV39" s="28" t="s">
        <v>173</v>
      </c>
      <c r="AW39" s="28"/>
      <c r="AX39" s="28"/>
      <c r="AY39" s="40"/>
      <c r="AZ39" s="28"/>
      <c r="BA39" s="28"/>
      <c r="BB39" s="36" t="s">
        <v>174</v>
      </c>
      <c r="BC39" s="36">
        <v>19</v>
      </c>
      <c r="BD39" s="39">
        <v>17</v>
      </c>
      <c r="BE39" s="18"/>
      <c r="BF39" s="18"/>
      <c r="BG39" s="18"/>
      <c r="BH39" s="10"/>
      <c r="BI39" s="11"/>
      <c r="BJ39" s="52" t="s">
        <v>175</v>
      </c>
      <c r="BK39" s="37" t="s">
        <v>176</v>
      </c>
      <c r="BL39" s="39" t="s">
        <v>177</v>
      </c>
    </row>
    <row r="40" spans="1:64" ht="15" thickBot="1" x14ac:dyDescent="0.35">
      <c r="A40" s="13" t="s">
        <v>84</v>
      </c>
      <c r="B40" s="13">
        <f>SUM(B37:B39)</f>
        <v>2469</v>
      </c>
      <c r="C40" s="26">
        <f>SUM(C37:C39)</f>
        <v>4032</v>
      </c>
      <c r="D40" s="27"/>
      <c r="E40" s="27">
        <f>SUM(E37:E39)</f>
        <v>1636</v>
      </c>
      <c r="F40" s="26"/>
      <c r="G40" s="27">
        <f>47*164</f>
        <v>7708</v>
      </c>
      <c r="H40" s="13"/>
      <c r="I40" s="81"/>
      <c r="J40" s="26">
        <f>SUM(H38:H39)</f>
        <v>47</v>
      </c>
      <c r="AB40" s="6"/>
      <c r="AC40" s="6"/>
      <c r="AD40" s="7"/>
      <c r="AE40" s="8"/>
      <c r="AF40" s="8"/>
      <c r="AG40" s="8"/>
      <c r="AH40" s="6"/>
      <c r="AI40" s="7"/>
      <c r="AJ40" s="8"/>
      <c r="AK40" s="29"/>
      <c r="AL40" s="8"/>
      <c r="AM40" s="7"/>
      <c r="AN40" s="45"/>
      <c r="AP40" s="52" t="s">
        <v>67</v>
      </c>
      <c r="AQ40" s="52">
        <v>8</v>
      </c>
      <c r="AR40" s="56">
        <v>7</v>
      </c>
      <c r="AU40" s="42"/>
      <c r="AV40" s="28"/>
      <c r="AW40" s="28"/>
      <c r="AX40" s="28"/>
      <c r="AY40" s="40"/>
      <c r="AZ40" s="28"/>
      <c r="BA40" s="28"/>
      <c r="BB40" s="98" t="s">
        <v>108</v>
      </c>
      <c r="BC40" s="36">
        <v>0</v>
      </c>
      <c r="BD40" s="39">
        <v>1</v>
      </c>
      <c r="BE40" s="18"/>
      <c r="BF40" s="37"/>
      <c r="BG40" s="18"/>
      <c r="BH40" s="10"/>
      <c r="BI40" s="11"/>
      <c r="BJ40" s="98" t="s">
        <v>178</v>
      </c>
      <c r="BK40" s="54" t="s">
        <v>179</v>
      </c>
      <c r="BL40" s="39" t="s">
        <v>180</v>
      </c>
    </row>
    <row r="41" spans="1:64" ht="15" thickBot="1" x14ac:dyDescent="0.35">
      <c r="A41" s="42" t="s">
        <v>181</v>
      </c>
      <c r="B41" s="42">
        <v>537</v>
      </c>
      <c r="C41" s="40">
        <v>600</v>
      </c>
      <c r="D41" s="28"/>
      <c r="E41" s="107" t="s">
        <v>60</v>
      </c>
      <c r="F41" s="43"/>
      <c r="G41" s="41">
        <f>4*154</f>
        <v>616</v>
      </c>
      <c r="H41" s="18" t="s">
        <v>182</v>
      </c>
      <c r="I41" s="28"/>
      <c r="J41" s="11"/>
      <c r="K41" s="43"/>
      <c r="AB41" s="36"/>
      <c r="AC41" s="10"/>
      <c r="AD41" s="11"/>
      <c r="AE41" s="18"/>
      <c r="AF41" s="18"/>
      <c r="AG41" s="18"/>
      <c r="AH41" s="36"/>
      <c r="AI41" s="11"/>
      <c r="AJ41" s="18"/>
      <c r="AK41" s="36"/>
      <c r="AL41" s="37"/>
      <c r="AM41" s="11"/>
      <c r="AN41" s="45"/>
      <c r="AP41" s="10" t="s">
        <v>78</v>
      </c>
      <c r="AQ41" s="52">
        <v>0</v>
      </c>
      <c r="AR41" s="85">
        <v>1</v>
      </c>
      <c r="AS41" s="28"/>
      <c r="AT41" s="28"/>
      <c r="AU41" s="42"/>
      <c r="AV41" s="28">
        <v>11</v>
      </c>
      <c r="AW41" s="28" t="s">
        <v>183</v>
      </c>
      <c r="AX41" s="28"/>
      <c r="AY41" s="40"/>
      <c r="AZ41" s="37"/>
      <c r="BA41" s="37"/>
      <c r="BB41" s="36" t="s">
        <v>184</v>
      </c>
      <c r="BC41" s="36">
        <v>0</v>
      </c>
      <c r="BD41" s="39">
        <f>5+3</f>
        <v>8</v>
      </c>
      <c r="BE41" s="18"/>
      <c r="BF41" s="18"/>
      <c r="BG41" s="18"/>
      <c r="BH41" s="10"/>
      <c r="BI41" s="11"/>
      <c r="BJ41" s="36" t="s">
        <v>185</v>
      </c>
      <c r="BK41" s="37" t="s">
        <v>186</v>
      </c>
      <c r="BL41" s="40" t="s">
        <v>187</v>
      </c>
    </row>
    <row r="42" spans="1:64" ht="15" thickBot="1" x14ac:dyDescent="0.35">
      <c r="A42" s="42" t="s">
        <v>120</v>
      </c>
      <c r="B42" s="42">
        <v>3367</v>
      </c>
      <c r="C42" s="40">
        <v>4052</v>
      </c>
      <c r="D42" s="28"/>
      <c r="E42" s="107" t="s">
        <v>60</v>
      </c>
      <c r="F42" s="43"/>
      <c r="G42" s="68">
        <f>29*160</f>
        <v>4640</v>
      </c>
      <c r="H42" s="43">
        <v>29</v>
      </c>
      <c r="I42" s="28" t="s">
        <v>188</v>
      </c>
      <c r="J42" s="11"/>
      <c r="K42" s="28"/>
      <c r="M42" s="108"/>
      <c r="AA42" s="28"/>
      <c r="AB42" s="103" t="s">
        <v>84</v>
      </c>
      <c r="AC42" s="103">
        <f>SUM(AC41+AC37+AC35+AC32+AC29+AC27+AC23+AC19+AC16+AC12+AC14)</f>
        <v>2259</v>
      </c>
      <c r="AD42" s="104">
        <f>SUM(AD41+AD37+AD35+AD32+AD29+AD23+AD19+AD16+AD14+AD12)</f>
        <v>1676</v>
      </c>
      <c r="AE42" s="103">
        <v>0</v>
      </c>
      <c r="AF42" s="102">
        <v>0</v>
      </c>
      <c r="AG42" s="102">
        <v>0</v>
      </c>
      <c r="AH42" s="109">
        <f>SUM(AH41+AH37+AH35+AH32+AH29+AH27+AH23+AH19+AH16+AH14+AH12)</f>
        <v>232761</v>
      </c>
      <c r="AI42" s="110">
        <f>SUM(AI41+AI37+AI35+AI32+AI27+AI23+AI18+AI16+AI14+AI12)</f>
        <v>60134</v>
      </c>
      <c r="AJ42" s="110">
        <v>0</v>
      </c>
      <c r="AK42" s="111" t="s">
        <v>189</v>
      </c>
      <c r="AL42" s="111"/>
      <c r="AM42" s="104">
        <f>SUM(AK12:AK41)</f>
        <v>48</v>
      </c>
      <c r="AN42" s="45"/>
      <c r="AP42" s="52" t="s">
        <v>81</v>
      </c>
      <c r="AQ42" s="52">
        <v>0</v>
      </c>
      <c r="AR42" s="85">
        <v>0</v>
      </c>
      <c r="AS42" s="28"/>
      <c r="AT42" s="28"/>
      <c r="AU42" s="42"/>
      <c r="AV42" s="28" t="s">
        <v>6</v>
      </c>
      <c r="AW42" s="28"/>
      <c r="AX42" s="28"/>
      <c r="AY42" s="40"/>
      <c r="AZ42" s="28"/>
      <c r="BA42" s="28"/>
      <c r="BB42" s="98" t="s">
        <v>190</v>
      </c>
      <c r="BC42" s="36">
        <v>1</v>
      </c>
      <c r="BD42" s="39"/>
      <c r="BE42" s="18"/>
      <c r="BF42" s="18"/>
      <c r="BG42" s="18"/>
      <c r="BH42" s="10"/>
      <c r="BI42" s="11"/>
      <c r="BJ42" s="112" t="s">
        <v>191</v>
      </c>
      <c r="BK42" s="37" t="s">
        <v>192</v>
      </c>
      <c r="BL42" s="39"/>
    </row>
    <row r="43" spans="1:64" x14ac:dyDescent="0.3">
      <c r="A43" s="42" t="s">
        <v>84</v>
      </c>
      <c r="B43" s="42">
        <f>SUM(B41:B42)</f>
        <v>3904</v>
      </c>
      <c r="C43" s="40">
        <f>SUM(C41:C42)</f>
        <v>4652</v>
      </c>
      <c r="D43" s="28"/>
      <c r="E43" s="107" t="s">
        <v>60</v>
      </c>
      <c r="F43" s="43"/>
      <c r="G43" s="41">
        <f>SUM(G41:G42)</f>
        <v>5256</v>
      </c>
      <c r="H43" s="28">
        <v>4</v>
      </c>
      <c r="I43" s="43" t="s">
        <v>101</v>
      </c>
      <c r="J43" s="40"/>
      <c r="K43" s="28"/>
      <c r="L43" s="28"/>
      <c r="N43" s="113"/>
      <c r="AA43" s="28"/>
      <c r="AB43" s="52" t="s">
        <v>193</v>
      </c>
      <c r="AC43" s="28"/>
      <c r="AD43" s="28"/>
      <c r="AE43" s="28"/>
      <c r="AF43" s="28"/>
      <c r="AG43" s="28"/>
      <c r="AH43" s="28"/>
      <c r="AI43" s="28"/>
      <c r="AM43" t="s">
        <v>6</v>
      </c>
      <c r="AN43" s="45"/>
      <c r="AP43" s="52" t="s">
        <v>72</v>
      </c>
      <c r="AQ43" s="52">
        <v>6</v>
      </c>
      <c r="AR43" s="85">
        <v>1</v>
      </c>
      <c r="AU43" s="42"/>
      <c r="AV43" s="28"/>
      <c r="AW43" s="28"/>
      <c r="AX43" s="28"/>
      <c r="AY43" s="40"/>
      <c r="AZ43" s="28"/>
      <c r="BB43" s="98" t="s">
        <v>107</v>
      </c>
      <c r="BC43" s="36">
        <v>19</v>
      </c>
      <c r="BD43" s="39">
        <v>3</v>
      </c>
      <c r="BE43" s="18"/>
      <c r="BF43" s="18"/>
      <c r="BG43" s="18"/>
      <c r="BH43" s="10"/>
      <c r="BI43" s="11"/>
      <c r="BJ43" s="36" t="s">
        <v>194</v>
      </c>
      <c r="BK43" s="37" t="s">
        <v>195</v>
      </c>
      <c r="BL43" s="114"/>
    </row>
    <row r="44" spans="1:64" ht="15" thickBot="1" x14ac:dyDescent="0.35">
      <c r="A44" s="13"/>
      <c r="B44" s="13"/>
      <c r="C44" s="26"/>
      <c r="D44" s="27"/>
      <c r="E44" s="27"/>
      <c r="F44" s="27"/>
      <c r="G44" s="17"/>
      <c r="H44" s="48"/>
      <c r="I44" s="48"/>
      <c r="J44" s="49">
        <f>SUM(H42:H44)</f>
        <v>33</v>
      </c>
      <c r="L44" s="108"/>
      <c r="M44" s="115"/>
      <c r="O44" s="116"/>
      <c r="AA44" s="28"/>
      <c r="AN44" s="45"/>
      <c r="AP44" s="52" t="s">
        <v>84</v>
      </c>
      <c r="AQ44" s="47">
        <f>SUM(AQ37:AQ43)</f>
        <v>21</v>
      </c>
      <c r="AR44" s="49">
        <f>SUM(AR37:AR43)</f>
        <v>18</v>
      </c>
      <c r="AS44" s="28"/>
      <c r="AT44" s="28"/>
      <c r="AU44" s="47"/>
      <c r="AV44" s="48"/>
      <c r="AW44" s="48"/>
      <c r="AX44" s="48"/>
      <c r="AY44" s="49">
        <f>SUM(AV41)</f>
        <v>11</v>
      </c>
      <c r="AZ44" s="28"/>
      <c r="BB44" s="36" t="s">
        <v>196</v>
      </c>
      <c r="BC44" s="36">
        <v>5</v>
      </c>
      <c r="BD44" s="39">
        <v>5</v>
      </c>
      <c r="BE44" s="18"/>
      <c r="BF44" s="18"/>
      <c r="BG44" s="18"/>
      <c r="BH44" s="10"/>
      <c r="BI44" s="11"/>
      <c r="BJ44" s="36" t="s">
        <v>197</v>
      </c>
      <c r="BK44" s="37" t="s">
        <v>198</v>
      </c>
      <c r="BL44" s="39"/>
    </row>
    <row r="45" spans="1:64" ht="16.2" thickBot="1" x14ac:dyDescent="0.35">
      <c r="A45" s="117" t="s">
        <v>84</v>
      </c>
      <c r="B45" s="117">
        <f>SUM(B43+B40+B35+B31+B28+B24+B21+B18+B14+B11)</f>
        <v>44891</v>
      </c>
      <c r="C45" s="117">
        <f>SUM(C43+C40+C35+C31+C28+C24+C21+C18+C14+C11)</f>
        <v>56478</v>
      </c>
      <c r="D45" s="118"/>
      <c r="E45" s="119">
        <f>SUM(E40+E24)</f>
        <v>3197</v>
      </c>
      <c r="F45" s="120"/>
      <c r="G45" s="121">
        <f>SUM(G43+G40+G35+G30+G28+G21+G18+G14+G11)</f>
        <v>68665</v>
      </c>
      <c r="H45" s="13" t="s">
        <v>199</v>
      </c>
      <c r="I45" s="81"/>
      <c r="J45" s="26">
        <f>SUM(J12:J44)</f>
        <v>430</v>
      </c>
      <c r="O45" s="122"/>
      <c r="AN45" s="45"/>
      <c r="AP45" s="32" t="s">
        <v>63</v>
      </c>
      <c r="AQ45" s="123">
        <f>2+3</f>
        <v>5</v>
      </c>
      <c r="AR45" s="123">
        <f>1+3</f>
        <v>4</v>
      </c>
      <c r="AS45" s="33"/>
      <c r="AT45" s="7"/>
      <c r="AU45" s="6"/>
      <c r="AV45" s="34" t="s">
        <v>140</v>
      </c>
      <c r="AW45" s="8"/>
      <c r="AX45" s="8"/>
      <c r="AY45" s="7"/>
      <c r="AZ45" s="28"/>
      <c r="BB45" s="36" t="s">
        <v>200</v>
      </c>
      <c r="BC45" s="10">
        <f>5+8</f>
        <v>13</v>
      </c>
      <c r="BD45" s="39">
        <f>5+4+8</f>
        <v>17</v>
      </c>
      <c r="BE45" s="18"/>
      <c r="BF45" s="18"/>
      <c r="BG45" s="37"/>
      <c r="BH45" s="10"/>
      <c r="BI45" s="11"/>
      <c r="BJ45" s="124" t="s">
        <v>201</v>
      </c>
      <c r="BK45" s="37" t="s">
        <v>202</v>
      </c>
      <c r="BL45" s="39" t="s">
        <v>203</v>
      </c>
    </row>
    <row r="46" spans="1:64" x14ac:dyDescent="0.3">
      <c r="AN46" s="45"/>
      <c r="AP46" s="44" t="s">
        <v>78</v>
      </c>
      <c r="AQ46" s="37">
        <f>24+5+5</f>
        <v>34</v>
      </c>
      <c r="AR46" s="37">
        <f>31+2+9</f>
        <v>42</v>
      </c>
      <c r="AS46" s="42"/>
      <c r="AT46" s="11"/>
      <c r="AU46" s="10"/>
      <c r="AV46" s="37">
        <v>2</v>
      </c>
      <c r="AW46" s="37" t="s">
        <v>204</v>
      </c>
      <c r="AX46" s="18"/>
      <c r="AY46" s="11"/>
      <c r="AZ46" s="28"/>
      <c r="BB46" s="98" t="s">
        <v>205</v>
      </c>
      <c r="BC46" s="10">
        <v>3</v>
      </c>
      <c r="BD46" s="39">
        <v>13</v>
      </c>
      <c r="BE46" s="18"/>
      <c r="BF46" s="18"/>
      <c r="BG46" s="18"/>
      <c r="BH46" s="10"/>
      <c r="BI46" s="11"/>
      <c r="BJ46" s="52" t="s">
        <v>206</v>
      </c>
      <c r="BK46" s="37" t="s">
        <v>207</v>
      </c>
      <c r="BL46" s="39" t="s">
        <v>208</v>
      </c>
    </row>
    <row r="47" spans="1:64" x14ac:dyDescent="0.3">
      <c r="AN47" s="45"/>
      <c r="AP47" s="125" t="s">
        <v>209</v>
      </c>
      <c r="AQ47" s="54">
        <v>0</v>
      </c>
      <c r="AR47" s="54">
        <v>0</v>
      </c>
      <c r="AS47" s="42"/>
      <c r="AT47" s="40"/>
      <c r="AU47" s="42"/>
      <c r="AV47" s="28">
        <f>3+1</f>
        <v>4</v>
      </c>
      <c r="AW47" s="28" t="s">
        <v>210</v>
      </c>
      <c r="AX47" s="28"/>
      <c r="AY47" s="40"/>
      <c r="AZ47" s="28"/>
      <c r="BB47" s="92" t="s">
        <v>211</v>
      </c>
      <c r="BC47" s="84">
        <v>1</v>
      </c>
      <c r="BD47" s="86">
        <f>1+13</f>
        <v>14</v>
      </c>
      <c r="BE47" s="45"/>
      <c r="BF47" s="45"/>
      <c r="BG47" s="45"/>
      <c r="BH47" s="10"/>
      <c r="BI47" s="11"/>
      <c r="BJ47" s="112" t="s">
        <v>212</v>
      </c>
      <c r="BK47" s="54" t="s">
        <v>6</v>
      </c>
      <c r="BL47" s="86"/>
    </row>
    <row r="48" spans="1:64" x14ac:dyDescent="0.3">
      <c r="B48" s="126"/>
      <c r="C48" s="126"/>
      <c r="AN48" s="45"/>
      <c r="AP48" s="44" t="s">
        <v>168</v>
      </c>
      <c r="AQ48" s="37">
        <v>1</v>
      </c>
      <c r="AR48" s="18">
        <v>1</v>
      </c>
      <c r="AS48" s="42"/>
      <c r="AT48" s="11"/>
      <c r="AU48" s="10"/>
      <c r="AV48" s="37">
        <f>12+13+7</f>
        <v>32</v>
      </c>
      <c r="AW48" s="37" t="s">
        <v>213</v>
      </c>
      <c r="AX48" s="18"/>
      <c r="AY48" s="11"/>
      <c r="BB48" s="127" t="s">
        <v>214</v>
      </c>
      <c r="BC48" s="84">
        <f>4+1</f>
        <v>5</v>
      </c>
      <c r="BD48" s="86">
        <v>5</v>
      </c>
      <c r="BE48" s="45"/>
      <c r="BF48" s="45"/>
      <c r="BG48" s="45"/>
      <c r="BH48" s="84"/>
      <c r="BI48" s="85"/>
      <c r="BJ48" s="52"/>
      <c r="BK48" s="54"/>
      <c r="BL48" s="40"/>
    </row>
    <row r="49" spans="1:65" x14ac:dyDescent="0.3">
      <c r="AN49" s="45"/>
      <c r="AP49" s="125" t="s">
        <v>81</v>
      </c>
      <c r="AQ49" s="54">
        <v>16</v>
      </c>
      <c r="AR49" s="45">
        <v>4</v>
      </c>
      <c r="AS49" s="42"/>
      <c r="AT49" s="40"/>
      <c r="AU49" s="42"/>
      <c r="AV49" s="54">
        <v>1</v>
      </c>
      <c r="AW49" s="128" t="s">
        <v>215</v>
      </c>
      <c r="AX49" s="28"/>
      <c r="AY49" s="40" t="s">
        <v>6</v>
      </c>
      <c r="BB49" s="127" t="s">
        <v>64</v>
      </c>
      <c r="BC49" s="84">
        <v>1</v>
      </c>
      <c r="BD49" s="86">
        <v>1</v>
      </c>
      <c r="BE49" s="45"/>
      <c r="BF49" s="45"/>
      <c r="BG49" s="45"/>
      <c r="BH49" s="84"/>
      <c r="BI49" s="85"/>
      <c r="BJ49" s="52"/>
      <c r="BK49" s="28"/>
      <c r="BL49" s="40"/>
    </row>
    <row r="50" spans="1:65" x14ac:dyDescent="0.3">
      <c r="AP50" s="125" t="s">
        <v>72</v>
      </c>
      <c r="AQ50" s="54">
        <f>9+16+1+5</f>
        <v>31</v>
      </c>
      <c r="AR50" s="45">
        <f>18+11+4+9</f>
        <v>42</v>
      </c>
      <c r="AS50" s="42"/>
      <c r="AT50" s="40"/>
      <c r="AU50" s="42"/>
      <c r="AV50" s="54">
        <v>15</v>
      </c>
      <c r="AW50" s="54" t="s">
        <v>216</v>
      </c>
      <c r="AX50" s="45"/>
      <c r="AY50" s="40"/>
      <c r="BB50" s="127" t="s">
        <v>99</v>
      </c>
      <c r="BC50" s="84">
        <v>5</v>
      </c>
      <c r="BD50" s="86">
        <f>5+1</f>
        <v>6</v>
      </c>
      <c r="BE50" s="28"/>
      <c r="BF50" s="45"/>
      <c r="BG50" s="28"/>
      <c r="BH50" s="84"/>
      <c r="BI50" s="85"/>
      <c r="BJ50" s="98"/>
      <c r="BK50" s="54"/>
      <c r="BL50" s="86"/>
    </row>
    <row r="51" spans="1:65" x14ac:dyDescent="0.3">
      <c r="AP51" s="125" t="s">
        <v>115</v>
      </c>
      <c r="AQ51" s="54">
        <v>3</v>
      </c>
      <c r="AR51" s="45">
        <f>2+4</f>
        <v>6</v>
      </c>
      <c r="AS51" s="42"/>
      <c r="AT51" s="40"/>
      <c r="AU51" s="42"/>
      <c r="AV51" s="54">
        <v>12</v>
      </c>
      <c r="AW51" s="54" t="s">
        <v>217</v>
      </c>
      <c r="AX51" s="28"/>
      <c r="AY51" s="40"/>
      <c r="BB51" s="127" t="s">
        <v>218</v>
      </c>
      <c r="BC51" s="84">
        <v>11</v>
      </c>
      <c r="BD51" s="86">
        <v>46</v>
      </c>
      <c r="BE51" s="28"/>
      <c r="BF51" s="45"/>
      <c r="BG51" s="28"/>
      <c r="BH51" s="84"/>
      <c r="BI51" s="85"/>
      <c r="BJ51" s="52"/>
      <c r="BK51" s="54"/>
      <c r="BL51" s="40"/>
    </row>
    <row r="52" spans="1:65" x14ac:dyDescent="0.3">
      <c r="AP52" s="125" t="s">
        <v>56</v>
      </c>
      <c r="AQ52" s="54">
        <f>6+3+1+13+1</f>
        <v>24</v>
      </c>
      <c r="AR52" s="45">
        <f>11+3+3+2</f>
        <v>19</v>
      </c>
      <c r="AS52" s="42"/>
      <c r="AT52" s="40"/>
      <c r="AU52" s="42"/>
      <c r="AV52" s="54">
        <v>12</v>
      </c>
      <c r="AW52" s="54" t="s">
        <v>219</v>
      </c>
      <c r="AX52" s="28"/>
      <c r="AY52" s="40"/>
      <c r="BB52" s="98" t="s">
        <v>220</v>
      </c>
      <c r="BC52" s="10">
        <v>0</v>
      </c>
      <c r="BD52" s="11">
        <v>10</v>
      </c>
      <c r="BE52" s="18"/>
      <c r="BF52" s="18"/>
      <c r="BG52" s="18"/>
      <c r="BH52" s="10"/>
      <c r="BI52" s="11"/>
      <c r="BJ52" s="52"/>
      <c r="BK52" s="37"/>
      <c r="BL52" s="129"/>
    </row>
    <row r="53" spans="1:65" ht="15" thickBot="1" x14ac:dyDescent="0.35">
      <c r="AP53" s="125" t="s">
        <v>138</v>
      </c>
      <c r="AQ53" s="54">
        <v>0</v>
      </c>
      <c r="AR53" s="45">
        <v>0</v>
      </c>
      <c r="AS53" s="42"/>
      <c r="AT53" s="40"/>
      <c r="AU53" s="42"/>
      <c r="AV53" s="54">
        <v>3</v>
      </c>
      <c r="AW53" s="54" t="s">
        <v>221</v>
      </c>
      <c r="AX53" s="28"/>
      <c r="AY53" s="40"/>
      <c r="BB53" s="13" t="s">
        <v>84</v>
      </c>
      <c r="BC53" s="13">
        <f>SUM(BC31:BC52)</f>
        <v>245</v>
      </c>
      <c r="BD53" s="26">
        <f>SUM(BD31:BD52)</f>
        <v>284</v>
      </c>
      <c r="BE53" s="27">
        <v>0</v>
      </c>
      <c r="BF53" s="27">
        <f>SUM(BF31:BF52)</f>
        <v>0</v>
      </c>
      <c r="BG53" s="27">
        <v>0</v>
      </c>
      <c r="BH53" s="130">
        <v>0</v>
      </c>
      <c r="BI53" s="26">
        <v>0</v>
      </c>
      <c r="BJ53" s="59"/>
      <c r="BK53" s="27"/>
      <c r="BL53" s="26">
        <f>9+5+7+7+2+2+1+4+2+3+8+2+2+3+3+6+4+5+1+9+2+1+1+2+2+2</f>
        <v>95</v>
      </c>
    </row>
    <row r="54" spans="1:65" ht="15" thickBot="1" x14ac:dyDescent="0.35">
      <c r="AP54" s="125" t="s">
        <v>67</v>
      </c>
      <c r="AQ54" s="28">
        <f>9+2+2+1</f>
        <v>14</v>
      </c>
      <c r="AR54" s="45">
        <f>1+2+1</f>
        <v>4</v>
      </c>
      <c r="AS54" s="42"/>
      <c r="AT54" s="40"/>
      <c r="AU54" s="42"/>
      <c r="AV54" s="54">
        <v>28</v>
      </c>
      <c r="AW54" s="54" t="s">
        <v>222</v>
      </c>
      <c r="AX54" s="28"/>
      <c r="AY54" s="40"/>
      <c r="BB54" s="13" t="s">
        <v>223</v>
      </c>
      <c r="BC54" s="13">
        <f>SUM(BC53+BC30+BC27+BC23+BC19+BC16+BC14+BC11)</f>
        <v>1716</v>
      </c>
      <c r="BD54" s="26">
        <f>SUM(BD53+BD30+BD27+BD23+BD19+BD16+BD14+BD11)</f>
        <v>1696</v>
      </c>
      <c r="BE54" s="27">
        <f>SUM(BE53+BE30+BE23+BE18+BE16+BE14+BE11)</f>
        <v>0</v>
      </c>
      <c r="BF54" s="27">
        <f>SUM(BF31:BF52)</f>
        <v>0</v>
      </c>
      <c r="BG54" s="27">
        <f>SUM(BG53+BG30+BG23+BG18+BG16+BG14+BG11)</f>
        <v>0</v>
      </c>
      <c r="BH54" s="13">
        <f>SUM(BH53+BH30+BH23+BH18+BH16+BH14+BH11)</f>
        <v>38719</v>
      </c>
      <c r="BI54" s="26">
        <f>SUM(BI53+BI30+BI23+BI18+BI16+BI14+BI11)</f>
        <v>11986</v>
      </c>
      <c r="BJ54" s="81"/>
      <c r="BK54" s="27" t="s">
        <v>189</v>
      </c>
      <c r="BL54" s="26">
        <f>SUM(BL11:BL52)</f>
        <v>162</v>
      </c>
    </row>
    <row r="55" spans="1:65" x14ac:dyDescent="0.3">
      <c r="K55" s="28"/>
      <c r="AP55" s="125" t="s">
        <v>122</v>
      </c>
      <c r="AQ55" s="43">
        <f>11+3</f>
        <v>14</v>
      </c>
      <c r="AR55" s="45">
        <v>0</v>
      </c>
      <c r="AS55" s="42"/>
      <c r="AT55" s="40"/>
      <c r="AU55" s="42"/>
      <c r="AV55" s="54">
        <v>1</v>
      </c>
      <c r="AW55" s="54" t="s">
        <v>224</v>
      </c>
      <c r="AX55" s="28"/>
      <c r="AY55" s="40"/>
      <c r="BB55" s="131" t="s">
        <v>225</v>
      </c>
      <c r="BD55">
        <f>SUM(BL53)</f>
        <v>95</v>
      </c>
      <c r="BG55" s="132"/>
      <c r="BH55" t="s">
        <v>226</v>
      </c>
    </row>
    <row r="56" spans="1:65" x14ac:dyDescent="0.3">
      <c r="K56" s="28"/>
      <c r="AP56" s="125" t="s">
        <v>227</v>
      </c>
      <c r="AQ56" s="43">
        <v>0</v>
      </c>
      <c r="AR56" s="45">
        <v>0</v>
      </c>
      <c r="AS56" s="42"/>
      <c r="AT56" s="40"/>
      <c r="AU56" s="42"/>
      <c r="AV56" s="54">
        <v>0</v>
      </c>
      <c r="AW56" s="54" t="s">
        <v>228</v>
      </c>
      <c r="AX56" s="28"/>
      <c r="AY56" s="40"/>
      <c r="BB56" t="s">
        <v>229</v>
      </c>
      <c r="BD56">
        <f>19+6+2</f>
        <v>27</v>
      </c>
    </row>
    <row r="57" spans="1:65" x14ac:dyDescent="0.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AP57" s="41" t="s">
        <v>230</v>
      </c>
      <c r="AQ57" s="43">
        <f>1+1+5</f>
        <v>7</v>
      </c>
      <c r="AR57" s="45">
        <f>3+1+3+9</f>
        <v>16</v>
      </c>
      <c r="AS57" s="42"/>
      <c r="AT57" s="40"/>
      <c r="AU57" s="42"/>
      <c r="AV57" s="54">
        <v>0</v>
      </c>
      <c r="AW57" s="54" t="s">
        <v>231</v>
      </c>
      <c r="AX57" s="28"/>
      <c r="AY57" s="40"/>
      <c r="BB57" t="s">
        <v>232</v>
      </c>
      <c r="BD57" t="s">
        <v>233</v>
      </c>
      <c r="BF57">
        <f>SUM(AQ62)</f>
        <v>3037</v>
      </c>
      <c r="BH57" t="s">
        <v>234</v>
      </c>
      <c r="BJ57" t="s">
        <v>233</v>
      </c>
      <c r="BL57">
        <f>SUM(BC54)</f>
        <v>1716</v>
      </c>
    </row>
    <row r="58" spans="1:65" ht="18" x14ac:dyDescent="0.35">
      <c r="B58" s="133"/>
      <c r="AP58" s="68" t="s">
        <v>125</v>
      </c>
      <c r="AQ58" s="43">
        <v>0</v>
      </c>
      <c r="AR58" s="45">
        <v>0</v>
      </c>
      <c r="AS58" s="42"/>
      <c r="AT58" s="40"/>
      <c r="AU58" s="42"/>
      <c r="AV58" s="54">
        <v>2</v>
      </c>
      <c r="AW58" s="54" t="s">
        <v>235</v>
      </c>
      <c r="AX58" s="28"/>
      <c r="AY58" s="40"/>
      <c r="BD58" t="s">
        <v>236</v>
      </c>
      <c r="BF58">
        <f>SUM(AR62)</f>
        <v>2890</v>
      </c>
      <c r="BJ58" t="s">
        <v>236</v>
      </c>
      <c r="BL58">
        <f>SUM(BD54)</f>
        <v>1696</v>
      </c>
    </row>
    <row r="59" spans="1:65" x14ac:dyDescent="0.3">
      <c r="AP59" s="68" t="s">
        <v>132</v>
      </c>
      <c r="AQ59" s="43">
        <v>2</v>
      </c>
      <c r="AR59" s="45">
        <v>0</v>
      </c>
      <c r="AS59" s="42"/>
      <c r="AT59" s="40"/>
      <c r="AU59" s="42"/>
      <c r="AV59" s="54">
        <v>4</v>
      </c>
      <c r="AW59" s="54" t="s">
        <v>237</v>
      </c>
      <c r="AX59" s="28"/>
      <c r="AY59" s="40"/>
      <c r="BB59" s="134" t="s">
        <v>238</v>
      </c>
      <c r="BC59" s="135" t="s">
        <v>239</v>
      </c>
      <c r="BD59" s="136"/>
      <c r="BE59" s="134" t="s">
        <v>240</v>
      </c>
      <c r="BF59" s="135" t="s">
        <v>241</v>
      </c>
      <c r="BG59" s="136"/>
      <c r="BH59" s="134"/>
      <c r="BI59" s="135" t="s">
        <v>242</v>
      </c>
      <c r="BJ59" s="137" t="s">
        <v>243</v>
      </c>
      <c r="BK59" s="135"/>
      <c r="BL59" s="135"/>
      <c r="BM59" s="136"/>
    </row>
    <row r="60" spans="1:65" x14ac:dyDescent="0.3">
      <c r="AP60" s="41" t="s">
        <v>6</v>
      </c>
      <c r="AS60" s="42"/>
      <c r="AT60" s="40"/>
      <c r="AU60" s="42"/>
      <c r="AV60" s="54">
        <v>4</v>
      </c>
      <c r="AW60" s="54" t="s">
        <v>244</v>
      </c>
      <c r="AX60" s="28"/>
      <c r="AY60" s="40"/>
      <c r="BB60" s="138" t="s">
        <v>233</v>
      </c>
      <c r="BC60" s="28"/>
      <c r="BD60" s="139">
        <f>SUM(B45)</f>
        <v>44891</v>
      </c>
      <c r="BE60" s="138" t="s">
        <v>233</v>
      </c>
      <c r="BF60" s="28"/>
      <c r="BG60" s="139">
        <f>SUM(AC42)</f>
        <v>2259</v>
      </c>
      <c r="BH60" s="138" t="s">
        <v>233</v>
      </c>
      <c r="BI60" s="28"/>
      <c r="BJ60" s="140">
        <f>SUM(BL57+BG60)</f>
        <v>3975</v>
      </c>
      <c r="BK60" s="28" t="s">
        <v>245</v>
      </c>
      <c r="BL60" s="28">
        <f>SUM(BJ60+BD60)</f>
        <v>48866</v>
      </c>
      <c r="BM60" s="141"/>
    </row>
    <row r="61" spans="1:65" ht="18.600000000000001" thickBot="1" x14ac:dyDescent="0.4">
      <c r="B61" s="133"/>
      <c r="AP61" s="46" t="s">
        <v>84</v>
      </c>
      <c r="AQ61" s="48">
        <f>SUM(AQ45:AQ60)</f>
        <v>151</v>
      </c>
      <c r="AR61" s="48">
        <f>SUM(AR45:AR60)</f>
        <v>138</v>
      </c>
      <c r="AS61" s="47"/>
      <c r="AT61" s="49"/>
      <c r="AU61" s="47"/>
      <c r="AV61" s="48">
        <v>7</v>
      </c>
      <c r="AW61" s="48" t="s">
        <v>246</v>
      </c>
      <c r="AX61" s="48"/>
      <c r="AY61" s="49">
        <f>SUM(AV47:AV59)</f>
        <v>114</v>
      </c>
      <c r="BB61" s="142" t="s">
        <v>236</v>
      </c>
      <c r="BC61" s="143"/>
      <c r="BD61" s="144">
        <f>SUM(C45)</f>
        <v>56478</v>
      </c>
      <c r="BE61" s="142" t="s">
        <v>236</v>
      </c>
      <c r="BF61" s="143"/>
      <c r="BG61" s="144">
        <f>SUM(AD42)</f>
        <v>1676</v>
      </c>
      <c r="BH61" s="142" t="s">
        <v>236</v>
      </c>
      <c r="BI61" s="143"/>
      <c r="BJ61" s="145">
        <f>SUM(BL58+BG61)</f>
        <v>3372</v>
      </c>
      <c r="BK61" s="143"/>
      <c r="BL61" s="143">
        <f>SUM(BJ61+BD61)</f>
        <v>59850</v>
      </c>
      <c r="BM61" s="146"/>
    </row>
    <row r="62" spans="1:65" ht="18.600000000000001" thickBot="1" x14ac:dyDescent="0.4">
      <c r="B62" s="133"/>
      <c r="AP62" s="147" t="s">
        <v>84</v>
      </c>
      <c r="AQ62" s="147">
        <f>SUM(+AQ61+AQ44+AQ34+AQ19+AQ16)</f>
        <v>3037</v>
      </c>
      <c r="AR62" s="148">
        <f>SUM(AR61+AR44+AR34+AR19+AR16)</f>
        <v>2890</v>
      </c>
      <c r="AS62" s="147"/>
      <c r="AT62" s="148"/>
      <c r="AU62" s="149" t="s">
        <v>247</v>
      </c>
      <c r="AV62" s="149"/>
      <c r="AW62" s="149"/>
      <c r="AX62" s="149"/>
      <c r="AY62" s="148">
        <f>SUM(AY16:AY61)</f>
        <v>441</v>
      </c>
    </row>
    <row r="63" spans="1:65" ht="15" thickTop="1" x14ac:dyDescent="0.3"/>
    <row r="66" spans="1:64" ht="15.6" x14ac:dyDescent="0.3">
      <c r="C66" s="1" t="s">
        <v>0</v>
      </c>
      <c r="P66" s="1" t="s">
        <v>1</v>
      </c>
    </row>
    <row r="67" spans="1:64" ht="15.6" x14ac:dyDescent="0.3">
      <c r="D67" t="s">
        <v>2</v>
      </c>
      <c r="Q67" t="s">
        <v>3</v>
      </c>
      <c r="AE67" s="2"/>
      <c r="AF67" s="1" t="s">
        <v>0</v>
      </c>
      <c r="AG67" s="1"/>
      <c r="AI67" s="1"/>
      <c r="AJ67" s="1"/>
      <c r="AS67" s="1" t="s">
        <v>4</v>
      </c>
      <c r="BE67" s="1"/>
      <c r="BF67" s="1" t="s">
        <v>5</v>
      </c>
      <c r="BG67" s="1"/>
      <c r="BH67" s="1"/>
      <c r="BI67" s="1"/>
      <c r="BJ67" s="1"/>
    </row>
    <row r="68" spans="1:64" ht="15.6" x14ac:dyDescent="0.3">
      <c r="A68" t="s">
        <v>6</v>
      </c>
      <c r="C68" t="s">
        <v>7</v>
      </c>
      <c r="O68" t="s">
        <v>8</v>
      </c>
      <c r="AE68" s="3"/>
      <c r="AF68" s="2" t="s">
        <v>9</v>
      </c>
      <c r="AG68" s="1"/>
      <c r="AI68" s="1"/>
      <c r="AJ68" s="1"/>
      <c r="AT68" t="s">
        <v>2</v>
      </c>
      <c r="BG68" t="s">
        <v>2</v>
      </c>
    </row>
    <row r="69" spans="1:64" ht="15.6" x14ac:dyDescent="0.3">
      <c r="D69" t="s">
        <v>248</v>
      </c>
      <c r="Q69" t="s">
        <v>248</v>
      </c>
      <c r="AF69" s="3" t="s">
        <v>11</v>
      </c>
      <c r="AG69" s="1"/>
      <c r="AI69" s="1"/>
      <c r="AJ69" s="1"/>
      <c r="AR69" t="s">
        <v>12</v>
      </c>
      <c r="BE69" t="s">
        <v>13</v>
      </c>
    </row>
    <row r="70" spans="1:64" ht="15" thickBot="1" x14ac:dyDescent="0.35">
      <c r="I70" s="4" t="s">
        <v>14</v>
      </c>
      <c r="U70" s="5" t="s">
        <v>15</v>
      </c>
      <c r="AG70" t="s">
        <v>248</v>
      </c>
      <c r="AT70" t="s">
        <v>248</v>
      </c>
      <c r="AY70" s="5"/>
      <c r="BG70" t="s">
        <v>248</v>
      </c>
      <c r="BK70" s="5" t="s">
        <v>16</v>
      </c>
    </row>
    <row r="71" spans="1:64" ht="15" thickBot="1" x14ac:dyDescent="0.35">
      <c r="A71" s="6" t="s">
        <v>17</v>
      </c>
      <c r="B71" s="6" t="s">
        <v>18</v>
      </c>
      <c r="C71" s="7"/>
      <c r="D71" s="8" t="s">
        <v>19</v>
      </c>
      <c r="E71" s="8"/>
      <c r="F71" s="8"/>
      <c r="G71" s="9" t="s">
        <v>20</v>
      </c>
      <c r="H71" s="8" t="s">
        <v>21</v>
      </c>
      <c r="I71" s="8"/>
      <c r="J71" s="7"/>
      <c r="L71" s="6" t="s">
        <v>17</v>
      </c>
      <c r="M71" s="6" t="s">
        <v>22</v>
      </c>
      <c r="N71" s="7"/>
      <c r="O71" s="8" t="s">
        <v>23</v>
      </c>
      <c r="P71" s="8"/>
      <c r="Q71" s="8"/>
      <c r="R71" s="6" t="s">
        <v>24</v>
      </c>
      <c r="S71" s="7"/>
      <c r="T71" s="8" t="s">
        <v>21</v>
      </c>
      <c r="U71" s="8"/>
      <c r="V71" s="7"/>
      <c r="AL71" s="5" t="s">
        <v>25</v>
      </c>
      <c r="AX71" s="5" t="s">
        <v>26</v>
      </c>
      <c r="BB71" s="6" t="s">
        <v>17</v>
      </c>
      <c r="BC71" s="6" t="s">
        <v>27</v>
      </c>
      <c r="BD71" s="7"/>
      <c r="BE71" s="8" t="s">
        <v>28</v>
      </c>
      <c r="BF71" s="8"/>
      <c r="BG71" s="8"/>
      <c r="BH71" s="6" t="s">
        <v>29</v>
      </c>
      <c r="BI71" s="7" t="s">
        <v>30</v>
      </c>
      <c r="BJ71" s="8" t="s">
        <v>31</v>
      </c>
      <c r="BK71" s="8"/>
      <c r="BL71" s="7"/>
    </row>
    <row r="72" spans="1:64" x14ac:dyDescent="0.3">
      <c r="A72" s="10" t="s">
        <v>32</v>
      </c>
      <c r="B72" s="10"/>
      <c r="C72" s="11"/>
      <c r="D72" s="3"/>
      <c r="E72" s="3"/>
      <c r="F72" s="3"/>
      <c r="G72" s="12"/>
      <c r="H72" s="3" t="s">
        <v>33</v>
      </c>
      <c r="I72" s="3"/>
      <c r="J72" s="11"/>
      <c r="L72" s="10"/>
      <c r="M72" s="10"/>
      <c r="N72" s="11"/>
      <c r="O72" s="3"/>
      <c r="P72" s="3"/>
      <c r="Q72" s="3"/>
      <c r="R72" s="10"/>
      <c r="S72" s="11"/>
      <c r="T72" s="3" t="s">
        <v>33</v>
      </c>
      <c r="U72" s="3"/>
      <c r="V72" s="11"/>
      <c r="AB72" s="6" t="s">
        <v>34</v>
      </c>
      <c r="AC72" s="6" t="s">
        <v>35</v>
      </c>
      <c r="AD72" s="7"/>
      <c r="AE72" s="6" t="s">
        <v>36</v>
      </c>
      <c r="AF72" s="8"/>
      <c r="AG72" s="7"/>
      <c r="AH72" s="8" t="s">
        <v>37</v>
      </c>
      <c r="AI72" s="8"/>
      <c r="AJ72" s="9" t="s">
        <v>30</v>
      </c>
      <c r="AK72" s="8" t="s">
        <v>38</v>
      </c>
      <c r="AL72" s="8"/>
      <c r="AM72" s="7"/>
      <c r="AP72" s="6" t="s">
        <v>17</v>
      </c>
      <c r="AQ72" s="6" t="s">
        <v>39</v>
      </c>
      <c r="AR72" s="7"/>
      <c r="AS72" s="6" t="s">
        <v>29</v>
      </c>
      <c r="AT72" s="7" t="s">
        <v>30</v>
      </c>
      <c r="AU72" s="8" t="s">
        <v>40</v>
      </c>
      <c r="AV72" s="8"/>
      <c r="AW72" s="8"/>
      <c r="AX72" s="8"/>
      <c r="AY72" s="7"/>
      <c r="BB72" s="10"/>
      <c r="BC72" s="10"/>
      <c r="BD72" s="11"/>
      <c r="BE72" s="3"/>
      <c r="BF72" s="3"/>
      <c r="BG72" s="3"/>
      <c r="BH72" s="10"/>
      <c r="BI72" s="11" t="s">
        <v>6</v>
      </c>
      <c r="BJ72" s="3" t="s">
        <v>41</v>
      </c>
      <c r="BK72" s="3"/>
      <c r="BL72" s="11"/>
    </row>
    <row r="73" spans="1:64" ht="15" thickBot="1" x14ac:dyDescent="0.35">
      <c r="A73" s="13" t="s">
        <v>42</v>
      </c>
      <c r="B73" s="14" t="s">
        <v>43</v>
      </c>
      <c r="C73" s="15" t="s">
        <v>44</v>
      </c>
      <c r="D73" s="16" t="s">
        <v>45</v>
      </c>
      <c r="E73" s="16" t="s">
        <v>46</v>
      </c>
      <c r="F73" s="16" t="s">
        <v>47</v>
      </c>
      <c r="G73" s="17" t="s">
        <v>48</v>
      </c>
      <c r="H73" s="18" t="s">
        <v>49</v>
      </c>
      <c r="I73" s="18"/>
      <c r="J73" s="11"/>
      <c r="L73" s="10" t="s">
        <v>50</v>
      </c>
      <c r="M73" s="19" t="s">
        <v>43</v>
      </c>
      <c r="N73" s="20" t="s">
        <v>44</v>
      </c>
      <c r="O73" s="21" t="s">
        <v>43</v>
      </c>
      <c r="P73" s="18" t="s">
        <v>51</v>
      </c>
      <c r="Q73" s="21" t="s">
        <v>44</v>
      </c>
      <c r="R73" s="22" t="s">
        <v>43</v>
      </c>
      <c r="S73" s="23" t="s">
        <v>44</v>
      </c>
      <c r="T73" s="18" t="s">
        <v>49</v>
      </c>
      <c r="U73" s="18"/>
      <c r="V73" s="11"/>
      <c r="AB73" s="10" t="s">
        <v>50</v>
      </c>
      <c r="AC73" s="22" t="s">
        <v>43</v>
      </c>
      <c r="AD73" s="23" t="s">
        <v>44</v>
      </c>
      <c r="AE73" s="22" t="s">
        <v>45</v>
      </c>
      <c r="AF73" s="24" t="s">
        <v>46</v>
      </c>
      <c r="AG73" s="23" t="s">
        <v>52</v>
      </c>
      <c r="AH73" s="24" t="s">
        <v>43</v>
      </c>
      <c r="AI73" s="24" t="s">
        <v>44</v>
      </c>
      <c r="AJ73" s="25" t="s">
        <v>43</v>
      </c>
      <c r="AK73" s="3" t="s">
        <v>53</v>
      </c>
      <c r="AL73" s="3"/>
      <c r="AM73" s="11"/>
      <c r="AP73" s="13" t="s">
        <v>42</v>
      </c>
      <c r="AQ73" s="10" t="s">
        <v>43</v>
      </c>
      <c r="AR73" s="11" t="s">
        <v>44</v>
      </c>
      <c r="AS73" s="13" t="s">
        <v>43</v>
      </c>
      <c r="AT73" s="26" t="s">
        <v>44</v>
      </c>
      <c r="AU73" s="27"/>
      <c r="AV73" s="27"/>
      <c r="AW73" s="27"/>
      <c r="AX73" s="27"/>
      <c r="AY73" s="26"/>
      <c r="BB73" s="13" t="s">
        <v>42</v>
      </c>
      <c r="BC73" s="13" t="s">
        <v>43</v>
      </c>
      <c r="BD73" s="26" t="s">
        <v>44</v>
      </c>
      <c r="BE73" s="27" t="s">
        <v>45</v>
      </c>
      <c r="BF73" s="27" t="s">
        <v>46</v>
      </c>
      <c r="BG73" s="27" t="s">
        <v>52</v>
      </c>
      <c r="BH73" s="13" t="s">
        <v>43</v>
      </c>
      <c r="BI73" s="26" t="s">
        <v>44</v>
      </c>
      <c r="BJ73" s="27" t="s">
        <v>54</v>
      </c>
      <c r="BK73" s="27"/>
      <c r="BL73" s="26"/>
    </row>
    <row r="74" spans="1:64" ht="15" thickBot="1" x14ac:dyDescent="0.35">
      <c r="A74" s="6"/>
      <c r="B74" s="6"/>
      <c r="C74" s="7"/>
      <c r="D74" s="8"/>
      <c r="E74" s="8"/>
      <c r="F74" s="7"/>
      <c r="G74" s="8"/>
      <c r="H74" s="6" t="s">
        <v>55</v>
      </c>
      <c r="I74" s="8"/>
      <c r="J74" s="7"/>
      <c r="K74" s="28"/>
      <c r="L74" s="9"/>
      <c r="M74" s="8"/>
      <c r="N74" s="8"/>
      <c r="O74" s="6"/>
      <c r="P74" s="8"/>
      <c r="Q74" s="7"/>
      <c r="R74" s="8"/>
      <c r="S74" s="8"/>
      <c r="T74" s="6" t="s">
        <v>55</v>
      </c>
      <c r="U74" s="8"/>
      <c r="V74" s="7"/>
      <c r="W74" s="28"/>
      <c r="AB74" s="13"/>
      <c r="AC74" s="13"/>
      <c r="AD74" s="26"/>
      <c r="AE74" s="13"/>
      <c r="AF74" s="27"/>
      <c r="AG74" s="26"/>
      <c r="AH74" s="27"/>
      <c r="AI74" s="27"/>
      <c r="AJ74" s="17"/>
      <c r="AK74" s="27"/>
      <c r="AL74" s="27"/>
      <c r="AM74" s="26"/>
      <c r="AP74" s="6" t="s">
        <v>56</v>
      </c>
      <c r="AQ74" s="29">
        <v>1014</v>
      </c>
      <c r="AR74" s="30">
        <v>1061</v>
      </c>
      <c r="AU74" s="6"/>
      <c r="AV74" s="8"/>
      <c r="AW74" s="31" t="s">
        <v>57</v>
      </c>
      <c r="AX74" s="8"/>
      <c r="AY74" s="7"/>
      <c r="AZ74" s="28"/>
      <c r="BB74" s="32"/>
      <c r="BE74" s="33"/>
      <c r="BF74" s="34"/>
      <c r="BG74" s="34"/>
      <c r="BH74" s="33"/>
      <c r="BI74" s="35"/>
      <c r="BJ74" s="34" t="s">
        <v>58</v>
      </c>
      <c r="BK74" s="8"/>
      <c r="BL74" s="7"/>
    </row>
    <row r="75" spans="1:64" x14ac:dyDescent="0.3">
      <c r="A75" s="10" t="s">
        <v>59</v>
      </c>
      <c r="B75" s="36">
        <v>659</v>
      </c>
      <c r="C75" s="11">
        <v>611</v>
      </c>
      <c r="D75" s="37"/>
      <c r="E75" s="38" t="s">
        <v>60</v>
      </c>
      <c r="F75" s="39"/>
      <c r="G75" s="37">
        <f>4*212</f>
        <v>848</v>
      </c>
      <c r="H75" s="36">
        <v>4</v>
      </c>
      <c r="I75" s="37" t="s">
        <v>61</v>
      </c>
      <c r="J75" s="40"/>
      <c r="K75" s="28"/>
      <c r="L75" s="41" t="s">
        <v>59</v>
      </c>
      <c r="M75" s="28">
        <v>16413</v>
      </c>
      <c r="N75" s="28">
        <v>11599</v>
      </c>
      <c r="O75" s="42">
        <v>0</v>
      </c>
      <c r="P75" s="43">
        <v>0</v>
      </c>
      <c r="Q75" s="40">
        <v>0</v>
      </c>
      <c r="R75" s="43">
        <v>0</v>
      </c>
      <c r="S75" s="43">
        <v>0</v>
      </c>
      <c r="T75" s="42"/>
      <c r="U75" s="28"/>
      <c r="V75" s="40"/>
      <c r="W75" s="28"/>
      <c r="AB75" s="6"/>
      <c r="AC75" s="6"/>
      <c r="AD75" s="7"/>
      <c r="AE75" s="6"/>
      <c r="AF75" s="8"/>
      <c r="AG75" s="7"/>
      <c r="AH75" s="8"/>
      <c r="AI75" s="8"/>
      <c r="AJ75" s="6"/>
      <c r="AK75" s="6" t="s">
        <v>62</v>
      </c>
      <c r="AL75" s="8"/>
      <c r="AM75" s="7"/>
      <c r="AP75" s="36" t="s">
        <v>63</v>
      </c>
      <c r="AQ75" s="36">
        <v>109</v>
      </c>
      <c r="AR75" s="39">
        <v>30</v>
      </c>
      <c r="AT75" s="18"/>
      <c r="AU75" s="10"/>
      <c r="AV75" s="18"/>
      <c r="AW75" s="18"/>
      <c r="AX75" s="18"/>
      <c r="AY75" s="11"/>
      <c r="AZ75" s="28"/>
      <c r="BB75" s="44" t="s">
        <v>64</v>
      </c>
      <c r="BC75" s="18">
        <v>22</v>
      </c>
      <c r="BD75" s="18">
        <v>20</v>
      </c>
      <c r="BE75" s="10">
        <v>0</v>
      </c>
      <c r="BF75" s="18">
        <v>0</v>
      </c>
      <c r="BG75" s="18">
        <v>0</v>
      </c>
      <c r="BH75" s="10">
        <v>0</v>
      </c>
      <c r="BI75" s="11">
        <v>0</v>
      </c>
      <c r="BJ75" s="45">
        <v>1</v>
      </c>
      <c r="BK75" s="28" t="s">
        <v>249</v>
      </c>
      <c r="BL75" s="11"/>
    </row>
    <row r="76" spans="1:64" ht="15" thickBot="1" x14ac:dyDescent="0.35">
      <c r="A76" s="36" t="s">
        <v>6</v>
      </c>
      <c r="B76" s="10"/>
      <c r="C76" s="11"/>
      <c r="D76" s="18"/>
      <c r="E76" s="18"/>
      <c r="F76" s="18"/>
      <c r="G76" s="36"/>
      <c r="H76" s="42"/>
      <c r="I76" s="28"/>
      <c r="J76" s="40">
        <f>SUM(H75)</f>
        <v>4</v>
      </c>
      <c r="K76" s="28"/>
      <c r="L76" s="12"/>
      <c r="M76" s="37"/>
      <c r="N76" s="37"/>
      <c r="O76" s="10"/>
      <c r="P76" s="18"/>
      <c r="Q76" s="11"/>
      <c r="R76" s="18"/>
      <c r="S76" s="18"/>
      <c r="T76" s="10"/>
      <c r="U76" s="18"/>
      <c r="V76" s="11"/>
      <c r="W76" s="28"/>
      <c r="AB76" s="36" t="s">
        <v>59</v>
      </c>
      <c r="AC76" s="36">
        <v>1061</v>
      </c>
      <c r="AD76" s="39">
        <v>1060</v>
      </c>
      <c r="AE76" s="10">
        <v>0</v>
      </c>
      <c r="AF76" s="3">
        <v>0</v>
      </c>
      <c r="AG76" s="39">
        <v>0</v>
      </c>
      <c r="AH76" s="2">
        <v>5445</v>
      </c>
      <c r="AI76" s="2">
        <v>3302</v>
      </c>
      <c r="AJ76" s="10">
        <v>0</v>
      </c>
      <c r="AK76" s="36">
        <v>4</v>
      </c>
      <c r="AL76" s="2" t="s">
        <v>66</v>
      </c>
      <c r="AM76" s="11"/>
      <c r="AP76" s="36" t="s">
        <v>67</v>
      </c>
      <c r="AQ76" s="36">
        <v>433</v>
      </c>
      <c r="AR76" s="39">
        <v>457</v>
      </c>
      <c r="AT76" s="18"/>
      <c r="AU76" s="10"/>
      <c r="AV76" s="37">
        <v>67</v>
      </c>
      <c r="AW76" s="37" t="s">
        <v>68</v>
      </c>
      <c r="AX76" s="18"/>
      <c r="AY76" s="11"/>
      <c r="AZ76" s="28"/>
      <c r="BA76" s="28"/>
      <c r="BB76" s="46"/>
      <c r="BE76" s="47"/>
      <c r="BF76" s="48"/>
      <c r="BG76" s="48"/>
      <c r="BH76" s="47"/>
      <c r="BI76" s="49"/>
      <c r="BJ76" s="48">
        <v>3</v>
      </c>
      <c r="BK76" s="48" t="s">
        <v>69</v>
      </c>
      <c r="BL76" s="49">
        <f>SUM(BJ75:BJ76)</f>
        <v>4</v>
      </c>
    </row>
    <row r="77" spans="1:64" ht="15" thickBot="1" x14ac:dyDescent="0.35">
      <c r="A77" s="32"/>
      <c r="B77" s="34"/>
      <c r="C77" s="34"/>
      <c r="D77" s="33"/>
      <c r="E77" s="34"/>
      <c r="F77" s="35"/>
      <c r="G77" s="34"/>
      <c r="H77" s="6" t="s">
        <v>70</v>
      </c>
      <c r="I77" s="8"/>
      <c r="J77" s="7"/>
      <c r="K77" s="28"/>
      <c r="L77" s="17"/>
      <c r="M77" s="27"/>
      <c r="N77" s="27"/>
      <c r="O77" s="13"/>
      <c r="P77" s="27"/>
      <c r="Q77" s="26"/>
      <c r="R77" s="27"/>
      <c r="S77" s="27"/>
      <c r="T77" s="13"/>
      <c r="U77" s="27"/>
      <c r="V77" s="26"/>
      <c r="W77" s="28"/>
      <c r="AB77" s="50" t="s">
        <v>6</v>
      </c>
      <c r="AC77" s="8"/>
      <c r="AD77" s="8"/>
      <c r="AE77" s="6"/>
      <c r="AF77" s="8"/>
      <c r="AG77" s="7"/>
      <c r="AH77" s="6"/>
      <c r="AI77" s="7"/>
      <c r="AJ77" s="8"/>
      <c r="AK77" s="29" t="s">
        <v>71</v>
      </c>
      <c r="AL77" s="8"/>
      <c r="AM77" s="7"/>
      <c r="AP77" s="36" t="s">
        <v>72</v>
      </c>
      <c r="AQ77" s="36">
        <v>7</v>
      </c>
      <c r="AR77" s="39">
        <v>7</v>
      </c>
      <c r="AT77" s="18"/>
      <c r="AU77" s="10"/>
      <c r="AV77" s="37">
        <v>71</v>
      </c>
      <c r="AW77" s="37" t="s">
        <v>73</v>
      </c>
      <c r="AX77" s="18"/>
      <c r="AY77" s="11"/>
      <c r="AZ77" s="28"/>
      <c r="BA77" s="28"/>
      <c r="BB77" s="33"/>
      <c r="BC77" s="33"/>
      <c r="BD77" s="35"/>
      <c r="BE77" s="34"/>
      <c r="BF77" s="34"/>
      <c r="BG77" s="34"/>
      <c r="BH77" s="33"/>
      <c r="BI77" s="35"/>
      <c r="BJ77" s="8" t="s">
        <v>6</v>
      </c>
      <c r="BK77" s="34"/>
      <c r="BL77" s="35"/>
    </row>
    <row r="78" spans="1:64" ht="15" thickBot="1" x14ac:dyDescent="0.35">
      <c r="A78" s="44" t="s">
        <v>74</v>
      </c>
      <c r="B78" s="37">
        <v>1075</v>
      </c>
      <c r="C78" s="18">
        <v>1908</v>
      </c>
      <c r="D78" s="36"/>
      <c r="E78" s="38" t="s">
        <v>60</v>
      </c>
      <c r="F78" s="39"/>
      <c r="G78" s="37">
        <v>1924</v>
      </c>
      <c r="H78" s="36">
        <v>3</v>
      </c>
      <c r="I78" s="28" t="s">
        <v>75</v>
      </c>
      <c r="J78" s="11"/>
      <c r="K78" s="28"/>
      <c r="L78" s="32"/>
      <c r="M78" s="34"/>
      <c r="N78" s="34"/>
      <c r="O78" s="33"/>
      <c r="P78" s="34"/>
      <c r="Q78" s="35"/>
      <c r="R78" s="34"/>
      <c r="S78" s="34"/>
      <c r="T78" s="33"/>
      <c r="U78" s="34"/>
      <c r="V78" s="35"/>
      <c r="W78" s="28"/>
      <c r="AB78" s="41" t="s">
        <v>76</v>
      </c>
      <c r="AC78">
        <v>114</v>
      </c>
      <c r="AD78">
        <v>0</v>
      </c>
      <c r="AE78" s="42">
        <v>0</v>
      </c>
      <c r="AF78" s="43">
        <v>0</v>
      </c>
      <c r="AG78" s="40">
        <v>0</v>
      </c>
      <c r="AH78" s="42">
        <v>0</v>
      </c>
      <c r="AI78" s="40">
        <v>0</v>
      </c>
      <c r="AJ78" s="43">
        <v>0</v>
      </c>
      <c r="AK78" s="42">
        <v>1</v>
      </c>
      <c r="AL78" s="28" t="s">
        <v>77</v>
      </c>
      <c r="AM78" s="40"/>
      <c r="AP78" s="36" t="s">
        <v>78</v>
      </c>
      <c r="AQ78" s="36">
        <v>13</v>
      </c>
      <c r="AR78" s="39">
        <v>13</v>
      </c>
      <c r="AT78" s="18"/>
      <c r="AU78" s="10"/>
      <c r="AV78" s="37"/>
      <c r="AW78" s="37"/>
      <c r="AX78" s="18"/>
      <c r="AY78" s="11"/>
      <c r="AZ78" s="28"/>
      <c r="BA78" s="28"/>
      <c r="BB78" s="47" t="s">
        <v>6</v>
      </c>
      <c r="BC78" s="47"/>
      <c r="BD78" s="49"/>
      <c r="BE78" s="48">
        <v>0</v>
      </c>
      <c r="BF78" s="48">
        <v>0</v>
      </c>
      <c r="BG78" s="48">
        <v>0</v>
      </c>
      <c r="BH78" s="47">
        <v>0</v>
      </c>
      <c r="BI78" s="49">
        <v>0</v>
      </c>
      <c r="BJ78" s="51"/>
      <c r="BK78" s="48" t="s">
        <v>6</v>
      </c>
      <c r="BL78" s="49">
        <f>SUM(BJ78)</f>
        <v>0</v>
      </c>
    </row>
    <row r="79" spans="1:64" x14ac:dyDescent="0.3">
      <c r="A79" s="41"/>
      <c r="D79" s="42"/>
      <c r="E79" s="28"/>
      <c r="F79" s="40"/>
      <c r="H79" s="42">
        <v>12</v>
      </c>
      <c r="I79" s="28" t="s">
        <v>79</v>
      </c>
      <c r="J79" s="40"/>
      <c r="K79" s="28"/>
      <c r="L79" s="41"/>
      <c r="M79" s="28"/>
      <c r="N79" s="28"/>
      <c r="O79" s="42"/>
      <c r="P79" s="28"/>
      <c r="Q79" s="40"/>
      <c r="R79" s="28"/>
      <c r="S79" s="28"/>
      <c r="T79" s="42" t="s">
        <v>80</v>
      </c>
      <c r="U79" s="28"/>
      <c r="V79" s="40"/>
      <c r="W79" s="28"/>
      <c r="AB79" s="32"/>
      <c r="AC79" s="34"/>
      <c r="AD79" s="34"/>
      <c r="AE79" s="33"/>
      <c r="AF79" s="34"/>
      <c r="AG79" s="35"/>
      <c r="AH79" s="33"/>
      <c r="AI79" s="35"/>
      <c r="AJ79" s="34"/>
      <c r="AK79" s="33"/>
      <c r="AL79" s="34"/>
      <c r="AM79" s="35"/>
      <c r="AP79" s="52" t="s">
        <v>81</v>
      </c>
      <c r="AQ79" s="36">
        <v>0</v>
      </c>
      <c r="AR79" s="39">
        <v>0</v>
      </c>
      <c r="AU79" s="42"/>
      <c r="AV79" s="28"/>
      <c r="AW79" s="28"/>
      <c r="AX79" s="28"/>
      <c r="AY79" s="40"/>
      <c r="AZ79" s="28"/>
      <c r="BA79" s="28"/>
      <c r="BB79" s="33"/>
      <c r="BC79" s="33"/>
      <c r="BD79" s="35"/>
      <c r="BE79" s="34"/>
      <c r="BF79" s="34"/>
      <c r="BG79" s="34"/>
      <c r="BH79" s="33"/>
      <c r="BI79" s="35"/>
      <c r="BJ79" s="53" t="s">
        <v>82</v>
      </c>
      <c r="BK79" s="34"/>
      <c r="BL79" s="35"/>
    </row>
    <row r="80" spans="1:64" ht="15" thickBot="1" x14ac:dyDescent="0.35">
      <c r="A80" s="46"/>
      <c r="B80" s="48"/>
      <c r="C80" s="48"/>
      <c r="D80" s="47"/>
      <c r="E80" s="48"/>
      <c r="F80" s="49"/>
      <c r="G80" s="48"/>
      <c r="H80" s="47">
        <v>1</v>
      </c>
      <c r="I80" s="28" t="s">
        <v>83</v>
      </c>
      <c r="J80" s="49">
        <f>SUM(H78:H80)</f>
        <v>16</v>
      </c>
      <c r="K80" s="28"/>
      <c r="L80" s="17" t="s">
        <v>74</v>
      </c>
      <c r="M80" s="27">
        <v>3002</v>
      </c>
      <c r="N80" s="27">
        <v>293</v>
      </c>
      <c r="O80" s="13">
        <v>0</v>
      </c>
      <c r="P80" s="27">
        <v>0</v>
      </c>
      <c r="Q80" s="26">
        <v>0</v>
      </c>
      <c r="R80" s="27">
        <v>13</v>
      </c>
      <c r="S80" s="27">
        <v>2</v>
      </c>
      <c r="T80" s="13"/>
      <c r="U80" s="27"/>
      <c r="V80" s="26"/>
      <c r="W80" s="28"/>
      <c r="AB80" s="46"/>
      <c r="AC80" s="48"/>
      <c r="AD80" s="48"/>
      <c r="AE80" s="47"/>
      <c r="AF80" s="48"/>
      <c r="AG80" s="49"/>
      <c r="AH80" s="47"/>
      <c r="AI80" s="49"/>
      <c r="AJ80" s="48"/>
      <c r="AK80" s="47"/>
      <c r="AL80" s="48"/>
      <c r="AM80" s="49"/>
      <c r="AP80" s="13" t="s">
        <v>84</v>
      </c>
      <c r="AQ80" s="13">
        <f>SUM(AQ74:AQ79)</f>
        <v>1576</v>
      </c>
      <c r="AR80" s="26">
        <f>SUM(AR74:AR79)</f>
        <v>1568</v>
      </c>
      <c r="AT80" s="18"/>
      <c r="AU80" s="13"/>
      <c r="AV80" s="27"/>
      <c r="AW80" s="27"/>
      <c r="AX80" s="27"/>
      <c r="AY80" s="26">
        <f>SUM(AV76:AV77)</f>
        <v>138</v>
      </c>
      <c r="AZ80" s="28"/>
      <c r="BA80" s="28"/>
      <c r="BB80" s="47" t="s">
        <v>85</v>
      </c>
      <c r="BC80" s="47">
        <v>7</v>
      </c>
      <c r="BD80" s="49">
        <v>7</v>
      </c>
      <c r="BE80" s="48">
        <v>0</v>
      </c>
      <c r="BF80" s="48">
        <v>0</v>
      </c>
      <c r="BG80" s="48">
        <v>0</v>
      </c>
      <c r="BH80" s="47">
        <v>0</v>
      </c>
      <c r="BI80" s="49">
        <v>0</v>
      </c>
      <c r="BJ80" s="51">
        <v>3</v>
      </c>
      <c r="BK80" s="48" t="s">
        <v>86</v>
      </c>
      <c r="BL80" s="49">
        <f>SUM(BJ80)</f>
        <v>3</v>
      </c>
    </row>
    <row r="81" spans="1:65" x14ac:dyDescent="0.3">
      <c r="A81" s="33"/>
      <c r="B81" s="33"/>
      <c r="C81" s="35"/>
      <c r="D81" s="34"/>
      <c r="E81" s="34"/>
      <c r="F81" s="34"/>
      <c r="G81" s="32"/>
      <c r="H81" s="6" t="s">
        <v>87</v>
      </c>
      <c r="I81" s="34"/>
      <c r="J81" s="35"/>
      <c r="K81" s="28"/>
      <c r="L81" s="12" t="s">
        <v>88</v>
      </c>
      <c r="M81" s="37">
        <v>0</v>
      </c>
      <c r="N81" s="37">
        <v>500</v>
      </c>
      <c r="O81" s="10"/>
      <c r="P81" s="18"/>
      <c r="Q81" s="11"/>
      <c r="R81" s="18"/>
      <c r="S81" s="18"/>
      <c r="T81" s="33" t="s">
        <v>6</v>
      </c>
      <c r="U81" s="31"/>
      <c r="V81" s="7"/>
      <c r="W81" s="28"/>
      <c r="AB81" s="6" t="s">
        <v>89</v>
      </c>
      <c r="AC81" s="6">
        <v>41</v>
      </c>
      <c r="AD81" s="7">
        <v>41</v>
      </c>
      <c r="AE81" s="8"/>
      <c r="AF81" s="8"/>
      <c r="AG81" s="8"/>
      <c r="AH81" s="6"/>
      <c r="AI81" s="7"/>
      <c r="AJ81" s="9"/>
      <c r="AK81" s="31" t="s">
        <v>90</v>
      </c>
      <c r="AL81" s="8"/>
      <c r="AM81" s="7"/>
      <c r="AP81" s="32" t="s">
        <v>6</v>
      </c>
      <c r="AQ81" s="43"/>
      <c r="AR81" s="54"/>
      <c r="AS81" s="33"/>
      <c r="AT81" s="35"/>
      <c r="AU81" s="33"/>
      <c r="AV81" s="34" t="s">
        <v>91</v>
      </c>
      <c r="AW81" s="34"/>
      <c r="AX81" s="34"/>
      <c r="AY81" s="35"/>
      <c r="AZ81" s="28"/>
      <c r="BA81" s="28"/>
      <c r="BB81" s="50"/>
      <c r="BC81" s="31"/>
      <c r="BD81" s="31"/>
      <c r="BE81" s="29"/>
      <c r="BF81" s="31"/>
      <c r="BG81" s="30"/>
      <c r="BH81" s="55"/>
      <c r="BI81" s="8"/>
      <c r="BJ81" s="29"/>
      <c r="BK81" s="34" t="s">
        <v>92</v>
      </c>
      <c r="BL81" s="35"/>
    </row>
    <row r="82" spans="1:65" x14ac:dyDescent="0.3">
      <c r="A82" s="36" t="s">
        <v>93</v>
      </c>
      <c r="B82" s="36">
        <v>2814</v>
      </c>
      <c r="C82" s="11">
        <v>3199</v>
      </c>
      <c r="D82" s="37"/>
      <c r="E82" s="38" t="s">
        <v>60</v>
      </c>
      <c r="F82" s="37"/>
      <c r="G82" s="12">
        <f>28*145</f>
        <v>4060</v>
      </c>
      <c r="H82" s="36">
        <v>28</v>
      </c>
      <c r="I82" s="37" t="s">
        <v>94</v>
      </c>
      <c r="J82" s="40"/>
      <c r="K82" s="28"/>
      <c r="L82" s="44" t="s">
        <v>95</v>
      </c>
      <c r="M82" s="37">
        <v>0</v>
      </c>
      <c r="N82" s="37">
        <v>0</v>
      </c>
      <c r="O82" s="10"/>
      <c r="P82" s="18"/>
      <c r="Q82" s="11"/>
      <c r="R82" s="18"/>
      <c r="S82" s="18"/>
      <c r="T82" s="10" t="s">
        <v>96</v>
      </c>
      <c r="U82" s="37"/>
      <c r="V82" s="11"/>
      <c r="W82" s="28"/>
      <c r="AB82" s="36" t="s">
        <v>97</v>
      </c>
      <c r="AC82" s="10">
        <v>0</v>
      </c>
      <c r="AD82" s="11">
        <v>0</v>
      </c>
      <c r="AE82" s="18">
        <v>0</v>
      </c>
      <c r="AF82" s="18">
        <v>0</v>
      </c>
      <c r="AG82" s="18">
        <v>0</v>
      </c>
      <c r="AH82" s="36">
        <v>0</v>
      </c>
      <c r="AI82" s="11">
        <v>0</v>
      </c>
      <c r="AJ82" s="12">
        <v>0</v>
      </c>
      <c r="AK82" s="37">
        <v>1</v>
      </c>
      <c r="AL82" s="37" t="s">
        <v>98</v>
      </c>
      <c r="AM82" s="11"/>
      <c r="AP82" s="41"/>
      <c r="AS82" s="42"/>
      <c r="AT82" s="40"/>
      <c r="AU82" s="42"/>
      <c r="AV82" s="28"/>
      <c r="AW82" s="28"/>
      <c r="AX82" s="28"/>
      <c r="AY82" s="40"/>
      <c r="AZ82" s="28" t="s">
        <v>6</v>
      </c>
      <c r="BA82" s="28"/>
      <c r="BB82" s="41" t="s">
        <v>99</v>
      </c>
      <c r="BC82" s="45">
        <v>0</v>
      </c>
      <c r="BD82" s="45">
        <v>0</v>
      </c>
      <c r="BE82" s="42">
        <v>0</v>
      </c>
      <c r="BF82" s="45">
        <v>0</v>
      </c>
      <c r="BG82" s="40">
        <v>0</v>
      </c>
      <c r="BH82" s="45">
        <v>41681</v>
      </c>
      <c r="BI82" s="56">
        <v>12498</v>
      </c>
      <c r="BJ82" s="52">
        <v>24</v>
      </c>
      <c r="BK82" s="37" t="s">
        <v>100</v>
      </c>
      <c r="BL82" s="40"/>
    </row>
    <row r="83" spans="1:65" ht="15" thickBot="1" x14ac:dyDescent="0.35">
      <c r="A83" s="47"/>
      <c r="B83" s="47"/>
      <c r="C83" s="49"/>
      <c r="D83" s="48"/>
      <c r="E83" s="48"/>
      <c r="F83" s="48"/>
      <c r="G83" s="46"/>
      <c r="H83" s="47"/>
      <c r="I83" s="48" t="s">
        <v>101</v>
      </c>
      <c r="J83" s="49">
        <f>SUM(H82:H83)</f>
        <v>28</v>
      </c>
      <c r="K83" s="28"/>
      <c r="L83" s="12" t="s">
        <v>102</v>
      </c>
      <c r="M83" s="18">
        <v>0</v>
      </c>
      <c r="N83" s="18">
        <v>0</v>
      </c>
      <c r="O83" s="10"/>
      <c r="P83" s="18"/>
      <c r="Q83" s="11"/>
      <c r="R83" s="18"/>
      <c r="S83" s="18"/>
      <c r="T83" s="10"/>
      <c r="U83" s="18"/>
      <c r="V83" s="11"/>
      <c r="W83" s="28"/>
      <c r="AB83" s="47" t="s">
        <v>84</v>
      </c>
      <c r="AC83" s="13">
        <f>SUM(AC81:AC82)</f>
        <v>41</v>
      </c>
      <c r="AD83" s="26">
        <f>SUM(AD81:AD82)</f>
        <v>41</v>
      </c>
      <c r="AE83" s="27"/>
      <c r="AF83" s="27"/>
      <c r="AG83" s="27"/>
      <c r="AH83" s="13"/>
      <c r="AI83" s="26"/>
      <c r="AJ83" s="17"/>
      <c r="AK83" s="57"/>
      <c r="AL83" s="37" t="s">
        <v>103</v>
      </c>
      <c r="AM83" s="11"/>
      <c r="AP83" s="41" t="s">
        <v>56</v>
      </c>
      <c r="AQ83">
        <v>821</v>
      </c>
      <c r="AR83">
        <v>766</v>
      </c>
      <c r="AS83" s="42"/>
      <c r="AT83" s="40"/>
      <c r="AU83" s="42"/>
      <c r="AV83" s="28"/>
      <c r="AW83" s="28"/>
      <c r="AX83" s="28"/>
      <c r="AY83" s="40"/>
      <c r="AZ83" s="28"/>
      <c r="BA83" s="28"/>
      <c r="BB83" s="17" t="s">
        <v>84</v>
      </c>
      <c r="BC83" s="18">
        <f>SUM(BC81:BC82)</f>
        <v>0</v>
      </c>
      <c r="BD83" s="18">
        <f>SUM(BD81:BD82)</f>
        <v>0</v>
      </c>
      <c r="BE83" s="13"/>
      <c r="BF83" s="27"/>
      <c r="BG83" s="26"/>
      <c r="BH83" s="58"/>
      <c r="BI83" s="27"/>
      <c r="BJ83" s="59"/>
      <c r="BK83" s="48" t="s">
        <v>6</v>
      </c>
      <c r="BL83" s="60">
        <f>SUM(BJ82:BJ83)</f>
        <v>24</v>
      </c>
    </row>
    <row r="84" spans="1:65" ht="15" thickBot="1" x14ac:dyDescent="0.35">
      <c r="A84" s="29" t="s">
        <v>250</v>
      </c>
      <c r="B84" s="29">
        <v>0</v>
      </c>
      <c r="C84" s="7">
        <v>11</v>
      </c>
      <c r="D84" s="8"/>
      <c r="E84" s="8"/>
      <c r="F84" s="8"/>
      <c r="G84" s="9"/>
      <c r="H84" s="8" t="s">
        <v>104</v>
      </c>
      <c r="I84" s="8"/>
      <c r="J84" s="7"/>
      <c r="K84" s="28"/>
      <c r="L84" s="12" t="s">
        <v>84</v>
      </c>
      <c r="M84" s="18">
        <f>SUM(M81:M83)</f>
        <v>0</v>
      </c>
      <c r="N84" s="18">
        <f>SUM(N81:N83)</f>
        <v>500</v>
      </c>
      <c r="O84" s="10">
        <v>0</v>
      </c>
      <c r="P84" s="18">
        <v>0</v>
      </c>
      <c r="Q84" s="11">
        <v>0</v>
      </c>
      <c r="R84" s="18">
        <v>0</v>
      </c>
      <c r="S84" s="18">
        <v>0</v>
      </c>
      <c r="T84" s="13"/>
      <c r="U84" s="27"/>
      <c r="V84" s="26"/>
      <c r="W84" s="28"/>
      <c r="AB84" s="44"/>
      <c r="AC84" s="18"/>
      <c r="AD84" s="18"/>
      <c r="AE84" s="10"/>
      <c r="AF84" s="18"/>
      <c r="AG84" s="11"/>
      <c r="AH84" s="10"/>
      <c r="AI84" s="11"/>
      <c r="AJ84" s="6"/>
      <c r="AK84" s="33" t="s">
        <v>6</v>
      </c>
      <c r="AL84" s="61" t="s">
        <v>6</v>
      </c>
      <c r="AM84" s="7"/>
      <c r="AP84" s="62" t="s">
        <v>6</v>
      </c>
      <c r="AQ84" s="43"/>
      <c r="AR84" s="43"/>
      <c r="AS84" s="47"/>
      <c r="AT84" s="49"/>
      <c r="AU84" s="47"/>
      <c r="AV84" s="48">
        <v>79</v>
      </c>
      <c r="AW84" s="48" t="s">
        <v>73</v>
      </c>
      <c r="AX84" s="48"/>
      <c r="AY84" s="49">
        <f>SUM(AV84)</f>
        <v>79</v>
      </c>
      <c r="AZ84" s="28"/>
      <c r="BA84" s="28" t="s">
        <v>6</v>
      </c>
      <c r="BB84" s="32" t="s">
        <v>6</v>
      </c>
      <c r="BC84" s="63"/>
      <c r="BD84" s="64"/>
      <c r="BE84" s="33"/>
      <c r="BF84" s="8"/>
      <c r="BG84" s="35"/>
      <c r="BH84" s="65"/>
      <c r="BI84" s="66"/>
      <c r="BJ84" s="29"/>
      <c r="BK84" s="31" t="s">
        <v>57</v>
      </c>
      <c r="BL84" s="35"/>
    </row>
    <row r="85" spans="1:65" x14ac:dyDescent="0.3">
      <c r="A85" s="42" t="s">
        <v>105</v>
      </c>
      <c r="B85" s="42">
        <v>284</v>
      </c>
      <c r="C85" s="40">
        <v>433</v>
      </c>
      <c r="D85" s="28"/>
      <c r="E85" s="38" t="s">
        <v>60</v>
      </c>
      <c r="F85" s="28"/>
      <c r="G85" s="41">
        <f>8*70</f>
        <v>560</v>
      </c>
      <c r="H85" s="43">
        <v>8</v>
      </c>
      <c r="I85" s="43" t="s">
        <v>106</v>
      </c>
      <c r="J85" s="40">
        <f>SUM(H85)</f>
        <v>8</v>
      </c>
      <c r="K85" s="28"/>
      <c r="L85" s="32"/>
      <c r="M85" s="33"/>
      <c r="N85" s="35"/>
      <c r="O85" s="34"/>
      <c r="P85" s="34"/>
      <c r="Q85" s="35"/>
      <c r="R85" s="33"/>
      <c r="S85" s="35"/>
      <c r="T85" s="6" t="s">
        <v>104</v>
      </c>
      <c r="U85" s="34"/>
      <c r="V85" s="35"/>
      <c r="W85" s="28"/>
      <c r="AB85" s="41" t="s">
        <v>6</v>
      </c>
      <c r="AC85" s="18"/>
      <c r="AD85" s="18"/>
      <c r="AE85" s="10">
        <v>0</v>
      </c>
      <c r="AF85" s="18">
        <v>0</v>
      </c>
      <c r="AG85" s="11">
        <v>0</v>
      </c>
      <c r="AH85" s="10"/>
      <c r="AI85" s="11"/>
      <c r="AJ85" s="10">
        <v>0</v>
      </c>
      <c r="AK85" s="10"/>
      <c r="AL85" s="37" t="s">
        <v>6</v>
      </c>
      <c r="AM85" s="11"/>
      <c r="AP85" s="10"/>
      <c r="AQ85" s="29"/>
      <c r="AR85" s="31"/>
      <c r="AS85" s="33"/>
      <c r="AT85" s="7"/>
      <c r="AU85" s="8"/>
      <c r="AV85" s="8"/>
      <c r="AW85" s="8"/>
      <c r="AX85" s="8"/>
      <c r="AY85" s="7"/>
      <c r="AZ85" s="28"/>
      <c r="BA85" s="28" t="s">
        <v>6</v>
      </c>
      <c r="BB85" s="68" t="s">
        <v>107</v>
      </c>
      <c r="BC85">
        <v>5</v>
      </c>
      <c r="BD85">
        <v>48</v>
      </c>
      <c r="BE85" s="42"/>
      <c r="BF85" s="28"/>
      <c r="BG85" s="40"/>
      <c r="BH85" s="42"/>
      <c r="BI85" s="40"/>
      <c r="BJ85" s="42"/>
      <c r="BK85" s="28"/>
      <c r="BL85" s="40"/>
    </row>
    <row r="86" spans="1:65" ht="15" thickBot="1" x14ac:dyDescent="0.35">
      <c r="A86" s="67" t="s">
        <v>84</v>
      </c>
      <c r="B86" s="47">
        <f>SUM(B84:B85)</f>
        <v>284</v>
      </c>
      <c r="C86" s="49">
        <f>SUM(C84:C85)</f>
        <v>444</v>
      </c>
      <c r="G86" s="46"/>
      <c r="H86" s="48"/>
      <c r="I86" s="48"/>
      <c r="J86" s="49"/>
      <c r="K86" s="28"/>
      <c r="L86" s="69" t="s">
        <v>109</v>
      </c>
      <c r="M86" s="42">
        <v>0</v>
      </c>
      <c r="N86" s="40">
        <v>0</v>
      </c>
      <c r="O86" s="28">
        <v>0</v>
      </c>
      <c r="P86" s="43">
        <v>0</v>
      </c>
      <c r="Q86" s="40">
        <v>0</v>
      </c>
      <c r="R86" s="42">
        <v>0</v>
      </c>
      <c r="S86" s="40">
        <v>0</v>
      </c>
      <c r="T86" s="28"/>
      <c r="U86" s="28"/>
      <c r="V86" s="40"/>
      <c r="W86" s="28"/>
      <c r="AA86" s="28"/>
      <c r="AB86" s="44"/>
      <c r="AC86" s="45"/>
      <c r="AD86" s="45"/>
      <c r="AE86" s="10">
        <v>0</v>
      </c>
      <c r="AF86" s="18">
        <v>0</v>
      </c>
      <c r="AG86" s="11">
        <v>0</v>
      </c>
      <c r="AH86" s="10"/>
      <c r="AI86" s="11"/>
      <c r="AJ86" s="67"/>
      <c r="AK86" s="42"/>
      <c r="AL86" s="54"/>
      <c r="AM86" s="40"/>
      <c r="AN86" s="28"/>
      <c r="AP86" s="36" t="s">
        <v>63</v>
      </c>
      <c r="AQ86" s="10">
        <v>48</v>
      </c>
      <c r="AR86" s="18">
        <v>102</v>
      </c>
      <c r="AS86" s="42"/>
      <c r="AT86" s="11"/>
      <c r="AU86" s="18"/>
      <c r="AV86" s="18" t="s">
        <v>110</v>
      </c>
      <c r="AW86" s="18" t="s">
        <v>111</v>
      </c>
      <c r="AX86" s="18" t="s">
        <v>112</v>
      </c>
      <c r="AY86" s="11"/>
      <c r="AZ86" s="45"/>
      <c r="BA86" s="28"/>
      <c r="BB86" s="41" t="s">
        <v>113</v>
      </c>
      <c r="BC86" s="70">
        <v>560</v>
      </c>
      <c r="BD86" s="71">
        <v>587</v>
      </c>
      <c r="BE86" s="42"/>
      <c r="BF86" s="28"/>
      <c r="BG86" s="40"/>
      <c r="BH86" s="42"/>
      <c r="BI86" s="40"/>
      <c r="BJ86" s="42"/>
      <c r="BK86" s="43" t="s">
        <v>6</v>
      </c>
      <c r="BL86" s="40"/>
    </row>
    <row r="87" spans="1:65" ht="15" thickBot="1" x14ac:dyDescent="0.35">
      <c r="A87" s="29" t="s">
        <v>108</v>
      </c>
      <c r="B87" s="29">
        <v>0</v>
      </c>
      <c r="C87" s="7">
        <v>0</v>
      </c>
      <c r="D87" s="8"/>
      <c r="E87" s="8">
        <v>1577</v>
      </c>
      <c r="F87" s="8"/>
      <c r="G87" s="50"/>
      <c r="H87" s="6" t="s">
        <v>104</v>
      </c>
      <c r="I87" s="31"/>
      <c r="J87" s="30"/>
      <c r="K87" s="28"/>
      <c r="L87" s="46"/>
      <c r="M87" s="47"/>
      <c r="N87" s="49"/>
      <c r="O87" s="48"/>
      <c r="P87" s="48"/>
      <c r="Q87" s="49"/>
      <c r="R87" s="72"/>
      <c r="S87" s="73"/>
      <c r="T87" s="48"/>
      <c r="U87" s="48"/>
      <c r="V87" s="49"/>
      <c r="W87" s="28"/>
      <c r="AA87" s="28"/>
      <c r="AB87" s="41"/>
      <c r="AE87" s="10">
        <v>0</v>
      </c>
      <c r="AF87" s="18">
        <v>0</v>
      </c>
      <c r="AG87" s="11">
        <v>0</v>
      </c>
      <c r="AH87" s="10"/>
      <c r="AI87" s="11"/>
      <c r="AJ87" s="47"/>
      <c r="AK87" s="72"/>
      <c r="AL87" s="74"/>
      <c r="AM87" s="49"/>
      <c r="AN87" s="28"/>
      <c r="AP87" s="10" t="s">
        <v>115</v>
      </c>
      <c r="AQ87" s="36">
        <v>37</v>
      </c>
      <c r="AR87" s="37">
        <v>25</v>
      </c>
      <c r="AS87" s="42"/>
      <c r="AT87" s="11"/>
      <c r="AU87" s="18"/>
      <c r="AV87" s="18"/>
      <c r="AW87" s="18"/>
      <c r="AX87" s="18"/>
      <c r="AY87" s="11"/>
      <c r="AZ87" s="28"/>
      <c r="BA87" s="28"/>
      <c r="BB87" s="68" t="s">
        <v>84</v>
      </c>
      <c r="BC87">
        <f>SUM(BC84:BC86)</f>
        <v>565</v>
      </c>
      <c r="BD87">
        <f>SUM(BD84:BD86)</f>
        <v>635</v>
      </c>
      <c r="BE87" s="47">
        <v>0</v>
      </c>
      <c r="BF87" s="27">
        <v>0</v>
      </c>
      <c r="BG87" s="49">
        <v>0</v>
      </c>
      <c r="BH87" s="75">
        <v>0</v>
      </c>
      <c r="BI87" s="49">
        <v>0</v>
      </c>
      <c r="BJ87" s="47">
        <v>43</v>
      </c>
      <c r="BK87" s="51" t="s">
        <v>73</v>
      </c>
      <c r="BL87" s="49">
        <f>SUM(BJ85:BJ87)</f>
        <v>43</v>
      </c>
    </row>
    <row r="88" spans="1:65" x14ac:dyDescent="0.3">
      <c r="A88" s="52" t="s">
        <v>109</v>
      </c>
      <c r="B88" s="36">
        <v>1061</v>
      </c>
      <c r="C88" s="11">
        <v>1102</v>
      </c>
      <c r="D88" s="45"/>
      <c r="E88" s="45">
        <v>0</v>
      </c>
      <c r="F88" s="45"/>
      <c r="G88" s="69"/>
      <c r="H88" s="45">
        <v>8</v>
      </c>
      <c r="I88" s="28" t="s">
        <v>114</v>
      </c>
      <c r="J88" s="40"/>
      <c r="K88" s="28"/>
      <c r="L88" s="50" t="s">
        <v>93</v>
      </c>
      <c r="M88" s="8">
        <v>0</v>
      </c>
      <c r="N88" s="8">
        <v>0</v>
      </c>
      <c r="O88" s="6"/>
      <c r="P88" s="8"/>
      <c r="Q88" s="7"/>
      <c r="R88" s="8">
        <v>0</v>
      </c>
      <c r="S88" s="8">
        <v>0</v>
      </c>
      <c r="T88" s="10" t="s">
        <v>116</v>
      </c>
      <c r="U88" s="8"/>
      <c r="V88" s="7"/>
      <c r="W88" s="28"/>
      <c r="AA88" s="28"/>
      <c r="AB88" s="32"/>
      <c r="AC88" s="6"/>
      <c r="AD88" s="7"/>
      <c r="AE88" s="8"/>
      <c r="AF88" s="8"/>
      <c r="AG88" s="8"/>
      <c r="AH88" s="6"/>
      <c r="AI88" s="7"/>
      <c r="AJ88" s="8"/>
      <c r="AK88" s="36"/>
      <c r="AL88" s="77" t="s">
        <v>117</v>
      </c>
      <c r="AM88" s="11"/>
      <c r="AN88" s="28"/>
      <c r="AP88" s="52" t="s">
        <v>72</v>
      </c>
      <c r="AQ88" s="52">
        <v>0</v>
      </c>
      <c r="AR88" s="54">
        <v>3</v>
      </c>
      <c r="AS88" s="42"/>
      <c r="AT88" s="40"/>
      <c r="AU88" s="28"/>
      <c r="AV88" s="28"/>
      <c r="AW88" s="28"/>
      <c r="AX88" s="28"/>
      <c r="AY88" s="40"/>
      <c r="AZ88" s="28"/>
      <c r="BA88" s="28"/>
      <c r="BB88" s="33" t="s">
        <v>64</v>
      </c>
      <c r="BC88" s="78">
        <v>0</v>
      </c>
      <c r="BD88" s="79">
        <v>0</v>
      </c>
      <c r="BE88" s="34"/>
      <c r="BF88" s="8"/>
      <c r="BG88" s="35"/>
      <c r="BH88" s="80"/>
      <c r="BI88" s="34"/>
      <c r="BJ88" s="33"/>
      <c r="BK88" s="34" t="s">
        <v>91</v>
      </c>
      <c r="BL88" s="35"/>
    </row>
    <row r="89" spans="1:65" ht="15" thickBot="1" x14ac:dyDescent="0.35">
      <c r="A89" s="76" t="s">
        <v>84</v>
      </c>
      <c r="B89" s="42">
        <f>SUM(B87:B88)</f>
        <v>1061</v>
      </c>
      <c r="C89" s="40">
        <f>SUM(C87:C88)</f>
        <v>1102</v>
      </c>
      <c r="D89" s="28"/>
      <c r="E89" s="28">
        <f>SUM(E87:E88)</f>
        <v>1577</v>
      </c>
      <c r="F89" s="28"/>
      <c r="G89" s="46">
        <f>8*355</f>
        <v>2840</v>
      </c>
      <c r="H89" s="48"/>
      <c r="I89" s="48"/>
      <c r="J89" s="49">
        <f>SUM(H88)</f>
        <v>8</v>
      </c>
      <c r="K89" s="28"/>
      <c r="L89" s="12" t="s">
        <v>99</v>
      </c>
      <c r="M89" s="37">
        <v>41910</v>
      </c>
      <c r="N89" s="37">
        <v>22639</v>
      </c>
      <c r="O89" s="10"/>
      <c r="P89" s="18"/>
      <c r="Q89" s="11"/>
      <c r="R89" s="18">
        <v>3931</v>
      </c>
      <c r="S89" s="18">
        <v>156</v>
      </c>
      <c r="T89" s="10"/>
      <c r="U89" s="18"/>
      <c r="V89" s="11"/>
      <c r="W89" s="28"/>
      <c r="AA89" s="28"/>
      <c r="AB89" s="68"/>
      <c r="AC89" s="42"/>
      <c r="AD89" s="40"/>
      <c r="AH89" s="42"/>
      <c r="AI89" s="40"/>
      <c r="AK89" s="42"/>
      <c r="AL89" s="54" t="s">
        <v>119</v>
      </c>
      <c r="AM89" s="40"/>
      <c r="AN89" s="28"/>
      <c r="AP89" s="36" t="s">
        <v>78</v>
      </c>
      <c r="AQ89" s="36">
        <v>69</v>
      </c>
      <c r="AR89" s="37">
        <v>67</v>
      </c>
      <c r="AS89" s="42"/>
      <c r="AT89" s="11"/>
      <c r="AU89" s="18"/>
      <c r="AV89" s="37"/>
      <c r="AW89" s="18"/>
      <c r="AX89" s="37"/>
      <c r="AY89" s="11"/>
      <c r="AZ89" s="28"/>
      <c r="BA89" s="28"/>
      <c r="BB89" s="52" t="s">
        <v>85</v>
      </c>
      <c r="BC89" s="42">
        <v>8</v>
      </c>
      <c r="BD89" s="40">
        <v>18</v>
      </c>
      <c r="BE89" s="28"/>
      <c r="BF89" s="28"/>
      <c r="BG89" s="40"/>
      <c r="BJ89" s="42"/>
      <c r="BK89" s="28"/>
      <c r="BL89" s="40"/>
    </row>
    <row r="90" spans="1:65" x14ac:dyDescent="0.3">
      <c r="A90" s="32" t="s">
        <v>93</v>
      </c>
      <c r="B90" s="33">
        <v>2909</v>
      </c>
      <c r="C90" s="35">
        <v>2535</v>
      </c>
      <c r="D90" s="33"/>
      <c r="E90" s="34"/>
      <c r="F90" s="34"/>
      <c r="G90" s="32">
        <f>54*100</f>
        <v>5400</v>
      </c>
      <c r="H90" s="33" t="s">
        <v>118</v>
      </c>
      <c r="I90" s="34"/>
      <c r="J90" s="35"/>
      <c r="K90" s="28"/>
      <c r="L90" s="12" t="s">
        <v>120</v>
      </c>
      <c r="M90" s="37">
        <v>9476</v>
      </c>
      <c r="N90" s="37">
        <v>54939</v>
      </c>
      <c r="O90" s="10"/>
      <c r="P90" s="18"/>
      <c r="Q90" s="11"/>
      <c r="R90" s="18">
        <v>8154</v>
      </c>
      <c r="S90" s="18">
        <v>0</v>
      </c>
      <c r="T90" s="10"/>
      <c r="U90" s="18"/>
      <c r="V90" s="11"/>
      <c r="W90" s="28"/>
      <c r="AA90" s="28"/>
      <c r="AB90" s="44"/>
      <c r="AC90" s="10"/>
      <c r="AD90" s="11"/>
      <c r="AE90" s="18"/>
      <c r="AF90" s="18"/>
      <c r="AG90" s="18"/>
      <c r="AH90" s="10"/>
      <c r="AI90" s="11"/>
      <c r="AJ90" s="18"/>
      <c r="AK90" s="10">
        <v>1</v>
      </c>
      <c r="AL90" s="37" t="s">
        <v>121</v>
      </c>
      <c r="AM90" s="11"/>
      <c r="AN90" s="28"/>
      <c r="AP90" s="10" t="s">
        <v>122</v>
      </c>
      <c r="AQ90" s="36">
        <v>53</v>
      </c>
      <c r="AR90" s="37">
        <v>39</v>
      </c>
      <c r="AS90" s="42"/>
      <c r="AT90" s="11"/>
      <c r="AU90" s="18"/>
      <c r="AV90" s="18">
        <v>25</v>
      </c>
      <c r="AW90" s="18" t="s">
        <v>123</v>
      </c>
      <c r="AX90" s="18"/>
      <c r="AY90" s="11"/>
      <c r="AZ90" s="28"/>
      <c r="BA90" s="28"/>
      <c r="BB90" s="67" t="s">
        <v>113</v>
      </c>
      <c r="BC90" s="42">
        <v>327</v>
      </c>
      <c r="BD90" s="40">
        <v>356</v>
      </c>
      <c r="BE90" s="28"/>
      <c r="BF90" s="28"/>
      <c r="BG90" s="40"/>
      <c r="BH90" s="28"/>
      <c r="BI90" s="28"/>
      <c r="BJ90" s="67">
        <v>34</v>
      </c>
      <c r="BK90" s="43" t="s">
        <v>73</v>
      </c>
      <c r="BL90" s="40"/>
      <c r="BM90" t="s">
        <v>6</v>
      </c>
    </row>
    <row r="91" spans="1:65" ht="15" thickBot="1" x14ac:dyDescent="0.35">
      <c r="A91" s="41" t="s">
        <v>120</v>
      </c>
      <c r="B91" s="42">
        <v>2477</v>
      </c>
      <c r="C91" s="40">
        <v>2178</v>
      </c>
      <c r="D91" s="42"/>
      <c r="E91" s="28" t="s">
        <v>60</v>
      </c>
      <c r="F91" s="28"/>
      <c r="G91" s="41">
        <f>150*27</f>
        <v>4050</v>
      </c>
      <c r="H91" s="42">
        <v>27</v>
      </c>
      <c r="I91" s="28" t="s">
        <v>101</v>
      </c>
      <c r="J91" s="40"/>
      <c r="K91" s="28"/>
      <c r="L91" s="12" t="s">
        <v>84</v>
      </c>
      <c r="M91" s="18">
        <f>SUM(M88:M90)</f>
        <v>51386</v>
      </c>
      <c r="N91" s="18">
        <f>SUM(N88:N90)</f>
        <v>77578</v>
      </c>
      <c r="O91" s="10">
        <v>0</v>
      </c>
      <c r="P91" s="18">
        <v>0</v>
      </c>
      <c r="Q91" s="11">
        <v>0</v>
      </c>
      <c r="R91" s="18">
        <f>SUM(R88:R90)</f>
        <v>12085</v>
      </c>
      <c r="S91" s="18">
        <f>SUM(S88:S90)</f>
        <v>156</v>
      </c>
      <c r="T91" s="10"/>
      <c r="U91" s="18"/>
      <c r="V91" s="11"/>
      <c r="W91" s="28"/>
      <c r="AA91" s="28"/>
      <c r="AB91" s="46"/>
      <c r="AC91" s="47"/>
      <c r="AD91" s="49"/>
      <c r="AE91" s="48"/>
      <c r="AF91" s="48"/>
      <c r="AG91" s="48"/>
      <c r="AH91" s="47"/>
      <c r="AI91" s="49"/>
      <c r="AJ91" s="48"/>
      <c r="AK91" s="47">
        <v>1</v>
      </c>
      <c r="AL91" s="48" t="s">
        <v>124</v>
      </c>
      <c r="AM91" s="49"/>
      <c r="AN91" s="28"/>
      <c r="AP91" s="10" t="s">
        <v>125</v>
      </c>
      <c r="AQ91" s="36">
        <v>16</v>
      </c>
      <c r="AR91" s="37">
        <v>25</v>
      </c>
      <c r="AS91" s="42"/>
      <c r="AT91" s="11"/>
      <c r="AU91" s="18"/>
      <c r="AV91" s="18">
        <v>38</v>
      </c>
      <c r="AW91" s="18" t="s">
        <v>126</v>
      </c>
      <c r="AX91" s="18"/>
      <c r="AY91" s="11"/>
      <c r="AZ91" s="28"/>
      <c r="BA91" s="28"/>
      <c r="BB91" s="47" t="s">
        <v>84</v>
      </c>
      <c r="BC91" s="47">
        <f>SUM(BC88:BC90)</f>
        <v>335</v>
      </c>
      <c r="BD91" s="49">
        <f>SUM(BD88:BD90)</f>
        <v>374</v>
      </c>
      <c r="BE91" s="81">
        <v>0</v>
      </c>
      <c r="BF91" s="27">
        <v>0</v>
      </c>
      <c r="BG91" s="82">
        <v>0</v>
      </c>
      <c r="BH91" s="74">
        <v>0</v>
      </c>
      <c r="BI91" s="74">
        <v>0</v>
      </c>
      <c r="BJ91" s="47"/>
      <c r="BK91" s="51"/>
      <c r="BL91" s="49">
        <f>SUM(BJ90)</f>
        <v>34</v>
      </c>
    </row>
    <row r="92" spans="1:65" ht="15" thickBot="1" x14ac:dyDescent="0.35">
      <c r="A92" s="46" t="s">
        <v>84</v>
      </c>
      <c r="B92" s="47">
        <f>SUM(B90:B91)</f>
        <v>5386</v>
      </c>
      <c r="C92" s="49">
        <f>SUM(C90:C91)</f>
        <v>4713</v>
      </c>
      <c r="D92" s="47"/>
      <c r="E92" s="48"/>
      <c r="F92" s="48"/>
      <c r="G92" s="46">
        <f>SUM(G90:G91)</f>
        <v>9450</v>
      </c>
      <c r="H92" s="47">
        <v>54</v>
      </c>
      <c r="I92" s="48" t="s">
        <v>127</v>
      </c>
      <c r="J92" s="49">
        <f>SUM(H91:H92)</f>
        <v>81</v>
      </c>
      <c r="K92" s="28"/>
      <c r="L92" s="17"/>
      <c r="M92" s="27"/>
      <c r="N92" s="27"/>
      <c r="O92" s="13"/>
      <c r="P92" s="27"/>
      <c r="Q92" s="26"/>
      <c r="R92" s="27"/>
      <c r="S92" s="27"/>
      <c r="T92" s="13"/>
      <c r="U92" s="27"/>
      <c r="V92" s="26"/>
      <c r="W92" s="28"/>
      <c r="AA92" s="28"/>
      <c r="AB92" s="32"/>
      <c r="AE92" s="33"/>
      <c r="AF92" s="34"/>
      <c r="AG92" s="34"/>
      <c r="AH92" s="33"/>
      <c r="AI92" s="35"/>
      <c r="AJ92" s="32"/>
      <c r="AK92" s="83"/>
      <c r="AL92" s="34"/>
      <c r="AM92" s="35"/>
      <c r="AN92" s="28"/>
      <c r="AP92" s="84" t="s">
        <v>128</v>
      </c>
      <c r="AQ92" s="52">
        <v>17</v>
      </c>
      <c r="AR92" s="37">
        <v>13</v>
      </c>
      <c r="AS92" s="42"/>
      <c r="AT92" s="40"/>
      <c r="AU92" s="28"/>
      <c r="AV92" s="28">
        <v>43</v>
      </c>
      <c r="AW92" s="28" t="s">
        <v>129</v>
      </c>
      <c r="AX92" s="28"/>
      <c r="AY92" s="40"/>
      <c r="BA92" s="28"/>
      <c r="BB92" s="52" t="s">
        <v>113</v>
      </c>
      <c r="BC92" s="42">
        <v>541</v>
      </c>
      <c r="BD92" s="85">
        <v>491</v>
      </c>
      <c r="BE92" s="37"/>
      <c r="BF92" s="18"/>
      <c r="BG92" s="54"/>
      <c r="BH92" s="52"/>
      <c r="BI92" s="40"/>
      <c r="BJ92" s="67"/>
      <c r="BK92" s="34" t="s">
        <v>130</v>
      </c>
      <c r="BL92" s="40"/>
    </row>
    <row r="93" spans="1:65" ht="15" thickBot="1" x14ac:dyDescent="0.35">
      <c r="A93" s="41" t="s">
        <v>88</v>
      </c>
      <c r="B93" s="42">
        <v>312</v>
      </c>
      <c r="C93" s="40">
        <v>399</v>
      </c>
      <c r="D93" s="28"/>
      <c r="E93" s="45">
        <v>0</v>
      </c>
      <c r="F93" s="40"/>
      <c r="G93" s="40"/>
      <c r="H93" s="28" t="s">
        <v>131</v>
      </c>
      <c r="J93" s="40"/>
      <c r="K93" s="28"/>
      <c r="L93" s="12" t="s">
        <v>105</v>
      </c>
      <c r="M93" s="34">
        <v>1842</v>
      </c>
      <c r="N93" s="34">
        <v>4734</v>
      </c>
      <c r="O93" s="33"/>
      <c r="P93" s="34"/>
      <c r="Q93" s="35"/>
      <c r="R93" s="34">
        <v>39</v>
      </c>
      <c r="S93" s="34">
        <v>0</v>
      </c>
      <c r="T93" s="33"/>
      <c r="U93" s="34"/>
      <c r="V93" s="35"/>
      <c r="W93" s="28"/>
      <c r="AA93" s="28"/>
      <c r="AB93" s="46"/>
      <c r="AE93" s="47"/>
      <c r="AF93" s="48"/>
      <c r="AG93" s="48"/>
      <c r="AH93" s="47"/>
      <c r="AI93" s="49"/>
      <c r="AJ93" s="46"/>
      <c r="AK93" s="48"/>
      <c r="AL93" s="48" t="s">
        <v>6</v>
      </c>
      <c r="AM93" s="49"/>
      <c r="AN93" s="28"/>
      <c r="AP93" s="84" t="s">
        <v>132</v>
      </c>
      <c r="AQ93" s="42">
        <v>0</v>
      </c>
      <c r="AR93" s="37">
        <v>0</v>
      </c>
      <c r="AS93" s="42"/>
      <c r="AT93" s="40"/>
      <c r="AU93" s="28"/>
      <c r="AV93" s="28"/>
      <c r="AW93" s="28"/>
      <c r="AX93" s="28"/>
      <c r="AY93" s="40"/>
      <c r="AZ93" s="28"/>
      <c r="BA93" s="28"/>
      <c r="BB93" s="42" t="s">
        <v>133</v>
      </c>
      <c r="BC93" s="67">
        <v>0</v>
      </c>
      <c r="BD93" s="85">
        <v>0</v>
      </c>
      <c r="BE93" s="28"/>
      <c r="BF93" s="18"/>
      <c r="BG93" s="28"/>
      <c r="BH93" s="52"/>
      <c r="BI93" s="86"/>
      <c r="BJ93" s="52">
        <v>43</v>
      </c>
      <c r="BK93" s="43" t="s">
        <v>73</v>
      </c>
      <c r="BL93" s="40"/>
    </row>
    <row r="94" spans="1:65" ht="15" thickBot="1" x14ac:dyDescent="0.35">
      <c r="A94" s="41" t="s">
        <v>102</v>
      </c>
      <c r="B94" s="42">
        <v>243</v>
      </c>
      <c r="C94" s="85">
        <v>316</v>
      </c>
      <c r="D94" s="28"/>
      <c r="E94" s="45">
        <v>0</v>
      </c>
      <c r="F94" s="40"/>
      <c r="G94" s="40">
        <f>8*169</f>
        <v>1352</v>
      </c>
      <c r="H94" s="28">
        <v>8</v>
      </c>
      <c r="I94" s="28" t="s">
        <v>134</v>
      </c>
      <c r="J94" s="40"/>
      <c r="K94" s="28"/>
      <c r="L94" s="44" t="s">
        <v>99</v>
      </c>
      <c r="M94" s="18">
        <v>2752</v>
      </c>
      <c r="N94" s="18">
        <v>0</v>
      </c>
      <c r="O94" s="10"/>
      <c r="P94" s="18"/>
      <c r="Q94" s="11"/>
      <c r="R94" s="18">
        <v>1</v>
      </c>
      <c r="S94" s="18">
        <v>0</v>
      </c>
      <c r="T94" s="10" t="s">
        <v>135</v>
      </c>
      <c r="U94" s="18"/>
      <c r="V94" s="11"/>
      <c r="W94" s="28"/>
      <c r="AA94" s="28"/>
      <c r="AB94" s="32" t="s">
        <v>89</v>
      </c>
      <c r="AC94" s="33">
        <v>423</v>
      </c>
      <c r="AD94" s="34">
        <v>349</v>
      </c>
      <c r="AE94" s="33"/>
      <c r="AF94" s="34"/>
      <c r="AG94" s="34"/>
      <c r="AH94" s="33"/>
      <c r="AI94" s="35"/>
      <c r="AJ94" s="35"/>
      <c r="AK94" s="34" t="s">
        <v>136</v>
      </c>
      <c r="AL94" s="34"/>
      <c r="AM94" s="35"/>
      <c r="AN94" s="28"/>
      <c r="AP94" s="84" t="s">
        <v>81</v>
      </c>
      <c r="AQ94" s="42">
        <v>10</v>
      </c>
      <c r="AR94" s="37">
        <v>6</v>
      </c>
      <c r="AS94" s="42"/>
      <c r="AT94" s="40"/>
      <c r="AU94" s="28"/>
      <c r="AV94" s="28"/>
      <c r="AW94" s="28"/>
      <c r="AX94" s="28"/>
      <c r="AY94" s="40"/>
      <c r="AZ94" s="28"/>
      <c r="BA94" s="28"/>
      <c r="BB94" s="59" t="s">
        <v>84</v>
      </c>
      <c r="BC94" s="13">
        <f>SUM(BC92:BC93)</f>
        <v>541</v>
      </c>
      <c r="BD94" s="60">
        <f>SUM(BD92:BD93)</f>
        <v>491</v>
      </c>
      <c r="BE94" s="81">
        <v>0</v>
      </c>
      <c r="BF94" s="27">
        <v>0</v>
      </c>
      <c r="BG94" s="27">
        <v>0</v>
      </c>
      <c r="BH94" s="13">
        <v>0</v>
      </c>
      <c r="BI94" s="26">
        <v>0</v>
      </c>
      <c r="BJ94" s="13"/>
      <c r="BK94" s="43"/>
      <c r="BL94" s="26">
        <f>SUM(BJ92:BJ93)</f>
        <v>43</v>
      </c>
    </row>
    <row r="95" spans="1:65" ht="15" thickBot="1" x14ac:dyDescent="0.35">
      <c r="A95" s="87" t="s">
        <v>84</v>
      </c>
      <c r="B95" s="59">
        <f>SUM(B93:B94)</f>
        <v>555</v>
      </c>
      <c r="C95" s="26">
        <f>SUM(C93:C94)</f>
        <v>715</v>
      </c>
      <c r="D95" s="27"/>
      <c r="E95" s="16">
        <f>SUM(E91:E94)</f>
        <v>0</v>
      </c>
      <c r="F95" s="26"/>
      <c r="G95" s="49"/>
      <c r="H95" s="48"/>
      <c r="I95" s="48"/>
      <c r="J95" s="49">
        <f>SUM(H93:H94)</f>
        <v>8</v>
      </c>
      <c r="K95" s="28"/>
      <c r="L95" s="12"/>
      <c r="M95" s="18"/>
      <c r="N95" s="18"/>
      <c r="O95" s="10"/>
      <c r="P95" s="18"/>
      <c r="Q95" s="11"/>
      <c r="R95" s="18"/>
      <c r="S95" s="18"/>
      <c r="T95" s="10"/>
      <c r="U95" s="18"/>
      <c r="V95" s="11"/>
      <c r="W95" s="28"/>
      <c r="AA95" s="28"/>
      <c r="AB95" s="44" t="s">
        <v>137</v>
      </c>
      <c r="AC95" s="10">
        <v>143</v>
      </c>
      <c r="AD95" s="18">
        <v>158</v>
      </c>
      <c r="AE95" s="10"/>
      <c r="AF95" s="18"/>
      <c r="AG95" s="18"/>
      <c r="AH95" s="52"/>
      <c r="AI95" s="85"/>
      <c r="AJ95" s="40"/>
      <c r="AK95" s="45"/>
      <c r="AL95" s="37"/>
      <c r="AM95" s="40"/>
      <c r="AN95" s="28"/>
      <c r="AP95" s="10" t="s">
        <v>138</v>
      </c>
      <c r="AQ95" s="36">
        <v>0</v>
      </c>
      <c r="AR95" s="37">
        <v>0</v>
      </c>
      <c r="AS95" s="42"/>
      <c r="AT95" s="11"/>
      <c r="AU95" s="18"/>
      <c r="AV95" s="18"/>
      <c r="AW95" s="18"/>
      <c r="AX95" s="18"/>
      <c r="AY95" s="11"/>
      <c r="AZ95" s="28"/>
      <c r="BA95" s="28"/>
      <c r="BB95" s="88" t="s">
        <v>139</v>
      </c>
      <c r="BC95" s="33">
        <v>12</v>
      </c>
      <c r="BD95" s="35">
        <v>13</v>
      </c>
      <c r="BE95" s="89"/>
      <c r="BF95" s="89"/>
      <c r="BG95" s="80"/>
      <c r="BH95" s="6"/>
      <c r="BI95" s="35"/>
      <c r="BJ95" s="33" t="s">
        <v>140</v>
      </c>
      <c r="BK95" s="34"/>
      <c r="BL95" s="35"/>
    </row>
    <row r="96" spans="1:65" x14ac:dyDescent="0.3">
      <c r="A96" s="36" t="s">
        <v>93</v>
      </c>
      <c r="B96" s="42">
        <v>5867</v>
      </c>
      <c r="C96" s="90">
        <v>6146</v>
      </c>
      <c r="D96" s="3"/>
      <c r="E96" s="91" t="s">
        <v>60</v>
      </c>
      <c r="F96" s="18"/>
      <c r="G96" s="44">
        <v>8634</v>
      </c>
      <c r="H96" s="10" t="s">
        <v>116</v>
      </c>
      <c r="I96" s="18"/>
      <c r="J96" s="11"/>
      <c r="K96" s="28"/>
      <c r="L96" s="12" t="s">
        <v>84</v>
      </c>
      <c r="M96" s="18">
        <f>SUM(M93:M95)</f>
        <v>4594</v>
      </c>
      <c r="N96" s="18">
        <f>SUM(N93:N95)</f>
        <v>4734</v>
      </c>
      <c r="O96" s="10">
        <v>0</v>
      </c>
      <c r="P96" s="18">
        <v>0</v>
      </c>
      <c r="Q96" s="11">
        <v>0</v>
      </c>
      <c r="R96" s="18">
        <f>SUM(R93:R95)</f>
        <v>40</v>
      </c>
      <c r="S96" s="18">
        <f>SUM(S93:S95)</f>
        <v>0</v>
      </c>
      <c r="T96" s="10"/>
      <c r="U96" s="18"/>
      <c r="V96" s="11"/>
      <c r="W96" s="28"/>
      <c r="AA96" s="28"/>
      <c r="AB96" s="41" t="s">
        <v>84</v>
      </c>
      <c r="AC96" s="42">
        <f>SUM(AC94:AC95)</f>
        <v>566</v>
      </c>
      <c r="AD96" s="28">
        <f>SUM(AD94:AD95)</f>
        <v>507</v>
      </c>
      <c r="AE96" s="42">
        <v>0</v>
      </c>
      <c r="AF96" s="28">
        <v>0</v>
      </c>
      <c r="AG96" s="28">
        <v>0</v>
      </c>
      <c r="AH96" s="42">
        <v>0</v>
      </c>
      <c r="AI96" s="40">
        <v>0</v>
      </c>
      <c r="AJ96" s="40">
        <v>0</v>
      </c>
      <c r="AK96" s="43">
        <v>12</v>
      </c>
      <c r="AL96" s="28" t="s">
        <v>141</v>
      </c>
      <c r="AM96" s="40"/>
      <c r="AN96" s="28"/>
      <c r="AP96" s="84" t="s">
        <v>56</v>
      </c>
      <c r="AQ96" s="42">
        <v>7</v>
      </c>
      <c r="AR96" s="54">
        <v>4</v>
      </c>
      <c r="AS96" s="42"/>
      <c r="AT96" s="40"/>
      <c r="AU96" s="28"/>
      <c r="AV96" s="28"/>
      <c r="AW96" s="28"/>
      <c r="AX96" s="28"/>
      <c r="AY96" s="40"/>
      <c r="AZ96" s="28"/>
      <c r="BA96" s="28"/>
      <c r="BB96" s="92" t="s">
        <v>113</v>
      </c>
      <c r="BC96" s="67">
        <f>26+1+3+5+10+48</f>
        <v>93</v>
      </c>
      <c r="BD96" s="56">
        <f>30+1+6+2+15+45</f>
        <v>99</v>
      </c>
      <c r="BE96" s="54"/>
      <c r="BF96" s="54"/>
      <c r="BG96" s="45"/>
      <c r="BH96" s="10"/>
      <c r="BI96" s="40"/>
      <c r="BJ96" s="10" t="s">
        <v>142</v>
      </c>
      <c r="BK96" s="18"/>
      <c r="BL96" s="39" t="s">
        <v>251</v>
      </c>
    </row>
    <row r="97" spans="1:64" ht="15" thickBot="1" x14ac:dyDescent="0.35">
      <c r="A97" s="10" t="s">
        <v>99</v>
      </c>
      <c r="B97" s="42">
        <v>13317</v>
      </c>
      <c r="C97" s="40">
        <v>13614</v>
      </c>
      <c r="D97" s="3"/>
      <c r="E97" s="91" t="s">
        <v>60</v>
      </c>
      <c r="F97" s="18"/>
      <c r="G97" s="12">
        <v>18259</v>
      </c>
      <c r="H97" s="10">
        <v>55</v>
      </c>
      <c r="I97" s="37" t="s">
        <v>144</v>
      </c>
      <c r="J97" s="11"/>
      <c r="K97" s="28"/>
      <c r="L97" s="12"/>
      <c r="M97" s="18"/>
      <c r="N97" s="18"/>
      <c r="O97" s="10"/>
      <c r="P97" s="18"/>
      <c r="Q97" s="11"/>
      <c r="R97" s="18"/>
      <c r="S97" s="18"/>
      <c r="T97" s="10"/>
      <c r="U97" s="18"/>
      <c r="V97" s="11"/>
      <c r="W97" s="28"/>
      <c r="AA97" s="28"/>
      <c r="AB97" s="46"/>
      <c r="AC97" s="47"/>
      <c r="AD97" s="48"/>
      <c r="AE97" s="47"/>
      <c r="AF97" s="48"/>
      <c r="AG97" s="48"/>
      <c r="AH97" s="47"/>
      <c r="AI97" s="49"/>
      <c r="AJ97" s="49"/>
      <c r="AK97" s="48"/>
      <c r="AL97" s="48" t="s">
        <v>145</v>
      </c>
      <c r="AM97" s="49"/>
      <c r="AN97" s="28"/>
      <c r="AP97" s="36" t="s">
        <v>67</v>
      </c>
      <c r="AQ97" s="10">
        <v>51</v>
      </c>
      <c r="AR97" s="18">
        <v>26</v>
      </c>
      <c r="AS97" s="42"/>
      <c r="AT97" s="11"/>
      <c r="AU97" s="18"/>
      <c r="AV97" s="18"/>
      <c r="AW97" s="18"/>
      <c r="AX97" s="18"/>
      <c r="AY97" s="11"/>
      <c r="AZ97" s="28"/>
      <c r="BA97" s="28" t="s">
        <v>6</v>
      </c>
      <c r="BB97" s="92" t="s">
        <v>252</v>
      </c>
      <c r="BC97" s="67">
        <v>13</v>
      </c>
      <c r="BD97" s="56">
        <v>13</v>
      </c>
      <c r="BE97" s="54"/>
      <c r="BF97" s="54"/>
      <c r="BG97" s="45"/>
      <c r="BH97" s="10"/>
      <c r="BI97" s="40"/>
      <c r="BJ97" s="93" t="s">
        <v>146</v>
      </c>
      <c r="BK97" s="28"/>
      <c r="BL97" s="94" t="s">
        <v>253</v>
      </c>
    </row>
    <row r="98" spans="1:64" ht="15" thickBot="1" x14ac:dyDescent="0.35">
      <c r="A98" s="10" t="s">
        <v>120</v>
      </c>
      <c r="B98" s="42">
        <v>4663</v>
      </c>
      <c r="C98" s="40">
        <v>3827</v>
      </c>
      <c r="D98" s="3"/>
      <c r="E98" s="91" t="s">
        <v>60</v>
      </c>
      <c r="F98" s="18"/>
      <c r="G98" s="12">
        <v>5400</v>
      </c>
      <c r="H98" s="84">
        <v>81</v>
      </c>
      <c r="I98" s="37" t="s">
        <v>148</v>
      </c>
      <c r="J98" s="11"/>
      <c r="K98" s="28"/>
      <c r="L98" s="12"/>
      <c r="M98" s="18"/>
      <c r="N98" s="18"/>
      <c r="O98" s="10"/>
      <c r="P98" s="18"/>
      <c r="Q98" s="11"/>
      <c r="R98" s="18"/>
      <c r="S98" s="18"/>
      <c r="T98" s="10"/>
      <c r="U98" s="18"/>
      <c r="V98" s="11"/>
      <c r="W98" s="28"/>
      <c r="AA98" s="28"/>
      <c r="AB98" s="42"/>
      <c r="AC98" s="42"/>
      <c r="AD98" s="40"/>
      <c r="AE98" s="28"/>
      <c r="AF98" s="28"/>
      <c r="AG98" s="28"/>
      <c r="AH98" s="42"/>
      <c r="AI98" s="28"/>
      <c r="AJ98" s="41"/>
      <c r="AK98" s="28" t="s">
        <v>149</v>
      </c>
      <c r="AL98" s="28"/>
      <c r="AM98" s="40"/>
      <c r="AN98" s="28" t="s">
        <v>6</v>
      </c>
      <c r="AO98" s="95"/>
      <c r="AP98" s="13" t="s">
        <v>84</v>
      </c>
      <c r="AQ98" s="13">
        <f>SUM(AQ86:AQ97)</f>
        <v>308</v>
      </c>
      <c r="AR98" s="27">
        <f>SUM(AR86:AR97)</f>
        <v>310</v>
      </c>
      <c r="AS98" s="47"/>
      <c r="AT98" s="26">
        <f>SUM(AT90:AT97)</f>
        <v>0</v>
      </c>
      <c r="AU98" s="27"/>
      <c r="AV98" s="27"/>
      <c r="AW98" s="27"/>
      <c r="AX98" s="27"/>
      <c r="AY98" s="26">
        <f>SUM(AV90:AV92)</f>
        <v>106</v>
      </c>
      <c r="AZ98" s="28"/>
      <c r="BA98" s="28"/>
      <c r="BB98" s="52" t="s">
        <v>133</v>
      </c>
      <c r="BC98" s="67">
        <f>7+45+11</f>
        <v>63</v>
      </c>
      <c r="BD98" s="56">
        <f>7+35+2+3</f>
        <v>47</v>
      </c>
      <c r="BE98" s="54" t="s">
        <v>150</v>
      </c>
      <c r="BF98" s="54"/>
      <c r="BG98" s="45"/>
      <c r="BH98" s="10"/>
      <c r="BI98" s="40"/>
      <c r="BJ98" s="42" t="s">
        <v>151</v>
      </c>
      <c r="BK98" s="28"/>
      <c r="BL98" s="96"/>
    </row>
    <row r="99" spans="1:64" ht="15" thickBot="1" x14ac:dyDescent="0.35">
      <c r="A99" s="10" t="s">
        <v>84</v>
      </c>
      <c r="B99" s="42">
        <f>SUM(B96:B98)</f>
        <v>23847</v>
      </c>
      <c r="C99" s="40">
        <f>SUM(C96:C98)</f>
        <v>23587</v>
      </c>
      <c r="D99" s="3"/>
      <c r="E99" s="91" t="s">
        <v>60</v>
      </c>
      <c r="F99" s="18"/>
      <c r="G99" s="12">
        <f>SUM(G96:G98)</f>
        <v>32293</v>
      </c>
      <c r="H99" s="42">
        <v>28</v>
      </c>
      <c r="I99" s="54" t="s">
        <v>152</v>
      </c>
      <c r="J99" s="40"/>
      <c r="K99" s="28"/>
      <c r="L99" s="44"/>
      <c r="M99" s="18"/>
      <c r="N99" s="18"/>
      <c r="O99" s="10"/>
      <c r="P99" s="18"/>
      <c r="Q99" s="11"/>
      <c r="R99" s="18"/>
      <c r="S99" s="18"/>
      <c r="T99" s="10"/>
      <c r="U99" s="18"/>
      <c r="V99" s="11"/>
      <c r="W99" s="28"/>
      <c r="Y99" t="s">
        <v>6</v>
      </c>
      <c r="AB99" s="36" t="s">
        <v>99</v>
      </c>
      <c r="AC99" s="10">
        <v>0</v>
      </c>
      <c r="AD99" s="11">
        <v>0</v>
      </c>
      <c r="AE99" s="18">
        <v>0</v>
      </c>
      <c r="AF99" s="18">
        <v>0</v>
      </c>
      <c r="AG99" s="18">
        <v>0</v>
      </c>
      <c r="AH99" s="52">
        <v>73181</v>
      </c>
      <c r="AI99" s="45">
        <v>5728</v>
      </c>
      <c r="AJ99" s="41">
        <v>0</v>
      </c>
      <c r="AK99" s="45">
        <v>4</v>
      </c>
      <c r="AL99" s="37" t="s">
        <v>153</v>
      </c>
      <c r="AM99" s="40"/>
      <c r="AP99" s="32"/>
      <c r="AQ99" s="53"/>
      <c r="AR99" s="97"/>
      <c r="AS99" s="33"/>
      <c r="AT99" s="7"/>
      <c r="AU99" s="6"/>
      <c r="AV99" s="8"/>
      <c r="AW99" s="31"/>
      <c r="AX99" s="8"/>
      <c r="AY99" s="7"/>
      <c r="AZ99" s="28"/>
      <c r="BA99" s="28"/>
      <c r="BB99" s="52" t="s">
        <v>85</v>
      </c>
      <c r="BC99" s="42">
        <v>10</v>
      </c>
      <c r="BD99" s="56">
        <v>0</v>
      </c>
      <c r="BE99" s="28"/>
      <c r="BF99" s="54"/>
      <c r="BG99" s="28"/>
      <c r="BH99" s="84"/>
      <c r="BI99" s="56"/>
      <c r="BJ99" s="42" t="s">
        <v>254</v>
      </c>
      <c r="BK99" s="28" t="s">
        <v>255</v>
      </c>
      <c r="BL99" s="40" t="s">
        <v>256</v>
      </c>
    </row>
    <row r="100" spans="1:64" ht="16.2" thickBot="1" x14ac:dyDescent="0.35">
      <c r="A100" s="13"/>
      <c r="B100" s="47"/>
      <c r="C100" s="49"/>
      <c r="D100" s="27"/>
      <c r="E100" s="27"/>
      <c r="F100" s="27"/>
      <c r="G100" s="17"/>
      <c r="H100" s="47"/>
      <c r="I100" s="27"/>
      <c r="J100" s="60">
        <f>SUM(H97:H99)</f>
        <v>164</v>
      </c>
      <c r="K100" s="28"/>
      <c r="L100" s="12"/>
      <c r="M100" s="18"/>
      <c r="N100" s="18"/>
      <c r="O100" s="10"/>
      <c r="P100" s="18"/>
      <c r="Q100" s="11"/>
      <c r="R100" s="18"/>
      <c r="S100" s="18"/>
      <c r="T100" s="10"/>
      <c r="U100" s="18"/>
      <c r="V100" s="11"/>
      <c r="W100" s="28"/>
      <c r="AB100" s="32"/>
      <c r="AC100" s="6"/>
      <c r="AD100" s="7"/>
      <c r="AE100" s="8"/>
      <c r="AF100" s="8"/>
      <c r="AG100" s="8"/>
      <c r="AH100" s="6"/>
      <c r="AI100" s="7"/>
      <c r="AJ100" s="8"/>
      <c r="AK100" s="29" t="s">
        <v>157</v>
      </c>
      <c r="AL100" s="8"/>
      <c r="AM100" s="7"/>
      <c r="AP100" s="62"/>
      <c r="AQ100" s="72"/>
      <c r="AR100" s="73"/>
      <c r="AS100" s="47"/>
      <c r="AT100" s="49"/>
      <c r="AU100" s="47"/>
      <c r="AV100" s="48"/>
      <c r="AW100" s="48"/>
      <c r="AX100" s="48"/>
      <c r="AY100" s="49"/>
      <c r="AZ100" s="28"/>
      <c r="BA100" s="28"/>
      <c r="BB100" s="36" t="s">
        <v>158</v>
      </c>
      <c r="BC100" s="36">
        <v>6</v>
      </c>
      <c r="BD100" s="39">
        <v>2</v>
      </c>
      <c r="BE100" s="18"/>
      <c r="BF100" s="18"/>
      <c r="BG100" s="18"/>
      <c r="BH100" s="10"/>
      <c r="BI100" s="11"/>
      <c r="BJ100" s="98" t="s">
        <v>257</v>
      </c>
      <c r="BK100" s="28" t="s">
        <v>258</v>
      </c>
      <c r="BL100" s="99" t="s">
        <v>259</v>
      </c>
    </row>
    <row r="101" spans="1:64" ht="16.2" thickBot="1" x14ac:dyDescent="0.35">
      <c r="A101" s="6" t="s">
        <v>105</v>
      </c>
      <c r="B101" s="6">
        <v>944</v>
      </c>
      <c r="C101" s="7">
        <v>1145</v>
      </c>
      <c r="D101" s="8"/>
      <c r="E101" s="80">
        <v>490</v>
      </c>
      <c r="F101" s="66"/>
      <c r="G101" s="8"/>
      <c r="H101" s="6" t="s">
        <v>162</v>
      </c>
      <c r="I101" s="8"/>
      <c r="J101" s="7"/>
      <c r="K101" s="28"/>
      <c r="L101" s="17"/>
      <c r="M101" s="27"/>
      <c r="N101" s="27"/>
      <c r="O101" s="13"/>
      <c r="P101" s="27"/>
      <c r="Q101" s="26"/>
      <c r="R101" s="27"/>
      <c r="S101" s="27"/>
      <c r="T101" s="13"/>
      <c r="U101" s="27"/>
      <c r="V101" s="26"/>
      <c r="W101" s="28"/>
      <c r="AB101" s="68" t="s">
        <v>99</v>
      </c>
      <c r="AC101" s="42">
        <v>0</v>
      </c>
      <c r="AD101" s="40">
        <v>0</v>
      </c>
      <c r="AE101">
        <v>0</v>
      </c>
      <c r="AF101">
        <v>0</v>
      </c>
      <c r="AG101">
        <v>0</v>
      </c>
      <c r="AH101" s="42">
        <v>275168</v>
      </c>
      <c r="AI101" s="40">
        <v>49267</v>
      </c>
      <c r="AJ101" s="43">
        <v>0</v>
      </c>
      <c r="AK101" s="42">
        <v>10</v>
      </c>
      <c r="AL101" s="54" t="s">
        <v>163</v>
      </c>
      <c r="AM101" s="40"/>
      <c r="AP101" s="67" t="s">
        <v>63</v>
      </c>
      <c r="AQ101" s="33">
        <v>12</v>
      </c>
      <c r="AR101" s="35">
        <v>3</v>
      </c>
      <c r="AU101" s="33"/>
      <c r="AV101" s="34"/>
      <c r="AW101" s="34"/>
      <c r="AX101" s="34"/>
      <c r="AY101" s="35"/>
      <c r="AZ101" s="28"/>
      <c r="BA101" s="28"/>
      <c r="BB101" s="92" t="s">
        <v>164</v>
      </c>
      <c r="BC101" s="42">
        <v>5</v>
      </c>
      <c r="BD101" s="40">
        <v>0</v>
      </c>
      <c r="BE101" s="18"/>
      <c r="BF101" s="18"/>
      <c r="BG101" s="18"/>
      <c r="BH101" s="10"/>
      <c r="BI101" s="11"/>
      <c r="BJ101" s="98" t="s">
        <v>260</v>
      </c>
      <c r="BK101" s="100" t="s">
        <v>261</v>
      </c>
      <c r="BL101" s="39" t="s">
        <v>262</v>
      </c>
    </row>
    <row r="102" spans="1:64" ht="15" thickBot="1" x14ac:dyDescent="0.35">
      <c r="A102" s="36" t="s">
        <v>99</v>
      </c>
      <c r="B102" s="10">
        <v>979</v>
      </c>
      <c r="C102" s="11">
        <v>683</v>
      </c>
      <c r="D102" s="18"/>
      <c r="E102" s="18">
        <v>763</v>
      </c>
      <c r="F102" s="85"/>
      <c r="G102" s="18"/>
      <c r="H102" s="42"/>
      <c r="I102" s="54"/>
      <c r="J102" s="11"/>
      <c r="L102" s="101" t="s">
        <v>84</v>
      </c>
      <c r="M102" s="102">
        <f>SUM(M96+M91+M86+M84+M80+M75)</f>
        <v>75395</v>
      </c>
      <c r="N102" s="102">
        <f>SUM(N96+N91+N86+N84+N80+N75)</f>
        <v>94704</v>
      </c>
      <c r="O102" s="103">
        <v>0</v>
      </c>
      <c r="P102" s="102">
        <v>0</v>
      </c>
      <c r="Q102" s="104">
        <v>0</v>
      </c>
      <c r="R102" s="102">
        <f>SUM(R96+R91+R86+R84+R75)</f>
        <v>12125</v>
      </c>
      <c r="S102" s="102">
        <f>SUM(S96+S91+S84+S80+S75)</f>
        <v>158</v>
      </c>
      <c r="T102" s="105"/>
      <c r="U102" s="102"/>
      <c r="V102" s="106"/>
      <c r="AB102" s="44" t="s">
        <v>6</v>
      </c>
      <c r="AC102" s="10"/>
      <c r="AD102" s="11"/>
      <c r="AE102" s="18"/>
      <c r="AF102" s="18"/>
      <c r="AG102" s="18"/>
      <c r="AH102" s="10"/>
      <c r="AI102" s="11"/>
      <c r="AJ102" s="18"/>
      <c r="AK102" s="10">
        <v>10</v>
      </c>
      <c r="AL102" s="37" t="s">
        <v>153</v>
      </c>
      <c r="AM102" s="11"/>
      <c r="AP102" s="67" t="s">
        <v>168</v>
      </c>
      <c r="AQ102" s="42">
        <v>0</v>
      </c>
      <c r="AR102" s="40">
        <v>0</v>
      </c>
      <c r="AU102" s="42"/>
      <c r="AV102" s="28"/>
      <c r="AW102" s="28"/>
      <c r="AX102" s="28"/>
      <c r="AY102" s="40"/>
      <c r="AZ102" s="28"/>
      <c r="BA102" s="28"/>
      <c r="BB102" s="36" t="s">
        <v>263</v>
      </c>
      <c r="BC102" s="36">
        <v>6</v>
      </c>
      <c r="BD102" s="39">
        <v>2</v>
      </c>
      <c r="BE102" s="18"/>
      <c r="BF102" s="18"/>
      <c r="BG102" s="18"/>
      <c r="BH102" s="10"/>
      <c r="BI102" s="11"/>
      <c r="BJ102" s="98" t="s">
        <v>264</v>
      </c>
      <c r="BK102" s="37" t="s">
        <v>265</v>
      </c>
      <c r="BL102" s="39"/>
    </row>
    <row r="103" spans="1:64" ht="15" thickBot="1" x14ac:dyDescent="0.35">
      <c r="A103" s="10"/>
      <c r="B103" s="10"/>
      <c r="C103" s="39"/>
      <c r="D103" s="18"/>
      <c r="E103" s="18"/>
      <c r="F103" s="85"/>
      <c r="G103" s="18"/>
      <c r="H103" s="42">
        <v>37</v>
      </c>
      <c r="I103" s="37" t="s">
        <v>101</v>
      </c>
      <c r="J103" s="11"/>
      <c r="AB103" s="46" t="s">
        <v>6</v>
      </c>
      <c r="AC103" s="47"/>
      <c r="AD103" s="49"/>
      <c r="AE103" s="48"/>
      <c r="AF103" s="48"/>
      <c r="AG103" s="48"/>
      <c r="AH103" s="47"/>
      <c r="AI103" s="49"/>
      <c r="AJ103" s="48"/>
      <c r="AK103" s="47"/>
      <c r="AL103" s="48"/>
      <c r="AM103" s="49"/>
      <c r="AP103" s="52" t="s">
        <v>56</v>
      </c>
      <c r="AQ103" s="52">
        <v>1</v>
      </c>
      <c r="AR103" s="85">
        <v>1</v>
      </c>
      <c r="AS103" s="28"/>
      <c r="AT103" s="28"/>
      <c r="AU103" s="42"/>
      <c r="AV103" s="28" t="s">
        <v>173</v>
      </c>
      <c r="AW103" s="28"/>
      <c r="AX103" s="28"/>
      <c r="AY103" s="40"/>
      <c r="AZ103" s="28"/>
      <c r="BA103" s="28"/>
      <c r="BB103" s="36" t="s">
        <v>266</v>
      </c>
      <c r="BC103" s="36">
        <v>7</v>
      </c>
      <c r="BD103" s="39">
        <v>7</v>
      </c>
      <c r="BE103" s="18"/>
      <c r="BF103" s="18"/>
      <c r="BG103" s="18"/>
      <c r="BH103" s="10"/>
      <c r="BI103" s="11"/>
      <c r="BJ103" s="52" t="s">
        <v>267</v>
      </c>
      <c r="BK103" s="37" t="s">
        <v>268</v>
      </c>
      <c r="BL103" s="39" t="s">
        <v>269</v>
      </c>
    </row>
    <row r="104" spans="1:64" ht="15" thickBot="1" x14ac:dyDescent="0.35">
      <c r="A104" s="13" t="s">
        <v>84</v>
      </c>
      <c r="B104" s="13">
        <f>SUM(B101:B103)</f>
        <v>1923</v>
      </c>
      <c r="C104" s="26">
        <f>SUM(C101:C103)</f>
        <v>1828</v>
      </c>
      <c r="D104" s="27"/>
      <c r="E104" s="27">
        <f>SUM(E101:E103)</f>
        <v>1253</v>
      </c>
      <c r="F104" s="26"/>
      <c r="G104" s="27">
        <f>37*164</f>
        <v>6068</v>
      </c>
      <c r="H104" s="13"/>
      <c r="I104" s="81"/>
      <c r="J104" s="26">
        <f>SUM(H102:H103)</f>
        <v>37</v>
      </c>
      <c r="M104" s="115"/>
      <c r="AB104" s="6"/>
      <c r="AC104" s="6"/>
      <c r="AD104" s="7"/>
      <c r="AE104" s="8"/>
      <c r="AF104" s="8"/>
      <c r="AG104" s="8"/>
      <c r="AH104" s="6"/>
      <c r="AI104" s="7"/>
      <c r="AJ104" s="8"/>
      <c r="AK104" s="29"/>
      <c r="AL104" s="8"/>
      <c r="AM104" s="7"/>
      <c r="AN104" s="45"/>
      <c r="AP104" s="52" t="s">
        <v>67</v>
      </c>
      <c r="AQ104" s="52">
        <v>4</v>
      </c>
      <c r="AR104" s="56">
        <v>6</v>
      </c>
      <c r="AU104" s="42"/>
      <c r="AV104" s="28"/>
      <c r="AW104" s="28"/>
      <c r="AX104" s="28"/>
      <c r="AY104" s="40"/>
      <c r="AZ104" s="28"/>
      <c r="BA104" s="28"/>
      <c r="BB104" s="150" t="s">
        <v>270</v>
      </c>
      <c r="BC104" s="36">
        <v>0</v>
      </c>
      <c r="BD104" s="39">
        <v>6</v>
      </c>
      <c r="BE104" s="18"/>
      <c r="BF104" s="37"/>
      <c r="BG104" s="18"/>
      <c r="BH104" s="10"/>
      <c r="BI104" s="11"/>
      <c r="BJ104" s="98" t="s">
        <v>271</v>
      </c>
      <c r="BK104" s="54" t="s">
        <v>272</v>
      </c>
      <c r="BL104" s="39" t="s">
        <v>273</v>
      </c>
    </row>
    <row r="105" spans="1:64" ht="15" thickBot="1" x14ac:dyDescent="0.35">
      <c r="A105" s="42" t="s">
        <v>181</v>
      </c>
      <c r="B105" s="42">
        <v>519</v>
      </c>
      <c r="C105" s="40">
        <v>529</v>
      </c>
      <c r="D105" s="28"/>
      <c r="E105" s="107" t="s">
        <v>60</v>
      </c>
      <c r="F105" s="43"/>
      <c r="G105" s="41">
        <f>4*154</f>
        <v>616</v>
      </c>
      <c r="H105" s="18" t="s">
        <v>182</v>
      </c>
      <c r="I105" s="28"/>
      <c r="J105" s="11"/>
      <c r="K105" s="43"/>
      <c r="AB105" s="36"/>
      <c r="AC105" s="10"/>
      <c r="AD105" s="11"/>
      <c r="AE105" s="18"/>
      <c r="AF105" s="18"/>
      <c r="AG105" s="18"/>
      <c r="AH105" s="36"/>
      <c r="AI105" s="11"/>
      <c r="AJ105" s="18"/>
      <c r="AK105" s="36"/>
      <c r="AL105" s="37"/>
      <c r="AM105" s="11"/>
      <c r="AN105" s="45"/>
      <c r="AP105" s="10" t="s">
        <v>78</v>
      </c>
      <c r="AQ105" s="52">
        <v>5</v>
      </c>
      <c r="AR105" s="85">
        <v>5</v>
      </c>
      <c r="AS105" s="28"/>
      <c r="AT105" s="28"/>
      <c r="AU105" s="42"/>
      <c r="AV105" s="28">
        <v>15</v>
      </c>
      <c r="AW105" s="28" t="s">
        <v>183</v>
      </c>
      <c r="AX105" s="28"/>
      <c r="AY105" s="40"/>
      <c r="AZ105" s="37"/>
      <c r="BA105" s="37"/>
      <c r="BB105" s="36" t="s">
        <v>184</v>
      </c>
      <c r="BC105" s="36">
        <f>1+2+7</f>
        <v>10</v>
      </c>
      <c r="BD105" s="39">
        <f>9+5+6</f>
        <v>20</v>
      </c>
      <c r="BE105" s="18"/>
      <c r="BF105" s="18"/>
      <c r="BG105" s="18"/>
      <c r="BH105" s="10"/>
      <c r="BI105" s="11"/>
      <c r="BJ105" s="36" t="s">
        <v>274</v>
      </c>
      <c r="BK105" s="37" t="s">
        <v>275</v>
      </c>
      <c r="BL105" s="40" t="s">
        <v>276</v>
      </c>
    </row>
    <row r="106" spans="1:64" ht="15" thickBot="1" x14ac:dyDescent="0.35">
      <c r="A106" s="42" t="s">
        <v>120</v>
      </c>
      <c r="B106" s="42">
        <v>3323</v>
      </c>
      <c r="C106" s="40">
        <v>3010</v>
      </c>
      <c r="D106" s="28"/>
      <c r="E106" s="107" t="s">
        <v>60</v>
      </c>
      <c r="F106" s="43"/>
      <c r="G106" s="68">
        <v>4354</v>
      </c>
      <c r="H106" s="43">
        <v>26</v>
      </c>
      <c r="I106" s="28" t="s">
        <v>188</v>
      </c>
      <c r="J106" s="11"/>
      <c r="K106" s="28"/>
      <c r="M106" s="108"/>
      <c r="AA106" s="28"/>
      <c r="AB106" s="103" t="s">
        <v>84</v>
      </c>
      <c r="AC106" s="103">
        <f>SUM(AC105+AC101+AC99+AC96+AC93+AC91+AC87+AC83+AC80+AC76+AC78)</f>
        <v>1782</v>
      </c>
      <c r="AD106" s="104">
        <f>SUM(AD105+AD101+AD99+AD96+AD93+AD87+AD83+AD80+AD78+AD76)</f>
        <v>1608</v>
      </c>
      <c r="AE106" s="103">
        <v>0</v>
      </c>
      <c r="AF106" s="102">
        <v>0</v>
      </c>
      <c r="AG106" s="102">
        <v>0</v>
      </c>
      <c r="AH106" s="109">
        <f>SUM(AH105+AH101+AH99+AH96+AH93+AH91+AH87+AH83+AH80+AH78+AH76)</f>
        <v>353794</v>
      </c>
      <c r="AI106" s="110">
        <f>SUM(AI105+AI101+AI99+AI96+AI91+AI87+AI82+AI80+AI78+AI76)</f>
        <v>58297</v>
      </c>
      <c r="AJ106" s="110">
        <v>0</v>
      </c>
      <c r="AK106" s="111" t="s">
        <v>189</v>
      </c>
      <c r="AL106" s="111"/>
      <c r="AM106" s="104">
        <f>SUM(AK76:AK105)</f>
        <v>44</v>
      </c>
      <c r="AN106" s="45"/>
      <c r="AP106" s="52" t="s">
        <v>81</v>
      </c>
      <c r="AQ106" s="52">
        <v>1</v>
      </c>
      <c r="AR106" s="85">
        <v>1</v>
      </c>
      <c r="AS106" s="28"/>
      <c r="AT106" s="28"/>
      <c r="AU106" s="42"/>
      <c r="AV106" s="28" t="s">
        <v>6</v>
      </c>
      <c r="AW106" s="28"/>
      <c r="AX106" s="28"/>
      <c r="AY106" s="40"/>
      <c r="AZ106" s="28"/>
      <c r="BA106" s="28"/>
      <c r="BB106" s="150" t="s">
        <v>277</v>
      </c>
      <c r="BC106" s="36">
        <v>6</v>
      </c>
      <c r="BD106" s="39">
        <v>6</v>
      </c>
      <c r="BE106" s="18"/>
      <c r="BF106" s="18"/>
      <c r="BG106" s="18"/>
      <c r="BH106" s="10"/>
      <c r="BI106" s="11"/>
      <c r="BJ106" s="112" t="s">
        <v>278</v>
      </c>
      <c r="BK106" s="37" t="s">
        <v>279</v>
      </c>
      <c r="BL106" s="39" t="s">
        <v>280</v>
      </c>
    </row>
    <row r="107" spans="1:64" x14ac:dyDescent="0.3">
      <c r="A107" s="42" t="s">
        <v>84</v>
      </c>
      <c r="B107" s="42">
        <f>SUM(B105:B106)</f>
        <v>3842</v>
      </c>
      <c r="C107" s="40">
        <f>SUM(C105:C106)</f>
        <v>3539</v>
      </c>
      <c r="D107" s="28"/>
      <c r="E107" s="107" t="s">
        <v>60</v>
      </c>
      <c r="F107" s="43"/>
      <c r="G107" s="41">
        <f>SUM(G105:G106)</f>
        <v>4970</v>
      </c>
      <c r="H107" s="28">
        <v>4</v>
      </c>
      <c r="I107" s="43" t="s">
        <v>101</v>
      </c>
      <c r="J107" s="40"/>
      <c r="K107" s="28"/>
      <c r="L107" s="28"/>
      <c r="N107" s="113"/>
      <c r="AA107" s="28"/>
      <c r="AB107" s="52" t="s">
        <v>193</v>
      </c>
      <c r="AC107" s="28"/>
      <c r="AD107" s="28"/>
      <c r="AE107" s="28"/>
      <c r="AF107" s="28"/>
      <c r="AG107" s="28"/>
      <c r="AH107" s="28"/>
      <c r="AI107" s="28"/>
      <c r="AM107" t="s">
        <v>6</v>
      </c>
      <c r="AN107" s="45"/>
      <c r="AP107" s="52" t="s">
        <v>72</v>
      </c>
      <c r="AQ107" s="52">
        <v>0</v>
      </c>
      <c r="AR107" s="85">
        <v>0</v>
      </c>
      <c r="AU107" s="42"/>
      <c r="AV107" s="28"/>
      <c r="AW107" s="28"/>
      <c r="AX107" s="28"/>
      <c r="AY107" s="40"/>
      <c r="AZ107" s="28"/>
      <c r="BB107" s="98" t="s">
        <v>107</v>
      </c>
      <c r="BC107" s="36">
        <v>3</v>
      </c>
      <c r="BD107" s="39">
        <v>12</v>
      </c>
      <c r="BE107" s="18"/>
      <c r="BF107" s="18"/>
      <c r="BG107" s="18"/>
      <c r="BH107" s="10"/>
      <c r="BI107" s="11"/>
      <c r="BJ107" s="36" t="s">
        <v>281</v>
      </c>
      <c r="BK107" s="37" t="s">
        <v>282</v>
      </c>
      <c r="BL107" s="114" t="s">
        <v>283</v>
      </c>
    </row>
    <row r="108" spans="1:64" ht="15" thickBot="1" x14ac:dyDescent="0.35">
      <c r="A108" s="13"/>
      <c r="B108" s="13"/>
      <c r="C108" s="26"/>
      <c r="D108" s="27"/>
      <c r="E108" s="27"/>
      <c r="F108" s="27"/>
      <c r="G108" s="17"/>
      <c r="H108" s="48">
        <v>1</v>
      </c>
      <c r="I108" s="48" t="s">
        <v>284</v>
      </c>
      <c r="J108" s="49">
        <f>SUM(H106:H108)</f>
        <v>31</v>
      </c>
      <c r="L108" s="108"/>
      <c r="M108" s="115"/>
      <c r="O108" s="116"/>
      <c r="AA108" s="28"/>
      <c r="AN108" s="45"/>
      <c r="AP108" s="52" t="s">
        <v>84</v>
      </c>
      <c r="AQ108" s="47">
        <f>SUM(AQ101:AQ107)</f>
        <v>23</v>
      </c>
      <c r="AR108" s="49">
        <f>SUM(AR101:AR107)</f>
        <v>16</v>
      </c>
      <c r="AS108" s="28"/>
      <c r="AT108" s="28"/>
      <c r="AU108" s="47"/>
      <c r="AV108" s="48"/>
      <c r="AW108" s="48"/>
      <c r="AX108" s="48"/>
      <c r="AY108" s="49">
        <f>SUM(AV105)</f>
        <v>15</v>
      </c>
      <c r="AZ108" s="28"/>
      <c r="BB108" s="36" t="s">
        <v>196</v>
      </c>
      <c r="BC108" s="36">
        <v>2</v>
      </c>
      <c r="BD108" s="39">
        <v>0</v>
      </c>
      <c r="BE108" s="18"/>
      <c r="BF108" s="18"/>
      <c r="BG108" s="18"/>
      <c r="BH108" s="10"/>
      <c r="BI108" s="11"/>
      <c r="BJ108" s="36" t="s">
        <v>285</v>
      </c>
      <c r="BK108" s="37" t="s">
        <v>286</v>
      </c>
      <c r="BL108" s="39" t="s">
        <v>287</v>
      </c>
    </row>
    <row r="109" spans="1:64" ht="16.2" thickBot="1" x14ac:dyDescent="0.35">
      <c r="A109" s="117" t="s">
        <v>84</v>
      </c>
      <c r="B109" s="117">
        <f>SUM(B107+B104+B99+B95+B92+B89+B86+B82+B78+B75)</f>
        <v>41446</v>
      </c>
      <c r="C109" s="117">
        <f>SUM(C107+C104+C99+C95+C92+C89+C86+C82+C78+C75)</f>
        <v>41646</v>
      </c>
      <c r="D109" s="118"/>
      <c r="E109" s="119">
        <f>SUM(E104+E89)</f>
        <v>2830</v>
      </c>
      <c r="F109" s="120"/>
      <c r="G109" s="121">
        <f>SUM(G107+G104+G99+G94+G92+G85+G82+G78+G75)</f>
        <v>61525</v>
      </c>
      <c r="H109" s="13" t="s">
        <v>199</v>
      </c>
      <c r="I109" s="81"/>
      <c r="J109" s="26">
        <f>SUM(J76:J108)</f>
        <v>385</v>
      </c>
      <c r="O109" s="122"/>
      <c r="AN109" s="45"/>
      <c r="AP109" s="32" t="s">
        <v>63</v>
      </c>
      <c r="AQ109" s="123">
        <v>9</v>
      </c>
      <c r="AR109" s="123">
        <v>13</v>
      </c>
      <c r="AS109" s="33"/>
      <c r="AT109" s="7"/>
      <c r="AU109" s="6"/>
      <c r="AV109" s="34" t="s">
        <v>140</v>
      </c>
      <c r="AW109" s="8"/>
      <c r="AX109" s="8"/>
      <c r="AY109" s="7"/>
      <c r="AZ109" s="28"/>
      <c r="BB109" s="36" t="s">
        <v>288</v>
      </c>
      <c r="BC109" s="10">
        <v>5</v>
      </c>
      <c r="BD109" s="39">
        <v>5</v>
      </c>
      <c r="BE109" s="18"/>
      <c r="BF109" s="18"/>
      <c r="BG109" s="37"/>
      <c r="BH109" s="10"/>
      <c r="BI109" s="11"/>
      <c r="BJ109" s="124" t="s">
        <v>289</v>
      </c>
      <c r="BK109" s="37"/>
      <c r="BL109" s="39" t="s">
        <v>290</v>
      </c>
    </row>
    <row r="110" spans="1:64" x14ac:dyDescent="0.3">
      <c r="AN110" s="45"/>
      <c r="AP110" s="44" t="s">
        <v>78</v>
      </c>
      <c r="AQ110" s="37">
        <f>33+4</f>
        <v>37</v>
      </c>
      <c r="AR110" s="37">
        <f>23+1+11</f>
        <v>35</v>
      </c>
      <c r="AS110" s="42"/>
      <c r="AT110" s="11"/>
      <c r="AU110" s="10"/>
      <c r="AV110" s="37">
        <v>2</v>
      </c>
      <c r="AW110" s="37" t="s">
        <v>204</v>
      </c>
      <c r="AX110" s="18"/>
      <c r="AY110" s="11"/>
      <c r="AZ110" s="28"/>
      <c r="BB110" s="98" t="s">
        <v>102</v>
      </c>
      <c r="BC110" s="10">
        <v>0</v>
      </c>
      <c r="BD110" s="39">
        <v>4</v>
      </c>
      <c r="BE110" s="18"/>
      <c r="BF110" s="18"/>
      <c r="BG110" s="18"/>
      <c r="BH110" s="10"/>
      <c r="BI110" s="11"/>
      <c r="BJ110" s="52" t="s">
        <v>291</v>
      </c>
      <c r="BK110" s="37"/>
      <c r="BL110" s="39" t="s">
        <v>292</v>
      </c>
    </row>
    <row r="111" spans="1:64" x14ac:dyDescent="0.3">
      <c r="AN111" s="45"/>
      <c r="AP111" s="125" t="s">
        <v>209</v>
      </c>
      <c r="AQ111" s="54">
        <v>0</v>
      </c>
      <c r="AR111" s="54">
        <v>0</v>
      </c>
      <c r="AS111" s="42"/>
      <c r="AT111" s="40"/>
      <c r="AU111" s="42"/>
      <c r="AV111" s="28">
        <v>1</v>
      </c>
      <c r="AW111" s="28" t="s">
        <v>210</v>
      </c>
      <c r="AX111" s="28"/>
      <c r="AY111" s="40"/>
      <c r="AZ111" s="28"/>
      <c r="BB111" s="92" t="s">
        <v>211</v>
      </c>
      <c r="BC111" s="84">
        <v>13</v>
      </c>
      <c r="BD111" s="86">
        <v>0</v>
      </c>
      <c r="BE111" s="45"/>
      <c r="BF111" s="45"/>
      <c r="BG111" s="45"/>
      <c r="BH111" s="10"/>
      <c r="BI111" s="11"/>
      <c r="BJ111" s="112" t="s">
        <v>293</v>
      </c>
      <c r="BK111" s="54" t="s">
        <v>294</v>
      </c>
      <c r="BL111" s="86" t="s">
        <v>295</v>
      </c>
    </row>
    <row r="112" spans="1:64" x14ac:dyDescent="0.3">
      <c r="B112" s="126"/>
      <c r="C112" s="126"/>
      <c r="AN112" s="45"/>
      <c r="AP112" s="44" t="s">
        <v>168</v>
      </c>
      <c r="AQ112" s="37">
        <v>0</v>
      </c>
      <c r="AR112" s="18">
        <v>0</v>
      </c>
      <c r="AS112" s="42"/>
      <c r="AT112" s="11"/>
      <c r="AU112" s="10"/>
      <c r="AV112" s="37">
        <v>34</v>
      </c>
      <c r="AW112" s="37" t="s">
        <v>213</v>
      </c>
      <c r="AX112" s="18"/>
      <c r="AY112" s="11"/>
      <c r="BB112" s="127" t="s">
        <v>296</v>
      </c>
      <c r="BC112" s="84">
        <v>2</v>
      </c>
      <c r="BD112" s="86">
        <v>2</v>
      </c>
      <c r="BE112" s="45"/>
      <c r="BF112" s="45"/>
      <c r="BG112" s="45"/>
      <c r="BH112" s="84"/>
      <c r="BI112" s="85"/>
      <c r="BJ112" s="52"/>
      <c r="BK112" s="54"/>
      <c r="BL112" s="40"/>
    </row>
    <row r="113" spans="1:65" x14ac:dyDescent="0.3">
      <c r="AN113" s="45"/>
      <c r="AP113" s="125" t="s">
        <v>81</v>
      </c>
      <c r="AQ113" s="54">
        <v>7</v>
      </c>
      <c r="AR113" s="45">
        <f>5+3</f>
        <v>8</v>
      </c>
      <c r="AS113" s="42"/>
      <c r="AT113" s="40"/>
      <c r="AU113" s="42"/>
      <c r="AV113" s="54">
        <v>1</v>
      </c>
      <c r="AW113" s="128" t="s">
        <v>215</v>
      </c>
      <c r="AX113" s="28"/>
      <c r="AY113" s="40" t="s">
        <v>6</v>
      </c>
      <c r="BB113" s="127" t="s">
        <v>297</v>
      </c>
      <c r="BC113" s="84">
        <v>2</v>
      </c>
      <c r="BD113" s="86">
        <v>1</v>
      </c>
      <c r="BE113" s="45"/>
      <c r="BF113" s="45"/>
      <c r="BG113" s="45"/>
      <c r="BH113" s="84"/>
      <c r="BI113" s="85"/>
      <c r="BJ113" s="52"/>
      <c r="BK113" s="28"/>
      <c r="BL113" s="40"/>
    </row>
    <row r="114" spans="1:65" x14ac:dyDescent="0.3">
      <c r="AP114" s="125" t="s">
        <v>72</v>
      </c>
      <c r="AQ114" s="54">
        <f>9+7+2</f>
        <v>18</v>
      </c>
      <c r="AR114" s="45">
        <f>6+6+4+7</f>
        <v>23</v>
      </c>
      <c r="AS114" s="42"/>
      <c r="AT114" s="40"/>
      <c r="AU114" s="42"/>
      <c r="AV114" s="54">
        <v>26</v>
      </c>
      <c r="AW114" s="54" t="s">
        <v>216</v>
      </c>
      <c r="AX114" s="45"/>
      <c r="AY114" s="40"/>
      <c r="BB114" s="127" t="s">
        <v>99</v>
      </c>
      <c r="BC114" s="84">
        <v>0</v>
      </c>
      <c r="BD114" s="86">
        <v>5</v>
      </c>
      <c r="BE114" s="28"/>
      <c r="BF114" s="45"/>
      <c r="BG114" s="28"/>
      <c r="BH114" s="84"/>
      <c r="BI114" s="85"/>
      <c r="BJ114" s="98"/>
      <c r="BK114" s="54"/>
      <c r="BL114" s="86"/>
    </row>
    <row r="115" spans="1:65" x14ac:dyDescent="0.3">
      <c r="AP115" s="125" t="s">
        <v>115</v>
      </c>
      <c r="AQ115" s="54">
        <v>2</v>
      </c>
      <c r="AR115" s="45">
        <v>11</v>
      </c>
      <c r="AS115" s="42"/>
      <c r="AT115" s="40"/>
      <c r="AU115" s="42"/>
      <c r="AV115" s="54"/>
      <c r="AW115" s="54" t="s">
        <v>217</v>
      </c>
      <c r="AX115" s="28"/>
      <c r="AY115" s="40"/>
      <c r="BB115" s="127" t="s">
        <v>218</v>
      </c>
      <c r="BC115" s="84">
        <v>8</v>
      </c>
      <c r="BD115" s="86">
        <f>28+2</f>
        <v>30</v>
      </c>
      <c r="BE115" s="28"/>
      <c r="BF115" s="45"/>
      <c r="BG115" s="28"/>
      <c r="BH115" s="84"/>
      <c r="BI115" s="85"/>
      <c r="BJ115" s="52"/>
      <c r="BK115" s="54"/>
      <c r="BL115" s="40"/>
    </row>
    <row r="116" spans="1:65" x14ac:dyDescent="0.3">
      <c r="AP116" s="125" t="s">
        <v>56</v>
      </c>
      <c r="AQ116" s="54">
        <f>5+3+8</f>
        <v>16</v>
      </c>
      <c r="AR116" s="45">
        <f>2+3+1+1+2</f>
        <v>9</v>
      </c>
      <c r="AS116" s="42"/>
      <c r="AT116" s="40"/>
      <c r="AU116" s="42"/>
      <c r="AV116" s="54"/>
      <c r="AW116" s="54" t="s">
        <v>219</v>
      </c>
      <c r="AX116" s="28"/>
      <c r="AY116" s="40"/>
      <c r="BB116" s="98" t="s">
        <v>220</v>
      </c>
      <c r="BC116" s="10">
        <v>7</v>
      </c>
      <c r="BD116" s="11">
        <v>15</v>
      </c>
      <c r="BE116" s="18"/>
      <c r="BF116" s="18"/>
      <c r="BG116" s="18"/>
      <c r="BH116" s="10"/>
      <c r="BI116" s="11"/>
      <c r="BJ116" s="52"/>
      <c r="BK116" s="37"/>
      <c r="BL116" s="129"/>
    </row>
    <row r="117" spans="1:65" ht="15" thickBot="1" x14ac:dyDescent="0.35">
      <c r="AP117" s="125" t="s">
        <v>138</v>
      </c>
      <c r="AQ117" s="54">
        <v>0</v>
      </c>
      <c r="AR117" s="45">
        <v>0</v>
      </c>
      <c r="AS117" s="42"/>
      <c r="AT117" s="40"/>
      <c r="AU117" s="42"/>
      <c r="AV117" s="54">
        <v>4</v>
      </c>
      <c r="AW117" s="54" t="s">
        <v>221</v>
      </c>
      <c r="AX117" s="28"/>
      <c r="AY117" s="40"/>
      <c r="BB117" s="13" t="s">
        <v>84</v>
      </c>
      <c r="BC117" s="13">
        <f>SUM(BC95:BC116)</f>
        <v>273</v>
      </c>
      <c r="BD117" s="26">
        <f>SUM(BD95:BD116)</f>
        <v>289</v>
      </c>
      <c r="BE117" s="27">
        <v>0</v>
      </c>
      <c r="BF117" s="27">
        <f>SUM(BF95:BF116)</f>
        <v>0</v>
      </c>
      <c r="BG117" s="27">
        <v>0</v>
      </c>
      <c r="BH117" s="130">
        <v>0</v>
      </c>
      <c r="BI117" s="26">
        <v>0</v>
      </c>
      <c r="BJ117" s="59"/>
      <c r="BK117" s="27"/>
      <c r="BL117" s="26">
        <f>8+4+5+9+18+10+18+13</f>
        <v>85</v>
      </c>
    </row>
    <row r="118" spans="1:65" ht="15" thickBot="1" x14ac:dyDescent="0.35">
      <c r="AP118" s="125" t="s">
        <v>67</v>
      </c>
      <c r="AQ118" s="28">
        <v>5</v>
      </c>
      <c r="AR118" s="45">
        <f>7+2</f>
        <v>9</v>
      </c>
      <c r="AS118" s="42"/>
      <c r="AT118" s="40"/>
      <c r="AU118" s="42"/>
      <c r="AV118" s="54">
        <v>22</v>
      </c>
      <c r="AW118" s="54" t="s">
        <v>222</v>
      </c>
      <c r="AX118" s="28"/>
      <c r="AY118" s="40"/>
      <c r="BB118" s="13" t="s">
        <v>223</v>
      </c>
      <c r="BC118" s="13">
        <f>SUM(BC117+BC94+BC91+BC87+BC83+BC80+BC78+BC75)</f>
        <v>1743</v>
      </c>
      <c r="BD118" s="26">
        <f>SUM(BD117+BD94+BD91+BD87+BD83+BD80+BD78+BD75)</f>
        <v>1816</v>
      </c>
      <c r="BE118" s="27">
        <f>SUM(BE117+BE94+BE87+BE82+BE80+BE78+BE75)</f>
        <v>0</v>
      </c>
      <c r="BF118" s="27">
        <f>SUM(BF95:BF116)</f>
        <v>0</v>
      </c>
      <c r="BG118" s="27">
        <f>SUM(BG117+BG94+BG87+BG82+BG80+BG78+BG75)</f>
        <v>0</v>
      </c>
      <c r="BH118" s="13">
        <f>SUM(BH117+BH94+BH87+BH82+BH80+BH78+BH75)</f>
        <v>41681</v>
      </c>
      <c r="BI118" s="26">
        <f>SUM(BI117+BI94+BI87+BI82+BI80+BI78+BI75)</f>
        <v>12498</v>
      </c>
      <c r="BJ118" s="81"/>
      <c r="BK118" s="27" t="s">
        <v>189</v>
      </c>
      <c r="BL118" s="26">
        <f>SUM(BL75:BL116)</f>
        <v>151</v>
      </c>
    </row>
    <row r="119" spans="1:65" x14ac:dyDescent="0.3">
      <c r="K119" s="28"/>
      <c r="AP119" s="125" t="s">
        <v>122</v>
      </c>
      <c r="AQ119" s="43">
        <v>0</v>
      </c>
      <c r="AR119" s="45">
        <v>0</v>
      </c>
      <c r="AS119" s="42"/>
      <c r="AT119" s="40"/>
      <c r="AU119" s="42"/>
      <c r="AV119" s="54"/>
      <c r="AW119" s="54" t="s">
        <v>224</v>
      </c>
      <c r="AX119" s="28"/>
      <c r="AY119" s="40"/>
      <c r="BB119" s="131" t="s">
        <v>225</v>
      </c>
      <c r="BD119">
        <f>SUM(BL117)</f>
        <v>85</v>
      </c>
      <c r="BG119" s="132"/>
      <c r="BH119" t="s">
        <v>298</v>
      </c>
    </row>
    <row r="120" spans="1:65" x14ac:dyDescent="0.3">
      <c r="K120" s="28"/>
      <c r="AP120" s="125" t="s">
        <v>227</v>
      </c>
      <c r="AQ120" s="43">
        <v>0</v>
      </c>
      <c r="AR120" s="45">
        <v>0</v>
      </c>
      <c r="AS120" s="42"/>
      <c r="AT120" s="40"/>
      <c r="AU120" s="42"/>
      <c r="AV120" s="54"/>
      <c r="AW120" s="54" t="s">
        <v>228</v>
      </c>
      <c r="AX120" s="28"/>
      <c r="AY120" s="40"/>
      <c r="BB120" t="s">
        <v>229</v>
      </c>
      <c r="BD120">
        <v>21</v>
      </c>
    </row>
    <row r="121" spans="1:65" x14ac:dyDescent="0.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AP121" s="41" t="s">
        <v>230</v>
      </c>
      <c r="AQ121" s="43">
        <f>5+7+5+2</f>
        <v>19</v>
      </c>
      <c r="AR121" s="45">
        <f>5+22</f>
        <v>27</v>
      </c>
      <c r="AS121" s="42"/>
      <c r="AT121" s="40"/>
      <c r="AU121" s="42"/>
      <c r="AV121" s="54"/>
      <c r="AW121" s="54" t="s">
        <v>231</v>
      </c>
      <c r="AX121" s="28"/>
      <c r="AY121" s="40"/>
      <c r="BB121" t="s">
        <v>232</v>
      </c>
      <c r="BD121" t="s">
        <v>233</v>
      </c>
      <c r="BF121">
        <f>SUM(AQ126)</f>
        <v>2843</v>
      </c>
      <c r="BH121" t="s">
        <v>234</v>
      </c>
      <c r="BJ121" t="s">
        <v>233</v>
      </c>
      <c r="BL121">
        <f>SUM(BC118)</f>
        <v>1743</v>
      </c>
    </row>
    <row r="122" spans="1:65" ht="18" x14ac:dyDescent="0.35">
      <c r="B122" s="133"/>
      <c r="AP122" s="68" t="s">
        <v>125</v>
      </c>
      <c r="AQ122" s="43">
        <v>0</v>
      </c>
      <c r="AR122" s="45">
        <v>0</v>
      </c>
      <c r="AS122" s="42"/>
      <c r="AT122" s="40"/>
      <c r="AU122" s="42"/>
      <c r="AV122" s="54"/>
      <c r="AW122" s="54" t="s">
        <v>235</v>
      </c>
      <c r="AX122" s="28"/>
      <c r="AY122" s="40"/>
      <c r="BD122" t="s">
        <v>236</v>
      </c>
      <c r="BF122">
        <f>SUM(AR126)</f>
        <v>2798</v>
      </c>
      <c r="BJ122" t="s">
        <v>236</v>
      </c>
      <c r="BL122">
        <f>SUM(BD118)</f>
        <v>1816</v>
      </c>
    </row>
    <row r="123" spans="1:65" x14ac:dyDescent="0.3">
      <c r="AP123" s="68" t="s">
        <v>132</v>
      </c>
      <c r="AQ123" s="43">
        <v>2</v>
      </c>
      <c r="AR123" s="45">
        <v>3</v>
      </c>
      <c r="AS123" s="42"/>
      <c r="AT123" s="40"/>
      <c r="AU123" s="42"/>
      <c r="AV123" s="54"/>
      <c r="AW123" s="54" t="s">
        <v>237</v>
      </c>
      <c r="AX123" s="28"/>
      <c r="AY123" s="40"/>
      <c r="BB123" s="134" t="s">
        <v>238</v>
      </c>
      <c r="BC123" s="135" t="s">
        <v>239</v>
      </c>
      <c r="BD123" s="136"/>
      <c r="BE123" s="134" t="s">
        <v>240</v>
      </c>
      <c r="BF123" s="135" t="s">
        <v>241</v>
      </c>
      <c r="BG123" s="136"/>
      <c r="BH123" s="134"/>
      <c r="BI123" s="135" t="s">
        <v>242</v>
      </c>
      <c r="BJ123" s="137" t="s">
        <v>243</v>
      </c>
      <c r="BK123" s="135"/>
      <c r="BL123" s="135"/>
      <c r="BM123" s="136"/>
    </row>
    <row r="124" spans="1:65" x14ac:dyDescent="0.3">
      <c r="AP124" s="41" t="s">
        <v>6</v>
      </c>
      <c r="AS124" s="42"/>
      <c r="AT124" s="40"/>
      <c r="AU124" s="42"/>
      <c r="AV124" s="54"/>
      <c r="AW124" s="54" t="s">
        <v>244</v>
      </c>
      <c r="AX124" s="28"/>
      <c r="AY124" s="40"/>
      <c r="BB124" s="138" t="s">
        <v>233</v>
      </c>
      <c r="BC124" s="28"/>
      <c r="BD124" s="139">
        <f>SUM(B109)</f>
        <v>41446</v>
      </c>
      <c r="BE124" s="138" t="s">
        <v>233</v>
      </c>
      <c r="BF124" s="28"/>
      <c r="BG124" s="139">
        <f>SUM(AC106)</f>
        <v>1782</v>
      </c>
      <c r="BH124" s="138" t="s">
        <v>233</v>
      </c>
      <c r="BI124" s="28"/>
      <c r="BJ124" s="140">
        <f>SUM(BL121+BG124)</f>
        <v>3525</v>
      </c>
      <c r="BK124" s="28" t="s">
        <v>245</v>
      </c>
      <c r="BL124" s="28">
        <f>SUM(BJ124+BD124)</f>
        <v>44971</v>
      </c>
      <c r="BM124" s="141"/>
    </row>
    <row r="125" spans="1:65" ht="18.600000000000001" thickBot="1" x14ac:dyDescent="0.4">
      <c r="B125" s="133"/>
      <c r="AP125" s="46" t="s">
        <v>84</v>
      </c>
      <c r="AQ125" s="48">
        <f>SUM(AQ109:AQ124)</f>
        <v>115</v>
      </c>
      <c r="AR125" s="48">
        <f>SUM(AR109:AR124)</f>
        <v>138</v>
      </c>
      <c r="AS125" s="47"/>
      <c r="AT125" s="49"/>
      <c r="AU125" s="47"/>
      <c r="AV125" s="48"/>
      <c r="AW125" s="48" t="s">
        <v>246</v>
      </c>
      <c r="AX125" s="48"/>
      <c r="AY125" s="49">
        <f>SUM(AV111:AV123)</f>
        <v>88</v>
      </c>
      <c r="BB125" s="142" t="s">
        <v>236</v>
      </c>
      <c r="BC125" s="143"/>
      <c r="BD125" s="144">
        <f>SUM(C109)</f>
        <v>41646</v>
      </c>
      <c r="BE125" s="142" t="s">
        <v>236</v>
      </c>
      <c r="BF125" s="143"/>
      <c r="BG125" s="144">
        <f>SUM(AD106)</f>
        <v>1608</v>
      </c>
      <c r="BH125" s="142" t="s">
        <v>236</v>
      </c>
      <c r="BI125" s="143"/>
      <c r="BJ125" s="145">
        <f>SUM(BL122+BG125)</f>
        <v>3424</v>
      </c>
      <c r="BK125" s="143"/>
      <c r="BL125" s="143">
        <f>SUM(BJ125+BD125)</f>
        <v>45070</v>
      </c>
      <c r="BM125" s="146"/>
    </row>
    <row r="126" spans="1:65" ht="18.600000000000001" thickBot="1" x14ac:dyDescent="0.4">
      <c r="B126" s="133"/>
      <c r="AP126" s="147" t="s">
        <v>84</v>
      </c>
      <c r="AQ126" s="147">
        <f>SUM(+AQ125+AQ108+AQ98+AQ83+AQ80)</f>
        <v>2843</v>
      </c>
      <c r="AR126" s="148">
        <f>SUM(AR125+AR108+AR98+AR83+AR80)</f>
        <v>2798</v>
      </c>
      <c r="AS126" s="147"/>
      <c r="AT126" s="148"/>
      <c r="AU126" s="149" t="s">
        <v>247</v>
      </c>
      <c r="AV126" s="149"/>
      <c r="AW126" s="149"/>
      <c r="AX126" s="149"/>
      <c r="AY126" s="148">
        <f>SUM(AY80:AY125)</f>
        <v>426</v>
      </c>
    </row>
    <row r="127" spans="1:65" ht="15" thickTop="1" x14ac:dyDescent="0.3"/>
    <row r="133" spans="1:64" ht="15.6" x14ac:dyDescent="0.3">
      <c r="C133" s="1" t="s">
        <v>0</v>
      </c>
      <c r="P133" s="1" t="s">
        <v>1</v>
      </c>
    </row>
    <row r="134" spans="1:64" ht="15.6" x14ac:dyDescent="0.3">
      <c r="D134" t="s">
        <v>2</v>
      </c>
      <c r="Q134" t="s">
        <v>3</v>
      </c>
      <c r="AE134" s="2"/>
      <c r="AF134" s="1" t="s">
        <v>0</v>
      </c>
      <c r="AG134" s="1"/>
      <c r="AI134" s="1"/>
      <c r="AJ134" s="1"/>
      <c r="AS134" s="1" t="s">
        <v>4</v>
      </c>
      <c r="BE134" s="1"/>
      <c r="BF134" s="1" t="s">
        <v>5</v>
      </c>
      <c r="BG134" s="1"/>
      <c r="BH134" s="1"/>
      <c r="BI134" s="1"/>
      <c r="BJ134" s="1"/>
    </row>
    <row r="135" spans="1:64" ht="15.6" x14ac:dyDescent="0.3">
      <c r="A135" t="s">
        <v>6</v>
      </c>
      <c r="C135" t="s">
        <v>7</v>
      </c>
      <c r="O135" t="s">
        <v>8</v>
      </c>
      <c r="AE135" s="3"/>
      <c r="AF135" s="2" t="s">
        <v>9</v>
      </c>
      <c r="AG135" s="1"/>
      <c r="AI135" s="1"/>
      <c r="AJ135" s="1"/>
      <c r="AT135" t="s">
        <v>2</v>
      </c>
      <c r="BG135" t="s">
        <v>2</v>
      </c>
    </row>
    <row r="136" spans="1:64" ht="15.6" x14ac:dyDescent="0.3">
      <c r="D136" t="s">
        <v>299</v>
      </c>
      <c r="Q136" t="s">
        <v>299</v>
      </c>
      <c r="AF136" s="3" t="s">
        <v>11</v>
      </c>
      <c r="AG136" s="1"/>
      <c r="AI136" s="1"/>
      <c r="AJ136" s="1"/>
      <c r="AR136" t="s">
        <v>12</v>
      </c>
      <c r="BE136" t="s">
        <v>13</v>
      </c>
    </row>
    <row r="137" spans="1:64" ht="15" thickBot="1" x14ac:dyDescent="0.35">
      <c r="I137" s="4" t="s">
        <v>14</v>
      </c>
      <c r="U137" s="5" t="s">
        <v>15</v>
      </c>
      <c r="AG137" t="s">
        <v>299</v>
      </c>
      <c r="AT137" t="s">
        <v>299</v>
      </c>
      <c r="AY137" s="5"/>
      <c r="BG137" t="s">
        <v>299</v>
      </c>
      <c r="BK137" s="5" t="s">
        <v>16</v>
      </c>
    </row>
    <row r="138" spans="1:64" ht="15" thickBot="1" x14ac:dyDescent="0.35">
      <c r="A138" s="6" t="s">
        <v>17</v>
      </c>
      <c r="B138" s="6" t="s">
        <v>18</v>
      </c>
      <c r="C138" s="7"/>
      <c r="D138" s="8" t="s">
        <v>19</v>
      </c>
      <c r="E138" s="8"/>
      <c r="F138" s="8"/>
      <c r="G138" s="9" t="s">
        <v>20</v>
      </c>
      <c r="H138" s="8" t="s">
        <v>21</v>
      </c>
      <c r="I138" s="8"/>
      <c r="J138" s="7"/>
      <c r="L138" s="6" t="s">
        <v>17</v>
      </c>
      <c r="M138" s="6" t="s">
        <v>22</v>
      </c>
      <c r="N138" s="7"/>
      <c r="O138" s="8" t="s">
        <v>23</v>
      </c>
      <c r="P138" s="8"/>
      <c r="Q138" s="8"/>
      <c r="R138" s="6" t="s">
        <v>24</v>
      </c>
      <c r="S138" s="7"/>
      <c r="T138" s="8" t="s">
        <v>21</v>
      </c>
      <c r="U138" s="8"/>
      <c r="V138" s="7"/>
      <c r="AL138" s="5" t="s">
        <v>25</v>
      </c>
      <c r="AX138" s="5" t="s">
        <v>26</v>
      </c>
      <c r="BB138" s="6" t="s">
        <v>17</v>
      </c>
      <c r="BC138" s="6" t="s">
        <v>27</v>
      </c>
      <c r="BD138" s="7"/>
      <c r="BE138" s="8" t="s">
        <v>28</v>
      </c>
      <c r="BF138" s="8"/>
      <c r="BG138" s="8"/>
      <c r="BH138" s="6" t="s">
        <v>29</v>
      </c>
      <c r="BI138" s="7" t="s">
        <v>30</v>
      </c>
      <c r="BJ138" s="8" t="s">
        <v>31</v>
      </c>
      <c r="BK138" s="8"/>
      <c r="BL138" s="7"/>
    </row>
    <row r="139" spans="1:64" x14ac:dyDescent="0.3">
      <c r="A139" s="10" t="s">
        <v>32</v>
      </c>
      <c r="B139" s="10"/>
      <c r="C139" s="11"/>
      <c r="D139" s="3"/>
      <c r="E139" s="3"/>
      <c r="F139" s="3"/>
      <c r="G139" s="12"/>
      <c r="H139" s="3" t="s">
        <v>33</v>
      </c>
      <c r="I139" s="3"/>
      <c r="J139" s="11"/>
      <c r="L139" s="10"/>
      <c r="M139" s="10"/>
      <c r="N139" s="11"/>
      <c r="O139" s="3"/>
      <c r="P139" s="3"/>
      <c r="Q139" s="3"/>
      <c r="R139" s="10"/>
      <c r="S139" s="11"/>
      <c r="T139" s="3" t="s">
        <v>33</v>
      </c>
      <c r="U139" s="3"/>
      <c r="V139" s="11"/>
      <c r="AB139" s="6" t="s">
        <v>34</v>
      </c>
      <c r="AC139" s="6" t="s">
        <v>35</v>
      </c>
      <c r="AD139" s="7"/>
      <c r="AE139" s="6" t="s">
        <v>36</v>
      </c>
      <c r="AF139" s="8"/>
      <c r="AG139" s="7"/>
      <c r="AH139" s="8" t="s">
        <v>37</v>
      </c>
      <c r="AI139" s="8"/>
      <c r="AJ139" s="9" t="s">
        <v>30</v>
      </c>
      <c r="AK139" s="8" t="s">
        <v>38</v>
      </c>
      <c r="AL139" s="8"/>
      <c r="AM139" s="7"/>
      <c r="AP139" s="6" t="s">
        <v>17</v>
      </c>
      <c r="AQ139" s="6" t="s">
        <v>39</v>
      </c>
      <c r="AR139" s="7"/>
      <c r="AS139" s="6" t="s">
        <v>29</v>
      </c>
      <c r="AT139" s="7" t="s">
        <v>30</v>
      </c>
      <c r="AU139" s="8" t="s">
        <v>40</v>
      </c>
      <c r="AV139" s="8"/>
      <c r="AW139" s="8"/>
      <c r="AX139" s="8"/>
      <c r="AY139" s="7"/>
      <c r="BB139" s="10"/>
      <c r="BC139" s="10"/>
      <c r="BD139" s="11"/>
      <c r="BE139" s="3"/>
      <c r="BF139" s="3"/>
      <c r="BG139" s="3"/>
      <c r="BH139" s="10"/>
      <c r="BI139" s="11" t="s">
        <v>6</v>
      </c>
      <c r="BJ139" s="3" t="s">
        <v>41</v>
      </c>
      <c r="BK139" s="3"/>
      <c r="BL139" s="11"/>
    </row>
    <row r="140" spans="1:64" ht="15" thickBot="1" x14ac:dyDescent="0.35">
      <c r="A140" s="13" t="s">
        <v>42</v>
      </c>
      <c r="B140" s="14" t="s">
        <v>43</v>
      </c>
      <c r="C140" s="15" t="s">
        <v>44</v>
      </c>
      <c r="D140" s="16" t="s">
        <v>45</v>
      </c>
      <c r="E140" s="16" t="s">
        <v>46</v>
      </c>
      <c r="F140" s="16" t="s">
        <v>47</v>
      </c>
      <c r="G140" s="17" t="s">
        <v>48</v>
      </c>
      <c r="H140" s="18" t="s">
        <v>49</v>
      </c>
      <c r="I140" s="18"/>
      <c r="J140" s="11"/>
      <c r="L140" s="10" t="s">
        <v>50</v>
      </c>
      <c r="M140" s="19" t="s">
        <v>43</v>
      </c>
      <c r="N140" s="20" t="s">
        <v>44</v>
      </c>
      <c r="O140" s="21" t="s">
        <v>43</v>
      </c>
      <c r="P140" s="18" t="s">
        <v>51</v>
      </c>
      <c r="Q140" s="21" t="s">
        <v>44</v>
      </c>
      <c r="R140" s="22" t="s">
        <v>43</v>
      </c>
      <c r="S140" s="23" t="s">
        <v>44</v>
      </c>
      <c r="T140" s="18" t="s">
        <v>49</v>
      </c>
      <c r="U140" s="18"/>
      <c r="V140" s="11"/>
      <c r="AB140" s="10" t="s">
        <v>50</v>
      </c>
      <c r="AC140" s="22" t="s">
        <v>43</v>
      </c>
      <c r="AD140" s="23" t="s">
        <v>44</v>
      </c>
      <c r="AE140" s="22" t="s">
        <v>45</v>
      </c>
      <c r="AF140" s="24" t="s">
        <v>46</v>
      </c>
      <c r="AG140" s="23" t="s">
        <v>52</v>
      </c>
      <c r="AH140" s="24" t="s">
        <v>43</v>
      </c>
      <c r="AI140" s="24" t="s">
        <v>44</v>
      </c>
      <c r="AJ140" s="25" t="s">
        <v>43</v>
      </c>
      <c r="AK140" s="3" t="s">
        <v>53</v>
      </c>
      <c r="AL140" s="3"/>
      <c r="AM140" s="11"/>
      <c r="AP140" s="13" t="s">
        <v>42</v>
      </c>
      <c r="AQ140" s="10" t="s">
        <v>43</v>
      </c>
      <c r="AR140" s="11" t="s">
        <v>44</v>
      </c>
      <c r="AS140" s="13" t="s">
        <v>43</v>
      </c>
      <c r="AT140" s="26" t="s">
        <v>44</v>
      </c>
      <c r="AU140" s="27"/>
      <c r="AV140" s="27"/>
      <c r="AW140" s="27"/>
      <c r="AX140" s="27"/>
      <c r="AY140" s="26"/>
      <c r="BB140" s="13" t="s">
        <v>42</v>
      </c>
      <c r="BC140" s="13" t="s">
        <v>43</v>
      </c>
      <c r="BD140" s="26" t="s">
        <v>44</v>
      </c>
      <c r="BE140" s="27" t="s">
        <v>45</v>
      </c>
      <c r="BF140" s="27" t="s">
        <v>46</v>
      </c>
      <c r="BG140" s="27" t="s">
        <v>52</v>
      </c>
      <c r="BH140" s="13" t="s">
        <v>43</v>
      </c>
      <c r="BI140" s="26" t="s">
        <v>44</v>
      </c>
      <c r="BJ140" s="27" t="s">
        <v>54</v>
      </c>
      <c r="BK140" s="27"/>
      <c r="BL140" s="26"/>
    </row>
    <row r="141" spans="1:64" ht="15" thickBot="1" x14ac:dyDescent="0.35">
      <c r="A141" s="6"/>
      <c r="B141" s="6"/>
      <c r="C141" s="7"/>
      <c r="D141" s="8"/>
      <c r="E141" s="8"/>
      <c r="F141" s="7"/>
      <c r="G141" s="8"/>
      <c r="H141" s="6" t="s">
        <v>55</v>
      </c>
      <c r="I141" s="8"/>
      <c r="J141" s="7"/>
      <c r="K141" s="28"/>
      <c r="L141" s="9"/>
      <c r="M141" s="8"/>
      <c r="N141" s="8"/>
      <c r="O141" s="6"/>
      <c r="P141" s="8"/>
      <c r="Q141" s="7"/>
      <c r="R141" s="8"/>
      <c r="S141" s="8"/>
      <c r="T141" s="6" t="s">
        <v>55</v>
      </c>
      <c r="U141" s="8"/>
      <c r="V141" s="7"/>
      <c r="W141" s="28"/>
      <c r="AB141" s="13"/>
      <c r="AC141" s="13"/>
      <c r="AD141" s="26"/>
      <c r="AE141" s="13"/>
      <c r="AF141" s="27"/>
      <c r="AG141" s="26"/>
      <c r="AH141" s="27"/>
      <c r="AI141" s="27"/>
      <c r="AJ141" s="17"/>
      <c r="AK141" s="27"/>
      <c r="AL141" s="27"/>
      <c r="AM141" s="26"/>
      <c r="AP141" s="6" t="s">
        <v>56</v>
      </c>
      <c r="AQ141" s="29">
        <v>1101</v>
      </c>
      <c r="AR141" s="30">
        <v>1142</v>
      </c>
      <c r="AU141" s="6"/>
      <c r="AV141" s="8"/>
      <c r="AW141" s="31" t="s">
        <v>57</v>
      </c>
      <c r="AX141" s="8"/>
      <c r="AY141" s="7"/>
      <c r="AZ141" s="28"/>
      <c r="BB141" s="32" t="s">
        <v>85</v>
      </c>
      <c r="BC141">
        <v>27</v>
      </c>
      <c r="BD141">
        <v>27</v>
      </c>
      <c r="BE141" s="33"/>
      <c r="BF141" s="34"/>
      <c r="BG141" s="34"/>
      <c r="BH141" s="33"/>
      <c r="BI141" s="35"/>
      <c r="BJ141" s="34" t="s">
        <v>58</v>
      </c>
      <c r="BK141" s="8"/>
      <c r="BL141" s="7"/>
    </row>
    <row r="142" spans="1:64" x14ac:dyDescent="0.3">
      <c r="A142" s="10" t="s">
        <v>59</v>
      </c>
      <c r="B142" s="36">
        <v>558</v>
      </c>
      <c r="C142" s="11">
        <v>819</v>
      </c>
      <c r="D142" s="37"/>
      <c r="E142" s="38" t="s">
        <v>60</v>
      </c>
      <c r="F142" s="39"/>
      <c r="G142" s="37">
        <f>4*212</f>
        <v>848</v>
      </c>
      <c r="H142" s="36">
        <v>4</v>
      </c>
      <c r="I142" s="37" t="s">
        <v>61</v>
      </c>
      <c r="J142" s="40"/>
      <c r="K142" s="28"/>
      <c r="L142" s="41" t="s">
        <v>59</v>
      </c>
      <c r="M142" s="28">
        <v>9550</v>
      </c>
      <c r="N142" s="28">
        <v>9852</v>
      </c>
      <c r="O142" s="42">
        <v>0</v>
      </c>
      <c r="P142" s="43">
        <v>0</v>
      </c>
      <c r="Q142" s="40">
        <v>0</v>
      </c>
      <c r="R142" s="43">
        <v>0</v>
      </c>
      <c r="S142" s="43">
        <v>0</v>
      </c>
      <c r="T142" s="42"/>
      <c r="U142" s="28"/>
      <c r="V142" s="40"/>
      <c r="W142" s="28"/>
      <c r="AB142" s="6"/>
      <c r="AC142" s="6"/>
      <c r="AD142" s="7"/>
      <c r="AE142" s="6"/>
      <c r="AF142" s="8"/>
      <c r="AG142" s="7"/>
      <c r="AH142" s="8"/>
      <c r="AI142" s="8"/>
      <c r="AJ142" s="6"/>
      <c r="AK142" s="6" t="s">
        <v>62</v>
      </c>
      <c r="AL142" s="8"/>
      <c r="AM142" s="7"/>
      <c r="AP142" s="36" t="s">
        <v>63</v>
      </c>
      <c r="AQ142" s="36">
        <v>18</v>
      </c>
      <c r="AR142" s="39">
        <v>36</v>
      </c>
      <c r="AT142" s="18"/>
      <c r="AU142" s="10"/>
      <c r="AV142" s="18"/>
      <c r="AW142" s="18"/>
      <c r="AX142" s="18"/>
      <c r="AY142" s="11"/>
      <c r="AZ142" s="28"/>
      <c r="BB142" s="44" t="s">
        <v>64</v>
      </c>
      <c r="BC142" s="18">
        <v>39</v>
      </c>
      <c r="BD142" s="18">
        <v>24</v>
      </c>
      <c r="BE142" s="10">
        <v>0</v>
      </c>
      <c r="BF142" s="18">
        <v>0</v>
      </c>
      <c r="BG142" s="18">
        <v>0</v>
      </c>
      <c r="BH142" s="10">
        <v>0</v>
      </c>
      <c r="BI142" s="11">
        <v>0</v>
      </c>
      <c r="BJ142" s="45">
        <v>2</v>
      </c>
      <c r="BK142" s="28" t="s">
        <v>249</v>
      </c>
      <c r="BL142" s="11" t="s">
        <v>300</v>
      </c>
    </row>
    <row r="143" spans="1:64" ht="15" thickBot="1" x14ac:dyDescent="0.35">
      <c r="A143" s="36" t="s">
        <v>6</v>
      </c>
      <c r="B143" s="10"/>
      <c r="C143" s="11"/>
      <c r="D143" s="18"/>
      <c r="E143" s="18"/>
      <c r="F143" s="18"/>
      <c r="G143" s="36"/>
      <c r="H143" s="42"/>
      <c r="I143" s="28"/>
      <c r="J143" s="40">
        <f>SUM(H142)</f>
        <v>4</v>
      </c>
      <c r="K143" s="28"/>
      <c r="L143" s="12"/>
      <c r="M143" s="37"/>
      <c r="N143" s="37"/>
      <c r="O143" s="10"/>
      <c r="P143" s="18"/>
      <c r="Q143" s="11"/>
      <c r="R143" s="18"/>
      <c r="S143" s="18"/>
      <c r="T143" s="10"/>
      <c r="U143" s="18"/>
      <c r="V143" s="11"/>
      <c r="W143" s="28"/>
      <c r="AB143" s="36" t="s">
        <v>59</v>
      </c>
      <c r="AC143" s="36">
        <v>1038</v>
      </c>
      <c r="AD143" s="39">
        <v>1349</v>
      </c>
      <c r="AE143" s="10">
        <v>0</v>
      </c>
      <c r="AF143" s="3">
        <v>0</v>
      </c>
      <c r="AG143" s="39">
        <v>0</v>
      </c>
      <c r="AH143" s="2">
        <v>3065</v>
      </c>
      <c r="AI143" s="2">
        <v>10392</v>
      </c>
      <c r="AJ143" s="10">
        <v>0</v>
      </c>
      <c r="AK143" s="36">
        <v>4</v>
      </c>
      <c r="AL143" s="2" t="s">
        <v>66</v>
      </c>
      <c r="AM143" s="11"/>
      <c r="AP143" s="36" t="s">
        <v>67</v>
      </c>
      <c r="AQ143" s="36">
        <v>468</v>
      </c>
      <c r="AR143" s="39">
        <v>424</v>
      </c>
      <c r="AT143" s="18"/>
      <c r="AU143" s="10"/>
      <c r="AV143" s="37">
        <v>65</v>
      </c>
      <c r="AW143" s="37" t="s">
        <v>68</v>
      </c>
      <c r="AX143" s="18"/>
      <c r="AY143" s="11"/>
      <c r="AZ143" s="28"/>
      <c r="BA143" s="28"/>
      <c r="BB143" s="46" t="s">
        <v>84</v>
      </c>
      <c r="BC143">
        <f>SUM(BC141:BC142)</f>
        <v>66</v>
      </c>
      <c r="BD143">
        <f>SUM(BD141:BD142)</f>
        <v>51</v>
      </c>
      <c r="BE143" s="47"/>
      <c r="BF143" s="48"/>
      <c r="BG143" s="48"/>
      <c r="BH143" s="47"/>
      <c r="BI143" s="49"/>
      <c r="BJ143" s="48">
        <v>3</v>
      </c>
      <c r="BK143" s="48" t="s">
        <v>69</v>
      </c>
      <c r="BL143" s="49">
        <f>SUM(BJ142:BJ143)+2</f>
        <v>7</v>
      </c>
    </row>
    <row r="144" spans="1:64" ht="15" thickBot="1" x14ac:dyDescent="0.35">
      <c r="A144" s="32"/>
      <c r="B144" s="34"/>
      <c r="C144" s="34"/>
      <c r="D144" s="33"/>
      <c r="E144" s="34"/>
      <c r="F144" s="35"/>
      <c r="G144" s="34"/>
      <c r="H144" s="6" t="s">
        <v>70</v>
      </c>
      <c r="I144" s="8"/>
      <c r="J144" s="7"/>
      <c r="K144" s="28"/>
      <c r="L144" s="17"/>
      <c r="M144" s="27"/>
      <c r="N144" s="27"/>
      <c r="O144" s="13"/>
      <c r="P144" s="27"/>
      <c r="Q144" s="26"/>
      <c r="R144" s="27"/>
      <c r="S144" s="27"/>
      <c r="T144" s="13"/>
      <c r="U144" s="27"/>
      <c r="V144" s="26"/>
      <c r="W144" s="28"/>
      <c r="AB144" s="50" t="s">
        <v>6</v>
      </c>
      <c r="AC144" s="8"/>
      <c r="AD144" s="8"/>
      <c r="AE144" s="6"/>
      <c r="AF144" s="8"/>
      <c r="AG144" s="7"/>
      <c r="AH144" s="6"/>
      <c r="AI144" s="7"/>
      <c r="AJ144" s="8"/>
      <c r="AK144" s="29" t="s">
        <v>71</v>
      </c>
      <c r="AL144" s="8"/>
      <c r="AM144" s="7"/>
      <c r="AP144" s="36" t="s">
        <v>72</v>
      </c>
      <c r="AQ144" s="36">
        <v>11</v>
      </c>
      <c r="AR144" s="39">
        <v>15</v>
      </c>
      <c r="AT144" s="18"/>
      <c r="AU144" s="10"/>
      <c r="AV144" s="37">
        <v>74</v>
      </c>
      <c r="AW144" s="37" t="s">
        <v>73</v>
      </c>
      <c r="AX144" s="18"/>
      <c r="AY144" s="11"/>
      <c r="AZ144" s="28"/>
      <c r="BA144" s="28"/>
      <c r="BB144" s="33"/>
      <c r="BC144" s="33"/>
      <c r="BD144" s="35"/>
      <c r="BE144" s="34"/>
      <c r="BF144" s="34"/>
      <c r="BG144" s="34"/>
      <c r="BH144" s="33"/>
      <c r="BI144" s="35"/>
      <c r="BJ144" s="8" t="s">
        <v>6</v>
      </c>
      <c r="BK144" s="34"/>
      <c r="BL144" s="35"/>
    </row>
    <row r="145" spans="1:65" ht="15" thickBot="1" x14ac:dyDescent="0.35">
      <c r="A145" s="44" t="s">
        <v>74</v>
      </c>
      <c r="B145" s="37">
        <v>1298</v>
      </c>
      <c r="C145" s="18">
        <v>2310</v>
      </c>
      <c r="D145" s="36"/>
      <c r="E145" s="38" t="s">
        <v>60</v>
      </c>
      <c r="F145" s="39"/>
      <c r="G145" s="37">
        <v>2555</v>
      </c>
      <c r="H145" s="36">
        <v>2</v>
      </c>
      <c r="I145" s="28" t="s">
        <v>75</v>
      </c>
      <c r="J145" s="11"/>
      <c r="K145" s="28"/>
      <c r="L145" s="32"/>
      <c r="M145" s="34"/>
      <c r="N145" s="34"/>
      <c r="O145" s="33"/>
      <c r="P145" s="34"/>
      <c r="Q145" s="35"/>
      <c r="R145" s="34"/>
      <c r="S145" s="34"/>
      <c r="T145" s="33"/>
      <c r="U145" s="34"/>
      <c r="V145" s="35"/>
      <c r="W145" s="28"/>
      <c r="AB145" s="41" t="s">
        <v>76</v>
      </c>
      <c r="AC145">
        <v>342</v>
      </c>
      <c r="AD145">
        <v>0</v>
      </c>
      <c r="AE145" s="42">
        <v>0</v>
      </c>
      <c r="AF145" s="43">
        <v>0</v>
      </c>
      <c r="AG145" s="40">
        <v>0</v>
      </c>
      <c r="AH145" s="42">
        <v>0</v>
      </c>
      <c r="AI145" s="40">
        <v>0</v>
      </c>
      <c r="AJ145" s="43">
        <v>0</v>
      </c>
      <c r="AK145" s="42">
        <v>3</v>
      </c>
      <c r="AL145" s="28" t="s">
        <v>77</v>
      </c>
      <c r="AM145" s="40"/>
      <c r="AP145" s="36" t="s">
        <v>78</v>
      </c>
      <c r="AQ145" s="36">
        <v>28</v>
      </c>
      <c r="AR145" s="39">
        <v>1</v>
      </c>
      <c r="AT145" s="18"/>
      <c r="AU145" s="10"/>
      <c r="AV145" s="37"/>
      <c r="AW145" s="37"/>
      <c r="AX145" s="18"/>
      <c r="AY145" s="11"/>
      <c r="AZ145" s="28"/>
      <c r="BA145" s="28"/>
      <c r="BB145" s="47" t="s">
        <v>6</v>
      </c>
      <c r="BC145" s="47"/>
      <c r="BD145" s="49"/>
      <c r="BE145" s="48">
        <v>0</v>
      </c>
      <c r="BF145" s="48">
        <v>0</v>
      </c>
      <c r="BG145" s="48">
        <v>0</v>
      </c>
      <c r="BH145" s="47">
        <v>0</v>
      </c>
      <c r="BI145" s="49">
        <v>0</v>
      </c>
      <c r="BJ145" s="51"/>
      <c r="BK145" s="48" t="s">
        <v>6</v>
      </c>
      <c r="BL145" s="49">
        <f>SUM(BJ145)</f>
        <v>0</v>
      </c>
    </row>
    <row r="146" spans="1:65" x14ac:dyDescent="0.3">
      <c r="A146" s="41"/>
      <c r="D146" s="42"/>
      <c r="E146" s="28"/>
      <c r="F146" s="40"/>
      <c r="H146" s="42">
        <v>10</v>
      </c>
      <c r="I146" s="28" t="s">
        <v>79</v>
      </c>
      <c r="J146" s="40"/>
      <c r="K146" s="28"/>
      <c r="L146" s="41"/>
      <c r="M146" s="28"/>
      <c r="N146" s="28"/>
      <c r="O146" s="42"/>
      <c r="P146" s="28"/>
      <c r="Q146" s="40"/>
      <c r="R146" s="28"/>
      <c r="S146" s="28"/>
      <c r="T146" s="42" t="s">
        <v>80</v>
      </c>
      <c r="U146" s="28"/>
      <c r="V146" s="40"/>
      <c r="W146" s="28"/>
      <c r="AB146" s="32"/>
      <c r="AC146" s="34"/>
      <c r="AD146" s="34"/>
      <c r="AE146" s="33"/>
      <c r="AF146" s="34"/>
      <c r="AG146" s="35"/>
      <c r="AH146" s="33"/>
      <c r="AI146" s="35"/>
      <c r="AJ146" s="34"/>
      <c r="AK146" s="33"/>
      <c r="AL146" s="34"/>
      <c r="AM146" s="35"/>
      <c r="AP146" s="52" t="s">
        <v>81</v>
      </c>
      <c r="AQ146" s="36"/>
      <c r="AR146" s="39"/>
      <c r="AU146" s="42"/>
      <c r="AV146" s="28"/>
      <c r="AW146" s="28"/>
      <c r="AX146" s="28"/>
      <c r="AY146" s="40"/>
      <c r="AZ146" s="28"/>
      <c r="BA146" s="28"/>
      <c r="BB146" s="33"/>
      <c r="BC146" s="33"/>
      <c r="BD146" s="35"/>
      <c r="BE146" s="34"/>
      <c r="BF146" s="34"/>
      <c r="BG146" s="34"/>
      <c r="BH146" s="33"/>
      <c r="BI146" s="35"/>
      <c r="BJ146" s="53" t="s">
        <v>82</v>
      </c>
      <c r="BK146" s="34"/>
      <c r="BL146" s="35"/>
    </row>
    <row r="147" spans="1:65" ht="15" thickBot="1" x14ac:dyDescent="0.35">
      <c r="A147" s="46"/>
      <c r="B147" s="48"/>
      <c r="C147" s="48"/>
      <c r="D147" s="47"/>
      <c r="E147" s="48"/>
      <c r="F147" s="49"/>
      <c r="G147" s="48"/>
      <c r="H147" s="47">
        <v>7</v>
      </c>
      <c r="I147" s="28" t="s">
        <v>83</v>
      </c>
      <c r="J147" s="49">
        <f>SUM(H145:H147)</f>
        <v>19</v>
      </c>
      <c r="K147" s="28"/>
      <c r="L147" s="17" t="s">
        <v>74</v>
      </c>
      <c r="M147" s="27">
        <v>4735</v>
      </c>
      <c r="N147" s="27">
        <v>359</v>
      </c>
      <c r="O147" s="13">
        <v>0</v>
      </c>
      <c r="P147" s="27">
        <v>0</v>
      </c>
      <c r="Q147" s="26">
        <v>0</v>
      </c>
      <c r="R147" s="27">
        <v>678</v>
      </c>
      <c r="S147" s="27">
        <v>0</v>
      </c>
      <c r="T147" s="13"/>
      <c r="U147" s="27"/>
      <c r="V147" s="26"/>
      <c r="W147" s="28"/>
      <c r="AB147" s="46"/>
      <c r="AC147" s="48"/>
      <c r="AD147" s="48"/>
      <c r="AE147" s="47"/>
      <c r="AF147" s="48"/>
      <c r="AG147" s="49"/>
      <c r="AH147" s="47"/>
      <c r="AI147" s="49"/>
      <c r="AJ147" s="48"/>
      <c r="AK147" s="47"/>
      <c r="AL147" s="48"/>
      <c r="AM147" s="49"/>
      <c r="AP147" s="13" t="s">
        <v>84</v>
      </c>
      <c r="AQ147" s="13">
        <f>SUM(AQ141:AQ146)</f>
        <v>1626</v>
      </c>
      <c r="AR147" s="26">
        <f>SUM(AR141:AR146)</f>
        <v>1618</v>
      </c>
      <c r="AT147" s="18"/>
      <c r="AU147" s="13"/>
      <c r="AV147" s="27"/>
      <c r="AW147" s="27"/>
      <c r="AX147" s="27"/>
      <c r="AY147" s="26">
        <f>SUM(AV143:AV144)</f>
        <v>139</v>
      </c>
      <c r="AZ147" s="28"/>
      <c r="BA147" s="28"/>
      <c r="BB147" s="47" t="s">
        <v>85</v>
      </c>
      <c r="BC147" s="47">
        <v>3</v>
      </c>
      <c r="BD147" s="49">
        <v>5</v>
      </c>
      <c r="BE147" s="48">
        <v>0</v>
      </c>
      <c r="BF147" s="48">
        <v>0</v>
      </c>
      <c r="BG147" s="48">
        <v>0</v>
      </c>
      <c r="BH147" s="47">
        <v>0</v>
      </c>
      <c r="BI147" s="49">
        <v>0</v>
      </c>
      <c r="BJ147" s="51">
        <v>1</v>
      </c>
      <c r="BK147" s="48" t="s">
        <v>86</v>
      </c>
      <c r="BL147" s="49">
        <f>SUM(BJ147)</f>
        <v>1</v>
      </c>
    </row>
    <row r="148" spans="1:65" x14ac:dyDescent="0.3">
      <c r="A148" s="33"/>
      <c r="B148" s="33"/>
      <c r="C148" s="35"/>
      <c r="D148" s="34"/>
      <c r="E148" s="34"/>
      <c r="F148" s="34"/>
      <c r="G148" s="32"/>
      <c r="H148" s="6" t="s">
        <v>87</v>
      </c>
      <c r="I148" s="34"/>
      <c r="J148" s="35"/>
      <c r="K148" s="28"/>
      <c r="L148" s="12" t="s">
        <v>88</v>
      </c>
      <c r="M148" s="37">
        <v>0</v>
      </c>
      <c r="N148" s="37">
        <v>330</v>
      </c>
      <c r="O148" s="10"/>
      <c r="P148" s="18"/>
      <c r="Q148" s="11"/>
      <c r="R148" s="18"/>
      <c r="S148" s="18"/>
      <c r="T148" s="33" t="s">
        <v>6</v>
      </c>
      <c r="U148" s="31"/>
      <c r="V148" s="7"/>
      <c r="W148" s="28"/>
      <c r="AB148" s="6" t="s">
        <v>89</v>
      </c>
      <c r="AC148" s="6"/>
      <c r="AD148" s="7"/>
      <c r="AE148" s="8"/>
      <c r="AF148" s="8"/>
      <c r="AG148" s="8"/>
      <c r="AH148" s="6"/>
      <c r="AI148" s="7"/>
      <c r="AJ148" s="9"/>
      <c r="AK148" s="31" t="s">
        <v>90</v>
      </c>
      <c r="AL148" s="8"/>
      <c r="AM148" s="7"/>
      <c r="AP148" s="32" t="s">
        <v>6</v>
      </c>
      <c r="AQ148" s="43"/>
      <c r="AR148" s="54"/>
      <c r="AS148" s="33"/>
      <c r="AT148" s="35"/>
      <c r="AU148" s="33"/>
      <c r="AV148" s="34" t="s">
        <v>91</v>
      </c>
      <c r="AW148" s="34"/>
      <c r="AX148" s="34"/>
      <c r="AY148" s="35"/>
      <c r="AZ148" s="28"/>
      <c r="BA148" s="28"/>
      <c r="BB148" s="50"/>
      <c r="BC148" s="31"/>
      <c r="BD148" s="31"/>
      <c r="BE148" s="29"/>
      <c r="BF148" s="31"/>
      <c r="BG148" s="30"/>
      <c r="BH148" s="55"/>
      <c r="BI148" s="8"/>
      <c r="BJ148" s="29"/>
      <c r="BK148" s="34" t="s">
        <v>92</v>
      </c>
      <c r="BL148" s="35"/>
    </row>
    <row r="149" spans="1:65" x14ac:dyDescent="0.3">
      <c r="A149" s="36" t="s">
        <v>93</v>
      </c>
      <c r="B149" s="36">
        <v>3587</v>
      </c>
      <c r="C149" s="11">
        <v>4015</v>
      </c>
      <c r="D149" s="37"/>
      <c r="E149" s="38" t="s">
        <v>60</v>
      </c>
      <c r="F149" s="37"/>
      <c r="G149" s="12">
        <v>4495</v>
      </c>
      <c r="H149" s="36">
        <v>30</v>
      </c>
      <c r="I149" s="37" t="s">
        <v>94</v>
      </c>
      <c r="J149" s="40"/>
      <c r="K149" s="28"/>
      <c r="L149" s="44" t="s">
        <v>95</v>
      </c>
      <c r="M149" s="37">
        <v>0</v>
      </c>
      <c r="N149" s="37">
        <v>390</v>
      </c>
      <c r="O149" s="10"/>
      <c r="P149" s="18"/>
      <c r="Q149" s="11"/>
      <c r="R149" s="18"/>
      <c r="S149" s="18"/>
      <c r="T149" s="10" t="s">
        <v>96</v>
      </c>
      <c r="U149" s="37"/>
      <c r="V149" s="11"/>
      <c r="W149" s="28"/>
      <c r="AB149" s="36" t="s">
        <v>97</v>
      </c>
      <c r="AC149" s="10">
        <v>0</v>
      </c>
      <c r="AD149" s="11">
        <v>0</v>
      </c>
      <c r="AE149" s="18">
        <v>0</v>
      </c>
      <c r="AF149" s="18">
        <v>0</v>
      </c>
      <c r="AG149" s="18">
        <v>0</v>
      </c>
      <c r="AH149" s="36">
        <v>0</v>
      </c>
      <c r="AI149" s="11">
        <v>0</v>
      </c>
      <c r="AJ149" s="12">
        <v>0</v>
      </c>
      <c r="AK149" s="37"/>
      <c r="AL149" s="37" t="s">
        <v>98</v>
      </c>
      <c r="AM149" s="11"/>
      <c r="AP149" s="41"/>
      <c r="AS149" s="42"/>
      <c r="AT149" s="40"/>
      <c r="AU149" s="42"/>
      <c r="AV149" s="28"/>
      <c r="AW149" s="28"/>
      <c r="AX149" s="28"/>
      <c r="AY149" s="40"/>
      <c r="AZ149" s="28" t="s">
        <v>6</v>
      </c>
      <c r="BA149" s="28"/>
      <c r="BB149" s="41" t="s">
        <v>99</v>
      </c>
      <c r="BC149" s="45">
        <v>0</v>
      </c>
      <c r="BD149" s="45">
        <v>0</v>
      </c>
      <c r="BE149" s="42">
        <v>0</v>
      </c>
      <c r="BF149" s="45">
        <v>0</v>
      </c>
      <c r="BG149" s="40">
        <v>0</v>
      </c>
      <c r="BH149" s="45">
        <v>38668</v>
      </c>
      <c r="BI149" s="56">
        <v>9314</v>
      </c>
      <c r="BJ149" s="52">
        <v>23</v>
      </c>
      <c r="BK149" s="37" t="s">
        <v>100</v>
      </c>
      <c r="BL149" s="40"/>
    </row>
    <row r="150" spans="1:65" ht="15" thickBot="1" x14ac:dyDescent="0.35">
      <c r="A150" s="47"/>
      <c r="B150" s="47"/>
      <c r="C150" s="49"/>
      <c r="D150" s="48"/>
      <c r="E150" s="48"/>
      <c r="F150" s="48"/>
      <c r="G150" s="46"/>
      <c r="H150" s="47">
        <v>1</v>
      </c>
      <c r="I150" s="48" t="s">
        <v>101</v>
      </c>
      <c r="J150" s="49">
        <f>SUM(H149:H150)</f>
        <v>31</v>
      </c>
      <c r="K150" s="28"/>
      <c r="L150" s="12" t="s">
        <v>102</v>
      </c>
      <c r="M150" s="18">
        <v>0</v>
      </c>
      <c r="N150" s="18">
        <f>190+930</f>
        <v>1120</v>
      </c>
      <c r="O150" s="10"/>
      <c r="P150" s="18"/>
      <c r="Q150" s="11"/>
      <c r="R150" s="18"/>
      <c r="S150" s="18"/>
      <c r="T150" s="10"/>
      <c r="U150" s="18"/>
      <c r="V150" s="11"/>
      <c r="W150" s="28"/>
      <c r="AB150" s="47" t="s">
        <v>84</v>
      </c>
      <c r="AC150" s="13">
        <f>SUM(AC148:AC149)</f>
        <v>0</v>
      </c>
      <c r="AD150" s="26">
        <f>SUM(AD148:AD149)</f>
        <v>0</v>
      </c>
      <c r="AE150" s="27"/>
      <c r="AF150" s="27"/>
      <c r="AG150" s="27"/>
      <c r="AH150" s="13"/>
      <c r="AI150" s="26"/>
      <c r="AJ150" s="17"/>
      <c r="AK150" s="57"/>
      <c r="AL150" s="37" t="s">
        <v>103</v>
      </c>
      <c r="AM150" s="11"/>
      <c r="AP150" s="41" t="s">
        <v>56</v>
      </c>
      <c r="AQ150">
        <v>921</v>
      </c>
      <c r="AR150">
        <v>937</v>
      </c>
      <c r="AS150" s="42"/>
      <c r="AT150" s="40"/>
      <c r="AU150" s="42"/>
      <c r="AV150" s="28"/>
      <c r="AW150" s="28"/>
      <c r="AX150" s="28"/>
      <c r="AY150" s="40"/>
      <c r="AZ150" s="28"/>
      <c r="BA150" s="28"/>
      <c r="BB150" s="17" t="s">
        <v>84</v>
      </c>
      <c r="BC150" s="18">
        <f>SUM(BC148:BC149)</f>
        <v>0</v>
      </c>
      <c r="BD150" s="18">
        <f>SUM(BD148:BD149)</f>
        <v>0</v>
      </c>
      <c r="BE150" s="13"/>
      <c r="BF150" s="27"/>
      <c r="BG150" s="26"/>
      <c r="BH150" s="58"/>
      <c r="BI150" s="27"/>
      <c r="BJ150" s="59"/>
      <c r="BK150" s="48" t="s">
        <v>6</v>
      </c>
      <c r="BL150" s="60">
        <f>SUM(BJ149:BJ150)</f>
        <v>23</v>
      </c>
    </row>
    <row r="151" spans="1:65" ht="15" thickBot="1" x14ac:dyDescent="0.35">
      <c r="A151" s="29" t="s">
        <v>250</v>
      </c>
      <c r="B151" s="29"/>
      <c r="C151" s="7"/>
      <c r="D151" s="8"/>
      <c r="E151" s="8"/>
      <c r="F151" s="8"/>
      <c r="G151" s="9"/>
      <c r="H151" s="8" t="s">
        <v>104</v>
      </c>
      <c r="I151" s="8"/>
      <c r="J151" s="7"/>
      <c r="K151" s="28"/>
      <c r="L151" s="12" t="s">
        <v>84</v>
      </c>
      <c r="M151" s="18">
        <f>SUM(M148:M150)</f>
        <v>0</v>
      </c>
      <c r="N151" s="18">
        <f>SUM(N148:N150)</f>
        <v>1840</v>
      </c>
      <c r="O151" s="10">
        <v>0</v>
      </c>
      <c r="P151" s="18">
        <v>0</v>
      </c>
      <c r="Q151" s="11">
        <v>0</v>
      </c>
      <c r="R151" s="18">
        <v>0</v>
      </c>
      <c r="S151" s="18">
        <v>0</v>
      </c>
      <c r="T151" s="13"/>
      <c r="U151" s="27"/>
      <c r="V151" s="26"/>
      <c r="W151" s="28"/>
      <c r="AB151" s="44"/>
      <c r="AC151" s="18"/>
      <c r="AD151" s="18"/>
      <c r="AE151" s="10"/>
      <c r="AF151" s="18"/>
      <c r="AG151" s="11"/>
      <c r="AH151" s="10"/>
      <c r="AI151" s="11"/>
      <c r="AJ151" s="6"/>
      <c r="AK151" s="33" t="s">
        <v>6</v>
      </c>
      <c r="AL151" s="61" t="s">
        <v>6</v>
      </c>
      <c r="AM151" s="7"/>
      <c r="AP151" s="62" t="s">
        <v>6</v>
      </c>
      <c r="AQ151" s="43"/>
      <c r="AR151" s="43"/>
      <c r="AS151" s="47"/>
      <c r="AT151" s="49"/>
      <c r="AU151" s="47"/>
      <c r="AV151" s="48">
        <v>83</v>
      </c>
      <c r="AW151" s="48" t="s">
        <v>73</v>
      </c>
      <c r="AX151" s="48"/>
      <c r="AY151" s="49">
        <f>SUM(AV151)</f>
        <v>83</v>
      </c>
      <c r="AZ151" s="28"/>
      <c r="BA151" s="28" t="s">
        <v>6</v>
      </c>
      <c r="BB151" s="32" t="s">
        <v>6</v>
      </c>
      <c r="BC151" s="63"/>
      <c r="BD151" s="64"/>
      <c r="BE151" s="33"/>
      <c r="BF151" s="8"/>
      <c r="BG151" s="35"/>
      <c r="BH151" s="65"/>
      <c r="BI151" s="66"/>
      <c r="BJ151" s="29"/>
      <c r="BK151" s="31" t="s">
        <v>57</v>
      </c>
      <c r="BL151" s="35"/>
    </row>
    <row r="152" spans="1:65" x14ac:dyDescent="0.3">
      <c r="A152" s="42" t="s">
        <v>105</v>
      </c>
      <c r="B152" s="42">
        <v>385</v>
      </c>
      <c r="C152" s="40">
        <v>510</v>
      </c>
      <c r="D152" s="28"/>
      <c r="E152" s="38" t="s">
        <v>60</v>
      </c>
      <c r="F152" s="28"/>
      <c r="G152" s="41">
        <f>9*70</f>
        <v>630</v>
      </c>
      <c r="H152" s="43">
        <v>9</v>
      </c>
      <c r="I152" s="43" t="s">
        <v>106</v>
      </c>
      <c r="J152" s="40">
        <f>SUM(H152)</f>
        <v>9</v>
      </c>
      <c r="K152" s="28"/>
      <c r="L152" s="32"/>
      <c r="M152" s="33"/>
      <c r="N152" s="35"/>
      <c r="O152" s="34"/>
      <c r="P152" s="34"/>
      <c r="Q152" s="35"/>
      <c r="R152" s="33"/>
      <c r="S152" s="35"/>
      <c r="T152" s="6" t="s">
        <v>104</v>
      </c>
      <c r="U152" s="34"/>
      <c r="V152" s="35"/>
      <c r="W152" s="28"/>
      <c r="AB152" s="41" t="s">
        <v>6</v>
      </c>
      <c r="AC152" s="18"/>
      <c r="AD152" s="18"/>
      <c r="AE152" s="10">
        <v>0</v>
      </c>
      <c r="AF152" s="18">
        <v>0</v>
      </c>
      <c r="AG152" s="11">
        <v>0</v>
      </c>
      <c r="AH152" s="10"/>
      <c r="AI152" s="11"/>
      <c r="AJ152" s="10">
        <v>0</v>
      </c>
      <c r="AK152" s="10"/>
      <c r="AL152" s="37" t="s">
        <v>6</v>
      </c>
      <c r="AM152" s="11"/>
      <c r="AP152" s="10"/>
      <c r="AQ152" s="29"/>
      <c r="AR152" s="31"/>
      <c r="AS152" s="33"/>
      <c r="AT152" s="7"/>
      <c r="AU152" s="8"/>
      <c r="AV152" s="8"/>
      <c r="AW152" s="8"/>
      <c r="AX152" s="8"/>
      <c r="AY152" s="7"/>
      <c r="AZ152" s="28"/>
      <c r="BA152" s="28" t="s">
        <v>6</v>
      </c>
      <c r="BB152" s="68" t="s">
        <v>301</v>
      </c>
      <c r="BC152">
        <v>2</v>
      </c>
      <c r="BD152">
        <v>0</v>
      </c>
      <c r="BE152" s="42"/>
      <c r="BF152" s="28"/>
      <c r="BG152" s="40"/>
      <c r="BH152" s="42"/>
      <c r="BI152" s="40"/>
      <c r="BJ152" s="42"/>
      <c r="BK152" s="28"/>
      <c r="BL152" s="40"/>
    </row>
    <row r="153" spans="1:65" ht="15" thickBot="1" x14ac:dyDescent="0.35">
      <c r="A153" s="67" t="s">
        <v>84</v>
      </c>
      <c r="B153" s="47">
        <f>SUM(B151:B152)</f>
        <v>385</v>
      </c>
      <c r="C153" s="49">
        <f>SUM(C151:C152)</f>
        <v>510</v>
      </c>
      <c r="G153" s="46"/>
      <c r="H153" s="48"/>
      <c r="I153" s="48"/>
      <c r="J153" s="49"/>
      <c r="K153" s="28"/>
      <c r="L153" s="69" t="s">
        <v>109</v>
      </c>
      <c r="M153" s="42">
        <v>1440</v>
      </c>
      <c r="N153" s="40">
        <v>0</v>
      </c>
      <c r="O153" s="28">
        <v>0</v>
      </c>
      <c r="P153" s="43">
        <v>0</v>
      </c>
      <c r="Q153" s="40">
        <v>0</v>
      </c>
      <c r="R153" s="42">
        <v>0</v>
      </c>
      <c r="S153" s="40">
        <v>0</v>
      </c>
      <c r="T153" s="28"/>
      <c r="U153" s="28"/>
      <c r="V153" s="40"/>
      <c r="W153" s="28"/>
      <c r="AA153" s="28"/>
      <c r="AB153" s="44"/>
      <c r="AC153" s="45"/>
      <c r="AD153" s="45"/>
      <c r="AE153" s="10">
        <v>0</v>
      </c>
      <c r="AF153" s="18">
        <v>0</v>
      </c>
      <c r="AG153" s="11">
        <v>0</v>
      </c>
      <c r="AH153" s="10"/>
      <c r="AI153" s="11"/>
      <c r="AJ153" s="67"/>
      <c r="AK153" s="42"/>
      <c r="AL153" s="54"/>
      <c r="AM153" s="40"/>
      <c r="AN153" s="28"/>
      <c r="AP153" s="36" t="s">
        <v>63</v>
      </c>
      <c r="AQ153" s="10">
        <v>25</v>
      </c>
      <c r="AR153" s="18">
        <v>38</v>
      </c>
      <c r="AS153" s="42"/>
      <c r="AT153" s="11"/>
      <c r="AU153" s="18"/>
      <c r="AV153" s="18" t="s">
        <v>110</v>
      </c>
      <c r="AW153" s="18" t="s">
        <v>111</v>
      </c>
      <c r="AX153" s="18" t="s">
        <v>112</v>
      </c>
      <c r="AY153" s="11"/>
      <c r="AZ153" s="45"/>
      <c r="BA153" s="28"/>
      <c r="BB153" s="41" t="s">
        <v>113</v>
      </c>
      <c r="BC153" s="70">
        <v>520</v>
      </c>
      <c r="BD153" s="71">
        <v>559</v>
      </c>
      <c r="BE153" s="42"/>
      <c r="BF153" s="28"/>
      <c r="BG153" s="40"/>
      <c r="BH153" s="42"/>
      <c r="BI153" s="40"/>
      <c r="BJ153" s="42"/>
      <c r="BK153" s="43" t="s">
        <v>6</v>
      </c>
      <c r="BL153" s="40"/>
    </row>
    <row r="154" spans="1:65" ht="15" thickBot="1" x14ac:dyDescent="0.35">
      <c r="A154" s="29" t="s">
        <v>108</v>
      </c>
      <c r="B154" s="29">
        <v>0</v>
      </c>
      <c r="C154" s="7">
        <v>0</v>
      </c>
      <c r="D154" s="8"/>
      <c r="E154" s="8">
        <v>1161</v>
      </c>
      <c r="F154" s="8"/>
      <c r="G154" s="50"/>
      <c r="H154" s="6" t="s">
        <v>104</v>
      </c>
      <c r="I154" s="31"/>
      <c r="J154" s="30"/>
      <c r="K154" s="28"/>
      <c r="L154" s="46"/>
      <c r="M154" s="47"/>
      <c r="N154" s="49"/>
      <c r="O154" s="48"/>
      <c r="P154" s="48"/>
      <c r="Q154" s="49"/>
      <c r="R154" s="72"/>
      <c r="S154" s="73"/>
      <c r="T154" s="48"/>
      <c r="U154" s="48"/>
      <c r="V154" s="49"/>
      <c r="W154" s="28"/>
      <c r="AA154" s="28"/>
      <c r="AB154" s="41"/>
      <c r="AE154" s="10">
        <v>0</v>
      </c>
      <c r="AF154" s="18">
        <v>0</v>
      </c>
      <c r="AG154" s="11">
        <v>0</v>
      </c>
      <c r="AH154" s="10"/>
      <c r="AI154" s="11"/>
      <c r="AJ154" s="47"/>
      <c r="AK154" s="72"/>
      <c r="AL154" s="74"/>
      <c r="AM154" s="49"/>
      <c r="AN154" s="28"/>
      <c r="AP154" s="10" t="s">
        <v>115</v>
      </c>
      <c r="AQ154" s="36">
        <v>49</v>
      </c>
      <c r="AR154" s="37">
        <v>20</v>
      </c>
      <c r="AS154" s="42"/>
      <c r="AT154" s="11"/>
      <c r="AU154" s="18"/>
      <c r="AV154" s="18"/>
      <c r="AW154" s="18"/>
      <c r="AX154" s="18"/>
      <c r="AY154" s="11"/>
      <c r="AZ154" s="28"/>
      <c r="BA154" s="28"/>
      <c r="BB154" s="68" t="s">
        <v>84</v>
      </c>
      <c r="BC154">
        <f>SUM(BC151:BC153)</f>
        <v>522</v>
      </c>
      <c r="BD154">
        <f>SUM(BD151:BD153)</f>
        <v>559</v>
      </c>
      <c r="BE154" s="47">
        <v>0</v>
      </c>
      <c r="BF154" s="27">
        <v>0</v>
      </c>
      <c r="BG154" s="49">
        <v>0</v>
      </c>
      <c r="BH154" s="75">
        <v>0</v>
      </c>
      <c r="BI154" s="49">
        <v>0</v>
      </c>
      <c r="BJ154" s="47">
        <v>44</v>
      </c>
      <c r="BK154" s="51" t="s">
        <v>73</v>
      </c>
      <c r="BL154" s="49">
        <f>SUM(BJ152:BJ154)</f>
        <v>44</v>
      </c>
    </row>
    <row r="155" spans="1:65" x14ac:dyDescent="0.3">
      <c r="A155" s="52" t="s">
        <v>109</v>
      </c>
      <c r="B155" s="36">
        <v>854</v>
      </c>
      <c r="C155" s="11">
        <v>1044</v>
      </c>
      <c r="D155" s="45"/>
      <c r="E155" s="45">
        <v>0</v>
      </c>
      <c r="F155" s="45"/>
      <c r="G155" s="69"/>
      <c r="H155" s="45">
        <v>7</v>
      </c>
      <c r="I155" s="28" t="s">
        <v>114</v>
      </c>
      <c r="J155" s="40"/>
      <c r="K155" s="28"/>
      <c r="L155" s="50" t="s">
        <v>93</v>
      </c>
      <c r="M155" s="8">
        <v>0</v>
      </c>
      <c r="N155" s="8">
        <v>0</v>
      </c>
      <c r="O155" s="6"/>
      <c r="P155" s="8"/>
      <c r="Q155" s="7"/>
      <c r="R155" s="8">
        <v>0</v>
      </c>
      <c r="S155" s="8">
        <v>0</v>
      </c>
      <c r="T155" s="10" t="s">
        <v>116</v>
      </c>
      <c r="U155" s="8"/>
      <c r="V155" s="7"/>
      <c r="W155" s="28"/>
      <c r="AA155" s="28"/>
      <c r="AB155" s="32"/>
      <c r="AC155" s="6"/>
      <c r="AD155" s="7"/>
      <c r="AE155" s="8"/>
      <c r="AF155" s="8"/>
      <c r="AG155" s="8"/>
      <c r="AH155" s="6"/>
      <c r="AI155" s="7"/>
      <c r="AJ155" s="8"/>
      <c r="AK155" s="36"/>
      <c r="AL155" s="77" t="s">
        <v>117</v>
      </c>
      <c r="AM155" s="11"/>
      <c r="AN155" s="28"/>
      <c r="AP155" s="52" t="s">
        <v>72</v>
      </c>
      <c r="AQ155" s="52">
        <v>14</v>
      </c>
      <c r="AR155" s="54">
        <v>12</v>
      </c>
      <c r="AS155" s="42"/>
      <c r="AT155" s="40"/>
      <c r="AU155" s="28"/>
      <c r="AV155" s="28"/>
      <c r="AW155" s="28"/>
      <c r="AX155" s="28"/>
      <c r="AY155" s="40"/>
      <c r="AZ155" s="28"/>
      <c r="BA155" s="28"/>
      <c r="BB155" s="33" t="s">
        <v>64</v>
      </c>
      <c r="BC155" s="78">
        <v>0</v>
      </c>
      <c r="BD155" s="79">
        <v>0</v>
      </c>
      <c r="BE155" s="34"/>
      <c r="BF155" s="8"/>
      <c r="BG155" s="35"/>
      <c r="BH155" s="80"/>
      <c r="BI155" s="34"/>
      <c r="BJ155" s="33"/>
      <c r="BK155" s="34" t="s">
        <v>91</v>
      </c>
      <c r="BL155" s="35"/>
    </row>
    <row r="156" spans="1:65" ht="15" thickBot="1" x14ac:dyDescent="0.35">
      <c r="A156" s="76" t="s">
        <v>84</v>
      </c>
      <c r="B156" s="42">
        <f>SUM(B154:B155)</f>
        <v>854</v>
      </c>
      <c r="C156" s="40">
        <f>SUM(C154:C155)</f>
        <v>1044</v>
      </c>
      <c r="D156" s="28"/>
      <c r="E156" s="28">
        <f>SUM(E154:E155)</f>
        <v>1161</v>
      </c>
      <c r="F156" s="28"/>
      <c r="G156" s="46">
        <f>7*355</f>
        <v>2485</v>
      </c>
      <c r="H156" s="48"/>
      <c r="I156" s="48"/>
      <c r="J156" s="49">
        <f>SUM(H155)</f>
        <v>7</v>
      </c>
      <c r="K156" s="28"/>
      <c r="L156" s="12" t="s">
        <v>99</v>
      </c>
      <c r="M156" s="37">
        <v>31021</v>
      </c>
      <c r="N156" s="37">
        <v>19303</v>
      </c>
      <c r="O156" s="10"/>
      <c r="P156" s="18"/>
      <c r="Q156" s="11"/>
      <c r="R156" s="18">
        <v>4264</v>
      </c>
      <c r="S156" s="18">
        <v>164</v>
      </c>
      <c r="T156" s="10"/>
      <c r="U156" s="18"/>
      <c r="V156" s="11"/>
      <c r="W156" s="28"/>
      <c r="AA156" s="28"/>
      <c r="AB156" s="68"/>
      <c r="AC156" s="42"/>
      <c r="AD156" s="40"/>
      <c r="AH156" s="42"/>
      <c r="AI156" s="40"/>
      <c r="AK156" s="42"/>
      <c r="AL156" s="54" t="s">
        <v>119</v>
      </c>
      <c r="AM156" s="40"/>
      <c r="AN156" s="28"/>
      <c r="AP156" s="36" t="s">
        <v>78</v>
      </c>
      <c r="AQ156" s="36">
        <v>69</v>
      </c>
      <c r="AR156" s="37">
        <v>39</v>
      </c>
      <c r="AS156" s="42"/>
      <c r="AT156" s="11"/>
      <c r="AU156" s="18"/>
      <c r="AV156" s="37"/>
      <c r="AW156" s="18"/>
      <c r="AX156" s="37"/>
      <c r="AY156" s="11"/>
      <c r="AZ156" s="28"/>
      <c r="BA156" s="28"/>
      <c r="BB156" s="52" t="s">
        <v>85</v>
      </c>
      <c r="BC156" s="42">
        <v>14</v>
      </c>
      <c r="BD156" s="40">
        <v>3</v>
      </c>
      <c r="BE156" s="28"/>
      <c r="BF156" s="28"/>
      <c r="BG156" s="40"/>
      <c r="BJ156" s="42"/>
      <c r="BK156" s="28"/>
      <c r="BL156" s="40"/>
    </row>
    <row r="157" spans="1:65" x14ac:dyDescent="0.3">
      <c r="A157" s="32" t="s">
        <v>93</v>
      </c>
      <c r="B157" s="33">
        <v>5329</v>
      </c>
      <c r="C157" s="35">
        <v>5591</v>
      </c>
      <c r="D157" s="33"/>
      <c r="E157" s="34"/>
      <c r="F157" s="34"/>
      <c r="G157" s="32">
        <v>6200</v>
      </c>
      <c r="H157" s="33" t="s">
        <v>118</v>
      </c>
      <c r="I157" s="34"/>
      <c r="J157" s="35"/>
      <c r="K157" s="28"/>
      <c r="L157" s="12" t="s">
        <v>120</v>
      </c>
      <c r="M157" s="37">
        <v>7951</v>
      </c>
      <c r="N157" s="37">
        <v>61465</v>
      </c>
      <c r="O157" s="10"/>
      <c r="P157" s="18"/>
      <c r="Q157" s="11"/>
      <c r="R157" s="18">
        <v>745</v>
      </c>
      <c r="S157" s="18"/>
      <c r="T157" s="10"/>
      <c r="U157" s="18"/>
      <c r="V157" s="11"/>
      <c r="W157" s="28"/>
      <c r="AA157" s="28"/>
      <c r="AB157" s="44"/>
      <c r="AC157" s="10"/>
      <c r="AD157" s="11"/>
      <c r="AE157" s="18"/>
      <c r="AF157" s="18"/>
      <c r="AG157" s="18"/>
      <c r="AH157" s="10"/>
      <c r="AI157" s="11"/>
      <c r="AJ157" s="18"/>
      <c r="AK157" s="10">
        <v>1</v>
      </c>
      <c r="AL157" s="37" t="s">
        <v>302</v>
      </c>
      <c r="AM157" s="11"/>
      <c r="AN157" s="28"/>
      <c r="AP157" s="10" t="s">
        <v>122</v>
      </c>
      <c r="AQ157" s="36">
        <v>108</v>
      </c>
      <c r="AR157" s="37">
        <v>88</v>
      </c>
      <c r="AS157" s="42"/>
      <c r="AT157" s="11"/>
      <c r="AU157" s="18"/>
      <c r="AV157" s="18">
        <v>3</v>
      </c>
      <c r="AW157" s="18" t="s">
        <v>123</v>
      </c>
      <c r="AX157" s="18"/>
      <c r="AY157" s="11"/>
      <c r="AZ157" s="28"/>
      <c r="BA157" s="28"/>
      <c r="BB157" s="67" t="s">
        <v>113</v>
      </c>
      <c r="BC157" s="42">
        <v>452</v>
      </c>
      <c r="BD157" s="40">
        <v>435</v>
      </c>
      <c r="BE157" s="28"/>
      <c r="BF157" s="28"/>
      <c r="BG157" s="40"/>
      <c r="BH157" s="28"/>
      <c r="BI157" s="28"/>
      <c r="BJ157" s="67">
        <v>49</v>
      </c>
      <c r="BK157" s="43" t="s">
        <v>73</v>
      </c>
      <c r="BL157" s="40"/>
      <c r="BM157" t="s">
        <v>6</v>
      </c>
    </row>
    <row r="158" spans="1:65" ht="15" thickBot="1" x14ac:dyDescent="0.35">
      <c r="A158" s="41" t="s">
        <v>120</v>
      </c>
      <c r="B158" s="42">
        <v>3126</v>
      </c>
      <c r="C158" s="40">
        <v>3855</v>
      </c>
      <c r="D158" s="42"/>
      <c r="E158" s="28" t="s">
        <v>60</v>
      </c>
      <c r="F158" s="28"/>
      <c r="G158" s="41">
        <v>4929</v>
      </c>
      <c r="H158" s="42">
        <v>31</v>
      </c>
      <c r="I158" s="28" t="s">
        <v>101</v>
      </c>
      <c r="J158" s="40"/>
      <c r="K158" s="28"/>
      <c r="L158" s="12" t="s">
        <v>84</v>
      </c>
      <c r="M158" s="18">
        <f>SUM(M155:M157)</f>
        <v>38972</v>
      </c>
      <c r="N158" s="18">
        <f>SUM(N155:N157)</f>
        <v>80768</v>
      </c>
      <c r="O158" s="10">
        <v>0</v>
      </c>
      <c r="P158" s="18">
        <v>0</v>
      </c>
      <c r="Q158" s="11">
        <v>0</v>
      </c>
      <c r="R158" s="18">
        <f>SUM(R155:R157)</f>
        <v>5009</v>
      </c>
      <c r="S158" s="18">
        <f>SUM(S155:S157)</f>
        <v>164</v>
      </c>
      <c r="T158" s="10"/>
      <c r="U158" s="18"/>
      <c r="V158" s="11"/>
      <c r="W158" s="28"/>
      <c r="AA158" s="28"/>
      <c r="AB158" s="46"/>
      <c r="AC158" s="47"/>
      <c r="AD158" s="49"/>
      <c r="AE158" s="48"/>
      <c r="AF158" s="48"/>
      <c r="AG158" s="48"/>
      <c r="AH158" s="47"/>
      <c r="AI158" s="49"/>
      <c r="AJ158" s="48"/>
      <c r="AK158" s="47">
        <v>1</v>
      </c>
      <c r="AL158" s="48" t="s">
        <v>124</v>
      </c>
      <c r="AM158" s="49"/>
      <c r="AN158" s="28"/>
      <c r="AP158" s="10" t="s">
        <v>125</v>
      </c>
      <c r="AQ158" s="36">
        <v>0</v>
      </c>
      <c r="AR158" s="37">
        <v>1</v>
      </c>
      <c r="AS158" s="42"/>
      <c r="AT158" s="11"/>
      <c r="AU158" s="18"/>
      <c r="AV158" s="18">
        <v>52</v>
      </c>
      <c r="AW158" s="18" t="s">
        <v>126</v>
      </c>
      <c r="AX158" s="18"/>
      <c r="AY158" s="11"/>
      <c r="AZ158" s="28"/>
      <c r="BA158" s="28"/>
      <c r="BB158" s="47" t="s">
        <v>84</v>
      </c>
      <c r="BC158" s="47">
        <f>SUM(BC155:BC157)</f>
        <v>466</v>
      </c>
      <c r="BD158" s="49">
        <f>SUM(BD155:BD157)</f>
        <v>438</v>
      </c>
      <c r="BE158" s="81">
        <v>0</v>
      </c>
      <c r="BF158" s="27">
        <v>0</v>
      </c>
      <c r="BG158" s="82">
        <v>0</v>
      </c>
      <c r="BH158" s="74">
        <v>0</v>
      </c>
      <c r="BI158" s="74">
        <v>0</v>
      </c>
      <c r="BJ158" s="47"/>
      <c r="BK158" s="51"/>
      <c r="BL158" s="49">
        <f>SUM(BJ157)</f>
        <v>49</v>
      </c>
    </row>
    <row r="159" spans="1:65" ht="15" thickBot="1" x14ac:dyDescent="0.35">
      <c r="A159" s="46" t="s">
        <v>84</v>
      </c>
      <c r="B159" s="47">
        <f>SUM(B157:B158)</f>
        <v>8455</v>
      </c>
      <c r="C159" s="49">
        <f>SUM(C157:C158)</f>
        <v>9446</v>
      </c>
      <c r="D159" s="47"/>
      <c r="E159" s="48"/>
      <c r="F159" s="48"/>
      <c r="G159" s="46">
        <f>SUM(G157:G158)</f>
        <v>11129</v>
      </c>
      <c r="H159" s="47">
        <v>62</v>
      </c>
      <c r="I159" s="48" t="s">
        <v>127</v>
      </c>
      <c r="J159" s="49">
        <f>SUM(H158:H159)</f>
        <v>93</v>
      </c>
      <c r="K159" s="28"/>
      <c r="L159" s="17"/>
      <c r="M159" s="27"/>
      <c r="N159" s="27"/>
      <c r="O159" s="13"/>
      <c r="P159" s="27"/>
      <c r="Q159" s="26"/>
      <c r="R159" s="27"/>
      <c r="S159" s="27"/>
      <c r="T159" s="13"/>
      <c r="U159" s="27"/>
      <c r="V159" s="26"/>
      <c r="W159" s="28"/>
      <c r="AA159" s="28"/>
      <c r="AB159" s="32"/>
      <c r="AE159" s="33"/>
      <c r="AF159" s="34"/>
      <c r="AG159" s="34"/>
      <c r="AH159" s="33"/>
      <c r="AI159" s="35"/>
      <c r="AJ159" s="32"/>
      <c r="AK159" s="83"/>
      <c r="AL159" s="34"/>
      <c r="AM159" s="35"/>
      <c r="AN159" s="28"/>
      <c r="AP159" s="84" t="s">
        <v>128</v>
      </c>
      <c r="AQ159" s="52">
        <v>0</v>
      </c>
      <c r="AR159" s="37">
        <v>1</v>
      </c>
      <c r="AS159" s="42"/>
      <c r="AT159" s="40"/>
      <c r="AU159" s="28"/>
      <c r="AV159" s="28">
        <v>41</v>
      </c>
      <c r="AW159" s="28" t="s">
        <v>129</v>
      </c>
      <c r="AX159" s="28"/>
      <c r="AY159" s="40"/>
      <c r="BA159" s="28"/>
      <c r="BB159" s="52" t="s">
        <v>113</v>
      </c>
      <c r="BC159" s="42">
        <v>682</v>
      </c>
      <c r="BD159" s="85">
        <v>629</v>
      </c>
      <c r="BE159" s="37"/>
      <c r="BF159" s="18"/>
      <c r="BG159" s="54"/>
      <c r="BH159" s="52"/>
      <c r="BI159" s="40"/>
      <c r="BJ159" s="67"/>
      <c r="BK159" s="34" t="s">
        <v>130</v>
      </c>
      <c r="BL159" s="40"/>
    </row>
    <row r="160" spans="1:65" ht="15" thickBot="1" x14ac:dyDescent="0.35">
      <c r="A160" s="41" t="s">
        <v>88</v>
      </c>
      <c r="B160" s="42">
        <v>443</v>
      </c>
      <c r="C160" s="40">
        <v>432</v>
      </c>
      <c r="D160" s="28"/>
      <c r="E160" s="45">
        <v>0</v>
      </c>
      <c r="F160" s="40"/>
      <c r="G160" s="40"/>
      <c r="H160" s="28" t="s">
        <v>131</v>
      </c>
      <c r="J160" s="40"/>
      <c r="K160" s="28"/>
      <c r="L160" s="12" t="s">
        <v>105</v>
      </c>
      <c r="M160" s="34">
        <v>1260</v>
      </c>
      <c r="N160" s="34">
        <v>12973</v>
      </c>
      <c r="O160" s="33"/>
      <c r="P160" s="34"/>
      <c r="Q160" s="35"/>
      <c r="R160" s="34">
        <v>8</v>
      </c>
      <c r="S160" s="34">
        <v>0</v>
      </c>
      <c r="T160" s="33"/>
      <c r="U160" s="34"/>
      <c r="V160" s="35"/>
      <c r="W160" s="28"/>
      <c r="AA160" s="28"/>
      <c r="AB160" s="46"/>
      <c r="AE160" s="47"/>
      <c r="AF160" s="48"/>
      <c r="AG160" s="48"/>
      <c r="AH160" s="47"/>
      <c r="AI160" s="49"/>
      <c r="AJ160" s="46"/>
      <c r="AK160" s="48"/>
      <c r="AL160" s="48" t="s">
        <v>6</v>
      </c>
      <c r="AM160" s="49"/>
      <c r="AN160" s="28"/>
      <c r="AP160" s="84" t="s">
        <v>132</v>
      </c>
      <c r="AQ160" s="42">
        <v>0</v>
      </c>
      <c r="AR160" s="37">
        <v>0</v>
      </c>
      <c r="AS160" s="42"/>
      <c r="AT160" s="40"/>
      <c r="AU160" s="28"/>
      <c r="AV160" s="28"/>
      <c r="AW160" s="28"/>
      <c r="AX160" s="28"/>
      <c r="AY160" s="40"/>
      <c r="AZ160" s="28"/>
      <c r="BA160" s="28"/>
      <c r="BB160" s="42" t="s">
        <v>133</v>
      </c>
      <c r="BC160" s="67">
        <v>0</v>
      </c>
      <c r="BD160" s="85">
        <v>0</v>
      </c>
      <c r="BE160" s="28"/>
      <c r="BF160" s="18"/>
      <c r="BG160" s="28"/>
      <c r="BH160" s="52"/>
      <c r="BI160" s="86"/>
      <c r="BJ160" s="52">
        <f>104/2</f>
        <v>52</v>
      </c>
      <c r="BK160" s="43" t="s">
        <v>73</v>
      </c>
      <c r="BL160" s="40"/>
    </row>
    <row r="161" spans="1:64" ht="15" thickBot="1" x14ac:dyDescent="0.35">
      <c r="A161" s="41" t="s">
        <v>102</v>
      </c>
      <c r="B161" s="42">
        <v>299</v>
      </c>
      <c r="C161" s="85">
        <v>426</v>
      </c>
      <c r="D161" s="28"/>
      <c r="E161" s="45">
        <v>0</v>
      </c>
      <c r="F161" s="40"/>
      <c r="G161" s="40">
        <f>9*169</f>
        <v>1521</v>
      </c>
      <c r="H161" s="28">
        <v>9</v>
      </c>
      <c r="I161" s="28" t="s">
        <v>134</v>
      </c>
      <c r="J161" s="40"/>
      <c r="K161" s="28"/>
      <c r="L161" s="44" t="s">
        <v>99</v>
      </c>
      <c r="M161" s="18">
        <v>232</v>
      </c>
      <c r="N161" s="18"/>
      <c r="O161" s="10"/>
      <c r="P161" s="18"/>
      <c r="Q161" s="11"/>
      <c r="R161" s="18">
        <v>0</v>
      </c>
      <c r="S161" s="18">
        <v>0</v>
      </c>
      <c r="T161" s="10" t="s">
        <v>135</v>
      </c>
      <c r="U161" s="18"/>
      <c r="V161" s="11"/>
      <c r="W161" s="28"/>
      <c r="AA161" s="28"/>
      <c r="AB161" s="32" t="s">
        <v>89</v>
      </c>
      <c r="AC161" s="33">
        <v>443</v>
      </c>
      <c r="AD161" s="34">
        <v>374</v>
      </c>
      <c r="AE161" s="33"/>
      <c r="AF161" s="34"/>
      <c r="AG161" s="34"/>
      <c r="AH161" s="33"/>
      <c r="AI161" s="35"/>
      <c r="AJ161" s="35"/>
      <c r="AK161" s="34" t="s">
        <v>136</v>
      </c>
      <c r="AL161" s="34"/>
      <c r="AM161" s="35"/>
      <c r="AN161" s="28"/>
      <c r="AP161" s="84" t="s">
        <v>81</v>
      </c>
      <c r="AQ161" s="42">
        <v>72</v>
      </c>
      <c r="AR161" s="37">
        <v>24</v>
      </c>
      <c r="AS161" s="42"/>
      <c r="AT161" s="40"/>
      <c r="AU161" s="28"/>
      <c r="AV161" s="28"/>
      <c r="AW161" s="28"/>
      <c r="AX161" s="28"/>
      <c r="AY161" s="40"/>
      <c r="AZ161" s="28"/>
      <c r="BA161" s="28"/>
      <c r="BB161" s="59" t="s">
        <v>84</v>
      </c>
      <c r="BC161" s="13">
        <f>SUM(BC159:BC160)</f>
        <v>682</v>
      </c>
      <c r="BD161" s="60">
        <f>SUM(BD159:BD160)</f>
        <v>629</v>
      </c>
      <c r="BE161" s="81">
        <v>0</v>
      </c>
      <c r="BF161" s="27">
        <v>0</v>
      </c>
      <c r="BG161" s="27">
        <v>0</v>
      </c>
      <c r="BH161" s="13">
        <v>0</v>
      </c>
      <c r="BI161" s="26">
        <v>0</v>
      </c>
      <c r="BJ161" s="13"/>
      <c r="BK161" s="43"/>
      <c r="BL161" s="26">
        <f>SUM(BJ159:BJ160)</f>
        <v>52</v>
      </c>
    </row>
    <row r="162" spans="1:64" ht="15" thickBot="1" x14ac:dyDescent="0.35">
      <c r="A162" s="87" t="s">
        <v>84</v>
      </c>
      <c r="B162" s="59">
        <f>SUM(B160:B161)</f>
        <v>742</v>
      </c>
      <c r="C162" s="26">
        <f>SUM(C160:C161)</f>
        <v>858</v>
      </c>
      <c r="D162" s="27"/>
      <c r="E162" s="16">
        <f>SUM(E158:E161)</f>
        <v>0</v>
      </c>
      <c r="F162" s="26"/>
      <c r="G162" s="49"/>
      <c r="H162" s="48"/>
      <c r="I162" s="48"/>
      <c r="J162" s="49">
        <f>SUM(H160:H161)</f>
        <v>9</v>
      </c>
      <c r="K162" s="28"/>
      <c r="L162" s="12"/>
      <c r="M162" s="18"/>
      <c r="N162" s="18"/>
      <c r="O162" s="10"/>
      <c r="P162" s="18"/>
      <c r="Q162" s="11"/>
      <c r="R162" s="18"/>
      <c r="S162" s="18"/>
      <c r="T162" s="10"/>
      <c r="U162" s="18"/>
      <c r="V162" s="11"/>
      <c r="W162" s="28"/>
      <c r="AA162" s="28"/>
      <c r="AB162" s="44" t="s">
        <v>137</v>
      </c>
      <c r="AC162" s="10">
        <v>163</v>
      </c>
      <c r="AD162" s="18">
        <v>172</v>
      </c>
      <c r="AE162" s="10"/>
      <c r="AF162" s="18"/>
      <c r="AG162" s="18"/>
      <c r="AH162" s="52"/>
      <c r="AI162" s="85"/>
      <c r="AJ162" s="40"/>
      <c r="AK162" s="45"/>
      <c r="AL162" s="37"/>
      <c r="AM162" s="40"/>
      <c r="AN162" s="28"/>
      <c r="AP162" s="10" t="s">
        <v>138</v>
      </c>
      <c r="AQ162" s="36">
        <v>11</v>
      </c>
      <c r="AR162" s="37">
        <v>0</v>
      </c>
      <c r="AS162" s="42"/>
      <c r="AT162" s="11"/>
      <c r="AU162" s="18"/>
      <c r="AV162" s="18"/>
      <c r="AW162" s="18"/>
      <c r="AX162" s="18"/>
      <c r="AY162" s="11"/>
      <c r="AZ162" s="28"/>
      <c r="BA162" s="28"/>
      <c r="BB162" s="88" t="s">
        <v>139</v>
      </c>
      <c r="BC162" s="33">
        <f>2+5+3</f>
        <v>10</v>
      </c>
      <c r="BD162" s="35">
        <f>2+5</f>
        <v>7</v>
      </c>
      <c r="BE162" s="89"/>
      <c r="BF162" s="89"/>
      <c r="BG162" s="80"/>
      <c r="BH162" s="6"/>
      <c r="BI162" s="35"/>
      <c r="BJ162" s="33" t="s">
        <v>140</v>
      </c>
      <c r="BK162" s="34"/>
      <c r="BL162" s="35"/>
    </row>
    <row r="163" spans="1:64" x14ac:dyDescent="0.3">
      <c r="A163" s="36" t="s">
        <v>93</v>
      </c>
      <c r="B163" s="42">
        <v>7954</v>
      </c>
      <c r="C163" s="90">
        <v>7858</v>
      </c>
      <c r="D163" s="3"/>
      <c r="E163" s="91" t="s">
        <v>60</v>
      </c>
      <c r="F163" s="18"/>
      <c r="G163" s="44">
        <f>62*160</f>
        <v>9920</v>
      </c>
      <c r="H163" s="10" t="s">
        <v>116</v>
      </c>
      <c r="I163" s="18"/>
      <c r="J163" s="11"/>
      <c r="K163" s="28"/>
      <c r="L163" s="12" t="s">
        <v>84</v>
      </c>
      <c r="M163" s="18">
        <f>SUM(M160:M162)</f>
        <v>1492</v>
      </c>
      <c r="N163" s="18">
        <f>SUM(N160:N162)</f>
        <v>12973</v>
      </c>
      <c r="O163" s="10">
        <v>0</v>
      </c>
      <c r="P163" s="18">
        <v>0</v>
      </c>
      <c r="Q163" s="11">
        <v>0</v>
      </c>
      <c r="R163" s="18">
        <f>SUM(R160:R162)</f>
        <v>8</v>
      </c>
      <c r="S163" s="18">
        <f>SUM(S160:S162)</f>
        <v>0</v>
      </c>
      <c r="T163" s="10"/>
      <c r="U163" s="18"/>
      <c r="V163" s="11"/>
      <c r="W163" s="28"/>
      <c r="AA163" s="28"/>
      <c r="AB163" s="41" t="s">
        <v>84</v>
      </c>
      <c r="AC163" s="42">
        <f>SUM(AC161:AC162)</f>
        <v>606</v>
      </c>
      <c r="AD163" s="28">
        <f>SUM(AD161:AD162)</f>
        <v>546</v>
      </c>
      <c r="AE163" s="42">
        <v>0</v>
      </c>
      <c r="AF163" s="28">
        <v>0</v>
      </c>
      <c r="AG163" s="28">
        <v>0</v>
      </c>
      <c r="AH163" s="42">
        <v>0</v>
      </c>
      <c r="AI163" s="40">
        <v>0</v>
      </c>
      <c r="AJ163" s="40">
        <v>0</v>
      </c>
      <c r="AK163" s="43">
        <v>13</v>
      </c>
      <c r="AL163" s="28" t="s">
        <v>141</v>
      </c>
      <c r="AM163" s="40"/>
      <c r="AN163" s="28"/>
      <c r="AP163" s="84" t="s">
        <v>56</v>
      </c>
      <c r="AQ163" s="42">
        <v>5</v>
      </c>
      <c r="AR163" s="54">
        <v>0</v>
      </c>
      <c r="AS163" s="42"/>
      <c r="AT163" s="40"/>
      <c r="AU163" s="28"/>
      <c r="AV163" s="28"/>
      <c r="AW163" s="28"/>
      <c r="AX163" s="28"/>
      <c r="AY163" s="40"/>
      <c r="AZ163" s="28"/>
      <c r="BA163" s="28"/>
      <c r="BB163" s="92" t="s">
        <v>113</v>
      </c>
      <c r="BC163" s="67">
        <f>2+2+3+7+2+12+18+11+65+3+4+1+12+3+3+4+7+16</f>
        <v>175</v>
      </c>
      <c r="BD163" s="56">
        <f>+ 17+19+7+14+10+4+4+5+4+1+8+63+9+4+3</f>
        <v>172</v>
      </c>
      <c r="BE163" s="54"/>
      <c r="BF163" s="54"/>
      <c r="BG163" s="45"/>
      <c r="BH163" s="10"/>
      <c r="BI163" s="40"/>
      <c r="BJ163" s="10" t="s">
        <v>142</v>
      </c>
      <c r="BK163" s="18"/>
      <c r="BL163" s="39" t="s">
        <v>303</v>
      </c>
    </row>
    <row r="164" spans="1:64" ht="15" thickBot="1" x14ac:dyDescent="0.35">
      <c r="A164" s="10" t="s">
        <v>99</v>
      </c>
      <c r="B164" s="42">
        <v>15900</v>
      </c>
      <c r="C164" s="40">
        <v>16187</v>
      </c>
      <c r="D164" s="3"/>
      <c r="E164" s="91" t="s">
        <v>60</v>
      </c>
      <c r="F164" s="18"/>
      <c r="G164" s="12">
        <v>19374</v>
      </c>
      <c r="H164" s="10">
        <v>62</v>
      </c>
      <c r="I164" s="37" t="s">
        <v>144</v>
      </c>
      <c r="J164" s="11"/>
      <c r="K164" s="28"/>
      <c r="L164" s="12"/>
      <c r="M164" s="18"/>
      <c r="N164" s="18"/>
      <c r="O164" s="10"/>
      <c r="P164" s="18"/>
      <c r="Q164" s="11"/>
      <c r="R164" s="18"/>
      <c r="S164" s="18"/>
      <c r="T164" s="10"/>
      <c r="U164" s="18"/>
      <c r="V164" s="11"/>
      <c r="W164" s="28"/>
      <c r="AA164" s="28"/>
      <c r="AB164" s="46"/>
      <c r="AC164" s="47"/>
      <c r="AD164" s="48"/>
      <c r="AE164" s="47"/>
      <c r="AF164" s="48"/>
      <c r="AG164" s="48"/>
      <c r="AH164" s="47"/>
      <c r="AI164" s="49"/>
      <c r="AJ164" s="49"/>
      <c r="AK164" s="48"/>
      <c r="AL164" s="48" t="s">
        <v>145</v>
      </c>
      <c r="AM164" s="49"/>
      <c r="AN164" s="28"/>
      <c r="AP164" s="36" t="s">
        <v>67</v>
      </c>
      <c r="AQ164" s="10">
        <v>25</v>
      </c>
      <c r="AR164" s="18">
        <v>32</v>
      </c>
      <c r="AS164" s="42"/>
      <c r="AT164" s="11"/>
      <c r="AU164" s="18"/>
      <c r="AV164" s="18"/>
      <c r="AW164" s="18"/>
      <c r="AX164" s="18"/>
      <c r="AY164" s="11"/>
      <c r="AZ164" s="28"/>
      <c r="BA164" s="28" t="s">
        <v>6</v>
      </c>
      <c r="BB164" s="92" t="s">
        <v>252</v>
      </c>
      <c r="BC164" s="67">
        <v>0</v>
      </c>
      <c r="BD164" s="56">
        <v>7</v>
      </c>
      <c r="BE164" s="54"/>
      <c r="BF164" s="54"/>
      <c r="BG164" s="45"/>
      <c r="BH164" s="10"/>
      <c r="BI164" s="40"/>
      <c r="BJ164" s="93" t="s">
        <v>146</v>
      </c>
      <c r="BK164" s="28"/>
      <c r="BL164" s="94" t="s">
        <v>253</v>
      </c>
    </row>
    <row r="165" spans="1:64" ht="15" thickBot="1" x14ac:dyDescent="0.35">
      <c r="A165" s="10" t="s">
        <v>120</v>
      </c>
      <c r="B165" s="42">
        <v>5135</v>
      </c>
      <c r="C165" s="40">
        <v>6170</v>
      </c>
      <c r="D165" s="3"/>
      <c r="E165" s="91" t="s">
        <v>60</v>
      </c>
      <c r="F165" s="18"/>
      <c r="G165" s="12">
        <f>218*30</f>
        <v>6540</v>
      </c>
      <c r="H165" s="84">
        <v>93</v>
      </c>
      <c r="I165" s="37" t="s">
        <v>148</v>
      </c>
      <c r="J165" s="11"/>
      <c r="K165" s="28"/>
      <c r="L165" s="12"/>
      <c r="M165" s="18"/>
      <c r="N165" s="18"/>
      <c r="O165" s="10"/>
      <c r="P165" s="18"/>
      <c r="Q165" s="11"/>
      <c r="R165" s="18"/>
      <c r="S165" s="18"/>
      <c r="T165" s="10"/>
      <c r="U165" s="18"/>
      <c r="V165" s="11"/>
      <c r="W165" s="28"/>
      <c r="AA165" s="28"/>
      <c r="AB165" s="42"/>
      <c r="AC165" s="42"/>
      <c r="AD165" s="40"/>
      <c r="AE165" s="28"/>
      <c r="AF165" s="28"/>
      <c r="AG165" s="28"/>
      <c r="AH165" s="42"/>
      <c r="AI165" s="28"/>
      <c r="AJ165" s="41"/>
      <c r="AK165" s="28" t="s">
        <v>149</v>
      </c>
      <c r="AL165" s="28"/>
      <c r="AM165" s="40"/>
      <c r="AN165" s="28" t="s">
        <v>6</v>
      </c>
      <c r="AO165" s="95"/>
      <c r="AP165" s="13" t="s">
        <v>84</v>
      </c>
      <c r="AQ165" s="13">
        <f>SUM(AQ153:AQ164)</f>
        <v>378</v>
      </c>
      <c r="AR165" s="27">
        <f>SUM(AR153:AR164)</f>
        <v>255</v>
      </c>
      <c r="AS165" s="47"/>
      <c r="AT165" s="26">
        <f>SUM(AT157:AT164)</f>
        <v>0</v>
      </c>
      <c r="AU165" s="27"/>
      <c r="AV165" s="27"/>
      <c r="AW165" s="27"/>
      <c r="AX165" s="27"/>
      <c r="AY165" s="26">
        <f>SUM(AV157:AV159)</f>
        <v>96</v>
      </c>
      <c r="AZ165" s="28"/>
      <c r="BA165" s="28"/>
      <c r="BB165" s="52" t="s">
        <v>133</v>
      </c>
      <c r="BC165" s="67">
        <f>4+56+5</f>
        <v>65</v>
      </c>
      <c r="BD165" s="56">
        <f>3+61</f>
        <v>64</v>
      </c>
      <c r="BE165" s="54" t="s">
        <v>150</v>
      </c>
      <c r="BF165" s="54"/>
      <c r="BG165" s="45"/>
      <c r="BH165" s="10"/>
      <c r="BI165" s="40"/>
      <c r="BJ165" s="42" t="s">
        <v>151</v>
      </c>
      <c r="BK165" s="28"/>
      <c r="BL165" s="96"/>
    </row>
    <row r="166" spans="1:64" ht="15" thickBot="1" x14ac:dyDescent="0.35">
      <c r="A166" s="10" t="s">
        <v>84</v>
      </c>
      <c r="B166" s="42">
        <f>SUM(B163:B165)</f>
        <v>28989</v>
      </c>
      <c r="C166" s="40">
        <f>SUM(C163:C165)</f>
        <v>30215</v>
      </c>
      <c r="D166" s="3"/>
      <c r="E166" s="91" t="s">
        <v>60</v>
      </c>
      <c r="F166" s="18"/>
      <c r="G166" s="12">
        <f>SUM(G163:G165)</f>
        <v>35834</v>
      </c>
      <c r="H166" s="42">
        <v>30</v>
      </c>
      <c r="I166" s="54" t="s">
        <v>152</v>
      </c>
      <c r="J166" s="40"/>
      <c r="K166" s="28"/>
      <c r="L166" s="44"/>
      <c r="M166" s="18"/>
      <c r="N166" s="18"/>
      <c r="O166" s="10"/>
      <c r="P166" s="18"/>
      <c r="Q166" s="11"/>
      <c r="R166" s="18"/>
      <c r="S166" s="18"/>
      <c r="T166" s="10"/>
      <c r="U166" s="18"/>
      <c r="V166" s="11"/>
      <c r="W166" s="28"/>
      <c r="Y166" t="s">
        <v>6</v>
      </c>
      <c r="AB166" s="36" t="s">
        <v>99</v>
      </c>
      <c r="AC166" s="10">
        <v>0</v>
      </c>
      <c r="AD166" s="11">
        <v>0</v>
      </c>
      <c r="AE166" s="18">
        <v>0</v>
      </c>
      <c r="AF166" s="18">
        <v>0</v>
      </c>
      <c r="AG166" s="18">
        <v>0</v>
      </c>
      <c r="AH166" s="52">
        <v>46317</v>
      </c>
      <c r="AI166" s="45">
        <v>6093</v>
      </c>
      <c r="AJ166" s="41">
        <v>0</v>
      </c>
      <c r="AK166" s="45">
        <v>3</v>
      </c>
      <c r="AL166" s="37" t="s">
        <v>153</v>
      </c>
      <c r="AM166" s="40"/>
      <c r="AP166" s="32"/>
      <c r="AQ166" s="53"/>
      <c r="AR166" s="97"/>
      <c r="AS166" s="33"/>
      <c r="AT166" s="7"/>
      <c r="AU166" s="6"/>
      <c r="AV166" s="8"/>
      <c r="AW166" s="31"/>
      <c r="AX166" s="8"/>
      <c r="AY166" s="7"/>
      <c r="AZ166" s="28"/>
      <c r="BA166" s="28"/>
      <c r="BB166" s="52" t="s">
        <v>85</v>
      </c>
      <c r="BC166" s="42">
        <f>4+7+6+4</f>
        <v>21</v>
      </c>
      <c r="BD166" s="56">
        <f>11+2</f>
        <v>13</v>
      </c>
      <c r="BE166" s="28"/>
      <c r="BF166" s="54"/>
      <c r="BG166" s="28"/>
      <c r="BH166" s="84"/>
      <c r="BI166" s="56"/>
      <c r="BJ166" s="42" t="s">
        <v>304</v>
      </c>
      <c r="BK166" s="28" t="s">
        <v>305</v>
      </c>
      <c r="BL166" s="40"/>
    </row>
    <row r="167" spans="1:64" ht="16.2" thickBot="1" x14ac:dyDescent="0.35">
      <c r="A167" s="13"/>
      <c r="B167" s="47"/>
      <c r="C167" s="49"/>
      <c r="D167" s="27"/>
      <c r="E167" s="27"/>
      <c r="F167" s="27"/>
      <c r="G167" s="17"/>
      <c r="H167" s="47"/>
      <c r="I167" s="27"/>
      <c r="J167" s="60">
        <f>SUM(H164:H166)</f>
        <v>185</v>
      </c>
      <c r="K167" s="28"/>
      <c r="L167" s="12"/>
      <c r="M167" s="18"/>
      <c r="N167" s="18"/>
      <c r="O167" s="10"/>
      <c r="P167" s="18"/>
      <c r="Q167" s="11"/>
      <c r="R167" s="18"/>
      <c r="S167" s="18"/>
      <c r="T167" s="10"/>
      <c r="U167" s="18"/>
      <c r="V167" s="11"/>
      <c r="W167" s="28"/>
      <c r="AB167" s="32"/>
      <c r="AC167" s="6"/>
      <c r="AD167" s="7"/>
      <c r="AE167" s="8"/>
      <c r="AF167" s="8"/>
      <c r="AG167" s="8"/>
      <c r="AH167" s="6"/>
      <c r="AI167" s="7"/>
      <c r="AJ167" s="8"/>
      <c r="AK167" s="29" t="s">
        <v>157</v>
      </c>
      <c r="AL167" s="8"/>
      <c r="AM167" s="7"/>
      <c r="AP167" s="62"/>
      <c r="AQ167" s="72"/>
      <c r="AR167" s="73"/>
      <c r="AS167" s="47"/>
      <c r="AT167" s="49"/>
      <c r="AU167" s="47"/>
      <c r="AV167" s="48"/>
      <c r="AW167" s="48"/>
      <c r="AX167" s="48"/>
      <c r="AY167" s="49"/>
      <c r="AZ167" s="28"/>
      <c r="BA167" s="28"/>
      <c r="BB167" s="151" t="s">
        <v>306</v>
      </c>
      <c r="BC167" s="36">
        <v>7</v>
      </c>
      <c r="BD167" s="39">
        <v>11</v>
      </c>
      <c r="BE167" s="18"/>
      <c r="BF167" s="18"/>
      <c r="BG167" s="18"/>
      <c r="BH167" s="10"/>
      <c r="BI167" s="11"/>
      <c r="BJ167" s="98" t="s">
        <v>307</v>
      </c>
      <c r="BK167" s="28" t="s">
        <v>308</v>
      </c>
      <c r="BL167" s="99"/>
    </row>
    <row r="168" spans="1:64" ht="16.2" thickBot="1" x14ac:dyDescent="0.35">
      <c r="A168" s="6" t="s">
        <v>105</v>
      </c>
      <c r="B168" s="6">
        <v>1162</v>
      </c>
      <c r="C168" s="7">
        <v>1039</v>
      </c>
      <c r="D168" s="8"/>
      <c r="E168" s="80">
        <v>647</v>
      </c>
      <c r="F168" s="66"/>
      <c r="G168" s="8"/>
      <c r="H168" s="6" t="s">
        <v>162</v>
      </c>
      <c r="I168" s="8"/>
      <c r="J168" s="7"/>
      <c r="K168" s="28"/>
      <c r="L168" s="17"/>
      <c r="M168" s="27"/>
      <c r="N168" s="27"/>
      <c r="O168" s="13"/>
      <c r="P168" s="27"/>
      <c r="Q168" s="26"/>
      <c r="R168" s="27"/>
      <c r="S168" s="27"/>
      <c r="T168" s="13"/>
      <c r="U168" s="27"/>
      <c r="V168" s="26"/>
      <c r="W168" s="28"/>
      <c r="AB168" s="68" t="s">
        <v>99</v>
      </c>
      <c r="AC168" s="42">
        <v>0</v>
      </c>
      <c r="AD168" s="40">
        <v>0</v>
      </c>
      <c r="AE168">
        <v>0</v>
      </c>
      <c r="AF168">
        <v>0</v>
      </c>
      <c r="AG168">
        <v>0</v>
      </c>
      <c r="AH168" s="42">
        <v>239450</v>
      </c>
      <c r="AI168" s="40">
        <v>50382</v>
      </c>
      <c r="AJ168" s="43">
        <v>0</v>
      </c>
      <c r="AK168" s="42">
        <v>6</v>
      </c>
      <c r="AL168" s="54" t="s">
        <v>163</v>
      </c>
      <c r="AM168" s="40"/>
      <c r="AP168" s="67" t="s">
        <v>63</v>
      </c>
      <c r="AQ168" s="33">
        <v>6</v>
      </c>
      <c r="AR168" s="35">
        <v>6</v>
      </c>
      <c r="AU168" s="33"/>
      <c r="AV168" s="34"/>
      <c r="AW168" s="34"/>
      <c r="AX168" s="34"/>
      <c r="AY168" s="35"/>
      <c r="AZ168" s="28"/>
      <c r="BA168" s="28"/>
      <c r="BB168" s="92" t="s">
        <v>164</v>
      </c>
      <c r="BC168" s="42">
        <v>10</v>
      </c>
      <c r="BD168" s="40">
        <v>10</v>
      </c>
      <c r="BE168" s="18"/>
      <c r="BF168" s="18"/>
      <c r="BG168" s="18"/>
      <c r="BH168" s="10"/>
      <c r="BI168" s="11"/>
      <c r="BJ168" s="98" t="s">
        <v>309</v>
      </c>
      <c r="BK168" s="100" t="s">
        <v>310</v>
      </c>
      <c r="BL168" s="39" t="s">
        <v>311</v>
      </c>
    </row>
    <row r="169" spans="1:64" ht="15" thickBot="1" x14ac:dyDescent="0.35">
      <c r="A169" s="36" t="s">
        <v>99</v>
      </c>
      <c r="B169" s="10">
        <v>1375</v>
      </c>
      <c r="C169" s="11">
        <v>1534</v>
      </c>
      <c r="D169" s="18"/>
      <c r="E169" s="18">
        <v>971</v>
      </c>
      <c r="F169" s="85"/>
      <c r="G169" s="18"/>
      <c r="H169" s="42"/>
      <c r="I169" s="54"/>
      <c r="J169" s="11"/>
      <c r="L169" s="101" t="s">
        <v>84</v>
      </c>
      <c r="M169" s="102">
        <f>SUM(M163+M158+M153+M151+M147+M142)</f>
        <v>56189</v>
      </c>
      <c r="N169" s="102">
        <f>SUM(N163+N158+N153+N151+N147+N142)</f>
        <v>105792</v>
      </c>
      <c r="O169" s="103">
        <v>0</v>
      </c>
      <c r="P169" s="102">
        <v>0</v>
      </c>
      <c r="Q169" s="104">
        <v>0</v>
      </c>
      <c r="R169" s="102">
        <f>SUM(R163+R158+R153+R151+R142+R147)</f>
        <v>5695</v>
      </c>
      <c r="S169" s="102">
        <f>SUM(S163+S158+S151+S147+S142)</f>
        <v>164</v>
      </c>
      <c r="T169" s="105"/>
      <c r="U169" s="102"/>
      <c r="V169" s="106"/>
      <c r="AB169" s="44" t="s">
        <v>6</v>
      </c>
      <c r="AC169" s="10"/>
      <c r="AD169" s="11"/>
      <c r="AE169" s="18"/>
      <c r="AF169" s="18"/>
      <c r="AG169" s="18"/>
      <c r="AH169" s="10"/>
      <c r="AI169" s="11"/>
      <c r="AJ169" s="18"/>
      <c r="AK169" s="10">
        <v>11</v>
      </c>
      <c r="AL169" s="37" t="s">
        <v>153</v>
      </c>
      <c r="AM169" s="11"/>
      <c r="AP169" s="67" t="s">
        <v>168</v>
      </c>
      <c r="AQ169" s="42">
        <v>0</v>
      </c>
      <c r="AR169" s="40">
        <v>0</v>
      </c>
      <c r="AU169" s="42"/>
      <c r="AV169" s="28"/>
      <c r="AW169" s="28"/>
      <c r="AX169" s="28"/>
      <c r="AY169" s="40"/>
      <c r="AZ169" s="28"/>
      <c r="BA169" s="28"/>
      <c r="BB169" s="36" t="s">
        <v>312</v>
      </c>
      <c r="BC169" s="36">
        <f>4+4</f>
        <v>8</v>
      </c>
      <c r="BD169" s="39">
        <f>4+2+2+3</f>
        <v>11</v>
      </c>
      <c r="BE169" s="18"/>
      <c r="BF169" s="18"/>
      <c r="BG169" s="18"/>
      <c r="BH169" s="10"/>
      <c r="BI169" s="11"/>
      <c r="BJ169" s="98" t="s">
        <v>313</v>
      </c>
      <c r="BK169" s="37" t="s">
        <v>314</v>
      </c>
      <c r="BL169" s="39" t="s">
        <v>315</v>
      </c>
    </row>
    <row r="170" spans="1:64" ht="15" thickBot="1" x14ac:dyDescent="0.35">
      <c r="A170" s="10"/>
      <c r="B170" s="10"/>
      <c r="C170" s="39"/>
      <c r="D170" s="18"/>
      <c r="E170" s="18"/>
      <c r="F170" s="85"/>
      <c r="G170" s="18"/>
      <c r="H170" s="42">
        <v>44</v>
      </c>
      <c r="I170" s="37" t="s">
        <v>101</v>
      </c>
      <c r="J170" s="11"/>
      <c r="AB170" s="46" t="s">
        <v>6</v>
      </c>
      <c r="AC170" s="47"/>
      <c r="AD170" s="49"/>
      <c r="AE170" s="48"/>
      <c r="AF170" s="48"/>
      <c r="AG170" s="48"/>
      <c r="AH170" s="47"/>
      <c r="AI170" s="49"/>
      <c r="AJ170" s="48"/>
      <c r="AK170" s="47"/>
      <c r="AL170" s="48"/>
      <c r="AM170" s="49"/>
      <c r="AP170" s="52" t="s">
        <v>56</v>
      </c>
      <c r="AQ170" s="52">
        <v>1</v>
      </c>
      <c r="AR170" s="85">
        <v>1</v>
      </c>
      <c r="AS170" s="28"/>
      <c r="AT170" s="28"/>
      <c r="AU170" s="42"/>
      <c r="AV170" s="28" t="s">
        <v>173</v>
      </c>
      <c r="AW170" s="28"/>
      <c r="AX170" s="28"/>
      <c r="AY170" s="40"/>
      <c r="AZ170" s="28"/>
      <c r="BA170" s="28"/>
      <c r="BB170" s="36" t="s">
        <v>158</v>
      </c>
      <c r="BC170" s="36">
        <v>31</v>
      </c>
      <c r="BD170" s="39">
        <v>31</v>
      </c>
      <c r="BE170" s="18"/>
      <c r="BF170" s="18"/>
      <c r="BG170" s="18"/>
      <c r="BH170" s="10"/>
      <c r="BI170" s="11"/>
      <c r="BJ170" s="52" t="s">
        <v>316</v>
      </c>
      <c r="BK170" s="37" t="s">
        <v>317</v>
      </c>
      <c r="BL170" s="39" t="s">
        <v>318</v>
      </c>
    </row>
    <row r="171" spans="1:64" ht="15" thickBot="1" x14ac:dyDescent="0.35">
      <c r="A171" s="13" t="s">
        <v>84</v>
      </c>
      <c r="B171" s="13">
        <f>SUM(B168:B170)</f>
        <v>2537</v>
      </c>
      <c r="C171" s="26">
        <f>SUM(C168:C170)</f>
        <v>2573</v>
      </c>
      <c r="D171" s="27"/>
      <c r="E171" s="27">
        <f>SUM(E168:E170)</f>
        <v>1618</v>
      </c>
      <c r="F171" s="26"/>
      <c r="G171" s="27">
        <f>44*164</f>
        <v>7216</v>
      </c>
      <c r="H171" s="13"/>
      <c r="I171" s="81"/>
      <c r="J171" s="26">
        <f>SUM(H169:H170)</f>
        <v>44</v>
      </c>
      <c r="M171" s="115"/>
      <c r="AB171" s="6"/>
      <c r="AC171" s="6"/>
      <c r="AD171" s="7"/>
      <c r="AE171" s="8"/>
      <c r="AF171" s="8"/>
      <c r="AG171" s="8"/>
      <c r="AH171" s="6"/>
      <c r="AI171" s="7"/>
      <c r="AJ171" s="8"/>
      <c r="AK171" s="29"/>
      <c r="AL171" s="8"/>
      <c r="AM171" s="7"/>
      <c r="AN171" s="45"/>
      <c r="AP171" s="52" t="s">
        <v>67</v>
      </c>
      <c r="AQ171" s="52">
        <v>12</v>
      </c>
      <c r="AR171" s="56">
        <v>4</v>
      </c>
      <c r="AU171" s="42"/>
      <c r="AV171" s="28"/>
      <c r="AW171" s="28"/>
      <c r="AX171" s="28"/>
      <c r="AY171" s="40"/>
      <c r="AZ171" s="28"/>
      <c r="BA171" s="28"/>
      <c r="BB171" s="150" t="s">
        <v>270</v>
      </c>
      <c r="BC171" s="36">
        <v>4</v>
      </c>
      <c r="BD171" s="39">
        <v>4</v>
      </c>
      <c r="BE171" s="18"/>
      <c r="BF171" s="37"/>
      <c r="BG171" s="18"/>
      <c r="BH171" s="10"/>
      <c r="BI171" s="11"/>
      <c r="BJ171" s="93" t="s">
        <v>319</v>
      </c>
      <c r="BK171" s="54"/>
      <c r="BL171" s="39" t="s">
        <v>320</v>
      </c>
    </row>
    <row r="172" spans="1:64" ht="15" thickBot="1" x14ac:dyDescent="0.35">
      <c r="A172" s="42" t="s">
        <v>181</v>
      </c>
      <c r="B172" s="42">
        <v>723</v>
      </c>
      <c r="C172" s="40">
        <v>694</v>
      </c>
      <c r="D172" s="28"/>
      <c r="E172" s="107" t="s">
        <v>60</v>
      </c>
      <c r="F172" s="43"/>
      <c r="G172" s="41">
        <f>5*154</f>
        <v>770</v>
      </c>
      <c r="H172" s="18" t="s">
        <v>182</v>
      </c>
      <c r="I172" s="28"/>
      <c r="J172" s="11"/>
      <c r="K172" s="43"/>
      <c r="AB172" s="36"/>
      <c r="AC172" s="10"/>
      <c r="AD172" s="11"/>
      <c r="AE172" s="18"/>
      <c r="AF172" s="18"/>
      <c r="AG172" s="18"/>
      <c r="AH172" s="36"/>
      <c r="AI172" s="11"/>
      <c r="AJ172" s="18"/>
      <c r="AK172" s="36"/>
      <c r="AL172" s="37"/>
      <c r="AM172" s="11"/>
      <c r="AN172" s="45"/>
      <c r="AP172" s="10" t="s">
        <v>78</v>
      </c>
      <c r="AQ172" s="52">
        <v>0</v>
      </c>
      <c r="AR172" s="85">
        <v>0</v>
      </c>
      <c r="AS172" s="28"/>
      <c r="AT172" s="28"/>
      <c r="AU172" s="42"/>
      <c r="AV172" s="28">
        <v>13</v>
      </c>
      <c r="AW172" s="28" t="s">
        <v>183</v>
      </c>
      <c r="AX172" s="28"/>
      <c r="AY172" s="40"/>
      <c r="AZ172" s="37"/>
      <c r="BA172" s="37"/>
      <c r="BB172" s="36" t="s">
        <v>321</v>
      </c>
      <c r="BC172" s="36">
        <v>6</v>
      </c>
      <c r="BD172" s="39">
        <v>2</v>
      </c>
      <c r="BE172" s="18"/>
      <c r="BF172" s="18"/>
      <c r="BG172" s="18"/>
      <c r="BH172" s="10"/>
      <c r="BI172" s="11"/>
      <c r="BJ172" s="36" t="s">
        <v>322</v>
      </c>
      <c r="BK172" s="37" t="s">
        <v>283</v>
      </c>
      <c r="BL172" s="40" t="s">
        <v>292</v>
      </c>
    </row>
    <row r="173" spans="1:64" ht="15" thickBot="1" x14ac:dyDescent="0.35">
      <c r="A173" s="42" t="s">
        <v>120</v>
      </c>
      <c r="B173" s="42">
        <v>4073</v>
      </c>
      <c r="C173" s="40">
        <v>4709</v>
      </c>
      <c r="D173" s="28"/>
      <c r="E173" s="107" t="s">
        <v>60</v>
      </c>
      <c r="F173" s="43"/>
      <c r="G173" s="68">
        <v>4992</v>
      </c>
      <c r="H173" s="43">
        <v>30</v>
      </c>
      <c r="I173" s="28" t="s">
        <v>188</v>
      </c>
      <c r="J173" s="11"/>
      <c r="K173" s="28"/>
      <c r="M173" s="108"/>
      <c r="AA173" s="28"/>
      <c r="AB173" s="103" t="s">
        <v>84</v>
      </c>
      <c r="AC173" s="103">
        <f>SUM(AC172+AC168+AC166+AC163+AC160+AC158+AC154+AC150+AC147+AC143+AC145)</f>
        <v>1986</v>
      </c>
      <c r="AD173" s="104">
        <f>SUM(AD172+AD168+AD166+AD163+AD160+AD154+AD150+AD147+AD145+AD143)</f>
        <v>1895</v>
      </c>
      <c r="AE173" s="103">
        <v>0</v>
      </c>
      <c r="AF173" s="102">
        <v>0</v>
      </c>
      <c r="AG173" s="102">
        <v>0</v>
      </c>
      <c r="AH173" s="109">
        <f>SUM(AH172+AH168+AH166+AH163+AH160+AH158+AH154+AH150+AH147+AH145+AH143)</f>
        <v>288832</v>
      </c>
      <c r="AI173" s="110">
        <f>SUM(AI172+AI168+AI166+AI163+AI158+AI154+AI149+AI147+AI145+AI143)</f>
        <v>66867</v>
      </c>
      <c r="AJ173" s="110">
        <v>0</v>
      </c>
      <c r="AK173" s="111" t="s">
        <v>189</v>
      </c>
      <c r="AL173" s="111"/>
      <c r="AM173" s="104">
        <f>SUM(AK143:AK172)</f>
        <v>42</v>
      </c>
      <c r="AN173" s="45"/>
      <c r="AP173" s="52" t="s">
        <v>81</v>
      </c>
      <c r="AQ173" s="52">
        <v>0</v>
      </c>
      <c r="AR173" s="85">
        <v>0</v>
      </c>
      <c r="AS173" s="28"/>
      <c r="AT173" s="28"/>
      <c r="AU173" s="42"/>
      <c r="AV173" s="28" t="s">
        <v>6</v>
      </c>
      <c r="AW173" s="28"/>
      <c r="AX173" s="28"/>
      <c r="AY173" s="40"/>
      <c r="AZ173" s="28"/>
      <c r="BA173" s="28"/>
      <c r="BB173" s="150" t="s">
        <v>323</v>
      </c>
      <c r="BC173" s="36">
        <v>0</v>
      </c>
      <c r="BD173" s="39">
        <v>2</v>
      </c>
      <c r="BE173" s="18"/>
      <c r="BF173" s="18"/>
      <c r="BG173" s="18"/>
      <c r="BH173" s="10"/>
      <c r="BI173" s="11"/>
      <c r="BJ173" s="112" t="s">
        <v>324</v>
      </c>
      <c r="BK173" s="37" t="s">
        <v>325</v>
      </c>
      <c r="BL173" s="39"/>
    </row>
    <row r="174" spans="1:64" x14ac:dyDescent="0.3">
      <c r="A174" s="42" t="s">
        <v>84</v>
      </c>
      <c r="B174" s="42">
        <f>SUM(B172:B173)</f>
        <v>4796</v>
      </c>
      <c r="C174" s="40">
        <f>SUM(C172:C173)</f>
        <v>5403</v>
      </c>
      <c r="D174" s="28"/>
      <c r="E174" s="107" t="s">
        <v>60</v>
      </c>
      <c r="F174" s="43"/>
      <c r="G174" s="41">
        <f>SUM(G172:G173)</f>
        <v>5762</v>
      </c>
      <c r="H174" s="28">
        <v>5</v>
      </c>
      <c r="I174" s="43" t="s">
        <v>101</v>
      </c>
      <c r="J174" s="40"/>
      <c r="K174" s="28"/>
      <c r="L174" s="28"/>
      <c r="N174" s="113"/>
      <c r="AA174" s="28"/>
      <c r="AB174" s="52" t="s">
        <v>193</v>
      </c>
      <c r="AC174" s="28"/>
      <c r="AD174" s="28"/>
      <c r="AE174" s="28"/>
      <c r="AF174" s="28"/>
      <c r="AG174" s="28"/>
      <c r="AH174" s="28"/>
      <c r="AI174" s="28"/>
      <c r="AM174" t="s">
        <v>6</v>
      </c>
      <c r="AN174" s="45"/>
      <c r="AP174" s="52" t="s">
        <v>72</v>
      </c>
      <c r="AQ174" s="52">
        <v>2</v>
      </c>
      <c r="AR174" s="85">
        <v>2</v>
      </c>
      <c r="AU174" s="42"/>
      <c r="AV174" s="28"/>
      <c r="AW174" s="28"/>
      <c r="AX174" s="28"/>
      <c r="AY174" s="40"/>
      <c r="AZ174" s="28"/>
      <c r="BB174" s="98" t="s">
        <v>107</v>
      </c>
      <c r="BC174" s="36">
        <v>2</v>
      </c>
      <c r="BD174" s="39">
        <v>8</v>
      </c>
      <c r="BE174" s="18"/>
      <c r="BF174" s="18"/>
      <c r="BG174" s="18"/>
      <c r="BH174" s="10"/>
      <c r="BI174" s="11"/>
      <c r="BJ174" s="36" t="s">
        <v>326</v>
      </c>
      <c r="BK174" s="37" t="s">
        <v>327</v>
      </c>
      <c r="BL174" s="114"/>
    </row>
    <row r="175" spans="1:64" ht="15" thickBot="1" x14ac:dyDescent="0.35">
      <c r="A175" s="13"/>
      <c r="B175" s="13"/>
      <c r="C175" s="26"/>
      <c r="D175" s="27"/>
      <c r="E175" s="27"/>
      <c r="F175" s="27"/>
      <c r="G175" s="17"/>
      <c r="H175" s="48">
        <v>1</v>
      </c>
      <c r="I175" s="48" t="s">
        <v>284</v>
      </c>
      <c r="J175" s="49">
        <f>SUM(H173:H175)</f>
        <v>36</v>
      </c>
      <c r="L175" s="108"/>
      <c r="M175" s="115"/>
      <c r="O175" s="116"/>
      <c r="AA175" s="28"/>
      <c r="AN175" s="45"/>
      <c r="AP175" s="52" t="s">
        <v>84</v>
      </c>
      <c r="AQ175" s="47">
        <f>SUM(AQ168:AQ174)</f>
        <v>21</v>
      </c>
      <c r="AR175" s="49">
        <f>SUM(AR168:AR174)</f>
        <v>13</v>
      </c>
      <c r="AS175" s="28"/>
      <c r="AT175" s="28"/>
      <c r="AU175" s="47"/>
      <c r="AV175" s="48"/>
      <c r="AW175" s="48"/>
      <c r="AX175" s="48"/>
      <c r="AY175" s="49">
        <f>SUM(AV172)</f>
        <v>13</v>
      </c>
      <c r="AZ175" s="28"/>
      <c r="BB175" s="36" t="s">
        <v>328</v>
      </c>
      <c r="BC175" s="36">
        <v>0</v>
      </c>
      <c r="BD175" s="39">
        <v>2</v>
      </c>
      <c r="BE175" s="18"/>
      <c r="BF175" s="18"/>
      <c r="BG175" s="18"/>
      <c r="BH175" s="10"/>
      <c r="BI175" s="11"/>
      <c r="BJ175" s="36" t="s">
        <v>329</v>
      </c>
      <c r="BK175" s="37" t="s">
        <v>330</v>
      </c>
      <c r="BL175" s="39"/>
    </row>
    <row r="176" spans="1:64" ht="16.2" thickBot="1" x14ac:dyDescent="0.35">
      <c r="A176" s="117" t="s">
        <v>84</v>
      </c>
      <c r="B176" s="117">
        <f>SUM(B174+B171+B166+B162+B159+B156+B153+B149+B145+B142)</f>
        <v>52201</v>
      </c>
      <c r="C176" s="117">
        <f>SUM(C174+C171+C166+C162+C159+C156+C153+C149+C145+C142)</f>
        <v>57193</v>
      </c>
      <c r="D176" s="118"/>
      <c r="E176" s="119">
        <f>SUM(E171+E156)</f>
        <v>2779</v>
      </c>
      <c r="F176" s="120"/>
      <c r="G176" s="121">
        <f>SUM(G174+G171+G166+G161+G159+G152+G149+G145+G142)</f>
        <v>69990</v>
      </c>
      <c r="H176" s="13" t="s">
        <v>199</v>
      </c>
      <c r="I176" s="81"/>
      <c r="J176" s="26">
        <f>SUM(J143:J175)</f>
        <v>437</v>
      </c>
      <c r="O176" s="122"/>
      <c r="AN176" s="45"/>
      <c r="AP176" s="32" t="s">
        <v>63</v>
      </c>
      <c r="AQ176" s="123">
        <f>2+1+9</f>
        <v>12</v>
      </c>
      <c r="AR176" s="123">
        <f>3+2+7</f>
        <v>12</v>
      </c>
      <c r="AS176" s="33"/>
      <c r="AT176" s="7"/>
      <c r="AU176" s="6"/>
      <c r="AV176" s="34" t="s">
        <v>140</v>
      </c>
      <c r="AW176" s="8"/>
      <c r="AX176" s="8"/>
      <c r="AY176" s="7"/>
      <c r="AZ176" s="28"/>
      <c r="BB176" s="36" t="s">
        <v>331</v>
      </c>
      <c r="BC176" s="10">
        <v>2</v>
      </c>
      <c r="BD176" s="39">
        <v>5</v>
      </c>
      <c r="BE176" s="18"/>
      <c r="BF176" s="18"/>
      <c r="BG176" s="37"/>
      <c r="BH176" s="10"/>
      <c r="BI176" s="11"/>
      <c r="BJ176" s="124" t="s">
        <v>332</v>
      </c>
      <c r="BK176" s="37" t="s">
        <v>333</v>
      </c>
      <c r="BL176" s="39"/>
    </row>
    <row r="177" spans="1:65" x14ac:dyDescent="0.3">
      <c r="AN177" s="45"/>
      <c r="AP177" s="44" t="s">
        <v>78</v>
      </c>
      <c r="AQ177" s="37">
        <f>11+3+4+30</f>
        <v>48</v>
      </c>
      <c r="AR177" s="37">
        <f>15+4+4+33</f>
        <v>56</v>
      </c>
      <c r="AS177" s="42"/>
      <c r="AT177" s="11"/>
      <c r="AU177" s="10"/>
      <c r="AV177" s="37">
        <v>4</v>
      </c>
      <c r="AW177" s="37" t="s">
        <v>204</v>
      </c>
      <c r="AX177" s="18"/>
      <c r="AY177" s="11"/>
      <c r="AZ177" s="28"/>
      <c r="BB177" s="98" t="s">
        <v>105</v>
      </c>
      <c r="BC177" s="10">
        <v>0</v>
      </c>
      <c r="BD177" s="39">
        <v>1</v>
      </c>
      <c r="BE177" s="18"/>
      <c r="BF177" s="18"/>
      <c r="BG177" s="18"/>
      <c r="BH177" s="10"/>
      <c r="BI177" s="11"/>
      <c r="BJ177" s="52" t="s">
        <v>179</v>
      </c>
      <c r="BK177" s="37" t="s">
        <v>334</v>
      </c>
      <c r="BL177" s="39"/>
    </row>
    <row r="178" spans="1:65" x14ac:dyDescent="0.3">
      <c r="AN178" s="45"/>
      <c r="AP178" s="125" t="s">
        <v>209</v>
      </c>
      <c r="AQ178" s="54">
        <v>0</v>
      </c>
      <c r="AR178" s="54">
        <v>0</v>
      </c>
      <c r="AS178" s="42"/>
      <c r="AT178" s="40"/>
      <c r="AU178" s="42"/>
      <c r="AV178" s="28">
        <v>5</v>
      </c>
      <c r="AW178" s="28" t="s">
        <v>210</v>
      </c>
      <c r="AX178" s="28"/>
      <c r="AY178" s="40"/>
      <c r="AZ178" s="28"/>
      <c r="BB178" s="92" t="s">
        <v>64</v>
      </c>
      <c r="BC178" s="84">
        <v>6</v>
      </c>
      <c r="BD178" s="86">
        <v>0</v>
      </c>
      <c r="BE178" s="45"/>
      <c r="BF178" s="45"/>
      <c r="BG178" s="45"/>
      <c r="BH178" s="10"/>
      <c r="BI178" s="11"/>
      <c r="BJ178" s="112" t="s">
        <v>335</v>
      </c>
      <c r="BK178" s="54" t="s">
        <v>336</v>
      </c>
      <c r="BL178" s="86"/>
    </row>
    <row r="179" spans="1:65" x14ac:dyDescent="0.3">
      <c r="B179" s="126"/>
      <c r="C179" s="126"/>
      <c r="AN179" s="45"/>
      <c r="AP179" s="44" t="s">
        <v>168</v>
      </c>
      <c r="AQ179" s="37">
        <v>0</v>
      </c>
      <c r="AR179" s="18">
        <v>0</v>
      </c>
      <c r="AS179" s="42"/>
      <c r="AT179" s="11"/>
      <c r="AU179" s="10"/>
      <c r="AV179" s="37">
        <f>26+5+9+6+1</f>
        <v>47</v>
      </c>
      <c r="AW179" s="37" t="s">
        <v>213</v>
      </c>
      <c r="AX179" s="18"/>
      <c r="AY179" s="11"/>
      <c r="BB179" s="127" t="s">
        <v>337</v>
      </c>
      <c r="BC179" s="84">
        <v>5</v>
      </c>
      <c r="BD179" s="86">
        <v>6</v>
      </c>
      <c r="BE179" s="45"/>
      <c r="BF179" s="45"/>
      <c r="BG179" s="45"/>
      <c r="BH179" s="84"/>
      <c r="BI179" s="85"/>
      <c r="BJ179" s="52" t="s">
        <v>338</v>
      </c>
      <c r="BK179" s="54" t="s">
        <v>339</v>
      </c>
      <c r="BL179" s="40"/>
    </row>
    <row r="180" spans="1:65" x14ac:dyDescent="0.3">
      <c r="AN180" s="45"/>
      <c r="AP180" s="125" t="s">
        <v>81</v>
      </c>
      <c r="AQ180" s="54">
        <f>4+10</f>
        <v>14</v>
      </c>
      <c r="AR180" s="45">
        <f>2+11</f>
        <v>13</v>
      </c>
      <c r="AS180" s="42"/>
      <c r="AT180" s="40"/>
      <c r="AU180" s="42"/>
      <c r="AV180" s="54">
        <v>1</v>
      </c>
      <c r="AW180" s="128" t="s">
        <v>235</v>
      </c>
      <c r="AX180" s="28"/>
      <c r="AY180" s="40" t="s">
        <v>6</v>
      </c>
      <c r="BB180" s="127" t="s">
        <v>297</v>
      </c>
      <c r="BC180" s="84">
        <v>1</v>
      </c>
      <c r="BD180" s="86">
        <v>0</v>
      </c>
      <c r="BE180" s="45"/>
      <c r="BF180" s="45"/>
      <c r="BG180" s="45"/>
      <c r="BH180" s="84"/>
      <c r="BI180" s="85"/>
      <c r="BJ180" s="52" t="s">
        <v>340</v>
      </c>
      <c r="BK180" s="54" t="s">
        <v>341</v>
      </c>
      <c r="BL180" s="40"/>
    </row>
    <row r="181" spans="1:65" x14ac:dyDescent="0.3">
      <c r="AP181" s="125" t="s">
        <v>72</v>
      </c>
      <c r="AQ181" s="54">
        <f>6+3+10+19+1</f>
        <v>39</v>
      </c>
      <c r="AR181" s="45">
        <f>12+13+22+1</f>
        <v>48</v>
      </c>
      <c r="AS181" s="42"/>
      <c r="AT181" s="40"/>
      <c r="AU181" s="42"/>
      <c r="AV181" s="54">
        <f>18+3</f>
        <v>21</v>
      </c>
      <c r="AW181" s="54" t="s">
        <v>216</v>
      </c>
      <c r="AX181" s="45"/>
      <c r="AY181" s="40"/>
      <c r="BB181" s="127" t="s">
        <v>99</v>
      </c>
      <c r="BC181" s="84">
        <v>0</v>
      </c>
      <c r="BD181" s="86">
        <f>2+1</f>
        <v>3</v>
      </c>
      <c r="BE181" s="28"/>
      <c r="BF181" s="45"/>
      <c r="BG181" s="28"/>
      <c r="BH181" s="84"/>
      <c r="BI181" s="85"/>
      <c r="BJ181" s="98" t="s">
        <v>342</v>
      </c>
      <c r="BK181" s="54" t="s">
        <v>343</v>
      </c>
      <c r="BL181" s="86"/>
    </row>
    <row r="182" spans="1:65" x14ac:dyDescent="0.3">
      <c r="AP182" s="125" t="s">
        <v>115</v>
      </c>
      <c r="AQ182" s="54">
        <f>4+7</f>
        <v>11</v>
      </c>
      <c r="AR182" s="45">
        <f>4+2</f>
        <v>6</v>
      </c>
      <c r="AS182" s="42"/>
      <c r="AT182" s="40"/>
      <c r="AU182" s="42"/>
      <c r="AV182" s="54">
        <v>11</v>
      </c>
      <c r="AW182" s="54" t="s">
        <v>217</v>
      </c>
      <c r="AX182" s="28"/>
      <c r="AY182" s="40"/>
      <c r="BB182" s="127" t="s">
        <v>218</v>
      </c>
      <c r="BC182" s="84">
        <v>8</v>
      </c>
      <c r="BD182" s="86">
        <f>2+2</f>
        <v>4</v>
      </c>
      <c r="BE182" s="28"/>
      <c r="BF182" s="45"/>
      <c r="BG182" s="28"/>
      <c r="BH182" s="84"/>
      <c r="BI182" s="85"/>
      <c r="BJ182" s="52" t="s">
        <v>344</v>
      </c>
      <c r="BK182" s="54" t="s">
        <v>345</v>
      </c>
      <c r="BL182" s="40"/>
    </row>
    <row r="183" spans="1:65" x14ac:dyDescent="0.3">
      <c r="AP183" s="125" t="s">
        <v>56</v>
      </c>
      <c r="AQ183" s="54">
        <f>1+1</f>
        <v>2</v>
      </c>
      <c r="AR183" s="45">
        <f>5+3+1+7</f>
        <v>16</v>
      </c>
      <c r="AS183" s="42"/>
      <c r="AT183" s="40"/>
      <c r="AU183" s="42"/>
      <c r="AV183" s="54">
        <v>1</v>
      </c>
      <c r="AW183" s="54" t="s">
        <v>219</v>
      </c>
      <c r="AX183" s="28"/>
      <c r="AY183" s="40"/>
      <c r="BB183" s="98" t="s">
        <v>220</v>
      </c>
      <c r="BC183" s="10">
        <v>0</v>
      </c>
      <c r="BD183" s="11">
        <v>0</v>
      </c>
      <c r="BE183" s="18"/>
      <c r="BF183" s="18"/>
      <c r="BG183" s="18"/>
      <c r="BH183" s="10"/>
      <c r="BI183" s="11"/>
      <c r="BJ183" s="52" t="s">
        <v>346</v>
      </c>
      <c r="BK183" s="37" t="s">
        <v>347</v>
      </c>
      <c r="BL183" s="129"/>
    </row>
    <row r="184" spans="1:65" ht="15" thickBot="1" x14ac:dyDescent="0.35">
      <c r="AP184" s="125" t="s">
        <v>138</v>
      </c>
      <c r="AQ184" s="54">
        <v>0</v>
      </c>
      <c r="AR184" s="45">
        <v>2</v>
      </c>
      <c r="AS184" s="42"/>
      <c r="AT184" s="40"/>
      <c r="AU184" s="42"/>
      <c r="AV184" s="54">
        <f>5+8</f>
        <v>13</v>
      </c>
      <c r="AW184" s="54" t="s">
        <v>221</v>
      </c>
      <c r="AX184" s="28"/>
      <c r="AY184" s="40"/>
      <c r="BB184" s="13" t="s">
        <v>84</v>
      </c>
      <c r="BC184" s="13">
        <f>SUM(BC162:BC183)</f>
        <v>361</v>
      </c>
      <c r="BD184" s="26">
        <f>SUM(BD162:BD183)</f>
        <v>363</v>
      </c>
      <c r="BE184" s="27">
        <v>0</v>
      </c>
      <c r="BF184" s="27">
        <f>SUM(BF162:BF183)</f>
        <v>0</v>
      </c>
      <c r="BG184" s="27">
        <v>0</v>
      </c>
      <c r="BH184" s="130">
        <v>0</v>
      </c>
      <c r="BI184" s="26">
        <v>0</v>
      </c>
      <c r="BJ184" s="59" t="s">
        <v>348</v>
      </c>
      <c r="BK184" s="27" t="s">
        <v>349</v>
      </c>
      <c r="BL184" s="26">
        <f>8+4+3+7+7+4+3+4+2+3+2+4+5+12+11+10+13+6</f>
        <v>108</v>
      </c>
    </row>
    <row r="185" spans="1:65" ht="15" thickBot="1" x14ac:dyDescent="0.35">
      <c r="AP185" s="125" t="s">
        <v>67</v>
      </c>
      <c r="AQ185" s="28">
        <f>3+5</f>
        <v>8</v>
      </c>
      <c r="AR185" s="45">
        <f>2+8</f>
        <v>10</v>
      </c>
      <c r="AS185" s="42"/>
      <c r="AT185" s="40"/>
      <c r="AU185" s="42"/>
      <c r="AV185" s="54">
        <f>8+1+17+3+5+6</f>
        <v>40</v>
      </c>
      <c r="AW185" s="54" t="s">
        <v>222</v>
      </c>
      <c r="AX185" s="28"/>
      <c r="AY185" s="40"/>
      <c r="BB185" s="13" t="s">
        <v>223</v>
      </c>
      <c r="BC185" s="13">
        <f>SUM(BC184+BC161+BC158+BC154+BC150+BC147+BC145+BC143)</f>
        <v>2100</v>
      </c>
      <c r="BD185" s="26">
        <f>SUM(BD184+BD161+BD158+BD154+BD150+BD147+BD145+BD143)</f>
        <v>2045</v>
      </c>
      <c r="BE185" s="27">
        <f>SUM(BE184+BE161+BE154+BE149+BE147+BE145+BE142)</f>
        <v>0</v>
      </c>
      <c r="BF185" s="27">
        <f>SUM(BF162:BF183)</f>
        <v>0</v>
      </c>
      <c r="BG185" s="27">
        <f>SUM(BG184+BG161+BG154+BG149+BG147+BG145+BG142)</f>
        <v>0</v>
      </c>
      <c r="BH185" s="13">
        <f>SUM(BH184+BH161+BH154+BH149+BH147+BH145+BH142)</f>
        <v>38668</v>
      </c>
      <c r="BI185" s="26">
        <f>SUM(BI184+BI161+BI154+BI149+BI147+BI145+BI142)</f>
        <v>9314</v>
      </c>
      <c r="BJ185" s="81"/>
      <c r="BK185" s="27" t="s">
        <v>189</v>
      </c>
      <c r="BL185" s="26">
        <f>SUM(BL142:BL183)</f>
        <v>176</v>
      </c>
    </row>
    <row r="186" spans="1:65" x14ac:dyDescent="0.3">
      <c r="K186" s="28"/>
      <c r="AP186" s="125" t="s">
        <v>122</v>
      </c>
      <c r="AQ186" s="43">
        <v>1</v>
      </c>
      <c r="AR186" s="45">
        <v>2</v>
      </c>
      <c r="AS186" s="42"/>
      <c r="AT186" s="40"/>
      <c r="AU186" s="42"/>
      <c r="AV186" s="54">
        <v>2</v>
      </c>
      <c r="AW186" s="54" t="s">
        <v>350</v>
      </c>
      <c r="AX186" s="28"/>
      <c r="AY186" s="40"/>
      <c r="BB186" s="131" t="s">
        <v>225</v>
      </c>
      <c r="BD186">
        <f>SUM(BL184)</f>
        <v>108</v>
      </c>
      <c r="BG186" s="132"/>
      <c r="BH186" t="s">
        <v>298</v>
      </c>
    </row>
    <row r="187" spans="1:65" x14ac:dyDescent="0.3">
      <c r="K187" s="28"/>
      <c r="AP187" s="125" t="s">
        <v>227</v>
      </c>
      <c r="AQ187" s="43">
        <v>0</v>
      </c>
      <c r="AR187" s="45">
        <v>0</v>
      </c>
      <c r="AS187" s="42"/>
      <c r="AT187" s="40"/>
      <c r="AU187" s="42"/>
      <c r="AV187" s="54">
        <v>3</v>
      </c>
      <c r="AW187" s="54" t="s">
        <v>228</v>
      </c>
      <c r="AX187" s="28"/>
      <c r="AY187" s="40"/>
      <c r="BB187" t="s">
        <v>229</v>
      </c>
      <c r="BD187">
        <v>33</v>
      </c>
    </row>
    <row r="188" spans="1:65" x14ac:dyDescent="0.3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AP188" s="41" t="s">
        <v>230</v>
      </c>
      <c r="AQ188" s="43">
        <f>1+8+4</f>
        <v>13</v>
      </c>
      <c r="AR188" s="45">
        <f>2+10+5+5</f>
        <v>22</v>
      </c>
      <c r="AS188" s="42"/>
      <c r="AT188" s="40"/>
      <c r="AU188" s="42"/>
      <c r="AV188" s="54">
        <v>6</v>
      </c>
      <c r="AW188" s="54" t="s">
        <v>246</v>
      </c>
      <c r="AX188" s="28"/>
      <c r="AY188" s="40"/>
      <c r="BB188" t="s">
        <v>232</v>
      </c>
      <c r="BD188" t="s">
        <v>233</v>
      </c>
      <c r="BF188">
        <f>SUM(AQ193)</f>
        <v>3096</v>
      </c>
      <c r="BH188" t="s">
        <v>234</v>
      </c>
      <c r="BJ188" t="s">
        <v>233</v>
      </c>
      <c r="BL188">
        <f>SUM(BC185)</f>
        <v>2100</v>
      </c>
    </row>
    <row r="189" spans="1:65" ht="18" x14ac:dyDescent="0.35">
      <c r="B189" s="133"/>
      <c r="AP189" s="68" t="s">
        <v>125</v>
      </c>
      <c r="AQ189" s="43">
        <v>0</v>
      </c>
      <c r="AR189" s="45">
        <v>0</v>
      </c>
      <c r="AS189" s="42"/>
      <c r="AT189" s="40"/>
      <c r="AU189" s="42"/>
      <c r="AV189" s="54">
        <v>1</v>
      </c>
      <c r="AW189" s="54" t="s">
        <v>351</v>
      </c>
      <c r="AX189" s="28"/>
      <c r="AY189" s="40"/>
      <c r="BD189" t="s">
        <v>236</v>
      </c>
      <c r="BF189">
        <f>SUM(AR193)</f>
        <v>3012</v>
      </c>
      <c r="BJ189" t="s">
        <v>236</v>
      </c>
      <c r="BL189">
        <f>SUM(BD185)</f>
        <v>2045</v>
      </c>
    </row>
    <row r="190" spans="1:65" x14ac:dyDescent="0.3">
      <c r="AP190" s="68" t="s">
        <v>132</v>
      </c>
      <c r="AQ190" s="43">
        <v>2</v>
      </c>
      <c r="AR190" s="45">
        <v>2</v>
      </c>
      <c r="AS190" s="42"/>
      <c r="AT190" s="40"/>
      <c r="AU190" s="42"/>
      <c r="AV190" s="54">
        <v>1</v>
      </c>
      <c r="AW190" s="54" t="s">
        <v>237</v>
      </c>
      <c r="AX190" s="28"/>
      <c r="AY190" s="40"/>
      <c r="BB190" s="134" t="s">
        <v>238</v>
      </c>
      <c r="BC190" s="135" t="s">
        <v>239</v>
      </c>
      <c r="BD190" s="136"/>
      <c r="BE190" s="134" t="s">
        <v>240</v>
      </c>
      <c r="BF190" s="135" t="s">
        <v>241</v>
      </c>
      <c r="BG190" s="136"/>
      <c r="BH190" s="134"/>
      <c r="BI190" s="135" t="s">
        <v>242</v>
      </c>
      <c r="BJ190" s="137" t="s">
        <v>243</v>
      </c>
      <c r="BK190" s="135"/>
      <c r="BL190" s="135"/>
      <c r="BM190" s="136"/>
    </row>
    <row r="191" spans="1:65" x14ac:dyDescent="0.3">
      <c r="AP191" s="41" t="s">
        <v>6</v>
      </c>
      <c r="AS191" s="42"/>
      <c r="AT191" s="40"/>
      <c r="AU191" s="42"/>
      <c r="AV191" s="54">
        <v>1</v>
      </c>
      <c r="AW191" s="54" t="s">
        <v>352</v>
      </c>
      <c r="AX191" s="28"/>
      <c r="AY191" s="40"/>
      <c r="BB191" s="138" t="s">
        <v>233</v>
      </c>
      <c r="BC191" s="28"/>
      <c r="BD191" s="139">
        <f>SUM(B176)</f>
        <v>52201</v>
      </c>
      <c r="BE191" s="138" t="s">
        <v>233</v>
      </c>
      <c r="BF191" s="28"/>
      <c r="BG191" s="139">
        <f>SUM(AC173)</f>
        <v>1986</v>
      </c>
      <c r="BH191" s="138" t="s">
        <v>233</v>
      </c>
      <c r="BI191" s="28"/>
      <c r="BJ191" s="140">
        <f>SUM(BL188+BG191)</f>
        <v>4086</v>
      </c>
      <c r="BK191" s="28" t="s">
        <v>245</v>
      </c>
      <c r="BL191" s="28">
        <f>SUM(BJ191+BD191)</f>
        <v>56287</v>
      </c>
      <c r="BM191" s="141"/>
    </row>
    <row r="192" spans="1:65" ht="18.600000000000001" thickBot="1" x14ac:dyDescent="0.4">
      <c r="B192" s="133"/>
      <c r="AP192" s="46" t="s">
        <v>84</v>
      </c>
      <c r="AQ192" s="48">
        <f>SUM(AQ176:AQ191)</f>
        <v>150</v>
      </c>
      <c r="AR192" s="48">
        <f>SUM(AR176:AR191)</f>
        <v>189</v>
      </c>
      <c r="AS192" s="47"/>
      <c r="AT192" s="49"/>
      <c r="AU192" s="47"/>
      <c r="AV192" s="48">
        <v>1</v>
      </c>
      <c r="AW192" s="48" t="s">
        <v>353</v>
      </c>
      <c r="AX192" s="48"/>
      <c r="AY192" s="49">
        <f>SUM(AV178:AV190)</f>
        <v>152</v>
      </c>
      <c r="BB192" s="142" t="s">
        <v>236</v>
      </c>
      <c r="BC192" s="143"/>
      <c r="BD192" s="144">
        <f>SUM(C176)</f>
        <v>57193</v>
      </c>
      <c r="BE192" s="142" t="s">
        <v>236</v>
      </c>
      <c r="BF192" s="143"/>
      <c r="BG192" s="144">
        <f>SUM(AD173)</f>
        <v>1895</v>
      </c>
      <c r="BH192" s="142" t="s">
        <v>236</v>
      </c>
      <c r="BI192" s="143"/>
      <c r="BJ192" s="145">
        <f>SUM(BL189+BG192)</f>
        <v>3940</v>
      </c>
      <c r="BK192" s="143"/>
      <c r="BL192" s="143">
        <f>SUM(BJ192+BD192)</f>
        <v>61133</v>
      </c>
      <c r="BM192" s="146"/>
    </row>
    <row r="193" spans="1:64" ht="18.600000000000001" thickBot="1" x14ac:dyDescent="0.4">
      <c r="B193" s="133"/>
      <c r="AP193" s="147" t="s">
        <v>84</v>
      </c>
      <c r="AQ193" s="147">
        <f>SUM(+AQ192+AQ175+AQ165+AQ150+AQ147)</f>
        <v>3096</v>
      </c>
      <c r="AR193" s="148">
        <f>SUM(AR192+AR175+AR165+AR150+AR147)</f>
        <v>3012</v>
      </c>
      <c r="AS193" s="147"/>
      <c r="AT193" s="148"/>
      <c r="AU193" s="149" t="s">
        <v>247</v>
      </c>
      <c r="AV193" s="149"/>
      <c r="AW193" s="149"/>
      <c r="AX193" s="149"/>
      <c r="AY193" s="148">
        <f>SUM(AY147:AY192)</f>
        <v>483</v>
      </c>
    </row>
    <row r="194" spans="1:64" ht="15" thickTop="1" x14ac:dyDescent="0.3"/>
    <row r="199" spans="1:64" ht="15.6" x14ac:dyDescent="0.3">
      <c r="C199" s="1" t="s">
        <v>0</v>
      </c>
      <c r="P199" s="1" t="s">
        <v>1</v>
      </c>
    </row>
    <row r="200" spans="1:64" ht="15.6" x14ac:dyDescent="0.3">
      <c r="D200" t="s">
        <v>2</v>
      </c>
      <c r="Q200" t="s">
        <v>3</v>
      </c>
      <c r="AE200" s="2"/>
      <c r="AF200" s="1" t="s">
        <v>0</v>
      </c>
      <c r="AG200" s="1"/>
      <c r="AI200" s="1"/>
      <c r="AJ200" s="1"/>
      <c r="AS200" s="1" t="s">
        <v>4</v>
      </c>
      <c r="BE200" s="1"/>
      <c r="BF200" s="1" t="s">
        <v>5</v>
      </c>
      <c r="BG200" s="1"/>
      <c r="BH200" s="1"/>
      <c r="BI200" s="1"/>
      <c r="BJ200" s="1"/>
    </row>
    <row r="201" spans="1:64" ht="15.6" x14ac:dyDescent="0.3">
      <c r="A201" t="s">
        <v>6</v>
      </c>
      <c r="C201" t="s">
        <v>7</v>
      </c>
      <c r="O201" t="s">
        <v>8</v>
      </c>
      <c r="AE201" s="3"/>
      <c r="AF201" s="2" t="s">
        <v>9</v>
      </c>
      <c r="AG201" s="1"/>
      <c r="AI201" s="1"/>
      <c r="AJ201" s="1"/>
      <c r="AT201" t="s">
        <v>2</v>
      </c>
      <c r="BG201" t="s">
        <v>2</v>
      </c>
    </row>
    <row r="202" spans="1:64" ht="15.6" x14ac:dyDescent="0.3">
      <c r="D202" t="s">
        <v>354</v>
      </c>
      <c r="Q202" t="s">
        <v>354</v>
      </c>
      <c r="AF202" s="3" t="s">
        <v>11</v>
      </c>
      <c r="AG202" s="1"/>
      <c r="AI202" s="1"/>
      <c r="AJ202" s="1"/>
      <c r="AR202" t="s">
        <v>12</v>
      </c>
      <c r="BE202" t="s">
        <v>13</v>
      </c>
    </row>
    <row r="203" spans="1:64" ht="15" thickBot="1" x14ac:dyDescent="0.35">
      <c r="I203" s="4" t="s">
        <v>14</v>
      </c>
      <c r="U203" s="5" t="s">
        <v>15</v>
      </c>
      <c r="AG203" t="s">
        <v>354</v>
      </c>
      <c r="AT203" t="s">
        <v>354</v>
      </c>
      <c r="AY203" s="5"/>
      <c r="BG203" t="s">
        <v>354</v>
      </c>
      <c r="BK203" s="5" t="s">
        <v>16</v>
      </c>
    </row>
    <row r="204" spans="1:64" ht="15" thickBot="1" x14ac:dyDescent="0.35">
      <c r="A204" s="6" t="s">
        <v>17</v>
      </c>
      <c r="B204" s="6" t="s">
        <v>18</v>
      </c>
      <c r="C204" s="7"/>
      <c r="D204" s="8" t="s">
        <v>19</v>
      </c>
      <c r="E204" s="8"/>
      <c r="F204" s="8"/>
      <c r="G204" s="9" t="s">
        <v>20</v>
      </c>
      <c r="H204" s="8" t="s">
        <v>21</v>
      </c>
      <c r="I204" s="8"/>
      <c r="J204" s="7"/>
      <c r="L204" s="6" t="s">
        <v>17</v>
      </c>
      <c r="M204" s="6" t="s">
        <v>22</v>
      </c>
      <c r="N204" s="7"/>
      <c r="O204" s="8" t="s">
        <v>23</v>
      </c>
      <c r="P204" s="8"/>
      <c r="Q204" s="8"/>
      <c r="R204" s="6" t="s">
        <v>24</v>
      </c>
      <c r="S204" s="7"/>
      <c r="T204" s="8" t="s">
        <v>21</v>
      </c>
      <c r="U204" s="8"/>
      <c r="V204" s="7"/>
      <c r="AL204" s="5" t="s">
        <v>25</v>
      </c>
      <c r="AX204" s="5" t="s">
        <v>26</v>
      </c>
      <c r="BB204" s="6" t="s">
        <v>17</v>
      </c>
      <c r="BC204" s="6" t="s">
        <v>27</v>
      </c>
      <c r="BD204" s="7"/>
      <c r="BE204" s="8" t="s">
        <v>28</v>
      </c>
      <c r="BF204" s="8"/>
      <c r="BG204" s="8"/>
      <c r="BH204" s="6" t="s">
        <v>29</v>
      </c>
      <c r="BI204" s="7" t="s">
        <v>30</v>
      </c>
      <c r="BJ204" s="8" t="s">
        <v>31</v>
      </c>
      <c r="BK204" s="8"/>
      <c r="BL204" s="7"/>
    </row>
    <row r="205" spans="1:64" x14ac:dyDescent="0.3">
      <c r="A205" s="10" t="s">
        <v>32</v>
      </c>
      <c r="B205" s="10"/>
      <c r="C205" s="11"/>
      <c r="D205" s="3"/>
      <c r="E205" s="3"/>
      <c r="F205" s="3"/>
      <c r="G205" s="12"/>
      <c r="H205" s="3" t="s">
        <v>33</v>
      </c>
      <c r="I205" s="3"/>
      <c r="J205" s="11"/>
      <c r="L205" s="10"/>
      <c r="M205" s="10"/>
      <c r="N205" s="11"/>
      <c r="O205" s="3"/>
      <c r="P205" s="3"/>
      <c r="Q205" s="3"/>
      <c r="R205" s="10"/>
      <c r="S205" s="11"/>
      <c r="T205" s="3" t="s">
        <v>33</v>
      </c>
      <c r="U205" s="3"/>
      <c r="V205" s="11"/>
      <c r="AB205" s="6" t="s">
        <v>34</v>
      </c>
      <c r="AC205" s="6" t="s">
        <v>35</v>
      </c>
      <c r="AD205" s="7"/>
      <c r="AE205" s="6" t="s">
        <v>36</v>
      </c>
      <c r="AF205" s="8"/>
      <c r="AG205" s="7"/>
      <c r="AH205" s="8" t="s">
        <v>37</v>
      </c>
      <c r="AI205" s="8"/>
      <c r="AJ205" s="9" t="s">
        <v>30</v>
      </c>
      <c r="AK205" s="8" t="s">
        <v>38</v>
      </c>
      <c r="AL205" s="8"/>
      <c r="AM205" s="7"/>
      <c r="AP205" s="6" t="s">
        <v>17</v>
      </c>
      <c r="AQ205" s="6" t="s">
        <v>39</v>
      </c>
      <c r="AR205" s="7"/>
      <c r="AS205" s="6" t="s">
        <v>29</v>
      </c>
      <c r="AT205" s="7" t="s">
        <v>30</v>
      </c>
      <c r="AU205" s="8" t="s">
        <v>40</v>
      </c>
      <c r="AV205" s="8"/>
      <c r="AW205" s="8"/>
      <c r="AX205" s="8"/>
      <c r="AY205" s="7"/>
      <c r="BB205" s="10"/>
      <c r="BC205" s="10"/>
      <c r="BD205" s="11"/>
      <c r="BE205" s="3"/>
      <c r="BF205" s="3"/>
      <c r="BG205" s="3"/>
      <c r="BH205" s="10"/>
      <c r="BI205" s="11" t="s">
        <v>6</v>
      </c>
      <c r="BJ205" s="3" t="s">
        <v>41</v>
      </c>
      <c r="BK205" s="3"/>
      <c r="BL205" s="11"/>
    </row>
    <row r="206" spans="1:64" ht="15" thickBot="1" x14ac:dyDescent="0.35">
      <c r="A206" s="13" t="s">
        <v>42</v>
      </c>
      <c r="B206" s="14" t="s">
        <v>43</v>
      </c>
      <c r="C206" s="15" t="s">
        <v>44</v>
      </c>
      <c r="D206" s="16" t="s">
        <v>45</v>
      </c>
      <c r="E206" s="16" t="s">
        <v>46</v>
      </c>
      <c r="F206" s="16" t="s">
        <v>47</v>
      </c>
      <c r="G206" s="17" t="s">
        <v>48</v>
      </c>
      <c r="H206" s="18" t="s">
        <v>49</v>
      </c>
      <c r="I206" s="18"/>
      <c r="J206" s="11"/>
      <c r="L206" s="10" t="s">
        <v>50</v>
      </c>
      <c r="M206" s="19" t="s">
        <v>43</v>
      </c>
      <c r="N206" s="20" t="s">
        <v>44</v>
      </c>
      <c r="O206" s="21" t="s">
        <v>43</v>
      </c>
      <c r="P206" s="18" t="s">
        <v>51</v>
      </c>
      <c r="Q206" s="21" t="s">
        <v>44</v>
      </c>
      <c r="R206" s="22" t="s">
        <v>43</v>
      </c>
      <c r="S206" s="23" t="s">
        <v>44</v>
      </c>
      <c r="T206" s="18" t="s">
        <v>49</v>
      </c>
      <c r="U206" s="18"/>
      <c r="V206" s="11"/>
      <c r="AB206" s="10" t="s">
        <v>50</v>
      </c>
      <c r="AC206" s="22" t="s">
        <v>43</v>
      </c>
      <c r="AD206" s="23" t="s">
        <v>44</v>
      </c>
      <c r="AE206" s="22" t="s">
        <v>45</v>
      </c>
      <c r="AF206" s="24" t="s">
        <v>46</v>
      </c>
      <c r="AG206" s="23" t="s">
        <v>52</v>
      </c>
      <c r="AH206" s="24" t="s">
        <v>43</v>
      </c>
      <c r="AI206" s="24" t="s">
        <v>44</v>
      </c>
      <c r="AJ206" s="25" t="s">
        <v>43</v>
      </c>
      <c r="AK206" s="3" t="s">
        <v>53</v>
      </c>
      <c r="AL206" s="3"/>
      <c r="AM206" s="11"/>
      <c r="AP206" s="13" t="s">
        <v>42</v>
      </c>
      <c r="AQ206" s="10" t="s">
        <v>43</v>
      </c>
      <c r="AR206" s="11" t="s">
        <v>44</v>
      </c>
      <c r="AS206" s="13" t="s">
        <v>43</v>
      </c>
      <c r="AT206" s="26" t="s">
        <v>44</v>
      </c>
      <c r="AU206" s="27"/>
      <c r="AV206" s="27"/>
      <c r="AW206" s="27"/>
      <c r="AX206" s="27"/>
      <c r="AY206" s="26"/>
      <c r="BB206" s="13" t="s">
        <v>42</v>
      </c>
      <c r="BC206" s="13" t="s">
        <v>43</v>
      </c>
      <c r="BD206" s="26" t="s">
        <v>44</v>
      </c>
      <c r="BE206" s="27" t="s">
        <v>45</v>
      </c>
      <c r="BF206" s="27" t="s">
        <v>46</v>
      </c>
      <c r="BG206" s="27" t="s">
        <v>52</v>
      </c>
      <c r="BH206" s="13" t="s">
        <v>43</v>
      </c>
      <c r="BI206" s="26" t="s">
        <v>44</v>
      </c>
      <c r="BJ206" s="27" t="s">
        <v>54</v>
      </c>
      <c r="BK206" s="27"/>
      <c r="BL206" s="26"/>
    </row>
    <row r="207" spans="1:64" ht="15" thickBot="1" x14ac:dyDescent="0.35">
      <c r="A207" s="6"/>
      <c r="B207" s="6"/>
      <c r="C207" s="7"/>
      <c r="D207" s="8"/>
      <c r="E207" s="8"/>
      <c r="F207" s="7"/>
      <c r="G207" s="8"/>
      <c r="H207" s="6" t="s">
        <v>55</v>
      </c>
      <c r="I207" s="8"/>
      <c r="J207" s="7"/>
      <c r="K207" s="28"/>
      <c r="L207" s="9"/>
      <c r="M207" s="8"/>
      <c r="N207" s="8"/>
      <c r="O207" s="6"/>
      <c r="P207" s="8"/>
      <c r="Q207" s="7"/>
      <c r="R207" s="8"/>
      <c r="S207" s="8"/>
      <c r="T207" s="6" t="s">
        <v>55</v>
      </c>
      <c r="U207" s="8"/>
      <c r="V207" s="7"/>
      <c r="W207" s="28"/>
      <c r="AB207" s="13"/>
      <c r="AC207" s="13"/>
      <c r="AD207" s="26"/>
      <c r="AE207" s="13"/>
      <c r="AF207" s="27"/>
      <c r="AG207" s="26"/>
      <c r="AH207" s="27"/>
      <c r="AI207" s="27"/>
      <c r="AJ207" s="17"/>
      <c r="AK207" s="27"/>
      <c r="AL207" s="27"/>
      <c r="AM207" s="26"/>
      <c r="AP207" s="6" t="s">
        <v>56</v>
      </c>
      <c r="AQ207" s="29">
        <v>1015</v>
      </c>
      <c r="AR207" s="30">
        <v>983</v>
      </c>
      <c r="AU207" s="6"/>
      <c r="AV207" s="8"/>
      <c r="AW207" s="31" t="s">
        <v>57</v>
      </c>
      <c r="AX207" s="8"/>
      <c r="AY207" s="7"/>
      <c r="AZ207" s="28"/>
      <c r="BB207" s="32" t="s">
        <v>85</v>
      </c>
      <c r="BC207">
        <v>0</v>
      </c>
      <c r="BD207">
        <v>0</v>
      </c>
      <c r="BE207" s="33"/>
      <c r="BF207" s="34"/>
      <c r="BG207" s="34"/>
      <c r="BH207" s="33"/>
      <c r="BI207" s="35"/>
      <c r="BJ207" s="34" t="s">
        <v>58</v>
      </c>
      <c r="BK207" s="8"/>
      <c r="BL207" s="7"/>
    </row>
    <row r="208" spans="1:64" x14ac:dyDescent="0.3">
      <c r="A208" s="10" t="s">
        <v>59</v>
      </c>
      <c r="B208" s="36">
        <v>825</v>
      </c>
      <c r="C208" s="11">
        <v>991</v>
      </c>
      <c r="D208" s="37"/>
      <c r="E208" s="38" t="s">
        <v>60</v>
      </c>
      <c r="F208" s="39"/>
      <c r="G208" s="37">
        <f>5*212</f>
        <v>1060</v>
      </c>
      <c r="H208" s="36">
        <v>5</v>
      </c>
      <c r="I208" s="37" t="s">
        <v>61</v>
      </c>
      <c r="J208" s="40"/>
      <c r="K208" s="28"/>
      <c r="L208" s="41" t="s">
        <v>59</v>
      </c>
      <c r="M208" s="28">
        <v>10948</v>
      </c>
      <c r="N208" s="28">
        <v>12985</v>
      </c>
      <c r="O208" s="42">
        <v>0</v>
      </c>
      <c r="P208" s="43">
        <v>0</v>
      </c>
      <c r="Q208" s="40">
        <v>0</v>
      </c>
      <c r="R208" s="43">
        <v>0</v>
      </c>
      <c r="S208" s="43">
        <v>0</v>
      </c>
      <c r="T208" s="42"/>
      <c r="U208" s="28"/>
      <c r="V208" s="40"/>
      <c r="W208" s="28"/>
      <c r="AB208" s="6"/>
      <c r="AC208" s="6"/>
      <c r="AD208" s="7"/>
      <c r="AE208" s="6"/>
      <c r="AF208" s="8"/>
      <c r="AG208" s="7"/>
      <c r="AH208" s="8"/>
      <c r="AI208" s="8"/>
      <c r="AJ208" s="6"/>
      <c r="AK208" s="6" t="s">
        <v>62</v>
      </c>
      <c r="AL208" s="8"/>
      <c r="AM208" s="7"/>
      <c r="AP208" s="36" t="s">
        <v>63</v>
      </c>
      <c r="AQ208" s="36">
        <v>33</v>
      </c>
      <c r="AR208" s="39">
        <v>32</v>
      </c>
      <c r="AT208" s="18"/>
      <c r="AU208" s="10"/>
      <c r="AV208" s="18"/>
      <c r="AW208" s="18"/>
      <c r="AX208" s="18"/>
      <c r="AY208" s="11"/>
      <c r="AZ208" s="28"/>
      <c r="BB208" s="44" t="s">
        <v>64</v>
      </c>
      <c r="BC208" s="18">
        <v>57</v>
      </c>
      <c r="BD208" s="18">
        <v>52</v>
      </c>
      <c r="BE208" s="10">
        <v>0</v>
      </c>
      <c r="BF208" s="18">
        <v>0</v>
      </c>
      <c r="BG208" s="18">
        <v>0</v>
      </c>
      <c r="BH208" s="10">
        <v>0</v>
      </c>
      <c r="BI208" s="11">
        <v>0</v>
      </c>
      <c r="BJ208" s="45">
        <v>0</v>
      </c>
      <c r="BK208" s="28" t="s">
        <v>249</v>
      </c>
      <c r="BL208" s="11" t="s">
        <v>300</v>
      </c>
    </row>
    <row r="209" spans="1:65" ht="15" thickBot="1" x14ac:dyDescent="0.35">
      <c r="A209" s="36" t="s">
        <v>6</v>
      </c>
      <c r="B209" s="10"/>
      <c r="C209" s="11"/>
      <c r="D209" s="18"/>
      <c r="E209" s="18"/>
      <c r="F209" s="18"/>
      <c r="G209" s="36"/>
      <c r="H209" s="42"/>
      <c r="I209" s="28"/>
      <c r="J209" s="40">
        <f>SUM(H208)</f>
        <v>5</v>
      </c>
      <c r="K209" s="28"/>
      <c r="L209" s="12"/>
      <c r="M209" s="37"/>
      <c r="N209" s="37"/>
      <c r="O209" s="10"/>
      <c r="P209" s="18"/>
      <c r="Q209" s="11"/>
      <c r="R209" s="18"/>
      <c r="S209" s="18"/>
      <c r="T209" s="10"/>
      <c r="U209" s="18"/>
      <c r="V209" s="11"/>
      <c r="W209" s="28"/>
      <c r="AB209" s="36" t="s">
        <v>59</v>
      </c>
      <c r="AC209" s="36">
        <v>1280</v>
      </c>
      <c r="AD209" s="39">
        <v>1688</v>
      </c>
      <c r="AE209" s="10">
        <v>0</v>
      </c>
      <c r="AF209" s="3">
        <v>0</v>
      </c>
      <c r="AG209" s="39">
        <v>0</v>
      </c>
      <c r="AH209" s="2">
        <v>2402</v>
      </c>
      <c r="AI209" s="2">
        <v>20365</v>
      </c>
      <c r="AJ209" s="10">
        <v>0</v>
      </c>
      <c r="AK209" s="36">
        <v>5</v>
      </c>
      <c r="AL209" s="2" t="s">
        <v>66</v>
      </c>
      <c r="AM209" s="11"/>
      <c r="AP209" s="36" t="s">
        <v>67</v>
      </c>
      <c r="AQ209" s="36">
        <v>348</v>
      </c>
      <c r="AR209" s="39">
        <v>348</v>
      </c>
      <c r="AT209" s="18"/>
      <c r="AU209" s="10"/>
      <c r="AV209" s="37">
        <v>63</v>
      </c>
      <c r="AW209" s="37" t="s">
        <v>68</v>
      </c>
      <c r="AX209" s="18"/>
      <c r="AY209" s="11"/>
      <c r="AZ209" s="28"/>
      <c r="BA209" s="28"/>
      <c r="BB209" s="46" t="s">
        <v>84</v>
      </c>
      <c r="BC209">
        <f>SUM(BC207:BC208)</f>
        <v>57</v>
      </c>
      <c r="BD209">
        <f>SUM(BD207:BD208)</f>
        <v>52</v>
      </c>
      <c r="BE209" s="47"/>
      <c r="BF209" s="48"/>
      <c r="BG209" s="48"/>
      <c r="BH209" s="47"/>
      <c r="BI209" s="49"/>
      <c r="BJ209" s="48">
        <v>6</v>
      </c>
      <c r="BK209" s="48" t="s">
        <v>69</v>
      </c>
      <c r="BL209" s="49">
        <f>SUM(BJ208:BJ209)+2</f>
        <v>8</v>
      </c>
    </row>
    <row r="210" spans="1:65" ht="15" thickBot="1" x14ac:dyDescent="0.35">
      <c r="A210" s="32"/>
      <c r="B210" s="34"/>
      <c r="C210" s="34"/>
      <c r="D210" s="33"/>
      <c r="E210" s="34"/>
      <c r="F210" s="35"/>
      <c r="G210" s="34"/>
      <c r="H210" s="6" t="s">
        <v>70</v>
      </c>
      <c r="I210" s="8"/>
      <c r="J210" s="7"/>
      <c r="K210" s="28"/>
      <c r="L210" s="17"/>
      <c r="M210" s="27"/>
      <c r="N210" s="27"/>
      <c r="O210" s="13"/>
      <c r="P210" s="27"/>
      <c r="Q210" s="26"/>
      <c r="R210" s="27"/>
      <c r="S210" s="27"/>
      <c r="T210" s="13"/>
      <c r="U210" s="27"/>
      <c r="V210" s="26"/>
      <c r="W210" s="28"/>
      <c r="AB210" s="50" t="s">
        <v>6</v>
      </c>
      <c r="AC210" s="8"/>
      <c r="AD210" s="8"/>
      <c r="AE210" s="6"/>
      <c r="AF210" s="8"/>
      <c r="AG210" s="7"/>
      <c r="AH210" s="6"/>
      <c r="AI210" s="7"/>
      <c r="AJ210" s="8"/>
      <c r="AK210" s="29" t="s">
        <v>71</v>
      </c>
      <c r="AL210" s="8"/>
      <c r="AM210" s="7"/>
      <c r="AP210" s="36" t="s">
        <v>72</v>
      </c>
      <c r="AQ210" s="36">
        <v>9</v>
      </c>
      <c r="AR210" s="39">
        <v>9</v>
      </c>
      <c r="AT210" s="18"/>
      <c r="AU210" s="10"/>
      <c r="AV210" s="37">
        <v>59</v>
      </c>
      <c r="AW210" s="37" t="s">
        <v>73</v>
      </c>
      <c r="AX210" s="18"/>
      <c r="AY210" s="11"/>
      <c r="AZ210" s="28"/>
      <c r="BA210" s="28"/>
      <c r="BB210" s="33"/>
      <c r="BC210" s="33"/>
      <c r="BD210" s="35"/>
      <c r="BE210" s="34"/>
      <c r="BF210" s="34"/>
      <c r="BG210" s="34"/>
      <c r="BH210" s="33"/>
      <c r="BI210" s="35"/>
      <c r="BJ210" s="8" t="s">
        <v>6</v>
      </c>
      <c r="BK210" s="34"/>
      <c r="BL210" s="35"/>
    </row>
    <row r="211" spans="1:65" ht="15" thickBot="1" x14ac:dyDescent="0.35">
      <c r="A211" s="44" t="s">
        <v>74</v>
      </c>
      <c r="B211" s="37">
        <v>1178</v>
      </c>
      <c r="C211" s="18">
        <v>2101</v>
      </c>
      <c r="D211" s="36"/>
      <c r="E211" s="38" t="s">
        <v>60</v>
      </c>
      <c r="F211" s="39"/>
      <c r="G211" s="37">
        <v>2188</v>
      </c>
      <c r="H211" s="36">
        <v>2</v>
      </c>
      <c r="I211" s="28" t="s">
        <v>75</v>
      </c>
      <c r="J211" s="11"/>
      <c r="K211" s="28"/>
      <c r="L211" s="32"/>
      <c r="M211" s="34"/>
      <c r="N211" s="34"/>
      <c r="O211" s="33"/>
      <c r="P211" s="34"/>
      <c r="Q211" s="35"/>
      <c r="R211" s="34"/>
      <c r="S211" s="34"/>
      <c r="T211" s="33"/>
      <c r="U211" s="34"/>
      <c r="V211" s="35"/>
      <c r="W211" s="28"/>
      <c r="AB211" s="41" t="s">
        <v>76</v>
      </c>
      <c r="AC211">
        <v>457</v>
      </c>
      <c r="AD211">
        <v>0</v>
      </c>
      <c r="AE211" s="42">
        <v>0</v>
      </c>
      <c r="AF211" s="43">
        <v>0</v>
      </c>
      <c r="AG211" s="40">
        <v>0</v>
      </c>
      <c r="AH211" s="42">
        <v>0</v>
      </c>
      <c r="AI211" s="40">
        <v>0</v>
      </c>
      <c r="AJ211" s="43">
        <v>0</v>
      </c>
      <c r="AK211" s="42">
        <v>4</v>
      </c>
      <c r="AL211" s="28" t="s">
        <v>77</v>
      </c>
      <c r="AM211" s="40"/>
      <c r="AP211" s="36" t="s">
        <v>78</v>
      </c>
      <c r="AQ211" s="36"/>
      <c r="AR211" s="39"/>
      <c r="AT211" s="18"/>
      <c r="AU211" s="10"/>
      <c r="AV211" s="37"/>
      <c r="AW211" s="37"/>
      <c r="AX211" s="18"/>
      <c r="AY211" s="11"/>
      <c r="AZ211" s="28"/>
      <c r="BA211" s="28"/>
      <c r="BB211" s="47" t="s">
        <v>6</v>
      </c>
      <c r="BC211" s="47"/>
      <c r="BD211" s="49"/>
      <c r="BE211" s="48">
        <v>0</v>
      </c>
      <c r="BF211" s="48">
        <v>0</v>
      </c>
      <c r="BG211" s="48">
        <v>0</v>
      </c>
      <c r="BH211" s="47">
        <v>0</v>
      </c>
      <c r="BI211" s="49">
        <v>0</v>
      </c>
      <c r="BJ211" s="51"/>
      <c r="BK211" s="48" t="s">
        <v>6</v>
      </c>
      <c r="BL211" s="49">
        <f>SUM(BJ211)</f>
        <v>0</v>
      </c>
    </row>
    <row r="212" spans="1:65" x14ac:dyDescent="0.3">
      <c r="A212" s="41"/>
      <c r="D212" s="42"/>
      <c r="E212" s="28"/>
      <c r="F212" s="40"/>
      <c r="H212" s="42">
        <v>11</v>
      </c>
      <c r="I212" s="28" t="s">
        <v>79</v>
      </c>
      <c r="J212" s="40"/>
      <c r="K212" s="28"/>
      <c r="L212" s="41"/>
      <c r="M212" s="28"/>
      <c r="N212" s="28"/>
      <c r="O212" s="42"/>
      <c r="P212" s="28"/>
      <c r="Q212" s="40"/>
      <c r="R212" s="28"/>
      <c r="S212" s="28"/>
      <c r="T212" s="42" t="s">
        <v>80</v>
      </c>
      <c r="U212" s="28"/>
      <c r="V212" s="40"/>
      <c r="W212" s="28"/>
      <c r="AB212" s="32"/>
      <c r="AC212" s="34"/>
      <c r="AD212" s="34"/>
      <c r="AE212" s="33"/>
      <c r="AF212" s="34"/>
      <c r="AG212" s="35"/>
      <c r="AH212" s="33"/>
      <c r="AI212" s="35"/>
      <c r="AJ212" s="34"/>
      <c r="AK212" s="33"/>
      <c r="AL212" s="34"/>
      <c r="AM212" s="35"/>
      <c r="AP212" s="52" t="s">
        <v>81</v>
      </c>
      <c r="AQ212" s="36"/>
      <c r="AR212" s="39"/>
      <c r="AU212" s="42"/>
      <c r="AV212" s="28"/>
      <c r="AW212" s="28"/>
      <c r="AX212" s="28"/>
      <c r="AY212" s="40"/>
      <c r="AZ212" s="28"/>
      <c r="BA212" s="28"/>
      <c r="BB212" s="33"/>
      <c r="BC212" s="33"/>
      <c r="BD212" s="35"/>
      <c r="BE212" s="34"/>
      <c r="BF212" s="34"/>
      <c r="BG212" s="34"/>
      <c r="BH212" s="33"/>
      <c r="BI212" s="35"/>
      <c r="BJ212" s="53" t="s">
        <v>82</v>
      </c>
      <c r="BK212" s="34"/>
      <c r="BL212" s="35"/>
    </row>
    <row r="213" spans="1:65" ht="15" thickBot="1" x14ac:dyDescent="0.35">
      <c r="A213" s="46"/>
      <c r="B213" s="48"/>
      <c r="C213" s="48"/>
      <c r="D213" s="47"/>
      <c r="E213" s="48"/>
      <c r="F213" s="49"/>
      <c r="G213" s="48"/>
      <c r="H213" s="47">
        <v>4</v>
      </c>
      <c r="I213" s="28" t="s">
        <v>83</v>
      </c>
      <c r="J213" s="49">
        <f>SUM(H211:H213)</f>
        <v>17</v>
      </c>
      <c r="K213" s="28"/>
      <c r="L213" s="17" t="s">
        <v>74</v>
      </c>
      <c r="M213" s="27">
        <v>3482</v>
      </c>
      <c r="N213" s="27">
        <v>380</v>
      </c>
      <c r="O213" s="13">
        <v>0</v>
      </c>
      <c r="P213" s="27">
        <v>0</v>
      </c>
      <c r="Q213" s="26">
        <v>0</v>
      </c>
      <c r="R213" s="27">
        <v>146</v>
      </c>
      <c r="S213" s="27">
        <v>0</v>
      </c>
      <c r="T213" s="13"/>
      <c r="U213" s="27"/>
      <c r="V213" s="26"/>
      <c r="W213" s="28"/>
      <c r="AB213" s="46"/>
      <c r="AC213" s="48"/>
      <c r="AD213" s="48"/>
      <c r="AE213" s="47"/>
      <c r="AF213" s="48"/>
      <c r="AG213" s="49"/>
      <c r="AH213" s="47"/>
      <c r="AI213" s="49"/>
      <c r="AJ213" s="48"/>
      <c r="AK213" s="47"/>
      <c r="AL213" s="48"/>
      <c r="AM213" s="49"/>
      <c r="AP213" s="13" t="s">
        <v>84</v>
      </c>
      <c r="AQ213" s="13">
        <f>SUM(AQ207:AQ212)</f>
        <v>1405</v>
      </c>
      <c r="AR213" s="26">
        <f>SUM(AR207:AR212)</f>
        <v>1372</v>
      </c>
      <c r="AT213" s="18"/>
      <c r="AU213" s="13"/>
      <c r="AV213" s="27"/>
      <c r="AW213" s="27"/>
      <c r="AX213" s="27"/>
      <c r="AY213" s="26">
        <f>SUM(AV209:AV210)</f>
        <v>122</v>
      </c>
      <c r="AZ213" s="28"/>
      <c r="BA213" s="28"/>
      <c r="BB213" s="47" t="s">
        <v>85</v>
      </c>
      <c r="BC213" s="47">
        <v>13</v>
      </c>
      <c r="BD213" s="49">
        <v>11</v>
      </c>
      <c r="BE213" s="48"/>
      <c r="BF213" s="48">
        <v>0</v>
      </c>
      <c r="BG213" s="48">
        <v>0</v>
      </c>
      <c r="BH213" s="47">
        <v>0</v>
      </c>
      <c r="BI213" s="49">
        <v>0</v>
      </c>
      <c r="BJ213" s="51">
        <v>3</v>
      </c>
      <c r="BK213" s="48" t="s">
        <v>86</v>
      </c>
      <c r="BL213" s="49">
        <f>SUM(BJ213)</f>
        <v>3</v>
      </c>
    </row>
    <row r="214" spans="1:65" x14ac:dyDescent="0.3">
      <c r="A214" s="33"/>
      <c r="B214" s="33"/>
      <c r="C214" s="35"/>
      <c r="D214" s="34"/>
      <c r="E214" s="34"/>
      <c r="F214" s="34"/>
      <c r="G214" s="32"/>
      <c r="H214" s="6" t="s">
        <v>87</v>
      </c>
      <c r="I214" s="34"/>
      <c r="J214" s="35"/>
      <c r="K214" s="28"/>
      <c r="L214" s="12" t="s">
        <v>88</v>
      </c>
      <c r="M214" s="37">
        <v>0</v>
      </c>
      <c r="N214" s="37">
        <v>0</v>
      </c>
      <c r="O214" s="10"/>
      <c r="P214" s="18"/>
      <c r="Q214" s="11"/>
      <c r="R214" s="18"/>
      <c r="S214" s="18"/>
      <c r="T214" s="33" t="s">
        <v>6</v>
      </c>
      <c r="U214" s="31"/>
      <c r="V214" s="7"/>
      <c r="W214" s="28"/>
      <c r="AB214" s="6" t="s">
        <v>89</v>
      </c>
      <c r="AC214" s="6">
        <v>42</v>
      </c>
      <c r="AD214" s="7">
        <v>42</v>
      </c>
      <c r="AE214" s="8"/>
      <c r="AF214" s="8"/>
      <c r="AG214" s="8"/>
      <c r="AH214" s="6"/>
      <c r="AI214" s="7"/>
      <c r="AJ214" s="9"/>
      <c r="AK214" s="31" t="s">
        <v>90</v>
      </c>
      <c r="AL214" s="8"/>
      <c r="AM214" s="7"/>
      <c r="AP214" s="32" t="s">
        <v>6</v>
      </c>
      <c r="AQ214" s="43"/>
      <c r="AR214" s="54"/>
      <c r="AS214" s="33"/>
      <c r="AT214" s="35"/>
      <c r="AU214" s="33"/>
      <c r="AV214" s="34" t="s">
        <v>91</v>
      </c>
      <c r="AW214" s="34"/>
      <c r="AX214" s="34"/>
      <c r="AY214" s="35"/>
      <c r="AZ214" s="28"/>
      <c r="BA214" s="28"/>
      <c r="BB214" s="50"/>
      <c r="BC214" s="31"/>
      <c r="BD214" s="31"/>
      <c r="BE214" s="29"/>
      <c r="BF214" s="31"/>
      <c r="BG214" s="30"/>
      <c r="BH214" s="55"/>
      <c r="BI214" s="8"/>
      <c r="BJ214" s="29"/>
      <c r="BK214" s="34" t="s">
        <v>92</v>
      </c>
      <c r="BL214" s="35"/>
    </row>
    <row r="215" spans="1:65" x14ac:dyDescent="0.3">
      <c r="A215" s="36" t="s">
        <v>93</v>
      </c>
      <c r="B215" s="36">
        <v>3387</v>
      </c>
      <c r="C215" s="11">
        <v>3804</v>
      </c>
      <c r="D215" s="37"/>
      <c r="E215" s="38" t="s">
        <v>60</v>
      </c>
      <c r="F215" s="37"/>
      <c r="G215" s="12">
        <v>4360</v>
      </c>
      <c r="H215" s="36">
        <v>28</v>
      </c>
      <c r="I215" s="37" t="s">
        <v>94</v>
      </c>
      <c r="J215" s="40"/>
      <c r="K215" s="28"/>
      <c r="L215" s="44" t="s">
        <v>95</v>
      </c>
      <c r="M215" s="37">
        <v>0</v>
      </c>
      <c r="N215" s="37">
        <v>750</v>
      </c>
      <c r="O215" s="10"/>
      <c r="P215" s="18"/>
      <c r="Q215" s="11"/>
      <c r="R215" s="18"/>
      <c r="S215" s="18"/>
      <c r="T215" s="10" t="s">
        <v>96</v>
      </c>
      <c r="U215" s="37"/>
      <c r="V215" s="11"/>
      <c r="W215" s="28"/>
      <c r="AB215" s="36" t="s">
        <v>97</v>
      </c>
      <c r="AC215" s="10">
        <v>0</v>
      </c>
      <c r="AD215" s="11">
        <v>0</v>
      </c>
      <c r="AE215" s="18">
        <v>0</v>
      </c>
      <c r="AF215" s="18">
        <v>0</v>
      </c>
      <c r="AG215" s="18">
        <v>0</v>
      </c>
      <c r="AH215" s="36">
        <v>0</v>
      </c>
      <c r="AI215" s="11">
        <v>0</v>
      </c>
      <c r="AJ215" s="12">
        <v>0</v>
      </c>
      <c r="AK215" s="37">
        <v>1</v>
      </c>
      <c r="AL215" s="37" t="s">
        <v>98</v>
      </c>
      <c r="AM215" s="11"/>
      <c r="AP215" s="41"/>
      <c r="AS215" s="42"/>
      <c r="AT215" s="40"/>
      <c r="AU215" s="42"/>
      <c r="AV215" s="28"/>
      <c r="AW215" s="28"/>
      <c r="AX215" s="28"/>
      <c r="AY215" s="40"/>
      <c r="AZ215" s="28" t="s">
        <v>6</v>
      </c>
      <c r="BA215" s="28"/>
      <c r="BB215" s="41" t="s">
        <v>99</v>
      </c>
      <c r="BC215" s="45">
        <v>0</v>
      </c>
      <c r="BD215" s="45">
        <v>0</v>
      </c>
      <c r="BE215" s="42">
        <v>0</v>
      </c>
      <c r="BF215" s="45">
        <v>0</v>
      </c>
      <c r="BG215" s="40">
        <v>0</v>
      </c>
      <c r="BH215" s="45">
        <v>44499</v>
      </c>
      <c r="BI215" s="56">
        <v>14773</v>
      </c>
      <c r="BJ215" s="52">
        <v>25</v>
      </c>
      <c r="BK215" s="37" t="s">
        <v>100</v>
      </c>
      <c r="BL215" s="40"/>
    </row>
    <row r="216" spans="1:65" ht="15" thickBot="1" x14ac:dyDescent="0.35">
      <c r="A216" s="47"/>
      <c r="B216" s="47"/>
      <c r="C216" s="49"/>
      <c r="D216" s="48"/>
      <c r="E216" s="48"/>
      <c r="F216" s="48"/>
      <c r="G216" s="46"/>
      <c r="H216" s="47">
        <v>2</v>
      </c>
      <c r="I216" s="48" t="s">
        <v>101</v>
      </c>
      <c r="J216" s="49">
        <f>SUM(H215:H216)</f>
        <v>30</v>
      </c>
      <c r="K216" s="28"/>
      <c r="L216" s="12" t="s">
        <v>102</v>
      </c>
      <c r="M216" s="18">
        <v>0</v>
      </c>
      <c r="N216" s="18">
        <v>945</v>
      </c>
      <c r="O216" s="10"/>
      <c r="P216" s="18"/>
      <c r="Q216" s="11"/>
      <c r="R216" s="18"/>
      <c r="S216" s="18"/>
      <c r="T216" s="10"/>
      <c r="U216" s="18"/>
      <c r="V216" s="11"/>
      <c r="W216" s="28"/>
      <c r="AB216" s="47" t="s">
        <v>84</v>
      </c>
      <c r="AC216" s="13">
        <f>SUM(AC214:AC215)</f>
        <v>42</v>
      </c>
      <c r="AD216" s="26">
        <f>SUM(AD214:AD215)</f>
        <v>42</v>
      </c>
      <c r="AE216" s="27"/>
      <c r="AF216" s="27"/>
      <c r="AG216" s="27"/>
      <c r="AH216" s="13"/>
      <c r="AI216" s="26"/>
      <c r="AJ216" s="17"/>
      <c r="AK216" s="57"/>
      <c r="AL216" s="37" t="s">
        <v>103</v>
      </c>
      <c r="AM216" s="11"/>
      <c r="AP216" s="41" t="s">
        <v>56</v>
      </c>
      <c r="AQ216">
        <v>756</v>
      </c>
      <c r="AR216">
        <f>727+13</f>
        <v>740</v>
      </c>
      <c r="AS216" s="42"/>
      <c r="AT216" s="40"/>
      <c r="AU216" s="42"/>
      <c r="AV216" s="28"/>
      <c r="AW216" s="28"/>
      <c r="AX216" s="28"/>
      <c r="AY216" s="40"/>
      <c r="AZ216" s="28"/>
      <c r="BA216" s="28"/>
      <c r="BB216" s="17" t="s">
        <v>84</v>
      </c>
      <c r="BC216" s="18">
        <f>SUM(BC214:BC215)</f>
        <v>0</v>
      </c>
      <c r="BD216" s="18">
        <f>SUM(BD214:BD215)</f>
        <v>0</v>
      </c>
      <c r="BE216" s="13"/>
      <c r="BF216" s="27"/>
      <c r="BG216" s="26"/>
      <c r="BH216" s="58"/>
      <c r="BI216" s="27"/>
      <c r="BJ216" s="59"/>
      <c r="BK216" s="48" t="s">
        <v>6</v>
      </c>
      <c r="BL216" s="60">
        <f>SUM(BJ215:BJ216)</f>
        <v>25</v>
      </c>
    </row>
    <row r="217" spans="1:65" ht="15" thickBot="1" x14ac:dyDescent="0.35">
      <c r="A217" s="29" t="s">
        <v>250</v>
      </c>
      <c r="B217" s="29">
        <v>0</v>
      </c>
      <c r="C217" s="7">
        <v>0</v>
      </c>
      <c r="D217" s="8"/>
      <c r="E217" s="8"/>
      <c r="F217" s="8"/>
      <c r="G217" s="9"/>
      <c r="H217" s="8" t="s">
        <v>104</v>
      </c>
      <c r="I217" s="8"/>
      <c r="J217" s="7"/>
      <c r="K217" s="28"/>
      <c r="L217" s="12" t="s">
        <v>84</v>
      </c>
      <c r="M217" s="18">
        <f>SUM(M214:M216)</f>
        <v>0</v>
      </c>
      <c r="N217" s="18">
        <f>SUM(N214:N216)</f>
        <v>1695</v>
      </c>
      <c r="O217" s="10">
        <v>0</v>
      </c>
      <c r="P217" s="18">
        <v>0</v>
      </c>
      <c r="Q217" s="11">
        <v>0</v>
      </c>
      <c r="R217" s="18">
        <v>0</v>
      </c>
      <c r="S217" s="18">
        <v>0</v>
      </c>
      <c r="T217" s="13"/>
      <c r="U217" s="27"/>
      <c r="V217" s="26"/>
      <c r="W217" s="28"/>
      <c r="AB217" s="44"/>
      <c r="AC217" s="18"/>
      <c r="AD217" s="18"/>
      <c r="AE217" s="10"/>
      <c r="AF217" s="18"/>
      <c r="AG217" s="11"/>
      <c r="AH217" s="10"/>
      <c r="AI217" s="11"/>
      <c r="AJ217" s="6"/>
      <c r="AK217" s="33" t="s">
        <v>6</v>
      </c>
      <c r="AL217" s="61" t="s">
        <v>6</v>
      </c>
      <c r="AM217" s="7"/>
      <c r="AP217" s="62" t="s">
        <v>6</v>
      </c>
      <c r="AQ217" s="43"/>
      <c r="AR217" s="43"/>
      <c r="AS217" s="47"/>
      <c r="AT217" s="49"/>
      <c r="AU217" s="47"/>
      <c r="AV217" s="48">
        <f>162/2</f>
        <v>81</v>
      </c>
      <c r="AW217" s="48" t="s">
        <v>73</v>
      </c>
      <c r="AX217" s="48"/>
      <c r="AY217" s="49">
        <f>SUM(AV217)</f>
        <v>81</v>
      </c>
      <c r="AZ217" s="28"/>
      <c r="BA217" s="28" t="s">
        <v>6</v>
      </c>
      <c r="BB217" s="32" t="s">
        <v>6</v>
      </c>
      <c r="BC217" s="63"/>
      <c r="BD217" s="64"/>
      <c r="BE217" s="33"/>
      <c r="BF217" s="8"/>
      <c r="BG217" s="35"/>
      <c r="BH217" s="65"/>
      <c r="BI217" s="66"/>
      <c r="BJ217" s="29"/>
      <c r="BK217" s="31" t="s">
        <v>57</v>
      </c>
      <c r="BL217" s="35"/>
    </row>
    <row r="218" spans="1:65" x14ac:dyDescent="0.3">
      <c r="A218" s="42" t="s">
        <v>105</v>
      </c>
      <c r="B218" s="42">
        <v>398</v>
      </c>
      <c r="C218" s="40">
        <v>453</v>
      </c>
      <c r="D218" s="28"/>
      <c r="E218" s="38" t="s">
        <v>60</v>
      </c>
      <c r="F218" s="28"/>
      <c r="G218" s="41">
        <f>9*70</f>
        <v>630</v>
      </c>
      <c r="H218" s="43">
        <v>9</v>
      </c>
      <c r="I218" s="43" t="s">
        <v>106</v>
      </c>
      <c r="J218" s="40">
        <f>SUM(H218)</f>
        <v>9</v>
      </c>
      <c r="K218" s="28"/>
      <c r="L218" s="32"/>
      <c r="M218" s="33"/>
      <c r="N218" s="35"/>
      <c r="O218" s="34"/>
      <c r="P218" s="34"/>
      <c r="Q218" s="35"/>
      <c r="R218" s="33"/>
      <c r="S218" s="35"/>
      <c r="T218" s="6" t="s">
        <v>104</v>
      </c>
      <c r="U218" s="34"/>
      <c r="V218" s="35"/>
      <c r="W218" s="28"/>
      <c r="AB218" s="41" t="s">
        <v>6</v>
      </c>
      <c r="AC218" s="18"/>
      <c r="AD218" s="18"/>
      <c r="AE218" s="10">
        <v>0</v>
      </c>
      <c r="AF218" s="18">
        <v>0</v>
      </c>
      <c r="AG218" s="11">
        <v>0</v>
      </c>
      <c r="AH218" s="10"/>
      <c r="AI218" s="11"/>
      <c r="AJ218" s="10">
        <v>0</v>
      </c>
      <c r="AK218" s="10"/>
      <c r="AL218" s="37" t="s">
        <v>6</v>
      </c>
      <c r="AM218" s="11"/>
      <c r="AP218" s="10"/>
      <c r="AQ218" s="29"/>
      <c r="AR218" s="31"/>
      <c r="AS218" s="33"/>
      <c r="AT218" s="7"/>
      <c r="AU218" s="8"/>
      <c r="AV218" s="8"/>
      <c r="AW218" s="8"/>
      <c r="AX218" s="8"/>
      <c r="AY218" s="7"/>
      <c r="AZ218" s="28"/>
      <c r="BA218" s="28" t="s">
        <v>6</v>
      </c>
      <c r="BB218" s="68" t="s">
        <v>6</v>
      </c>
      <c r="BE218" s="42"/>
      <c r="BF218" s="28"/>
      <c r="BG218" s="40"/>
      <c r="BH218" s="42"/>
      <c r="BI218" s="40"/>
      <c r="BJ218" s="42"/>
      <c r="BK218" s="28"/>
      <c r="BL218" s="40"/>
    </row>
    <row r="219" spans="1:65" ht="15" thickBot="1" x14ac:dyDescent="0.35">
      <c r="A219" s="67" t="s">
        <v>84</v>
      </c>
      <c r="B219" s="47">
        <f>SUM(B217:B218)</f>
        <v>398</v>
      </c>
      <c r="C219" s="49">
        <f>SUM(C217:C218)</f>
        <v>453</v>
      </c>
      <c r="G219" s="46"/>
      <c r="H219" s="48"/>
      <c r="I219" s="48"/>
      <c r="J219" s="49"/>
      <c r="K219" s="28"/>
      <c r="L219" s="69" t="s">
        <v>109</v>
      </c>
      <c r="M219" s="42"/>
      <c r="N219" s="40">
        <v>0</v>
      </c>
      <c r="O219" s="28">
        <v>0</v>
      </c>
      <c r="P219" s="43">
        <v>0</v>
      </c>
      <c r="Q219" s="40">
        <v>0</v>
      </c>
      <c r="R219" s="42">
        <v>0</v>
      </c>
      <c r="S219" s="40">
        <v>0</v>
      </c>
      <c r="T219" s="28"/>
      <c r="U219" s="28"/>
      <c r="V219" s="40"/>
      <c r="W219" s="28"/>
      <c r="AA219" s="28"/>
      <c r="AB219" s="44"/>
      <c r="AC219" s="45"/>
      <c r="AD219" s="45"/>
      <c r="AE219" s="10">
        <v>0</v>
      </c>
      <c r="AF219" s="18">
        <v>0</v>
      </c>
      <c r="AG219" s="11">
        <v>0</v>
      </c>
      <c r="AH219" s="10"/>
      <c r="AI219" s="11"/>
      <c r="AJ219" s="67"/>
      <c r="AK219" s="42"/>
      <c r="AL219" s="54"/>
      <c r="AM219" s="40"/>
      <c r="AN219" s="28"/>
      <c r="AP219" s="36" t="s">
        <v>63</v>
      </c>
      <c r="AQ219" s="10">
        <v>45</v>
      </c>
      <c r="AR219" s="18">
        <v>23</v>
      </c>
      <c r="AS219" s="42"/>
      <c r="AT219" s="11"/>
      <c r="AU219" s="18"/>
      <c r="AV219" s="18" t="s">
        <v>110</v>
      </c>
      <c r="AW219" s="18" t="s">
        <v>111</v>
      </c>
      <c r="AX219" s="18" t="s">
        <v>112</v>
      </c>
      <c r="AY219" s="11"/>
      <c r="AZ219" s="45"/>
      <c r="BA219" s="28"/>
      <c r="BB219" s="41" t="s">
        <v>113</v>
      </c>
      <c r="BC219" s="70">
        <v>507</v>
      </c>
      <c r="BD219" s="71">
        <v>541</v>
      </c>
      <c r="BE219" s="42"/>
      <c r="BF219" s="28"/>
      <c r="BG219" s="40"/>
      <c r="BH219" s="42"/>
      <c r="BI219" s="40"/>
      <c r="BJ219" s="42">
        <v>1</v>
      </c>
      <c r="BK219" s="43" t="s">
        <v>355</v>
      </c>
      <c r="BL219" s="40"/>
    </row>
    <row r="220" spans="1:65" ht="15" thickBot="1" x14ac:dyDescent="0.35">
      <c r="A220" s="29" t="s">
        <v>108</v>
      </c>
      <c r="B220" s="29">
        <v>0</v>
      </c>
      <c r="C220" s="7">
        <v>0</v>
      </c>
      <c r="D220" s="8"/>
      <c r="E220" s="8">
        <v>1528</v>
      </c>
      <c r="F220" s="8"/>
      <c r="G220" s="50"/>
      <c r="H220" s="6" t="s">
        <v>104</v>
      </c>
      <c r="I220" s="31"/>
      <c r="J220" s="30"/>
      <c r="K220" s="28"/>
      <c r="L220" s="46"/>
      <c r="M220" s="47"/>
      <c r="N220" s="49"/>
      <c r="O220" s="48"/>
      <c r="P220" s="48"/>
      <c r="Q220" s="49"/>
      <c r="R220" s="72"/>
      <c r="S220" s="73"/>
      <c r="T220" s="48"/>
      <c r="U220" s="48"/>
      <c r="V220" s="49"/>
      <c r="W220" s="28"/>
      <c r="AA220" s="28"/>
      <c r="AB220" s="41"/>
      <c r="AE220" s="10">
        <v>0</v>
      </c>
      <c r="AF220" s="18">
        <v>0</v>
      </c>
      <c r="AG220" s="11">
        <v>0</v>
      </c>
      <c r="AH220" s="10"/>
      <c r="AI220" s="11"/>
      <c r="AJ220" s="47"/>
      <c r="AK220" s="72"/>
      <c r="AL220" s="74"/>
      <c r="AM220" s="49"/>
      <c r="AN220" s="28"/>
      <c r="AP220" s="10" t="s">
        <v>115</v>
      </c>
      <c r="AQ220" s="36">
        <v>41</v>
      </c>
      <c r="AR220" s="37">
        <v>28</v>
      </c>
      <c r="AS220" s="42"/>
      <c r="AT220" s="11"/>
      <c r="AU220" s="18"/>
      <c r="AV220" s="18"/>
      <c r="AW220" s="18"/>
      <c r="AX220" s="18"/>
      <c r="AY220" s="11"/>
      <c r="AZ220" s="28"/>
      <c r="BA220" s="28"/>
      <c r="BB220" s="68" t="s">
        <v>84</v>
      </c>
      <c r="BC220">
        <f>SUM(BC217:BC219)</f>
        <v>507</v>
      </c>
      <c r="BD220">
        <f>SUM(BD217:BD219)</f>
        <v>541</v>
      </c>
      <c r="BE220" s="47">
        <v>0</v>
      </c>
      <c r="BF220" s="27">
        <v>0</v>
      </c>
      <c r="BG220" s="49">
        <v>0</v>
      </c>
      <c r="BH220" s="75">
        <v>0</v>
      </c>
      <c r="BI220" s="49">
        <v>0</v>
      </c>
      <c r="BJ220" s="47">
        <v>42</v>
      </c>
      <c r="BK220" s="51" t="s">
        <v>73</v>
      </c>
      <c r="BL220" s="49">
        <f>SUM(BJ218:BJ220)</f>
        <v>43</v>
      </c>
    </row>
    <row r="221" spans="1:65" x14ac:dyDescent="0.3">
      <c r="A221" s="52" t="s">
        <v>109</v>
      </c>
      <c r="B221" s="36">
        <v>1044</v>
      </c>
      <c r="C221" s="11">
        <f>935+123</f>
        <v>1058</v>
      </c>
      <c r="D221" s="45"/>
      <c r="E221" s="45">
        <v>0</v>
      </c>
      <c r="F221" s="45"/>
      <c r="G221" s="69"/>
      <c r="H221" s="45">
        <v>8</v>
      </c>
      <c r="I221" s="28" t="s">
        <v>114</v>
      </c>
      <c r="J221" s="40"/>
      <c r="K221" s="28"/>
      <c r="L221" s="50" t="s">
        <v>93</v>
      </c>
      <c r="M221" s="8">
        <v>0</v>
      </c>
      <c r="N221" s="8">
        <v>0</v>
      </c>
      <c r="O221" s="6"/>
      <c r="P221" s="8"/>
      <c r="Q221" s="7"/>
      <c r="R221" s="8">
        <v>0</v>
      </c>
      <c r="S221" s="8">
        <v>0</v>
      </c>
      <c r="T221" s="10" t="s">
        <v>116</v>
      </c>
      <c r="U221" s="8"/>
      <c r="V221" s="7"/>
      <c r="W221" s="28"/>
      <c r="AA221" s="28"/>
      <c r="AB221" s="32"/>
      <c r="AC221" s="6"/>
      <c r="AD221" s="7"/>
      <c r="AE221" s="8"/>
      <c r="AF221" s="8"/>
      <c r="AG221" s="8"/>
      <c r="AH221" s="6"/>
      <c r="AI221" s="7"/>
      <c r="AJ221" s="8"/>
      <c r="AK221" s="36"/>
      <c r="AL221" s="77" t="s">
        <v>117</v>
      </c>
      <c r="AM221" s="11"/>
      <c r="AN221" s="28"/>
      <c r="AP221" s="52" t="s">
        <v>72</v>
      </c>
      <c r="AQ221" s="52">
        <v>2</v>
      </c>
      <c r="AR221" s="54">
        <v>0</v>
      </c>
      <c r="AS221" s="42"/>
      <c r="AT221" s="40"/>
      <c r="AU221" s="28"/>
      <c r="AV221" s="28"/>
      <c r="AW221" s="28"/>
      <c r="AX221" s="28"/>
      <c r="AY221" s="40"/>
      <c r="AZ221" s="28"/>
      <c r="BA221" s="28"/>
      <c r="BB221" s="33" t="s">
        <v>64</v>
      </c>
      <c r="BC221" s="78">
        <v>0</v>
      </c>
      <c r="BD221" s="79">
        <v>0</v>
      </c>
      <c r="BE221" s="34"/>
      <c r="BF221" s="8"/>
      <c r="BG221" s="35"/>
      <c r="BH221" s="80"/>
      <c r="BI221" s="34"/>
      <c r="BJ221" s="33"/>
      <c r="BK221" s="34" t="s">
        <v>91</v>
      </c>
      <c r="BL221" s="35"/>
    </row>
    <row r="222" spans="1:65" ht="15" thickBot="1" x14ac:dyDescent="0.35">
      <c r="A222" s="76" t="s">
        <v>84</v>
      </c>
      <c r="B222" s="42">
        <f>SUM(B220:B221)</f>
        <v>1044</v>
      </c>
      <c r="C222" s="40">
        <f>SUM(C220:C221)</f>
        <v>1058</v>
      </c>
      <c r="D222" s="28"/>
      <c r="E222" s="28">
        <f>SUM(E220:E221)</f>
        <v>1528</v>
      </c>
      <c r="F222" s="28"/>
      <c r="G222" s="46">
        <f>8*355</f>
        <v>2840</v>
      </c>
      <c r="H222" s="48"/>
      <c r="I222" s="48"/>
      <c r="J222" s="49">
        <f>SUM(H221)</f>
        <v>8</v>
      </c>
      <c r="K222" s="28"/>
      <c r="L222" s="12" t="s">
        <v>99</v>
      </c>
      <c r="M222" s="37">
        <v>28961</v>
      </c>
      <c r="N222" s="37">
        <v>21283</v>
      </c>
      <c r="O222" s="10"/>
      <c r="P222" s="18"/>
      <c r="Q222" s="11"/>
      <c r="R222" s="18">
        <v>4442</v>
      </c>
      <c r="S222" s="18">
        <v>154</v>
      </c>
      <c r="T222" s="10"/>
      <c r="U222" s="18"/>
      <c r="V222" s="11"/>
      <c r="W222" s="28"/>
      <c r="AA222" s="28"/>
      <c r="AB222" s="68"/>
      <c r="AC222" s="42"/>
      <c r="AD222" s="40"/>
      <c r="AH222" s="42"/>
      <c r="AI222" s="40"/>
      <c r="AK222" s="42"/>
      <c r="AL222" s="54" t="s">
        <v>119</v>
      </c>
      <c r="AM222" s="40"/>
      <c r="AN222" s="28"/>
      <c r="AP222" s="36" t="s">
        <v>78</v>
      </c>
      <c r="AQ222" s="36">
        <v>0</v>
      </c>
      <c r="AR222" s="37">
        <v>0</v>
      </c>
      <c r="AS222" s="42"/>
      <c r="AT222" s="11"/>
      <c r="AU222" s="18"/>
      <c r="AV222" s="37"/>
      <c r="AW222" s="18"/>
      <c r="AX222" s="37"/>
      <c r="AY222" s="11"/>
      <c r="AZ222" s="28"/>
      <c r="BA222" s="28"/>
      <c r="BB222" s="52" t="s">
        <v>85</v>
      </c>
      <c r="BC222" s="42">
        <v>17</v>
      </c>
      <c r="BD222" s="40">
        <v>10</v>
      </c>
      <c r="BE222" s="28"/>
      <c r="BF222" s="28"/>
      <c r="BG222" s="40"/>
      <c r="BJ222" s="42"/>
      <c r="BK222" s="28"/>
      <c r="BL222" s="40"/>
    </row>
    <row r="223" spans="1:65" x14ac:dyDescent="0.3">
      <c r="A223" s="32" t="s">
        <v>93</v>
      </c>
      <c r="B223" s="33">
        <v>5019</v>
      </c>
      <c r="C223" s="35">
        <v>5100</v>
      </c>
      <c r="D223" s="33"/>
      <c r="E223" s="34"/>
      <c r="F223" s="34"/>
      <c r="G223" s="32">
        <v>6050</v>
      </c>
      <c r="H223" s="33" t="s">
        <v>118</v>
      </c>
      <c r="I223" s="34"/>
      <c r="J223" s="35"/>
      <c r="K223" s="28"/>
      <c r="L223" s="12" t="s">
        <v>120</v>
      </c>
      <c r="M223" s="37">
        <v>7993</v>
      </c>
      <c r="N223" s="37">
        <v>91978</v>
      </c>
      <c r="O223" s="10"/>
      <c r="P223" s="18"/>
      <c r="Q223" s="11"/>
      <c r="R223" s="18">
        <v>957</v>
      </c>
      <c r="S223" s="18">
        <v>0</v>
      </c>
      <c r="T223" s="10"/>
      <c r="U223" s="18"/>
      <c r="V223" s="11"/>
      <c r="W223" s="28"/>
      <c r="AA223" s="28"/>
      <c r="AB223" s="44"/>
      <c r="AC223" s="10"/>
      <c r="AD223" s="11"/>
      <c r="AE223" s="18"/>
      <c r="AF223" s="18"/>
      <c r="AG223" s="18"/>
      <c r="AH223" s="10"/>
      <c r="AI223" s="11"/>
      <c r="AJ223" s="18"/>
      <c r="AK223" s="10"/>
      <c r="AL223" s="37" t="s">
        <v>302</v>
      </c>
      <c r="AM223" s="11"/>
      <c r="AN223" s="28"/>
      <c r="AP223" s="10" t="s">
        <v>122</v>
      </c>
      <c r="AQ223" s="36">
        <v>83</v>
      </c>
      <c r="AR223" s="37">
        <v>43</v>
      </c>
      <c r="AS223" s="42"/>
      <c r="AT223" s="11"/>
      <c r="AU223" s="18"/>
      <c r="AV223" s="18">
        <f>70/2</f>
        <v>35</v>
      </c>
      <c r="AW223" s="18" t="s">
        <v>123</v>
      </c>
      <c r="AX223" s="18"/>
      <c r="AY223" s="11"/>
      <c r="AZ223" s="28"/>
      <c r="BA223" s="28"/>
      <c r="BB223" s="67" t="s">
        <v>113</v>
      </c>
      <c r="BC223" s="42">
        <v>458</v>
      </c>
      <c r="BD223" s="40">
        <v>467</v>
      </c>
      <c r="BE223" s="28"/>
      <c r="BF223" s="28"/>
      <c r="BG223" s="40"/>
      <c r="BH223" s="28"/>
      <c r="BI223" s="28"/>
      <c r="BJ223" s="67">
        <v>47</v>
      </c>
      <c r="BK223" s="43" t="s">
        <v>73</v>
      </c>
      <c r="BL223" s="40"/>
      <c r="BM223" t="s">
        <v>6</v>
      </c>
    </row>
    <row r="224" spans="1:65" ht="15" thickBot="1" x14ac:dyDescent="0.35">
      <c r="A224" s="41" t="s">
        <v>120</v>
      </c>
      <c r="B224" s="42">
        <v>2871</v>
      </c>
      <c r="C224" s="40">
        <v>3159</v>
      </c>
      <c r="D224" s="42"/>
      <c r="E224" s="28" t="s">
        <v>60</v>
      </c>
      <c r="F224" s="28"/>
      <c r="G224" s="41">
        <f>30*150</f>
        <v>4500</v>
      </c>
      <c r="H224" s="42">
        <v>31</v>
      </c>
      <c r="I224" s="28" t="s">
        <v>101</v>
      </c>
      <c r="J224" s="40"/>
      <c r="K224" s="28"/>
      <c r="L224" s="12" t="s">
        <v>84</v>
      </c>
      <c r="M224" s="18">
        <f>SUM(M221:M223)</f>
        <v>36954</v>
      </c>
      <c r="N224" s="18">
        <f>SUM(N221:N223)</f>
        <v>113261</v>
      </c>
      <c r="O224" s="10">
        <v>0</v>
      </c>
      <c r="P224" s="18">
        <v>0</v>
      </c>
      <c r="Q224" s="11">
        <v>0</v>
      </c>
      <c r="R224" s="18">
        <f>SUM(R221:R223)</f>
        <v>5399</v>
      </c>
      <c r="S224" s="18">
        <f>SUM(S221:S223)</f>
        <v>154</v>
      </c>
      <c r="T224" s="10"/>
      <c r="U224" s="18"/>
      <c r="V224" s="11"/>
      <c r="W224" s="28"/>
      <c r="AA224" s="28"/>
      <c r="AB224" s="46"/>
      <c r="AC224" s="47"/>
      <c r="AD224" s="49"/>
      <c r="AE224" s="48"/>
      <c r="AF224" s="48"/>
      <c r="AG224" s="48"/>
      <c r="AH224" s="47"/>
      <c r="AI224" s="49"/>
      <c r="AJ224" s="48"/>
      <c r="AK224" s="47">
        <v>5</v>
      </c>
      <c r="AL224" s="48" t="s">
        <v>124</v>
      </c>
      <c r="AM224" s="49"/>
      <c r="AN224" s="28"/>
      <c r="AP224" s="10" t="s">
        <v>125</v>
      </c>
      <c r="AQ224" s="36">
        <v>14</v>
      </c>
      <c r="AR224" s="37">
        <v>15</v>
      </c>
      <c r="AS224" s="42"/>
      <c r="AT224" s="11"/>
      <c r="AU224" s="18"/>
      <c r="AV224" s="18">
        <v>13</v>
      </c>
      <c r="AW224" s="18" t="s">
        <v>126</v>
      </c>
      <c r="AX224" s="18"/>
      <c r="AY224" s="11"/>
      <c r="AZ224" s="28"/>
      <c r="BA224" s="28"/>
      <c r="BB224" s="47" t="s">
        <v>84</v>
      </c>
      <c r="BC224" s="47">
        <f>SUM(BC221:BC223)</f>
        <v>475</v>
      </c>
      <c r="BD224" s="49">
        <f>SUM(BD221:BD223)</f>
        <v>477</v>
      </c>
      <c r="BE224" s="81">
        <v>0</v>
      </c>
      <c r="BF224" s="27">
        <v>0</v>
      </c>
      <c r="BG224" s="82">
        <v>0</v>
      </c>
      <c r="BH224" s="74">
        <v>0</v>
      </c>
      <c r="BI224" s="74">
        <v>0</v>
      </c>
      <c r="BJ224" s="47"/>
      <c r="BK224" s="51"/>
      <c r="BL224" s="49">
        <f>SUM(BJ223)</f>
        <v>47</v>
      </c>
    </row>
    <row r="225" spans="1:64" ht="15" thickBot="1" x14ac:dyDescent="0.35">
      <c r="A225" s="46" t="s">
        <v>84</v>
      </c>
      <c r="B225" s="47">
        <f>SUM(B223:B224)</f>
        <v>7890</v>
      </c>
      <c r="C225" s="49">
        <f>SUM(C223:C224)</f>
        <v>8259</v>
      </c>
      <c r="D225" s="47"/>
      <c r="E225" s="48"/>
      <c r="F225" s="48"/>
      <c r="G225" s="46">
        <f>SUM(G223:G224)</f>
        <v>10550</v>
      </c>
      <c r="H225" s="47">
        <v>59</v>
      </c>
      <c r="I225" s="48" t="s">
        <v>127</v>
      </c>
      <c r="J225" s="49">
        <f>SUM(H224:H225)</f>
        <v>90</v>
      </c>
      <c r="K225" s="28"/>
      <c r="L225" s="17"/>
      <c r="M225" s="27"/>
      <c r="N225" s="27"/>
      <c r="O225" s="13"/>
      <c r="P225" s="27"/>
      <c r="Q225" s="26"/>
      <c r="R225" s="27"/>
      <c r="S225" s="27"/>
      <c r="T225" s="13"/>
      <c r="U225" s="27"/>
      <c r="V225" s="26"/>
      <c r="W225" s="28"/>
      <c r="AA225" s="28"/>
      <c r="AB225" s="32"/>
      <c r="AE225" s="33"/>
      <c r="AF225" s="34"/>
      <c r="AG225" s="34"/>
      <c r="AH225" s="33"/>
      <c r="AI225" s="35"/>
      <c r="AJ225" s="32"/>
      <c r="AK225" s="83" t="s">
        <v>356</v>
      </c>
      <c r="AL225" s="34"/>
      <c r="AM225" s="35"/>
      <c r="AN225" s="28"/>
      <c r="AP225" s="84" t="s">
        <v>357</v>
      </c>
      <c r="AQ225" s="52">
        <v>3</v>
      </c>
      <c r="AR225" s="37">
        <v>4</v>
      </c>
      <c r="AS225" s="42"/>
      <c r="AT225" s="40"/>
      <c r="AU225" s="28"/>
      <c r="AV225" s="28">
        <f>64/2</f>
        <v>32</v>
      </c>
      <c r="AW225" s="28" t="s">
        <v>129</v>
      </c>
      <c r="AX225" s="28"/>
      <c r="AY225" s="40"/>
      <c r="BA225" s="28"/>
      <c r="BB225" s="52" t="s">
        <v>113</v>
      </c>
      <c r="BC225" s="42">
        <v>433</v>
      </c>
      <c r="BD225" s="85">
        <v>463</v>
      </c>
      <c r="BE225" s="37"/>
      <c r="BF225" s="18"/>
      <c r="BG225" s="54"/>
      <c r="BH225" s="52"/>
      <c r="BI225" s="40"/>
      <c r="BJ225" s="67"/>
      <c r="BK225" s="34" t="s">
        <v>130</v>
      </c>
      <c r="BL225" s="40"/>
    </row>
    <row r="226" spans="1:64" ht="15" thickBot="1" x14ac:dyDescent="0.35">
      <c r="A226" s="41" t="s">
        <v>88</v>
      </c>
      <c r="B226" s="42">
        <v>394</v>
      </c>
      <c r="C226" s="40">
        <v>404</v>
      </c>
      <c r="D226" s="28"/>
      <c r="E226" s="45">
        <v>0</v>
      </c>
      <c r="F226" s="40"/>
      <c r="G226" s="40"/>
      <c r="H226" s="28" t="s">
        <v>131</v>
      </c>
      <c r="J226" s="40"/>
      <c r="K226" s="28"/>
      <c r="L226" s="12" t="s">
        <v>105</v>
      </c>
      <c r="M226" s="34">
        <v>3696</v>
      </c>
      <c r="N226" s="34">
        <v>13407</v>
      </c>
      <c r="O226" s="33"/>
      <c r="P226" s="34"/>
      <c r="Q226" s="35"/>
      <c r="R226" s="34">
        <v>101</v>
      </c>
      <c r="S226" s="34">
        <v>0</v>
      </c>
      <c r="T226" s="33"/>
      <c r="U226" s="34"/>
      <c r="V226" s="35"/>
      <c r="W226" s="28"/>
      <c r="AA226" s="28"/>
      <c r="AB226" s="46" t="s">
        <v>358</v>
      </c>
      <c r="AC226">
        <v>0</v>
      </c>
      <c r="AD226">
        <v>67</v>
      </c>
      <c r="AE226" s="47"/>
      <c r="AF226" s="48"/>
      <c r="AG226" s="48"/>
      <c r="AH226" s="47"/>
      <c r="AI226" s="49"/>
      <c r="AJ226" s="46"/>
      <c r="AK226" s="48">
        <v>1</v>
      </c>
      <c r="AL226" s="48" t="s">
        <v>359</v>
      </c>
      <c r="AM226" s="49"/>
      <c r="AN226" s="28"/>
      <c r="AP226" s="84" t="s">
        <v>132</v>
      </c>
      <c r="AQ226" s="42">
        <v>0</v>
      </c>
      <c r="AR226" s="37">
        <v>0</v>
      </c>
      <c r="AS226" s="42"/>
      <c r="AT226" s="40"/>
      <c r="AU226" s="28"/>
      <c r="AV226" s="28"/>
      <c r="AW226" s="28"/>
      <c r="AX226" s="28"/>
      <c r="AY226" s="40"/>
      <c r="AZ226" s="28"/>
      <c r="BA226" s="28"/>
      <c r="BB226" s="42" t="s">
        <v>133</v>
      </c>
      <c r="BC226" s="67">
        <v>0</v>
      </c>
      <c r="BD226" s="85">
        <v>0</v>
      </c>
      <c r="BE226" s="28"/>
      <c r="BF226" s="18"/>
      <c r="BG226" s="28"/>
      <c r="BH226" s="52"/>
      <c r="BI226" s="86"/>
      <c r="BJ226" s="52">
        <f>104/2</f>
        <v>52</v>
      </c>
      <c r="BK226" s="43" t="s">
        <v>73</v>
      </c>
      <c r="BL226" s="40"/>
    </row>
    <row r="227" spans="1:64" ht="15" thickBot="1" x14ac:dyDescent="0.35">
      <c r="A227" s="41" t="s">
        <v>102</v>
      </c>
      <c r="B227" s="42">
        <v>376</v>
      </c>
      <c r="C227" s="85">
        <v>459</v>
      </c>
      <c r="D227" s="28"/>
      <c r="E227" s="45">
        <v>0</v>
      </c>
      <c r="F227" s="40"/>
      <c r="G227" s="40">
        <f>9*169</f>
        <v>1521</v>
      </c>
      <c r="H227" s="28">
        <v>9</v>
      </c>
      <c r="I227" s="28" t="s">
        <v>134</v>
      </c>
      <c r="J227" s="40"/>
      <c r="K227" s="28"/>
      <c r="L227" s="44" t="s">
        <v>99</v>
      </c>
      <c r="M227" s="18">
        <v>837</v>
      </c>
      <c r="N227" s="18">
        <v>0</v>
      </c>
      <c r="O227" s="10"/>
      <c r="P227" s="18"/>
      <c r="Q227" s="11"/>
      <c r="R227" s="18">
        <v>0</v>
      </c>
      <c r="S227" s="18">
        <v>0</v>
      </c>
      <c r="T227" s="10" t="s">
        <v>135</v>
      </c>
      <c r="U227" s="18"/>
      <c r="V227" s="11"/>
      <c r="W227" s="28"/>
      <c r="AA227" s="28"/>
      <c r="AB227" s="32" t="s">
        <v>89</v>
      </c>
      <c r="AC227" s="33">
        <v>521</v>
      </c>
      <c r="AD227" s="34">
        <v>441</v>
      </c>
      <c r="AE227" s="33"/>
      <c r="AF227" s="34"/>
      <c r="AG227" s="34"/>
      <c r="AH227" s="33"/>
      <c r="AI227" s="35"/>
      <c r="AJ227" s="35"/>
      <c r="AK227" s="34" t="s">
        <v>136</v>
      </c>
      <c r="AL227" s="34"/>
      <c r="AM227" s="35"/>
      <c r="AN227" s="28"/>
      <c r="AP227" s="84" t="s">
        <v>81</v>
      </c>
      <c r="AQ227" s="42">
        <v>12</v>
      </c>
      <c r="AR227" s="37">
        <v>27</v>
      </c>
      <c r="AS227" s="42"/>
      <c r="AT227" s="40"/>
      <c r="AU227" s="28"/>
      <c r="AV227" s="28"/>
      <c r="AW227" s="28"/>
      <c r="AX227" s="28"/>
      <c r="AY227" s="40"/>
      <c r="AZ227" s="28"/>
      <c r="BA227" s="28"/>
      <c r="BB227" s="59" t="s">
        <v>84</v>
      </c>
      <c r="BC227" s="13">
        <f>SUM(BC225:BC226)</f>
        <v>433</v>
      </c>
      <c r="BD227" s="60">
        <f>SUM(BD225:BD226)</f>
        <v>463</v>
      </c>
      <c r="BE227" s="81">
        <v>0</v>
      </c>
      <c r="BF227" s="27">
        <v>0</v>
      </c>
      <c r="BG227" s="27">
        <v>0</v>
      </c>
      <c r="BH227" s="13">
        <v>0</v>
      </c>
      <c r="BI227" s="26">
        <v>0</v>
      </c>
      <c r="BJ227" s="13"/>
      <c r="BK227" s="43"/>
      <c r="BL227" s="26">
        <f>SUM(BJ225:BJ226)</f>
        <v>52</v>
      </c>
    </row>
    <row r="228" spans="1:64" ht="15" thickBot="1" x14ac:dyDescent="0.35">
      <c r="A228" s="87" t="s">
        <v>84</v>
      </c>
      <c r="B228" s="59">
        <f>SUM(B226:B227)</f>
        <v>770</v>
      </c>
      <c r="C228" s="26">
        <f>SUM(C226:C227)</f>
        <v>863</v>
      </c>
      <c r="D228" s="27"/>
      <c r="E228" s="16">
        <f>SUM(E224:E227)</f>
        <v>0</v>
      </c>
      <c r="F228" s="26"/>
      <c r="G228" s="49"/>
      <c r="H228" s="48"/>
      <c r="I228" s="48"/>
      <c r="J228" s="49">
        <f>SUM(H226:H227)</f>
        <v>9</v>
      </c>
      <c r="K228" s="28"/>
      <c r="L228" s="12"/>
      <c r="M228" s="18"/>
      <c r="N228" s="18"/>
      <c r="O228" s="10"/>
      <c r="P228" s="18"/>
      <c r="Q228" s="11"/>
      <c r="R228" s="18"/>
      <c r="S228" s="18"/>
      <c r="T228" s="10"/>
      <c r="U228" s="18"/>
      <c r="V228" s="11"/>
      <c r="W228" s="28"/>
      <c r="AA228" s="28"/>
      <c r="AB228" s="44" t="s">
        <v>137</v>
      </c>
      <c r="AC228" s="10">
        <v>130</v>
      </c>
      <c r="AD228" s="18">
        <v>142</v>
      </c>
      <c r="AE228" s="10"/>
      <c r="AF228" s="18"/>
      <c r="AG228" s="18"/>
      <c r="AH228" s="52"/>
      <c r="AI228" s="85"/>
      <c r="AJ228" s="40"/>
      <c r="AK228" s="45"/>
      <c r="AL228" s="37"/>
      <c r="AM228" s="40"/>
      <c r="AN228" s="28"/>
      <c r="AP228" s="10" t="s">
        <v>138</v>
      </c>
      <c r="AQ228" s="36">
        <v>5</v>
      </c>
      <c r="AR228" s="37">
        <v>4</v>
      </c>
      <c r="AS228" s="42"/>
      <c r="AT228" s="11"/>
      <c r="AU228" s="18"/>
      <c r="AV228" s="18"/>
      <c r="AW228" s="18"/>
      <c r="AX228" s="18"/>
      <c r="AY228" s="11"/>
      <c r="AZ228" s="28"/>
      <c r="BA228" s="28"/>
      <c r="BB228" s="88" t="s">
        <v>139</v>
      </c>
      <c r="BC228" s="33">
        <v>0</v>
      </c>
      <c r="BD228" s="35">
        <v>0</v>
      </c>
      <c r="BE228" s="89"/>
      <c r="BF228" s="89"/>
      <c r="BG228" s="80"/>
      <c r="BH228" s="6"/>
      <c r="BI228" s="35"/>
      <c r="BJ228" s="33" t="s">
        <v>140</v>
      </c>
      <c r="BK228" s="34"/>
      <c r="BL228" s="35"/>
    </row>
    <row r="229" spans="1:64" x14ac:dyDescent="0.3">
      <c r="A229" s="36" t="s">
        <v>93</v>
      </c>
      <c r="B229" s="42">
        <v>7611</v>
      </c>
      <c r="C229" s="90">
        <v>7839</v>
      </c>
      <c r="D229" s="3"/>
      <c r="E229" s="91" t="s">
        <v>60</v>
      </c>
      <c r="F229" s="18"/>
      <c r="G229" s="44">
        <v>9600</v>
      </c>
      <c r="H229" s="10" t="s">
        <v>116</v>
      </c>
      <c r="I229" s="18"/>
      <c r="J229" s="11"/>
      <c r="K229" s="28"/>
      <c r="L229" s="12" t="s">
        <v>84</v>
      </c>
      <c r="M229" s="18">
        <f>SUM(M226:M228)</f>
        <v>4533</v>
      </c>
      <c r="N229" s="18">
        <f>SUM(N226:N228)</f>
        <v>13407</v>
      </c>
      <c r="O229" s="10">
        <v>0</v>
      </c>
      <c r="P229" s="18">
        <v>0</v>
      </c>
      <c r="Q229" s="11">
        <v>0</v>
      </c>
      <c r="R229" s="18">
        <f>SUM(R226:R228)</f>
        <v>101</v>
      </c>
      <c r="S229" s="18">
        <f>SUM(S226:S228)</f>
        <v>0</v>
      </c>
      <c r="T229" s="10"/>
      <c r="U229" s="18"/>
      <c r="V229" s="11"/>
      <c r="W229" s="28"/>
      <c r="AA229" s="28"/>
      <c r="AB229" s="41" t="s">
        <v>84</v>
      </c>
      <c r="AC229" s="42">
        <f>SUM(AC227:AC228)</f>
        <v>651</v>
      </c>
      <c r="AD229" s="28">
        <f>SUM(AD227:AD228)</f>
        <v>583</v>
      </c>
      <c r="AE229" s="42">
        <v>0</v>
      </c>
      <c r="AF229" s="28">
        <v>0</v>
      </c>
      <c r="AG229" s="28">
        <v>0</v>
      </c>
      <c r="AH229" s="42">
        <v>0</v>
      </c>
      <c r="AI229" s="40">
        <v>0</v>
      </c>
      <c r="AJ229" s="40">
        <v>0</v>
      </c>
      <c r="AK229" s="43">
        <v>12</v>
      </c>
      <c r="AL229" s="28" t="s">
        <v>141</v>
      </c>
      <c r="AM229" s="40"/>
      <c r="AN229" s="28"/>
      <c r="AP229" s="84" t="s">
        <v>56</v>
      </c>
      <c r="AQ229" s="42">
        <v>3</v>
      </c>
      <c r="AR229" s="54">
        <v>0</v>
      </c>
      <c r="AS229" s="42"/>
      <c r="AT229" s="40"/>
      <c r="AU229" s="28"/>
      <c r="AV229" s="28"/>
      <c r="AW229" s="28"/>
      <c r="AX229" s="28"/>
      <c r="AY229" s="40"/>
      <c r="AZ229" s="28"/>
      <c r="BA229" s="28"/>
      <c r="BB229" s="92" t="s">
        <v>113</v>
      </c>
      <c r="BC229" s="67">
        <f>8+7+8+59+2+2+4+11+8</f>
        <v>109</v>
      </c>
      <c r="BD229" s="56">
        <f>9+9+5+17+1+5+5+18</f>
        <v>69</v>
      </c>
      <c r="BE229" s="54"/>
      <c r="BF229" s="54"/>
      <c r="BG229" s="45"/>
      <c r="BH229" s="10"/>
      <c r="BI229" s="40"/>
      <c r="BJ229" s="10" t="s">
        <v>142</v>
      </c>
      <c r="BK229" s="18"/>
      <c r="BL229" s="39" t="s">
        <v>303</v>
      </c>
    </row>
    <row r="230" spans="1:64" ht="15" thickBot="1" x14ac:dyDescent="0.35">
      <c r="A230" s="10" t="s">
        <v>99</v>
      </c>
      <c r="B230" s="42">
        <v>13013</v>
      </c>
      <c r="C230" s="40">
        <v>13454</v>
      </c>
      <c r="D230" s="3"/>
      <c r="E230" s="91" t="s">
        <v>60</v>
      </c>
      <c r="F230" s="18"/>
      <c r="G230" s="12">
        <v>16860</v>
      </c>
      <c r="H230" s="10">
        <v>90</v>
      </c>
      <c r="I230" s="37" t="s">
        <v>144</v>
      </c>
      <c r="J230" s="11"/>
      <c r="K230" s="28"/>
      <c r="L230" s="12"/>
      <c r="M230" s="18"/>
      <c r="N230" s="18"/>
      <c r="O230" s="10"/>
      <c r="P230" s="18"/>
      <c r="Q230" s="11"/>
      <c r="R230" s="18"/>
      <c r="S230" s="18"/>
      <c r="T230" s="10"/>
      <c r="U230" s="18"/>
      <c r="V230" s="11"/>
      <c r="W230" s="28"/>
      <c r="AA230" s="28"/>
      <c r="AB230" s="46"/>
      <c r="AC230" s="47"/>
      <c r="AD230" s="48"/>
      <c r="AE230" s="47"/>
      <c r="AF230" s="48"/>
      <c r="AG230" s="48"/>
      <c r="AH230" s="47"/>
      <c r="AI230" s="49"/>
      <c r="AJ230" s="49"/>
      <c r="AK230" s="48"/>
      <c r="AL230" s="48" t="s">
        <v>145</v>
      </c>
      <c r="AM230" s="49"/>
      <c r="AN230" s="28"/>
      <c r="AP230" s="36" t="s">
        <v>67</v>
      </c>
      <c r="AQ230" s="10">
        <v>54</v>
      </c>
      <c r="AR230" s="18">
        <v>46</v>
      </c>
      <c r="AS230" s="42"/>
      <c r="AT230" s="11"/>
      <c r="AU230" s="18"/>
      <c r="AV230" s="18"/>
      <c r="AW230" s="18"/>
      <c r="AX230" s="18"/>
      <c r="AY230" s="11"/>
      <c r="AZ230" s="28"/>
      <c r="BA230" s="28" t="s">
        <v>6</v>
      </c>
      <c r="BB230" s="92" t="s">
        <v>252</v>
      </c>
      <c r="BC230" s="67">
        <v>0</v>
      </c>
      <c r="BD230" s="56">
        <v>0</v>
      </c>
      <c r="BE230" s="54"/>
      <c r="BF230" s="54"/>
      <c r="BG230" s="45"/>
      <c r="BH230" s="10"/>
      <c r="BI230" s="40"/>
      <c r="BJ230" s="93" t="s">
        <v>146</v>
      </c>
      <c r="BK230" s="28"/>
      <c r="BL230" s="94" t="s">
        <v>253</v>
      </c>
    </row>
    <row r="231" spans="1:64" ht="15" thickBot="1" x14ac:dyDescent="0.35">
      <c r="A231" s="10" t="s">
        <v>120</v>
      </c>
      <c r="B231" s="42">
        <v>5049</v>
      </c>
      <c r="C231" s="40">
        <v>5846</v>
      </c>
      <c r="D231" s="3"/>
      <c r="E231" s="91" t="s">
        <v>60</v>
      </c>
      <c r="F231" s="18"/>
      <c r="G231" s="12">
        <v>6720</v>
      </c>
      <c r="H231" s="84">
        <v>60</v>
      </c>
      <c r="I231" s="37" t="s">
        <v>148</v>
      </c>
      <c r="J231" s="11"/>
      <c r="K231" s="28"/>
      <c r="L231" s="12"/>
      <c r="M231" s="18"/>
      <c r="N231" s="18"/>
      <c r="O231" s="10"/>
      <c r="P231" s="18"/>
      <c r="Q231" s="11"/>
      <c r="R231" s="18"/>
      <c r="S231" s="18"/>
      <c r="T231" s="10"/>
      <c r="U231" s="18"/>
      <c r="V231" s="11"/>
      <c r="W231" s="28"/>
      <c r="AA231" s="28"/>
      <c r="AB231" s="42"/>
      <c r="AC231" s="42"/>
      <c r="AD231" s="40"/>
      <c r="AE231" s="28"/>
      <c r="AF231" s="28"/>
      <c r="AG231" s="28"/>
      <c r="AH231" s="42"/>
      <c r="AI231" s="28"/>
      <c r="AJ231" s="41"/>
      <c r="AK231" s="28" t="s">
        <v>149</v>
      </c>
      <c r="AL231" s="28"/>
      <c r="AM231" s="40"/>
      <c r="AN231" s="28" t="s">
        <v>6</v>
      </c>
      <c r="AO231" s="95"/>
      <c r="AP231" s="13" t="s">
        <v>84</v>
      </c>
      <c r="AQ231" s="13">
        <f>SUM(AQ219:AQ230)</f>
        <v>262</v>
      </c>
      <c r="AR231" s="27">
        <f>SUM(AR219:AR230)</f>
        <v>190</v>
      </c>
      <c r="AS231" s="47"/>
      <c r="AT231" s="26">
        <f>SUM(AT223:AT230)</f>
        <v>0</v>
      </c>
      <c r="AU231" s="27"/>
      <c r="AV231" s="27"/>
      <c r="AW231" s="27"/>
      <c r="AX231" s="27"/>
      <c r="AY231" s="26">
        <f>SUM(AV223:AV225)</f>
        <v>80</v>
      </c>
      <c r="AZ231" s="28"/>
      <c r="BA231" s="28"/>
      <c r="BB231" s="52" t="s">
        <v>133</v>
      </c>
      <c r="BC231" s="67">
        <f>40+10</f>
        <v>50</v>
      </c>
      <c r="BD231" s="56">
        <f>16+6</f>
        <v>22</v>
      </c>
      <c r="BE231" s="54" t="s">
        <v>150</v>
      </c>
      <c r="BF231" s="54"/>
      <c r="BG231" s="45"/>
      <c r="BH231" s="10"/>
      <c r="BI231" s="40"/>
      <c r="BJ231" s="42" t="s">
        <v>151</v>
      </c>
      <c r="BK231" s="28"/>
      <c r="BL231" s="96"/>
    </row>
    <row r="232" spans="1:64" ht="15" thickBot="1" x14ac:dyDescent="0.35">
      <c r="A232" s="10" t="s">
        <v>84</v>
      </c>
      <c r="B232" s="42">
        <f>SUM(B229:B231)</f>
        <v>25673</v>
      </c>
      <c r="C232" s="40">
        <f>SUM(C229:C231)</f>
        <v>27139</v>
      </c>
      <c r="D232" s="3"/>
      <c r="E232" s="91" t="s">
        <v>60</v>
      </c>
      <c r="F232" s="18"/>
      <c r="G232" s="12">
        <f>SUM(G229:G231)</f>
        <v>33180</v>
      </c>
      <c r="H232" s="42">
        <v>30</v>
      </c>
      <c r="I232" s="54" t="s">
        <v>152</v>
      </c>
      <c r="J232" s="40"/>
      <c r="K232" s="28"/>
      <c r="L232" s="44"/>
      <c r="M232" s="18"/>
      <c r="N232" s="18"/>
      <c r="O232" s="10"/>
      <c r="P232" s="18"/>
      <c r="Q232" s="11"/>
      <c r="R232" s="18"/>
      <c r="S232" s="18"/>
      <c r="T232" s="10"/>
      <c r="U232" s="18"/>
      <c r="V232" s="11"/>
      <c r="W232" s="28"/>
      <c r="Y232" t="s">
        <v>6</v>
      </c>
      <c r="AB232" s="36" t="s">
        <v>99</v>
      </c>
      <c r="AC232" s="10">
        <v>0</v>
      </c>
      <c r="AD232" s="11">
        <v>0</v>
      </c>
      <c r="AE232" s="18">
        <v>0</v>
      </c>
      <c r="AF232" s="18">
        <v>0</v>
      </c>
      <c r="AG232" s="18">
        <v>0</v>
      </c>
      <c r="AH232" s="52">
        <v>65390</v>
      </c>
      <c r="AI232" s="45">
        <v>5393</v>
      </c>
      <c r="AJ232" s="41">
        <v>0</v>
      </c>
      <c r="AK232" s="45">
        <v>4</v>
      </c>
      <c r="AL232" s="37" t="s">
        <v>153</v>
      </c>
      <c r="AM232" s="40"/>
      <c r="AP232" s="32"/>
      <c r="AQ232" s="53"/>
      <c r="AR232" s="97"/>
      <c r="AS232" s="33"/>
      <c r="AT232" s="7"/>
      <c r="AU232" s="6"/>
      <c r="AV232" s="8"/>
      <c r="AW232" s="31"/>
      <c r="AX232" s="8"/>
      <c r="AY232" s="7"/>
      <c r="AZ232" s="28"/>
      <c r="BA232" s="28"/>
      <c r="BB232" s="52" t="s">
        <v>85</v>
      </c>
      <c r="BC232" s="42">
        <f>7+10</f>
        <v>17</v>
      </c>
      <c r="BD232" s="56">
        <f>5+6</f>
        <v>11</v>
      </c>
      <c r="BE232" s="28"/>
      <c r="BF232" s="54"/>
      <c r="BG232" s="28"/>
      <c r="BH232" s="84"/>
      <c r="BI232" s="56"/>
      <c r="BJ232" s="42" t="s">
        <v>257</v>
      </c>
      <c r="BK232" s="28" t="s">
        <v>360</v>
      </c>
      <c r="BL232" s="40" t="s">
        <v>170</v>
      </c>
    </row>
    <row r="233" spans="1:64" ht="16.2" thickBot="1" x14ac:dyDescent="0.35">
      <c r="A233" s="13"/>
      <c r="B233" s="47"/>
      <c r="C233" s="49"/>
      <c r="D233" s="27"/>
      <c r="E233" s="27"/>
      <c r="F233" s="27"/>
      <c r="G233" s="17"/>
      <c r="H233" s="47"/>
      <c r="I233" s="27"/>
      <c r="J233" s="60">
        <f>SUM(H230:H232)</f>
        <v>180</v>
      </c>
      <c r="K233" s="28"/>
      <c r="L233" s="12"/>
      <c r="M233" s="18"/>
      <c r="N233" s="18"/>
      <c r="O233" s="10"/>
      <c r="P233" s="18"/>
      <c r="Q233" s="11"/>
      <c r="R233" s="18"/>
      <c r="S233" s="18"/>
      <c r="T233" s="10"/>
      <c r="U233" s="18"/>
      <c r="V233" s="11"/>
      <c r="W233" s="28"/>
      <c r="AB233" s="32"/>
      <c r="AC233" s="6"/>
      <c r="AD233" s="7"/>
      <c r="AE233" s="8"/>
      <c r="AF233" s="8"/>
      <c r="AG233" s="8"/>
      <c r="AH233" s="6"/>
      <c r="AI233" s="7"/>
      <c r="AJ233" s="8"/>
      <c r="AK233" s="29" t="s">
        <v>157</v>
      </c>
      <c r="AL233" s="8"/>
      <c r="AM233" s="7"/>
      <c r="AP233" s="62"/>
      <c r="AQ233" s="72"/>
      <c r="AR233" s="73"/>
      <c r="AS233" s="47"/>
      <c r="AT233" s="49"/>
      <c r="AU233" s="47"/>
      <c r="AV233" s="48"/>
      <c r="AW233" s="48"/>
      <c r="AX233" s="48"/>
      <c r="AY233" s="49"/>
      <c r="AZ233" s="28"/>
      <c r="BA233" s="28"/>
      <c r="BB233" s="151" t="s">
        <v>306</v>
      </c>
      <c r="BC233" s="36">
        <f>3+6</f>
        <v>9</v>
      </c>
      <c r="BD233" s="39">
        <v>7</v>
      </c>
      <c r="BE233" s="18"/>
      <c r="BF233" s="18"/>
      <c r="BG233" s="18"/>
      <c r="BH233" s="10"/>
      <c r="BI233" s="11"/>
      <c r="BJ233" s="98" t="s">
        <v>361</v>
      </c>
      <c r="BK233" s="28" t="s">
        <v>320</v>
      </c>
      <c r="BL233" s="99" t="s">
        <v>362</v>
      </c>
    </row>
    <row r="234" spans="1:64" ht="16.2" thickBot="1" x14ac:dyDescent="0.35">
      <c r="A234" s="6" t="s">
        <v>105</v>
      </c>
      <c r="B234" s="6">
        <v>1186</v>
      </c>
      <c r="C234" s="7">
        <v>1153</v>
      </c>
      <c r="D234" s="8"/>
      <c r="E234" s="80">
        <v>1233</v>
      </c>
      <c r="F234" s="66"/>
      <c r="G234" s="8"/>
      <c r="H234" s="6" t="s">
        <v>162</v>
      </c>
      <c r="I234" s="8"/>
      <c r="J234" s="7"/>
      <c r="K234" s="28"/>
      <c r="L234" s="17"/>
      <c r="M234" s="27"/>
      <c r="N234" s="27"/>
      <c r="O234" s="13"/>
      <c r="P234" s="27"/>
      <c r="Q234" s="26"/>
      <c r="R234" s="27"/>
      <c r="S234" s="27"/>
      <c r="T234" s="13"/>
      <c r="U234" s="27"/>
      <c r="V234" s="26"/>
      <c r="W234" s="28"/>
      <c r="AB234" s="68" t="s">
        <v>99</v>
      </c>
      <c r="AC234" s="42">
        <v>0</v>
      </c>
      <c r="AD234" s="40">
        <v>0</v>
      </c>
      <c r="AE234">
        <v>0</v>
      </c>
      <c r="AF234">
        <v>0</v>
      </c>
      <c r="AG234">
        <v>0</v>
      </c>
      <c r="AH234" s="42">
        <v>200389</v>
      </c>
      <c r="AI234" s="40">
        <v>97477</v>
      </c>
      <c r="AJ234" s="43">
        <v>0</v>
      </c>
      <c r="AK234" s="42">
        <v>6</v>
      </c>
      <c r="AL234" s="54" t="s">
        <v>163</v>
      </c>
      <c r="AM234" s="40"/>
      <c r="AP234" s="67" t="s">
        <v>63</v>
      </c>
      <c r="AQ234" s="33">
        <v>7</v>
      </c>
      <c r="AR234" s="35">
        <v>5</v>
      </c>
      <c r="AU234" s="33"/>
      <c r="AV234" s="34"/>
      <c r="AW234" s="34"/>
      <c r="AX234" s="34"/>
      <c r="AY234" s="35"/>
      <c r="AZ234" s="28"/>
      <c r="BA234" s="28"/>
      <c r="BB234" s="92" t="s">
        <v>164</v>
      </c>
      <c r="BC234" s="42">
        <f>2+4</f>
        <v>6</v>
      </c>
      <c r="BD234" s="40">
        <f>2+4</f>
        <v>6</v>
      </c>
      <c r="BE234" s="18"/>
      <c r="BF234" s="18"/>
      <c r="BG234" s="18"/>
      <c r="BH234" s="10"/>
      <c r="BI234" s="11"/>
      <c r="BJ234" s="98" t="s">
        <v>363</v>
      </c>
      <c r="BK234" s="100" t="s">
        <v>334</v>
      </c>
      <c r="BL234" s="39" t="s">
        <v>364</v>
      </c>
    </row>
    <row r="235" spans="1:64" ht="15" thickBot="1" x14ac:dyDescent="0.35">
      <c r="A235" s="36" t="s">
        <v>99</v>
      </c>
      <c r="B235" s="10">
        <v>990</v>
      </c>
      <c r="C235" s="11">
        <v>1041</v>
      </c>
      <c r="D235" s="18"/>
      <c r="E235" s="18">
        <v>1367</v>
      </c>
      <c r="F235" s="85"/>
      <c r="G235" s="18"/>
      <c r="H235" s="42"/>
      <c r="I235" s="54"/>
      <c r="J235" s="11"/>
      <c r="L235" s="101" t="s">
        <v>84</v>
      </c>
      <c r="M235" s="102">
        <f>SUM(M229+M224+M219+M217+M213+M208)</f>
        <v>55917</v>
      </c>
      <c r="N235" s="102">
        <f>SUM(N229+N224+N219+N217+N213+N208)</f>
        <v>141728</v>
      </c>
      <c r="O235" s="103">
        <v>0</v>
      </c>
      <c r="P235" s="102">
        <v>0</v>
      </c>
      <c r="Q235" s="104">
        <v>0</v>
      </c>
      <c r="R235" s="102">
        <f>SUM(R229+R224+R219+R217+R208+R213)</f>
        <v>5646</v>
      </c>
      <c r="S235" s="102">
        <f>SUM(S229+S224+S217+S213+S208)</f>
        <v>154</v>
      </c>
      <c r="T235" s="105"/>
      <c r="U235" s="102"/>
      <c r="V235" s="106"/>
      <c r="AB235" s="44" t="s">
        <v>6</v>
      </c>
      <c r="AC235" s="10"/>
      <c r="AD235" s="11"/>
      <c r="AE235" s="18"/>
      <c r="AF235" s="18"/>
      <c r="AG235" s="18"/>
      <c r="AH235" s="10"/>
      <c r="AI235" s="11"/>
      <c r="AJ235" s="18"/>
      <c r="AK235" s="10">
        <v>9</v>
      </c>
      <c r="AL235" s="37" t="s">
        <v>153</v>
      </c>
      <c r="AM235" s="11"/>
      <c r="AP235" s="67" t="s">
        <v>168</v>
      </c>
      <c r="AQ235" s="42">
        <v>0</v>
      </c>
      <c r="AR235" s="40">
        <v>0</v>
      </c>
      <c r="AU235" s="42"/>
      <c r="AV235" s="28"/>
      <c r="AW235" s="28"/>
      <c r="AX235" s="28"/>
      <c r="AY235" s="40"/>
      <c r="AZ235" s="28"/>
      <c r="BA235" s="28"/>
      <c r="BB235" s="36" t="s">
        <v>169</v>
      </c>
      <c r="BC235" s="36">
        <v>5</v>
      </c>
      <c r="BD235" s="39">
        <f>1+1</f>
        <v>2</v>
      </c>
      <c r="BE235" s="18"/>
      <c r="BF235" s="18"/>
      <c r="BG235" s="18"/>
      <c r="BH235" s="10"/>
      <c r="BI235" s="11"/>
      <c r="BJ235" s="98" t="s">
        <v>365</v>
      </c>
      <c r="BK235" s="37" t="s">
        <v>366</v>
      </c>
      <c r="BL235" s="39" t="s">
        <v>367</v>
      </c>
    </row>
    <row r="236" spans="1:64" ht="15" thickBot="1" x14ac:dyDescent="0.35">
      <c r="A236" s="10"/>
      <c r="B236" s="10"/>
      <c r="C236" s="39"/>
      <c r="D236" s="18"/>
      <c r="E236" s="18"/>
      <c r="F236" s="85"/>
      <c r="G236" s="18"/>
      <c r="H236" s="42">
        <v>48</v>
      </c>
      <c r="I236" s="37" t="s">
        <v>101</v>
      </c>
      <c r="J236" s="11"/>
      <c r="AB236" s="46" t="s">
        <v>6</v>
      </c>
      <c r="AC236" s="47"/>
      <c r="AD236" s="49"/>
      <c r="AE236" s="48"/>
      <c r="AF236" s="48"/>
      <c r="AG236" s="48"/>
      <c r="AH236" s="47"/>
      <c r="AI236" s="49"/>
      <c r="AJ236" s="48"/>
      <c r="AK236" s="47"/>
      <c r="AL236" s="48"/>
      <c r="AM236" s="49"/>
      <c r="AP236" s="52" t="s">
        <v>56</v>
      </c>
      <c r="AQ236" s="52">
        <v>0</v>
      </c>
      <c r="AR236" s="85">
        <v>0</v>
      </c>
      <c r="AS236" s="28"/>
      <c r="AT236" s="28"/>
      <c r="AU236" s="42"/>
      <c r="AV236" s="28" t="s">
        <v>173</v>
      </c>
      <c r="AW236" s="28"/>
      <c r="AX236" s="28"/>
      <c r="AY236" s="40"/>
      <c r="AZ236" s="28"/>
      <c r="BA236" s="28"/>
      <c r="BB236" s="36" t="s">
        <v>93</v>
      </c>
      <c r="BC236" s="36">
        <v>2</v>
      </c>
      <c r="BD236" s="39">
        <v>3</v>
      </c>
      <c r="BE236" s="18"/>
      <c r="BF236" s="18"/>
      <c r="BG236" s="18"/>
      <c r="BH236" s="10"/>
      <c r="BI236" s="11"/>
      <c r="BJ236" s="52" t="s">
        <v>368</v>
      </c>
      <c r="BK236" s="37" t="s">
        <v>369</v>
      </c>
      <c r="BL236" s="39" t="s">
        <v>370</v>
      </c>
    </row>
    <row r="237" spans="1:64" ht="15" thickBot="1" x14ac:dyDescent="0.35">
      <c r="A237" s="13" t="s">
        <v>84</v>
      </c>
      <c r="B237" s="13">
        <f>SUM(B234:B236)</f>
        <v>2176</v>
      </c>
      <c r="C237" s="26">
        <f>SUM(C234:C236)</f>
        <v>2194</v>
      </c>
      <c r="D237" s="27"/>
      <c r="E237" s="27">
        <f>SUM(E234:E236)</f>
        <v>2600</v>
      </c>
      <c r="F237" s="26"/>
      <c r="G237" s="27">
        <f>48*164</f>
        <v>7872</v>
      </c>
      <c r="H237" s="13"/>
      <c r="I237" s="81"/>
      <c r="J237" s="26">
        <f>SUM(H235:H236)</f>
        <v>48</v>
      </c>
      <c r="L237" t="s">
        <v>6</v>
      </c>
      <c r="M237" s="115"/>
      <c r="AB237" s="6"/>
      <c r="AC237" s="6"/>
      <c r="AD237" s="7"/>
      <c r="AE237" s="8"/>
      <c r="AF237" s="8"/>
      <c r="AG237" s="8"/>
      <c r="AH237" s="6"/>
      <c r="AI237" s="7"/>
      <c r="AJ237" s="8"/>
      <c r="AK237" s="29"/>
      <c r="AL237" s="8"/>
      <c r="AM237" s="7"/>
      <c r="AN237" s="45"/>
      <c r="AP237" s="52" t="s">
        <v>67</v>
      </c>
      <c r="AQ237" s="52">
        <v>4</v>
      </c>
      <c r="AR237" s="56">
        <v>5</v>
      </c>
      <c r="AU237" s="42"/>
      <c r="AV237" s="28"/>
      <c r="AW237" s="28"/>
      <c r="AX237" s="28"/>
      <c r="AY237" s="40"/>
      <c r="AZ237" s="28"/>
      <c r="BA237" s="28"/>
      <c r="BB237" s="150" t="s">
        <v>270</v>
      </c>
      <c r="BC237" s="36">
        <f>5+1+1</f>
        <v>7</v>
      </c>
      <c r="BD237" s="39">
        <f>2+1+4</f>
        <v>7</v>
      </c>
      <c r="BE237" s="18"/>
      <c r="BF237" s="37"/>
      <c r="BG237" s="18"/>
      <c r="BH237" s="10"/>
      <c r="BI237" s="11"/>
      <c r="BJ237" s="93" t="s">
        <v>283</v>
      </c>
      <c r="BK237" s="54" t="s">
        <v>371</v>
      </c>
      <c r="BL237" s="39" t="s">
        <v>372</v>
      </c>
    </row>
    <row r="238" spans="1:64" ht="15" thickBot="1" x14ac:dyDescent="0.35">
      <c r="A238" s="42" t="s">
        <v>181</v>
      </c>
      <c r="B238" s="42">
        <v>530</v>
      </c>
      <c r="C238" s="40">
        <v>527</v>
      </c>
      <c r="D238" s="28"/>
      <c r="E238" s="107" t="s">
        <v>60</v>
      </c>
      <c r="F238" s="43"/>
      <c r="G238" s="41">
        <f>4*154</f>
        <v>616</v>
      </c>
      <c r="H238" s="18" t="s">
        <v>182</v>
      </c>
      <c r="I238" s="28"/>
      <c r="J238" s="11"/>
      <c r="K238" s="43"/>
      <c r="M238" s="126"/>
      <c r="AB238" s="36"/>
      <c r="AC238" s="10"/>
      <c r="AD238" s="11"/>
      <c r="AE238" s="18"/>
      <c r="AF238" s="18"/>
      <c r="AG238" s="18"/>
      <c r="AH238" s="36"/>
      <c r="AI238" s="11"/>
      <c r="AJ238" s="18"/>
      <c r="AK238" s="36"/>
      <c r="AL238" s="37"/>
      <c r="AM238" s="11"/>
      <c r="AN238" s="45"/>
      <c r="AP238" s="10" t="s">
        <v>78</v>
      </c>
      <c r="AQ238" s="52">
        <v>1</v>
      </c>
      <c r="AR238" s="85">
        <v>1</v>
      </c>
      <c r="AS238" s="28"/>
      <c r="AT238" s="28"/>
      <c r="AU238" s="42"/>
      <c r="AV238" s="28">
        <v>12</v>
      </c>
      <c r="AW238" s="28" t="s">
        <v>183</v>
      </c>
      <c r="AX238" s="28"/>
      <c r="AY238" s="40"/>
      <c r="AZ238" s="37"/>
      <c r="BA238" s="37"/>
      <c r="BB238" s="36" t="s">
        <v>184</v>
      </c>
      <c r="BC238" s="36">
        <f>4+2</f>
        <v>6</v>
      </c>
      <c r="BD238" s="39">
        <f>5+1+1+1</f>
        <v>8</v>
      </c>
      <c r="BE238" s="18"/>
      <c r="BF238" s="18"/>
      <c r="BG238" s="18"/>
      <c r="BH238" s="10"/>
      <c r="BI238" s="11"/>
      <c r="BJ238" s="36" t="s">
        <v>172</v>
      </c>
      <c r="BK238" s="37" t="s">
        <v>373</v>
      </c>
      <c r="BL238" s="40" t="s">
        <v>374</v>
      </c>
    </row>
    <row r="239" spans="1:64" ht="15" thickBot="1" x14ac:dyDescent="0.35">
      <c r="A239" s="42" t="s">
        <v>120</v>
      </c>
      <c r="B239" s="42">
        <v>3615</v>
      </c>
      <c r="C239" s="40">
        <v>3989</v>
      </c>
      <c r="D239" s="28"/>
      <c r="E239" s="107" t="s">
        <v>60</v>
      </c>
      <c r="F239" s="43"/>
      <c r="G239" s="68">
        <f>31*160</f>
        <v>4960</v>
      </c>
      <c r="H239" s="43">
        <v>31</v>
      </c>
      <c r="I239" s="28" t="s">
        <v>188</v>
      </c>
      <c r="J239" s="11"/>
      <c r="K239" s="28"/>
      <c r="M239" s="126"/>
      <c r="AA239" s="28"/>
      <c r="AB239" s="103" t="s">
        <v>84</v>
      </c>
      <c r="AC239" s="103">
        <f>SUM(AC238+AC234+AC232+AC229+AC226+AC224+AC220+AC216+AC213+AC209+AC211)</f>
        <v>2430</v>
      </c>
      <c r="AD239" s="104">
        <f>SUM(AD238+AD234+AD232+AD229+AD226+AD220+AD216+AD213+AD211+AD209)</f>
        <v>2380</v>
      </c>
      <c r="AE239" s="103">
        <v>0</v>
      </c>
      <c r="AF239" s="102">
        <v>0</v>
      </c>
      <c r="AG239" s="102">
        <v>0</v>
      </c>
      <c r="AH239" s="109">
        <f>SUM(AH238+AH234+AH232+AH229+AH226+AH224+AH220+AH216+AH213+AH211+AH209)</f>
        <v>268181</v>
      </c>
      <c r="AI239" s="110">
        <f>SUM(AI238+AI234+AI232+AI229+AI224+AI220+AI215+AI213+AI211+AI209)</f>
        <v>123235</v>
      </c>
      <c r="AJ239" s="110">
        <v>0</v>
      </c>
      <c r="AK239" s="111" t="s">
        <v>189</v>
      </c>
      <c r="AL239" s="111"/>
      <c r="AM239" s="104">
        <f>SUM(AK209:AK238)</f>
        <v>47</v>
      </c>
      <c r="AN239" s="45"/>
      <c r="AP239" s="52" t="s">
        <v>81</v>
      </c>
      <c r="AQ239" s="52">
        <v>0</v>
      </c>
      <c r="AR239" s="85">
        <v>0</v>
      </c>
      <c r="AS239" s="28"/>
      <c r="AT239" s="28"/>
      <c r="AU239" s="42"/>
      <c r="AV239" s="28" t="s">
        <v>6</v>
      </c>
      <c r="AW239" s="28"/>
      <c r="AX239" s="28"/>
      <c r="AY239" s="40"/>
      <c r="AZ239" s="28"/>
      <c r="BA239" s="28"/>
      <c r="BB239" s="150" t="s">
        <v>211</v>
      </c>
      <c r="BC239" s="36">
        <f>1+2</f>
        <v>3</v>
      </c>
      <c r="BD239" s="39">
        <f>23+2</f>
        <v>25</v>
      </c>
      <c r="BE239" s="18"/>
      <c r="BF239" s="18"/>
      <c r="BG239" s="18"/>
      <c r="BH239" s="10"/>
      <c r="BI239" s="11"/>
      <c r="BJ239" s="112" t="s">
        <v>375</v>
      </c>
      <c r="BK239" s="37" t="s">
        <v>307</v>
      </c>
      <c r="BL239" s="39" t="s">
        <v>376</v>
      </c>
    </row>
    <row r="240" spans="1:64" x14ac:dyDescent="0.3">
      <c r="A240" s="42" t="s">
        <v>84</v>
      </c>
      <c r="B240" s="42">
        <f>SUM(B238:B239)</f>
        <v>4145</v>
      </c>
      <c r="C240" s="40">
        <f>SUM(C238:C239)</f>
        <v>4516</v>
      </c>
      <c r="D240" s="28"/>
      <c r="E240" s="107" t="s">
        <v>60</v>
      </c>
      <c r="F240" s="43"/>
      <c r="G240" s="41">
        <f>SUM(G238:G239)</f>
        <v>5576</v>
      </c>
      <c r="H240" s="28">
        <v>4</v>
      </c>
      <c r="I240" s="43" t="s">
        <v>101</v>
      </c>
      <c r="J240" s="40"/>
      <c r="K240" s="28"/>
      <c r="L240" s="28"/>
      <c r="N240" s="113"/>
      <c r="AA240" s="28"/>
      <c r="AB240" s="52" t="s">
        <v>193</v>
      </c>
      <c r="AC240" s="28"/>
      <c r="AD240" s="28"/>
      <c r="AE240" s="28"/>
      <c r="AF240" s="28"/>
      <c r="AG240" s="28"/>
      <c r="AH240" s="28"/>
      <c r="AI240" s="28"/>
      <c r="AM240" t="s">
        <v>6</v>
      </c>
      <c r="AN240" s="45"/>
      <c r="AP240" s="52" t="s">
        <v>72</v>
      </c>
      <c r="AQ240" s="52">
        <v>0</v>
      </c>
      <c r="AR240" s="85">
        <v>0</v>
      </c>
      <c r="AU240" s="42"/>
      <c r="AV240" s="28"/>
      <c r="AW240" s="28"/>
      <c r="AX240" s="28"/>
      <c r="AY240" s="40"/>
      <c r="AZ240" s="28"/>
      <c r="BB240" s="98" t="s">
        <v>107</v>
      </c>
      <c r="BC240" s="36">
        <v>0</v>
      </c>
      <c r="BD240" s="39">
        <v>0</v>
      </c>
      <c r="BE240" s="18"/>
      <c r="BF240" s="18"/>
      <c r="BG240" s="18"/>
      <c r="BH240" s="10"/>
      <c r="BI240" s="11"/>
      <c r="BJ240" s="36" t="s">
        <v>377</v>
      </c>
      <c r="BK240" s="37" t="s">
        <v>378</v>
      </c>
      <c r="BL240" s="114" t="s">
        <v>379</v>
      </c>
    </row>
    <row r="241" spans="1:65" ht="15" thickBot="1" x14ac:dyDescent="0.35">
      <c r="A241" s="13"/>
      <c r="B241" s="10"/>
      <c r="C241" s="11"/>
      <c r="D241" s="27"/>
      <c r="E241" s="27"/>
      <c r="F241" s="27"/>
      <c r="G241" s="17"/>
      <c r="H241" s="48">
        <v>0</v>
      </c>
      <c r="I241" s="48" t="s">
        <v>284</v>
      </c>
      <c r="J241" s="49">
        <f>SUM(H239:H241)</f>
        <v>35</v>
      </c>
      <c r="L241" s="108"/>
      <c r="M241" s="115"/>
      <c r="O241" s="116"/>
      <c r="AA241" s="28"/>
      <c r="AN241" s="45"/>
      <c r="AP241" s="52" t="s">
        <v>84</v>
      </c>
      <c r="AQ241" s="47">
        <f>SUM(AQ234:AQ240)</f>
        <v>12</v>
      </c>
      <c r="AR241" s="49">
        <f>SUM(AR234:AR240)</f>
        <v>11</v>
      </c>
      <c r="AS241" s="28"/>
      <c r="AT241" s="28"/>
      <c r="AU241" s="47"/>
      <c r="AV241" s="48"/>
      <c r="AW241" s="48"/>
      <c r="AX241" s="48"/>
      <c r="AY241" s="49">
        <f>SUM(AV238)</f>
        <v>12</v>
      </c>
      <c r="AZ241" s="28"/>
      <c r="BB241" s="36" t="s">
        <v>190</v>
      </c>
      <c r="BC241" s="36">
        <v>0</v>
      </c>
      <c r="BD241" s="39">
        <v>3</v>
      </c>
      <c r="BE241" s="18"/>
      <c r="BF241" s="18"/>
      <c r="BG241" s="18"/>
      <c r="BH241" s="10"/>
      <c r="BI241" s="11"/>
      <c r="BJ241" s="36" t="s">
        <v>380</v>
      </c>
      <c r="BK241" s="37" t="s">
        <v>381</v>
      </c>
      <c r="BL241" s="39" t="s">
        <v>317</v>
      </c>
    </row>
    <row r="242" spans="1:65" ht="16.2" thickBot="1" x14ac:dyDescent="0.35">
      <c r="A242" s="117" t="s">
        <v>84</v>
      </c>
      <c r="B242" s="118">
        <f>SUM(B240+B237+B232+B228+B225+B222+B219+B215+B211+B208)</f>
        <v>47486</v>
      </c>
      <c r="C242" s="120">
        <f>SUM(C240+C237+C232+C228+C225+C222+C219+C215+C211+C208)</f>
        <v>51378</v>
      </c>
      <c r="D242" s="119"/>
      <c r="E242" s="119">
        <f>SUM(E237+E222)</f>
        <v>4128</v>
      </c>
      <c r="F242" s="120"/>
      <c r="G242" s="121">
        <f>SUM(G240+G237+G232+G227+G225+G218+G215+G211+G208+G222)</f>
        <v>69777</v>
      </c>
      <c r="H242" s="13" t="s">
        <v>199</v>
      </c>
      <c r="I242" s="81"/>
      <c r="J242" s="26">
        <f>SUM(J209:J241)</f>
        <v>431</v>
      </c>
      <c r="O242" s="122"/>
      <c r="AN242" s="45"/>
      <c r="AP242" s="32" t="s">
        <v>63</v>
      </c>
      <c r="AQ242" s="123">
        <v>3</v>
      </c>
      <c r="AR242" s="123">
        <f>1+1</f>
        <v>2</v>
      </c>
      <c r="AS242" s="33"/>
      <c r="AT242" s="7"/>
      <c r="AU242" s="6"/>
      <c r="AV242" s="34" t="s">
        <v>140</v>
      </c>
      <c r="AW242" s="8"/>
      <c r="AX242" s="8"/>
      <c r="AY242" s="7"/>
      <c r="AZ242" s="28"/>
      <c r="BB242" s="36" t="s">
        <v>331</v>
      </c>
      <c r="BC242" s="10">
        <v>0</v>
      </c>
      <c r="BD242" s="39">
        <v>2</v>
      </c>
      <c r="BE242" s="18"/>
      <c r="BF242" s="18"/>
      <c r="BG242" s="37"/>
      <c r="BH242" s="10"/>
      <c r="BI242" s="11"/>
      <c r="BJ242" s="124" t="s">
        <v>382</v>
      </c>
      <c r="BK242" s="37" t="s">
        <v>310</v>
      </c>
      <c r="BL242" s="39" t="s">
        <v>383</v>
      </c>
    </row>
    <row r="243" spans="1:65" x14ac:dyDescent="0.3">
      <c r="AN243" s="45"/>
      <c r="AP243" s="44" t="s">
        <v>78</v>
      </c>
      <c r="AQ243" s="37">
        <f>16+12+1</f>
        <v>29</v>
      </c>
      <c r="AR243" s="37">
        <f>5+4+4</f>
        <v>13</v>
      </c>
      <c r="AS243" s="42"/>
      <c r="AT243" s="11"/>
      <c r="AU243" s="10"/>
      <c r="AV243" s="37">
        <v>6</v>
      </c>
      <c r="AW243" s="37" t="s">
        <v>204</v>
      </c>
      <c r="AX243" s="18"/>
      <c r="AY243" s="11"/>
      <c r="AZ243" s="28"/>
      <c r="BB243" s="98" t="s">
        <v>384</v>
      </c>
      <c r="BC243" s="10">
        <v>1</v>
      </c>
      <c r="BD243" s="39">
        <v>0</v>
      </c>
      <c r="BE243" s="18"/>
      <c r="BF243" s="18"/>
      <c r="BG243" s="18"/>
      <c r="BH243" s="10"/>
      <c r="BI243" s="11"/>
      <c r="BJ243" s="52" t="s">
        <v>385</v>
      </c>
      <c r="BK243" s="37" t="s">
        <v>386</v>
      </c>
      <c r="BL243" s="39"/>
    </row>
    <row r="244" spans="1:65" x14ac:dyDescent="0.3">
      <c r="AN244" s="45"/>
      <c r="AP244" s="125" t="s">
        <v>209</v>
      </c>
      <c r="AQ244" s="54">
        <v>0</v>
      </c>
      <c r="AR244" s="54">
        <v>0</v>
      </c>
      <c r="AS244" s="42"/>
      <c r="AT244" s="40"/>
      <c r="AU244" s="42"/>
      <c r="AV244" s="28">
        <v>5</v>
      </c>
      <c r="AW244" s="28" t="s">
        <v>210</v>
      </c>
      <c r="AX244" s="28"/>
      <c r="AY244" s="40"/>
      <c r="AZ244" s="28"/>
      <c r="BB244" s="92" t="s">
        <v>64</v>
      </c>
      <c r="BC244" s="84">
        <v>0</v>
      </c>
      <c r="BD244" s="86">
        <v>0</v>
      </c>
      <c r="BE244" s="45"/>
      <c r="BF244" s="45"/>
      <c r="BG244" s="45"/>
      <c r="BH244" s="10"/>
      <c r="BI244" s="11"/>
      <c r="BJ244" s="112" t="s">
        <v>387</v>
      </c>
      <c r="BK244" s="54"/>
      <c r="BL244" s="86"/>
    </row>
    <row r="245" spans="1:65" x14ac:dyDescent="0.3">
      <c r="B245" s="126"/>
      <c r="C245" s="126"/>
      <c r="AN245" s="45"/>
      <c r="AP245" s="44" t="s">
        <v>168</v>
      </c>
      <c r="AQ245" s="37">
        <v>0</v>
      </c>
      <c r="AR245" s="18">
        <v>0</v>
      </c>
      <c r="AS245" s="42"/>
      <c r="AT245" s="11"/>
      <c r="AU245" s="10"/>
      <c r="AV245" s="37">
        <f>3+3+11+4+2+2+14</f>
        <v>39</v>
      </c>
      <c r="AW245" s="37" t="s">
        <v>213</v>
      </c>
      <c r="AX245" s="18"/>
      <c r="AY245" s="11"/>
      <c r="BB245" s="127" t="s">
        <v>388</v>
      </c>
      <c r="BC245" s="84">
        <v>8</v>
      </c>
      <c r="BD245" s="86">
        <v>8</v>
      </c>
      <c r="BE245" s="45"/>
      <c r="BF245" s="45"/>
      <c r="BG245" s="45"/>
      <c r="BH245" s="84"/>
      <c r="BI245" s="85"/>
      <c r="BJ245" s="52"/>
      <c r="BK245" s="54"/>
      <c r="BL245" s="40"/>
    </row>
    <row r="246" spans="1:65" x14ac:dyDescent="0.3">
      <c r="AN246" s="45"/>
      <c r="AP246" s="125" t="s">
        <v>81</v>
      </c>
      <c r="AQ246" s="54">
        <f>3+1</f>
        <v>4</v>
      </c>
      <c r="AR246" s="45">
        <f>9+6</f>
        <v>15</v>
      </c>
      <c r="AS246" s="42"/>
      <c r="AT246" s="40"/>
      <c r="AU246" s="42"/>
      <c r="AV246" s="54">
        <v>1</v>
      </c>
      <c r="AW246" s="128" t="s">
        <v>235</v>
      </c>
      <c r="AX246" s="28"/>
      <c r="AY246" s="40" t="s">
        <v>6</v>
      </c>
      <c r="BB246" s="127" t="s">
        <v>389</v>
      </c>
      <c r="BC246" s="84">
        <v>0</v>
      </c>
      <c r="BD246" s="86">
        <f>4+1</f>
        <v>5</v>
      </c>
      <c r="BE246" s="45"/>
      <c r="BF246" s="45"/>
      <c r="BG246" s="45"/>
      <c r="BH246" s="84"/>
      <c r="BI246" s="85"/>
      <c r="BJ246" s="52"/>
      <c r="BK246" s="54"/>
      <c r="BL246" s="40"/>
    </row>
    <row r="247" spans="1:65" x14ac:dyDescent="0.3">
      <c r="AP247" s="125" t="s">
        <v>72</v>
      </c>
      <c r="AQ247" s="54">
        <f>11+21+2</f>
        <v>34</v>
      </c>
      <c r="AR247" s="45">
        <f>7+20+3</f>
        <v>30</v>
      </c>
      <c r="AS247" s="42"/>
      <c r="AT247" s="40"/>
      <c r="AU247" s="42"/>
      <c r="AV247" s="54">
        <v>8</v>
      </c>
      <c r="AW247" s="54" t="s">
        <v>216</v>
      </c>
      <c r="AX247" s="45"/>
      <c r="AY247" s="40"/>
      <c r="BB247" s="127" t="s">
        <v>99</v>
      </c>
      <c r="BC247" s="84">
        <v>0</v>
      </c>
      <c r="BD247" s="86">
        <v>1</v>
      </c>
      <c r="BE247" s="28"/>
      <c r="BF247" s="45"/>
      <c r="BG247" s="28"/>
      <c r="BH247" s="84"/>
      <c r="BI247" s="85"/>
      <c r="BJ247" s="98"/>
      <c r="BK247" s="54"/>
      <c r="BL247" s="86"/>
    </row>
    <row r="248" spans="1:65" x14ac:dyDescent="0.3">
      <c r="AP248" s="125" t="s">
        <v>115</v>
      </c>
      <c r="AQ248" s="54">
        <f>6+4</f>
        <v>10</v>
      </c>
      <c r="AR248" s="45">
        <f>2+2</f>
        <v>4</v>
      </c>
      <c r="AS248" s="42"/>
      <c r="AT248" s="40"/>
      <c r="AU248" s="42"/>
      <c r="AV248" s="54">
        <v>10</v>
      </c>
      <c r="AW248" s="54" t="s">
        <v>217</v>
      </c>
      <c r="AX248" s="28"/>
      <c r="AY248" s="40"/>
      <c r="BB248" s="127" t="s">
        <v>218</v>
      </c>
      <c r="BC248" s="84">
        <v>0</v>
      </c>
      <c r="BD248" s="86">
        <v>7</v>
      </c>
      <c r="BE248" s="28"/>
      <c r="BF248" s="45"/>
      <c r="BG248" s="28"/>
      <c r="BH248" s="84"/>
      <c r="BI248" s="85"/>
      <c r="BJ248" s="52"/>
      <c r="BK248" s="54"/>
      <c r="BL248" s="40"/>
    </row>
    <row r="249" spans="1:65" x14ac:dyDescent="0.3">
      <c r="AP249" s="125" t="s">
        <v>56</v>
      </c>
      <c r="AQ249" s="54">
        <f>7+4+3+4</f>
        <v>18</v>
      </c>
      <c r="AR249" s="45">
        <f>5+1+2+3+4</f>
        <v>15</v>
      </c>
      <c r="AS249" s="42"/>
      <c r="AT249" s="40"/>
      <c r="AU249" s="42"/>
      <c r="AV249" s="54">
        <v>2</v>
      </c>
      <c r="AW249" s="54" t="s">
        <v>219</v>
      </c>
      <c r="AX249" s="28"/>
      <c r="AY249" s="40"/>
      <c r="BB249" s="98" t="s">
        <v>220</v>
      </c>
      <c r="BC249" s="10">
        <v>0</v>
      </c>
      <c r="BD249" s="11">
        <v>0</v>
      </c>
      <c r="BE249" s="18"/>
      <c r="BF249" s="18"/>
      <c r="BG249" s="18"/>
      <c r="BH249" s="10"/>
      <c r="BI249" s="11"/>
      <c r="BJ249" s="52"/>
      <c r="BK249" s="37"/>
      <c r="BL249" s="129"/>
    </row>
    <row r="250" spans="1:65" ht="15" thickBot="1" x14ac:dyDescent="0.35">
      <c r="AP250" s="125" t="s">
        <v>138</v>
      </c>
      <c r="AQ250" s="54">
        <v>0</v>
      </c>
      <c r="AR250" s="45">
        <v>0</v>
      </c>
      <c r="AS250" s="42"/>
      <c r="AT250" s="40"/>
      <c r="AU250" s="42"/>
      <c r="AV250" s="54">
        <v>6</v>
      </c>
      <c r="AW250" s="54" t="s">
        <v>221</v>
      </c>
      <c r="AX250" s="28"/>
      <c r="AY250" s="40"/>
      <c r="BB250" s="13" t="s">
        <v>84</v>
      </c>
      <c r="BC250" s="13">
        <f>SUM(BC228:BC249)</f>
        <v>223</v>
      </c>
      <c r="BD250" s="26">
        <f>SUM(BD228:BD249)</f>
        <v>186</v>
      </c>
      <c r="BE250" s="27">
        <v>0</v>
      </c>
      <c r="BF250" s="27">
        <f>SUM(BF228:BF249)</f>
        <v>0</v>
      </c>
      <c r="BG250" s="27">
        <v>0</v>
      </c>
      <c r="BH250" s="130">
        <v>0</v>
      </c>
      <c r="BI250" s="26">
        <v>0</v>
      </c>
      <c r="BJ250" s="59"/>
      <c r="BK250" s="27"/>
      <c r="BL250" s="26">
        <f>8+8+5+7+7+11+11+6+4+3+5+3+4+5+1</f>
        <v>88</v>
      </c>
    </row>
    <row r="251" spans="1:65" ht="15" thickBot="1" x14ac:dyDescent="0.35">
      <c r="AP251" s="125" t="s">
        <v>67</v>
      </c>
      <c r="AQ251" s="28">
        <f>1+3</f>
        <v>4</v>
      </c>
      <c r="AR251" s="45">
        <f>1+2</f>
        <v>3</v>
      </c>
      <c r="AS251" s="42"/>
      <c r="AT251" s="40"/>
      <c r="AU251" s="42"/>
      <c r="AV251" s="54">
        <v>17</v>
      </c>
      <c r="AW251" s="54" t="s">
        <v>222</v>
      </c>
      <c r="AX251" s="28"/>
      <c r="AY251" s="40"/>
      <c r="BB251" s="13" t="s">
        <v>223</v>
      </c>
      <c r="BC251" s="13">
        <f>SUM(BC250+BC227+BC224+BC220+BC216+BC213+BC211+BC209)</f>
        <v>1708</v>
      </c>
      <c r="BD251" s="26">
        <f>SUM(BD250+BD227+BD224+BD220+BD216+BD213+BD211+BD209)</f>
        <v>1730</v>
      </c>
      <c r="BE251" s="27">
        <f>SUM(BE250+BE227+BE220+BE215+BE213+BE211+BE208)</f>
        <v>0</v>
      </c>
      <c r="BF251" s="27">
        <f>SUM(BF228:BF249)</f>
        <v>0</v>
      </c>
      <c r="BG251" s="27">
        <f>SUM(BG250+BG227+BG220+BG215+BG213+BG211+BG208)</f>
        <v>0</v>
      </c>
      <c r="BH251" s="13">
        <f>SUM(BH250+BH227+BH220+BH215+BH213+BH211+BH208)</f>
        <v>44499</v>
      </c>
      <c r="BI251" s="26">
        <f>SUM(BI250+BI227+BI220+BI215+BI213+BI211+BI208)</f>
        <v>14773</v>
      </c>
      <c r="BJ251" s="81"/>
      <c r="BK251" s="27" t="s">
        <v>189</v>
      </c>
      <c r="BL251" s="26">
        <f>SUM(BL208:BL249)</f>
        <v>178</v>
      </c>
    </row>
    <row r="252" spans="1:65" x14ac:dyDescent="0.3">
      <c r="K252" s="28"/>
      <c r="AP252" s="125" t="s">
        <v>122</v>
      </c>
      <c r="AQ252" s="43">
        <v>4</v>
      </c>
      <c r="AR252" s="45">
        <f>2+2</f>
        <v>4</v>
      </c>
      <c r="AS252" s="42"/>
      <c r="AT252" s="40"/>
      <c r="AU252" s="42"/>
      <c r="AV252" s="54">
        <v>1</v>
      </c>
      <c r="AW252" s="54" t="s">
        <v>390</v>
      </c>
      <c r="AX252" s="28"/>
      <c r="AY252" s="40"/>
      <c r="BB252" s="131" t="s">
        <v>225</v>
      </c>
      <c r="BD252">
        <f>SUM(BL250)</f>
        <v>88</v>
      </c>
      <c r="BG252" s="132"/>
    </row>
    <row r="253" spans="1:65" x14ac:dyDescent="0.3">
      <c r="K253" s="28"/>
      <c r="AP253" s="125" t="s">
        <v>227</v>
      </c>
      <c r="AQ253" s="43">
        <v>0</v>
      </c>
      <c r="AR253" s="45">
        <v>0</v>
      </c>
      <c r="AS253" s="42"/>
      <c r="AT253" s="40"/>
      <c r="AU253" s="42"/>
      <c r="AV253" s="54">
        <v>4</v>
      </c>
      <c r="AW253" s="54" t="s">
        <v>391</v>
      </c>
      <c r="AX253" s="28"/>
      <c r="AY253" s="40"/>
      <c r="BB253" t="s">
        <v>229</v>
      </c>
      <c r="BD253">
        <f>1+1+15+4+41</f>
        <v>62</v>
      </c>
    </row>
    <row r="254" spans="1:65" x14ac:dyDescent="0.3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AP254" s="41" t="s">
        <v>230</v>
      </c>
      <c r="AQ254" s="43">
        <f>1+7</f>
        <v>8</v>
      </c>
      <c r="AR254" s="45">
        <f>7+1+1+7</f>
        <v>16</v>
      </c>
      <c r="AS254" s="42"/>
      <c r="AT254" s="40"/>
      <c r="AU254" s="42"/>
      <c r="AV254" s="54">
        <v>2</v>
      </c>
      <c r="AW254" s="54" t="s">
        <v>392</v>
      </c>
      <c r="AX254" s="28"/>
      <c r="AY254" s="40"/>
      <c r="BB254" t="s">
        <v>232</v>
      </c>
      <c r="BD254" t="s">
        <v>233</v>
      </c>
      <c r="BF254">
        <f>SUM(AQ259)</f>
        <v>2562</v>
      </c>
      <c r="BH254" t="s">
        <v>234</v>
      </c>
      <c r="BJ254" t="s">
        <v>233</v>
      </c>
      <c r="BL254">
        <f>SUM(BC251)</f>
        <v>1708</v>
      </c>
    </row>
    <row r="255" spans="1:65" ht="18" x14ac:dyDescent="0.35">
      <c r="B255" s="133"/>
      <c r="AP255" s="68" t="s">
        <v>125</v>
      </c>
      <c r="AQ255" s="43">
        <v>0</v>
      </c>
      <c r="AR255" s="45">
        <v>0</v>
      </c>
      <c r="AS255" s="42"/>
      <c r="AT255" s="40"/>
      <c r="AU255" s="42"/>
      <c r="AV255" s="54">
        <v>3</v>
      </c>
      <c r="AW255" s="54" t="s">
        <v>351</v>
      </c>
      <c r="AX255" s="28"/>
      <c r="AY255" s="40"/>
      <c r="BD255" t="s">
        <v>236</v>
      </c>
      <c r="BF255">
        <f>SUM(AR259)</f>
        <v>2424</v>
      </c>
      <c r="BJ255" t="s">
        <v>236</v>
      </c>
      <c r="BL255">
        <f>SUM(BD251)</f>
        <v>1730</v>
      </c>
    </row>
    <row r="256" spans="1:65" x14ac:dyDescent="0.3">
      <c r="AP256" s="68" t="s">
        <v>132</v>
      </c>
      <c r="AQ256" s="43">
        <v>13</v>
      </c>
      <c r="AR256" s="45">
        <v>9</v>
      </c>
      <c r="AS256" s="42"/>
      <c r="AT256" s="40"/>
      <c r="AU256" s="42"/>
      <c r="AV256" s="54">
        <v>1</v>
      </c>
      <c r="AW256" s="54" t="s">
        <v>237</v>
      </c>
      <c r="AX256" s="28"/>
      <c r="AY256" s="40"/>
      <c r="BB256" s="134" t="s">
        <v>238</v>
      </c>
      <c r="BC256" s="135" t="s">
        <v>239</v>
      </c>
      <c r="BD256" s="136"/>
      <c r="BE256" s="134" t="s">
        <v>240</v>
      </c>
      <c r="BF256" s="135" t="s">
        <v>241</v>
      </c>
      <c r="BG256" s="136"/>
      <c r="BH256" s="134"/>
      <c r="BI256" s="135" t="s">
        <v>242</v>
      </c>
      <c r="BJ256" s="137" t="s">
        <v>243</v>
      </c>
      <c r="BK256" s="135"/>
      <c r="BL256" s="135"/>
      <c r="BM256" s="136"/>
    </row>
    <row r="257" spans="1:65" x14ac:dyDescent="0.3">
      <c r="AP257" s="41" t="s">
        <v>6</v>
      </c>
      <c r="AS257" s="42"/>
      <c r="AT257" s="40"/>
      <c r="AU257" s="42"/>
      <c r="AV257" s="54">
        <v>3</v>
      </c>
      <c r="AW257" s="54" t="s">
        <v>246</v>
      </c>
      <c r="AX257" s="28"/>
      <c r="AY257" s="40"/>
      <c r="BB257" s="138" t="s">
        <v>233</v>
      </c>
      <c r="BC257" s="28"/>
      <c r="BD257" s="139">
        <f>SUM(B242)</f>
        <v>47486</v>
      </c>
      <c r="BE257" s="138" t="s">
        <v>233</v>
      </c>
      <c r="BF257" s="28"/>
      <c r="BG257" s="139">
        <f>SUM(AC239)</f>
        <v>2430</v>
      </c>
      <c r="BH257" s="138" t="s">
        <v>233</v>
      </c>
      <c r="BI257" s="28"/>
      <c r="BJ257" s="140">
        <f>SUM(BL254+BG257)</f>
        <v>4138</v>
      </c>
      <c r="BK257" s="28" t="s">
        <v>245</v>
      </c>
      <c r="BL257" s="28">
        <f>SUM(BJ257+BD257)</f>
        <v>51624</v>
      </c>
      <c r="BM257" s="141"/>
    </row>
    <row r="258" spans="1:65" ht="18.600000000000001" thickBot="1" x14ac:dyDescent="0.4">
      <c r="B258" s="133"/>
      <c r="AP258" s="46" t="s">
        <v>84</v>
      </c>
      <c r="AQ258" s="48">
        <f>SUM(AQ242:AQ257)</f>
        <v>127</v>
      </c>
      <c r="AR258" s="48">
        <f>SUM(AR242:AR257)</f>
        <v>111</v>
      </c>
      <c r="AS258" s="47"/>
      <c r="AT258" s="49"/>
      <c r="AU258" s="47"/>
      <c r="AV258" s="48">
        <v>2</v>
      </c>
      <c r="AW258" s="48" t="s">
        <v>244</v>
      </c>
      <c r="AX258" s="48"/>
      <c r="AY258" s="49">
        <f>SUM(AV244:AV256)</f>
        <v>99</v>
      </c>
      <c r="BB258" s="142" t="s">
        <v>236</v>
      </c>
      <c r="BC258" s="143"/>
      <c r="BD258" s="144">
        <f>SUM(C242)</f>
        <v>51378</v>
      </c>
      <c r="BE258" s="142" t="s">
        <v>236</v>
      </c>
      <c r="BF258" s="143"/>
      <c r="BG258" s="144">
        <f>SUM(AD239)</f>
        <v>2380</v>
      </c>
      <c r="BH258" s="142" t="s">
        <v>236</v>
      </c>
      <c r="BI258" s="143"/>
      <c r="BJ258" s="145">
        <f>SUM(BL255+BG258)</f>
        <v>4110</v>
      </c>
      <c r="BK258" s="143"/>
      <c r="BL258" s="143">
        <f>SUM(BJ258+BD258)</f>
        <v>55488</v>
      </c>
      <c r="BM258" s="146"/>
    </row>
    <row r="259" spans="1:65" ht="18.600000000000001" thickBot="1" x14ac:dyDescent="0.4">
      <c r="B259" s="133"/>
      <c r="AP259" s="147" t="s">
        <v>84</v>
      </c>
      <c r="AQ259" s="147">
        <f>SUM(+AQ258+AQ241+AQ231+AQ216+AQ213)</f>
        <v>2562</v>
      </c>
      <c r="AR259" s="148">
        <f>SUM(AR258+AR241+AR231+AR216+AR213)</f>
        <v>2424</v>
      </c>
      <c r="AS259" s="147"/>
      <c r="AT259" s="148"/>
      <c r="AU259" s="149" t="s">
        <v>247</v>
      </c>
      <c r="AV259" s="149"/>
      <c r="AW259" s="149"/>
      <c r="AX259" s="149"/>
      <c r="AY259" s="148">
        <f>SUM(AY213:AY258)</f>
        <v>394</v>
      </c>
    </row>
    <row r="260" spans="1:65" ht="15" thickTop="1" x14ac:dyDescent="0.3"/>
    <row r="265" spans="1:65" ht="15.6" x14ac:dyDescent="0.3">
      <c r="C265" s="1" t="s">
        <v>0</v>
      </c>
      <c r="P265" s="1" t="s">
        <v>1</v>
      </c>
    </row>
    <row r="266" spans="1:65" ht="15.6" x14ac:dyDescent="0.3">
      <c r="D266" t="s">
        <v>2</v>
      </c>
      <c r="Q266" t="s">
        <v>3</v>
      </c>
      <c r="AE266" s="2"/>
      <c r="AF266" s="1" t="s">
        <v>0</v>
      </c>
      <c r="AG266" s="1"/>
      <c r="AI266" s="1"/>
      <c r="AJ266" s="1"/>
      <c r="AS266" s="1" t="s">
        <v>4</v>
      </c>
      <c r="BE266" s="1"/>
      <c r="BF266" s="1" t="s">
        <v>5</v>
      </c>
      <c r="BG266" s="1"/>
      <c r="BH266" s="1"/>
      <c r="BI266" s="1"/>
      <c r="BJ266" s="1"/>
    </row>
    <row r="267" spans="1:65" ht="15.6" x14ac:dyDescent="0.3">
      <c r="A267" t="s">
        <v>6</v>
      </c>
      <c r="C267" t="s">
        <v>7</v>
      </c>
      <c r="O267" t="s">
        <v>8</v>
      </c>
      <c r="AE267" s="3"/>
      <c r="AF267" s="2" t="s">
        <v>9</v>
      </c>
      <c r="AG267" s="1"/>
      <c r="AI267" s="1"/>
      <c r="AJ267" s="1"/>
      <c r="AT267" t="s">
        <v>2</v>
      </c>
      <c r="BG267" t="s">
        <v>2</v>
      </c>
    </row>
    <row r="268" spans="1:65" ht="15.6" x14ac:dyDescent="0.3">
      <c r="D268" t="s">
        <v>393</v>
      </c>
      <c r="Q268" t="s">
        <v>394</v>
      </c>
      <c r="AF268" s="3" t="s">
        <v>11</v>
      </c>
      <c r="AG268" s="1"/>
      <c r="AI268" s="1"/>
      <c r="AJ268" s="1"/>
      <c r="AR268" t="s">
        <v>12</v>
      </c>
      <c r="BE268" t="s">
        <v>13</v>
      </c>
    </row>
    <row r="269" spans="1:65" ht="15" thickBot="1" x14ac:dyDescent="0.35">
      <c r="I269" s="4" t="s">
        <v>14</v>
      </c>
      <c r="U269" s="5" t="s">
        <v>15</v>
      </c>
      <c r="AG269" t="s">
        <v>393</v>
      </c>
      <c r="AT269" t="s">
        <v>393</v>
      </c>
      <c r="AY269" s="5"/>
      <c r="BG269" t="s">
        <v>395</v>
      </c>
      <c r="BK269" s="5" t="s">
        <v>16</v>
      </c>
    </row>
    <row r="270" spans="1:65" ht="15" thickBot="1" x14ac:dyDescent="0.35">
      <c r="A270" s="6" t="s">
        <v>17</v>
      </c>
      <c r="B270" s="6" t="s">
        <v>18</v>
      </c>
      <c r="C270" s="7"/>
      <c r="D270" s="8" t="s">
        <v>19</v>
      </c>
      <c r="E270" s="8"/>
      <c r="F270" s="8"/>
      <c r="G270" s="9" t="s">
        <v>20</v>
      </c>
      <c r="H270" s="8" t="s">
        <v>21</v>
      </c>
      <c r="I270" s="8"/>
      <c r="J270" s="7"/>
      <c r="L270" s="6" t="s">
        <v>17</v>
      </c>
      <c r="M270" s="6" t="s">
        <v>22</v>
      </c>
      <c r="N270" s="7"/>
      <c r="O270" s="8" t="s">
        <v>23</v>
      </c>
      <c r="P270" s="8"/>
      <c r="Q270" s="8"/>
      <c r="R270" s="6" t="s">
        <v>24</v>
      </c>
      <c r="S270" s="7"/>
      <c r="T270" s="8" t="s">
        <v>21</v>
      </c>
      <c r="U270" s="8"/>
      <c r="V270" s="7"/>
      <c r="AL270" s="5" t="s">
        <v>25</v>
      </c>
      <c r="AX270" s="5" t="s">
        <v>26</v>
      </c>
      <c r="BB270" s="6" t="s">
        <v>17</v>
      </c>
      <c r="BC270" s="6" t="s">
        <v>27</v>
      </c>
      <c r="BD270" s="7"/>
      <c r="BE270" s="8" t="s">
        <v>28</v>
      </c>
      <c r="BF270" s="8"/>
      <c r="BG270" s="8"/>
      <c r="BH270" s="6" t="s">
        <v>29</v>
      </c>
      <c r="BI270" s="7" t="s">
        <v>30</v>
      </c>
      <c r="BJ270" s="8" t="s">
        <v>31</v>
      </c>
      <c r="BK270" s="8"/>
      <c r="BL270" s="7"/>
    </row>
    <row r="271" spans="1:65" x14ac:dyDescent="0.3">
      <c r="A271" s="10" t="s">
        <v>32</v>
      </c>
      <c r="B271" s="10"/>
      <c r="C271" s="11"/>
      <c r="D271" s="3"/>
      <c r="E271" s="3"/>
      <c r="F271" s="3"/>
      <c r="G271" s="12"/>
      <c r="H271" s="3" t="s">
        <v>33</v>
      </c>
      <c r="I271" s="3"/>
      <c r="J271" s="11"/>
      <c r="L271" s="10"/>
      <c r="M271" s="10"/>
      <c r="N271" s="11"/>
      <c r="O271" s="3"/>
      <c r="P271" s="3"/>
      <c r="Q271" s="3"/>
      <c r="R271" s="10"/>
      <c r="S271" s="11"/>
      <c r="T271" s="3" t="s">
        <v>33</v>
      </c>
      <c r="U271" s="3"/>
      <c r="V271" s="11"/>
      <c r="AB271" s="6" t="s">
        <v>34</v>
      </c>
      <c r="AC271" s="6" t="s">
        <v>35</v>
      </c>
      <c r="AD271" s="7"/>
      <c r="AE271" s="6" t="s">
        <v>36</v>
      </c>
      <c r="AF271" s="8"/>
      <c r="AG271" s="7"/>
      <c r="AH271" s="8" t="s">
        <v>37</v>
      </c>
      <c r="AI271" s="8"/>
      <c r="AJ271" s="9" t="s">
        <v>30</v>
      </c>
      <c r="AK271" s="8" t="s">
        <v>38</v>
      </c>
      <c r="AL271" s="8"/>
      <c r="AM271" s="7"/>
      <c r="AP271" s="6" t="s">
        <v>17</v>
      </c>
      <c r="AQ271" s="6" t="s">
        <v>39</v>
      </c>
      <c r="AR271" s="7"/>
      <c r="AS271" s="6" t="s">
        <v>29</v>
      </c>
      <c r="AT271" s="7" t="s">
        <v>30</v>
      </c>
      <c r="AU271" s="8" t="s">
        <v>40</v>
      </c>
      <c r="AV271" s="8"/>
      <c r="AW271" s="8"/>
      <c r="AX271" s="8"/>
      <c r="AY271" s="7"/>
      <c r="BB271" s="10"/>
      <c r="BC271" s="10"/>
      <c r="BD271" s="11"/>
      <c r="BE271" s="3"/>
      <c r="BF271" s="3"/>
      <c r="BG271" s="3"/>
      <c r="BH271" s="10"/>
      <c r="BI271" s="11" t="s">
        <v>6</v>
      </c>
      <c r="BJ271" s="3" t="s">
        <v>41</v>
      </c>
      <c r="BK271" s="3"/>
      <c r="BL271" s="11"/>
    </row>
    <row r="272" spans="1:65" ht="15" thickBot="1" x14ac:dyDescent="0.35">
      <c r="A272" s="13" t="s">
        <v>42</v>
      </c>
      <c r="B272" s="14" t="s">
        <v>43</v>
      </c>
      <c r="C272" s="15" t="s">
        <v>44</v>
      </c>
      <c r="D272" s="16" t="s">
        <v>45</v>
      </c>
      <c r="E272" s="16" t="s">
        <v>46</v>
      </c>
      <c r="F272" s="16" t="s">
        <v>47</v>
      </c>
      <c r="G272" s="17" t="s">
        <v>48</v>
      </c>
      <c r="H272" s="18" t="s">
        <v>49</v>
      </c>
      <c r="I272" s="18"/>
      <c r="J272" s="11"/>
      <c r="L272" s="10" t="s">
        <v>50</v>
      </c>
      <c r="M272" s="19" t="s">
        <v>43</v>
      </c>
      <c r="N272" s="20" t="s">
        <v>44</v>
      </c>
      <c r="O272" s="21" t="s">
        <v>43</v>
      </c>
      <c r="P272" s="18" t="s">
        <v>51</v>
      </c>
      <c r="Q272" s="21" t="s">
        <v>44</v>
      </c>
      <c r="R272" s="22" t="s">
        <v>43</v>
      </c>
      <c r="S272" s="23" t="s">
        <v>44</v>
      </c>
      <c r="T272" s="18" t="s">
        <v>49</v>
      </c>
      <c r="U272" s="18"/>
      <c r="V272" s="11"/>
      <c r="AB272" s="10" t="s">
        <v>50</v>
      </c>
      <c r="AC272" s="22" t="s">
        <v>43</v>
      </c>
      <c r="AD272" s="23" t="s">
        <v>44</v>
      </c>
      <c r="AE272" s="22" t="s">
        <v>45</v>
      </c>
      <c r="AF272" s="24" t="s">
        <v>46</v>
      </c>
      <c r="AG272" s="23" t="s">
        <v>52</v>
      </c>
      <c r="AH272" s="24" t="s">
        <v>43</v>
      </c>
      <c r="AI272" s="24" t="s">
        <v>44</v>
      </c>
      <c r="AJ272" s="25" t="s">
        <v>43</v>
      </c>
      <c r="AK272" s="3" t="s">
        <v>53</v>
      </c>
      <c r="AL272" s="3"/>
      <c r="AM272" s="11"/>
      <c r="AP272" s="13" t="s">
        <v>42</v>
      </c>
      <c r="AQ272" s="10" t="s">
        <v>43</v>
      </c>
      <c r="AR272" s="11" t="s">
        <v>44</v>
      </c>
      <c r="AS272" s="13" t="s">
        <v>43</v>
      </c>
      <c r="AT272" s="26" t="s">
        <v>44</v>
      </c>
      <c r="AU272" s="27"/>
      <c r="AV272" s="27"/>
      <c r="AW272" s="27"/>
      <c r="AX272" s="27"/>
      <c r="AY272" s="26"/>
      <c r="BB272" s="13" t="s">
        <v>42</v>
      </c>
      <c r="BC272" s="13" t="s">
        <v>43</v>
      </c>
      <c r="BD272" s="26" t="s">
        <v>44</v>
      </c>
      <c r="BE272" s="27" t="s">
        <v>45</v>
      </c>
      <c r="BF272" s="27" t="s">
        <v>46</v>
      </c>
      <c r="BG272" s="27" t="s">
        <v>52</v>
      </c>
      <c r="BH272" s="13" t="s">
        <v>43</v>
      </c>
      <c r="BI272" s="26" t="s">
        <v>44</v>
      </c>
      <c r="BJ272" s="27" t="s">
        <v>54</v>
      </c>
      <c r="BK272" s="27"/>
      <c r="BL272" s="26"/>
    </row>
    <row r="273" spans="1:64" ht="15" thickBot="1" x14ac:dyDescent="0.35">
      <c r="A273" s="6"/>
      <c r="B273" s="6"/>
      <c r="C273" s="7"/>
      <c r="D273" s="8"/>
      <c r="E273" s="8"/>
      <c r="F273" s="7"/>
      <c r="G273" s="8"/>
      <c r="H273" s="6" t="s">
        <v>396</v>
      </c>
      <c r="I273" s="8"/>
      <c r="J273" s="7"/>
      <c r="K273" s="28"/>
      <c r="L273" s="9"/>
      <c r="M273" s="8"/>
      <c r="N273" s="8"/>
      <c r="O273" s="6"/>
      <c r="P273" s="8"/>
      <c r="Q273" s="7"/>
      <c r="R273" s="8"/>
      <c r="S273" s="8"/>
      <c r="T273" s="6" t="s">
        <v>396</v>
      </c>
      <c r="U273" s="8"/>
      <c r="V273" s="7"/>
      <c r="W273" s="28"/>
      <c r="AB273" s="13"/>
      <c r="AC273" s="13"/>
      <c r="AD273" s="26"/>
      <c r="AE273" s="13"/>
      <c r="AF273" s="27"/>
      <c r="AG273" s="26"/>
      <c r="AH273" s="27"/>
      <c r="AI273" s="27"/>
      <c r="AJ273" s="17"/>
      <c r="AK273" s="27"/>
      <c r="AL273" s="27"/>
      <c r="AM273" s="26"/>
      <c r="AP273" s="6" t="s">
        <v>56</v>
      </c>
      <c r="AQ273" s="29">
        <v>1071</v>
      </c>
      <c r="AR273" s="30">
        <v>1048</v>
      </c>
      <c r="AU273" s="6"/>
      <c r="AV273" s="8"/>
      <c r="AW273" s="31" t="s">
        <v>57</v>
      </c>
      <c r="AX273" s="8"/>
      <c r="AY273" s="7"/>
      <c r="AZ273" s="28"/>
      <c r="BB273" s="32" t="s">
        <v>85</v>
      </c>
      <c r="BC273">
        <v>0</v>
      </c>
      <c r="BD273">
        <v>0</v>
      </c>
      <c r="BE273" s="33"/>
      <c r="BF273" s="34"/>
      <c r="BG273" s="34"/>
      <c r="BH273" s="33"/>
      <c r="BI273" s="35"/>
      <c r="BJ273" s="34" t="s">
        <v>58</v>
      </c>
      <c r="BK273" s="8"/>
      <c r="BL273" s="7"/>
    </row>
    <row r="274" spans="1:64" x14ac:dyDescent="0.3">
      <c r="A274" s="10" t="s">
        <v>59</v>
      </c>
      <c r="B274" s="36">
        <v>1013</v>
      </c>
      <c r="C274" s="11">
        <v>1522</v>
      </c>
      <c r="D274" s="37"/>
      <c r="E274" s="38" t="s">
        <v>60</v>
      </c>
      <c r="F274" s="39"/>
      <c r="G274" s="37">
        <f>7*264</f>
        <v>1848</v>
      </c>
      <c r="H274" s="36">
        <v>7</v>
      </c>
      <c r="I274" s="37" t="s">
        <v>61</v>
      </c>
      <c r="J274" s="40"/>
      <c r="K274" s="28"/>
      <c r="L274" s="41" t="s">
        <v>59</v>
      </c>
      <c r="M274" s="28">
        <v>11095</v>
      </c>
      <c r="N274" s="28">
        <v>9807</v>
      </c>
      <c r="O274" s="42">
        <v>0</v>
      </c>
      <c r="P274" s="43">
        <v>0</v>
      </c>
      <c r="Q274" s="40">
        <v>0</v>
      </c>
      <c r="R274" s="43">
        <v>0</v>
      </c>
      <c r="S274" s="43">
        <v>0</v>
      </c>
      <c r="T274" s="42"/>
      <c r="U274" s="28"/>
      <c r="V274" s="40"/>
      <c r="W274" s="28"/>
      <c r="AB274" s="9"/>
      <c r="AC274" s="8"/>
      <c r="AD274" s="8"/>
      <c r="AE274" s="6"/>
      <c r="AF274" s="8"/>
      <c r="AG274" s="7"/>
      <c r="AH274" s="8"/>
      <c r="AI274" s="8"/>
      <c r="AJ274" s="9"/>
      <c r="AK274" s="6" t="s">
        <v>62</v>
      </c>
      <c r="AL274" s="8"/>
      <c r="AM274" s="7"/>
      <c r="AP274" s="36" t="s">
        <v>63</v>
      </c>
      <c r="AQ274" s="36">
        <v>0</v>
      </c>
      <c r="AR274" s="39">
        <v>0</v>
      </c>
      <c r="AT274" s="18"/>
      <c r="AU274" s="10"/>
      <c r="AV274" s="18"/>
      <c r="AW274" s="18"/>
      <c r="AX274" s="18"/>
      <c r="AY274" s="11"/>
      <c r="AZ274" s="28"/>
      <c r="BB274" s="44" t="s">
        <v>64</v>
      </c>
      <c r="BC274" s="18">
        <v>70</v>
      </c>
      <c r="BD274" s="18">
        <v>65</v>
      </c>
      <c r="BE274" s="10">
        <v>0</v>
      </c>
      <c r="BF274" s="18">
        <v>0</v>
      </c>
      <c r="BG274" s="18">
        <v>0</v>
      </c>
      <c r="BH274" s="10">
        <v>0</v>
      </c>
      <c r="BI274" s="11">
        <v>0</v>
      </c>
      <c r="BJ274" s="45">
        <v>1</v>
      </c>
      <c r="BK274" s="28" t="s">
        <v>249</v>
      </c>
      <c r="BL274" s="11" t="s">
        <v>397</v>
      </c>
    </row>
    <row r="275" spans="1:64" ht="15" thickBot="1" x14ac:dyDescent="0.35">
      <c r="A275" s="36" t="s">
        <v>6</v>
      </c>
      <c r="B275" s="10"/>
      <c r="C275" s="11"/>
      <c r="D275" s="18"/>
      <c r="E275" s="18"/>
      <c r="F275" s="18"/>
      <c r="G275" s="36"/>
      <c r="H275" s="42"/>
      <c r="I275" s="28"/>
      <c r="J275" s="40">
        <f>SUM(H274)</f>
        <v>7</v>
      </c>
      <c r="K275" s="28"/>
      <c r="L275" s="12"/>
      <c r="M275" s="37"/>
      <c r="N275" s="37"/>
      <c r="O275" s="10"/>
      <c r="P275" s="18"/>
      <c r="Q275" s="11"/>
      <c r="R275" s="18"/>
      <c r="S275" s="18"/>
      <c r="T275" s="10"/>
      <c r="U275" s="18"/>
      <c r="V275" s="11"/>
      <c r="W275" s="28"/>
      <c r="AB275" s="41"/>
      <c r="AE275" s="42"/>
      <c r="AF275" s="28"/>
      <c r="AG275" s="40"/>
      <c r="AJ275" s="41"/>
      <c r="AK275" s="42">
        <v>4</v>
      </c>
      <c r="AL275" s="28" t="s">
        <v>398</v>
      </c>
      <c r="AM275" s="40"/>
      <c r="AP275" s="36" t="s">
        <v>67</v>
      </c>
      <c r="AQ275" s="36">
        <v>400</v>
      </c>
      <c r="AR275" s="39">
        <v>391</v>
      </c>
      <c r="AT275" s="18"/>
      <c r="AU275" s="10"/>
      <c r="AV275" s="37">
        <v>64</v>
      </c>
      <c r="AW275" s="37" t="s">
        <v>68</v>
      </c>
      <c r="AX275" s="18"/>
      <c r="AY275" s="11"/>
      <c r="AZ275" s="28"/>
      <c r="BA275" s="28"/>
      <c r="BB275" s="46" t="s">
        <v>84</v>
      </c>
      <c r="BC275">
        <f>SUM(BC273:BC274)</f>
        <v>70</v>
      </c>
      <c r="BD275">
        <f>SUM(BD273:BD274)</f>
        <v>65</v>
      </c>
      <c r="BE275" s="47"/>
      <c r="BF275" s="48"/>
      <c r="BG275" s="48"/>
      <c r="BH275" s="47"/>
      <c r="BI275" s="49"/>
      <c r="BJ275" s="48">
        <v>4</v>
      </c>
      <c r="BK275" s="48" t="s">
        <v>69</v>
      </c>
      <c r="BL275" s="49">
        <f>SUM(BJ274:BJ275)+4</f>
        <v>9</v>
      </c>
    </row>
    <row r="276" spans="1:64" ht="15" thickBot="1" x14ac:dyDescent="0.35">
      <c r="A276" s="32"/>
      <c r="B276" s="34"/>
      <c r="C276" s="34"/>
      <c r="D276" s="33"/>
      <c r="E276" s="34"/>
      <c r="F276" s="35"/>
      <c r="G276" s="34"/>
      <c r="H276" s="6" t="s">
        <v>70</v>
      </c>
      <c r="I276" s="8"/>
      <c r="J276" s="7"/>
      <c r="K276" s="28"/>
      <c r="L276" s="17"/>
      <c r="M276" s="27"/>
      <c r="N276" s="27"/>
      <c r="O276" s="13"/>
      <c r="P276" s="27"/>
      <c r="Q276" s="26"/>
      <c r="R276" s="27"/>
      <c r="S276" s="27"/>
      <c r="T276" s="13"/>
      <c r="U276" s="27"/>
      <c r="V276" s="26"/>
      <c r="W276" s="28"/>
      <c r="AB276" s="44" t="s">
        <v>59</v>
      </c>
      <c r="AC276" s="37">
        <v>784</v>
      </c>
      <c r="AD276" s="37">
        <v>936</v>
      </c>
      <c r="AE276" s="10">
        <v>0</v>
      </c>
      <c r="AF276" s="18">
        <v>0</v>
      </c>
      <c r="AG276" s="39">
        <v>0</v>
      </c>
      <c r="AH276" s="2">
        <v>1189</v>
      </c>
      <c r="AI276" s="2">
        <v>11177</v>
      </c>
      <c r="AJ276" s="12">
        <v>0</v>
      </c>
      <c r="AK276" s="36">
        <v>1</v>
      </c>
      <c r="AL276" s="37" t="s">
        <v>66</v>
      </c>
      <c r="AM276" s="11"/>
      <c r="AP276" s="36" t="s">
        <v>72</v>
      </c>
      <c r="AQ276" s="36">
        <v>0</v>
      </c>
      <c r="AR276" s="39">
        <v>0</v>
      </c>
      <c r="AT276" s="18"/>
      <c r="AU276" s="10"/>
      <c r="AV276" s="37">
        <v>63</v>
      </c>
      <c r="AW276" s="37" t="s">
        <v>73</v>
      </c>
      <c r="AX276" s="18"/>
      <c r="AY276" s="11"/>
      <c r="AZ276" s="28"/>
      <c r="BA276" s="28"/>
      <c r="BB276" s="33"/>
      <c r="BC276" s="33"/>
      <c r="BD276" s="35"/>
      <c r="BE276" s="34"/>
      <c r="BF276" s="34"/>
      <c r="BG276" s="34"/>
      <c r="BH276" s="33"/>
      <c r="BI276" s="35"/>
      <c r="BJ276" s="8" t="s">
        <v>6</v>
      </c>
      <c r="BK276" s="34"/>
      <c r="BL276" s="35"/>
    </row>
    <row r="277" spans="1:64" ht="15" thickBot="1" x14ac:dyDescent="0.35">
      <c r="A277" s="44" t="s">
        <v>74</v>
      </c>
      <c r="B277" s="37">
        <v>1333</v>
      </c>
      <c r="C277" s="18">
        <v>2263</v>
      </c>
      <c r="D277" s="36"/>
      <c r="E277" s="38" t="s">
        <v>60</v>
      </c>
      <c r="F277" s="39"/>
      <c r="G277" s="37">
        <v>2540</v>
      </c>
      <c r="H277" s="36"/>
      <c r="I277" s="28" t="s">
        <v>75</v>
      </c>
      <c r="J277" s="11"/>
      <c r="K277" s="28"/>
      <c r="L277" s="32"/>
      <c r="M277" s="34"/>
      <c r="N277" s="34"/>
      <c r="O277" s="33"/>
      <c r="P277" s="34"/>
      <c r="Q277" s="35"/>
      <c r="R277" s="34"/>
      <c r="S277" s="34"/>
      <c r="T277" s="33"/>
      <c r="U277" s="34"/>
      <c r="V277" s="35"/>
      <c r="W277" s="28"/>
      <c r="AB277" s="46"/>
      <c r="AE277" s="47"/>
      <c r="AF277" s="51"/>
      <c r="AG277" s="49"/>
      <c r="AH277" s="28"/>
      <c r="AI277" s="28"/>
      <c r="AJ277" s="62"/>
      <c r="AK277" s="47"/>
      <c r="AL277" s="48"/>
      <c r="AM277" s="49"/>
      <c r="AP277" s="36" t="s">
        <v>78</v>
      </c>
      <c r="AQ277" s="36">
        <v>0</v>
      </c>
      <c r="AR277" s="39">
        <v>0</v>
      </c>
      <c r="AT277" s="18"/>
      <c r="AU277" s="10"/>
      <c r="AV277" s="37"/>
      <c r="AW277" s="37"/>
      <c r="AX277" s="18"/>
      <c r="AY277" s="11"/>
      <c r="AZ277" s="28"/>
      <c r="BA277" s="28"/>
      <c r="BB277" s="47" t="s">
        <v>6</v>
      </c>
      <c r="BC277" s="47"/>
      <c r="BD277" s="49"/>
      <c r="BE277" s="48">
        <v>0</v>
      </c>
      <c r="BF277" s="48">
        <v>0</v>
      </c>
      <c r="BG277" s="48">
        <v>0</v>
      </c>
      <c r="BH277" s="47">
        <v>0</v>
      </c>
      <c r="BI277" s="49">
        <v>0</v>
      </c>
      <c r="BJ277" s="51"/>
      <c r="BK277" s="48" t="s">
        <v>6</v>
      </c>
      <c r="BL277" s="49">
        <f>SUM(BJ277)</f>
        <v>0</v>
      </c>
    </row>
    <row r="278" spans="1:64" x14ac:dyDescent="0.3">
      <c r="A278" s="41"/>
      <c r="D278" s="42"/>
      <c r="E278" s="28"/>
      <c r="F278" s="40"/>
      <c r="H278" s="42">
        <v>5</v>
      </c>
      <c r="I278" s="28" t="s">
        <v>79</v>
      </c>
      <c r="J278" s="40"/>
      <c r="K278" s="28"/>
      <c r="L278" s="41"/>
      <c r="M278" s="28"/>
      <c r="N278" s="28"/>
      <c r="O278" s="42"/>
      <c r="P278" s="28"/>
      <c r="Q278" s="40"/>
      <c r="R278" s="28"/>
      <c r="S278" s="28"/>
      <c r="T278" s="42" t="s">
        <v>80</v>
      </c>
      <c r="U278" s="28"/>
      <c r="V278" s="40"/>
      <c r="W278" s="28"/>
      <c r="AB278" s="50" t="s">
        <v>6</v>
      </c>
      <c r="AC278" s="8"/>
      <c r="AD278" s="8"/>
      <c r="AE278" s="6"/>
      <c r="AF278" s="8"/>
      <c r="AG278" s="7"/>
      <c r="AH278" s="6"/>
      <c r="AI278" s="7"/>
      <c r="AJ278" s="8"/>
      <c r="AK278" s="29" t="s">
        <v>71</v>
      </c>
      <c r="AL278" s="8"/>
      <c r="AM278" s="7"/>
      <c r="AP278" s="52" t="s">
        <v>81</v>
      </c>
      <c r="AQ278" s="36">
        <v>0</v>
      </c>
      <c r="AR278" s="39">
        <v>0</v>
      </c>
      <c r="AU278" s="42"/>
      <c r="AV278" s="28"/>
      <c r="AW278" s="28"/>
      <c r="AX278" s="28"/>
      <c r="AY278" s="40"/>
      <c r="AZ278" s="28"/>
      <c r="BA278" s="28"/>
      <c r="BB278" s="33"/>
      <c r="BC278" s="33"/>
      <c r="BD278" s="35"/>
      <c r="BE278" s="34"/>
      <c r="BF278" s="34"/>
      <c r="BG278" s="34"/>
      <c r="BH278" s="33"/>
      <c r="BI278" s="35"/>
      <c r="BJ278" s="53" t="s">
        <v>82</v>
      </c>
      <c r="BK278" s="34"/>
      <c r="BL278" s="35"/>
    </row>
    <row r="279" spans="1:64" ht="15" thickBot="1" x14ac:dyDescent="0.35">
      <c r="A279" s="46"/>
      <c r="B279" s="48"/>
      <c r="C279" s="48"/>
      <c r="D279" s="47"/>
      <c r="E279" s="48"/>
      <c r="F279" s="49"/>
      <c r="G279" s="48"/>
      <c r="H279" s="47">
        <v>12</v>
      </c>
      <c r="I279" s="28" t="s">
        <v>83</v>
      </c>
      <c r="J279" s="49">
        <f>SUM(H277:H279)</f>
        <v>17</v>
      </c>
      <c r="K279" s="28"/>
      <c r="L279" s="17" t="s">
        <v>74</v>
      </c>
      <c r="M279" s="27">
        <v>2067</v>
      </c>
      <c r="N279" s="27">
        <v>124</v>
      </c>
      <c r="O279" s="13">
        <v>0</v>
      </c>
      <c r="P279" s="27">
        <v>0</v>
      </c>
      <c r="Q279" s="26">
        <v>0</v>
      </c>
      <c r="R279" s="27">
        <v>100</v>
      </c>
      <c r="S279" s="27">
        <v>0</v>
      </c>
      <c r="T279" s="13"/>
      <c r="U279" s="27"/>
      <c r="V279" s="26"/>
      <c r="W279" s="28"/>
      <c r="AB279" s="41" t="s">
        <v>76</v>
      </c>
      <c r="AC279">
        <v>228</v>
      </c>
      <c r="AD279">
        <v>0</v>
      </c>
      <c r="AE279" s="42">
        <v>0</v>
      </c>
      <c r="AF279" s="43">
        <v>0</v>
      </c>
      <c r="AG279" s="40">
        <v>0</v>
      </c>
      <c r="AH279" s="42">
        <v>0</v>
      </c>
      <c r="AI279" s="40">
        <v>0</v>
      </c>
      <c r="AJ279" s="43">
        <v>0</v>
      </c>
      <c r="AK279" s="42">
        <v>2</v>
      </c>
      <c r="AL279" s="28" t="s">
        <v>77</v>
      </c>
      <c r="AM279" s="40"/>
      <c r="AP279" s="13" t="s">
        <v>84</v>
      </c>
      <c r="AQ279" s="13">
        <f>SUM(AQ273:AQ278)</f>
        <v>1471</v>
      </c>
      <c r="AR279" s="26">
        <f>SUM(AR273:AR278)</f>
        <v>1439</v>
      </c>
      <c r="AT279" s="18"/>
      <c r="AU279" s="13"/>
      <c r="AV279" s="27"/>
      <c r="AW279" s="27"/>
      <c r="AX279" s="27"/>
      <c r="AY279" s="26">
        <f>SUM(AV275:AV276)</f>
        <v>127</v>
      </c>
      <c r="AZ279" s="28"/>
      <c r="BA279" s="28"/>
      <c r="BB279" s="47" t="s">
        <v>85</v>
      </c>
      <c r="BC279" s="47">
        <v>3</v>
      </c>
      <c r="BD279" s="49">
        <v>2</v>
      </c>
      <c r="BE279" s="48"/>
      <c r="BF279" s="48">
        <v>0</v>
      </c>
      <c r="BG279" s="48">
        <v>0</v>
      </c>
      <c r="BH279" s="47">
        <v>0</v>
      </c>
      <c r="BI279" s="49">
        <v>0</v>
      </c>
      <c r="BJ279" s="51">
        <v>2</v>
      </c>
      <c r="BK279" s="48" t="s">
        <v>86</v>
      </c>
      <c r="BL279" s="49">
        <f>SUM(BJ279)</f>
        <v>2</v>
      </c>
    </row>
    <row r="280" spans="1:64" x14ac:dyDescent="0.3">
      <c r="A280" s="33"/>
      <c r="B280" s="33"/>
      <c r="C280" s="35"/>
      <c r="D280" s="34"/>
      <c r="E280" s="34"/>
      <c r="F280" s="34"/>
      <c r="G280" s="32"/>
      <c r="H280" s="6" t="s">
        <v>87</v>
      </c>
      <c r="I280" s="34"/>
      <c r="J280" s="35"/>
      <c r="K280" s="28"/>
      <c r="L280" s="12" t="s">
        <v>88</v>
      </c>
      <c r="M280" s="37">
        <v>0</v>
      </c>
      <c r="N280" s="37">
        <v>0</v>
      </c>
      <c r="O280" s="10"/>
      <c r="P280" s="18"/>
      <c r="Q280" s="11"/>
      <c r="R280" s="18"/>
      <c r="S280" s="18"/>
      <c r="T280" s="33" t="s">
        <v>6</v>
      </c>
      <c r="U280" s="31"/>
      <c r="V280" s="7"/>
      <c r="W280" s="28"/>
      <c r="AB280" s="6" t="s">
        <v>89</v>
      </c>
      <c r="AC280" s="6">
        <v>79</v>
      </c>
      <c r="AD280" s="7">
        <v>84</v>
      </c>
      <c r="AE280" s="8"/>
      <c r="AF280" s="8"/>
      <c r="AG280" s="8"/>
      <c r="AH280" s="6"/>
      <c r="AI280" s="7"/>
      <c r="AJ280" s="9"/>
      <c r="AK280" s="31" t="s">
        <v>90</v>
      </c>
      <c r="AL280" s="8"/>
      <c r="AM280" s="7"/>
      <c r="AP280" s="32" t="s">
        <v>6</v>
      </c>
      <c r="AQ280" s="43"/>
      <c r="AR280" s="54"/>
      <c r="AS280" s="33"/>
      <c r="AT280" s="35"/>
      <c r="AU280" s="33"/>
      <c r="AV280" s="34" t="s">
        <v>91</v>
      </c>
      <c r="AW280" s="34"/>
      <c r="AX280" s="34"/>
      <c r="AY280" s="35"/>
      <c r="AZ280" s="28"/>
      <c r="BA280" s="28"/>
      <c r="BB280" s="50"/>
      <c r="BC280" s="31"/>
      <c r="BD280" s="31"/>
      <c r="BE280" s="29"/>
      <c r="BF280" s="31"/>
      <c r="BG280" s="30"/>
      <c r="BH280" s="55"/>
      <c r="BI280" s="8"/>
      <c r="BJ280" s="29"/>
      <c r="BK280" s="34" t="s">
        <v>92</v>
      </c>
      <c r="BL280" s="35"/>
    </row>
    <row r="281" spans="1:64" x14ac:dyDescent="0.3">
      <c r="A281" s="36" t="s">
        <v>93</v>
      </c>
      <c r="B281" s="36">
        <v>2760</v>
      </c>
      <c r="C281" s="11">
        <v>3822</v>
      </c>
      <c r="D281" s="37"/>
      <c r="E281" s="38" t="s">
        <v>60</v>
      </c>
      <c r="F281" s="37"/>
      <c r="G281" s="12">
        <v>4555</v>
      </c>
      <c r="H281" s="36">
        <v>28</v>
      </c>
      <c r="I281" s="37" t="s">
        <v>94</v>
      </c>
      <c r="J281" s="40"/>
      <c r="K281" s="28"/>
      <c r="L281" s="44" t="s">
        <v>95</v>
      </c>
      <c r="M281" s="37">
        <v>0</v>
      </c>
      <c r="N281" s="37">
        <v>1345</v>
      </c>
      <c r="O281" s="10"/>
      <c r="P281" s="18"/>
      <c r="Q281" s="11"/>
      <c r="R281" s="18"/>
      <c r="S281" s="18"/>
      <c r="T281" s="10" t="s">
        <v>96</v>
      </c>
      <c r="U281" s="37"/>
      <c r="V281" s="11"/>
      <c r="W281" s="28"/>
      <c r="AB281" s="36" t="s">
        <v>97</v>
      </c>
      <c r="AC281" s="10">
        <v>0</v>
      </c>
      <c r="AD281" s="11">
        <v>0</v>
      </c>
      <c r="AE281" s="18">
        <v>0</v>
      </c>
      <c r="AF281" s="18">
        <v>0</v>
      </c>
      <c r="AG281" s="18">
        <v>0</v>
      </c>
      <c r="AH281" s="36">
        <v>0</v>
      </c>
      <c r="AI281" s="11">
        <v>0</v>
      </c>
      <c r="AJ281" s="12">
        <v>0</v>
      </c>
      <c r="AK281" s="37">
        <v>1</v>
      </c>
      <c r="AL281" s="37" t="s">
        <v>98</v>
      </c>
      <c r="AM281" s="11"/>
      <c r="AP281" s="41"/>
      <c r="AS281" s="42"/>
      <c r="AT281" s="40"/>
      <c r="AU281" s="42"/>
      <c r="AV281" s="28"/>
      <c r="AW281" s="28"/>
      <c r="AX281" s="28"/>
      <c r="AY281" s="40"/>
      <c r="AZ281" s="28" t="s">
        <v>6</v>
      </c>
      <c r="BA281" s="28"/>
      <c r="BB281" s="41" t="s">
        <v>99</v>
      </c>
      <c r="BC281" s="45">
        <v>0</v>
      </c>
      <c r="BD281" s="45">
        <v>0</v>
      </c>
      <c r="BE281" s="42">
        <v>0</v>
      </c>
      <c r="BF281" s="45">
        <v>0</v>
      </c>
      <c r="BG281" s="40">
        <v>0</v>
      </c>
      <c r="BH281" s="45">
        <v>102649</v>
      </c>
      <c r="BI281" s="56">
        <v>17569</v>
      </c>
      <c r="BJ281" s="52">
        <v>23</v>
      </c>
      <c r="BK281" s="37" t="s">
        <v>100</v>
      </c>
      <c r="BL281" s="40"/>
    </row>
    <row r="282" spans="1:64" ht="15" thickBot="1" x14ac:dyDescent="0.35">
      <c r="A282" s="47"/>
      <c r="B282" s="47"/>
      <c r="C282" s="49"/>
      <c r="D282" s="48"/>
      <c r="E282" s="48"/>
      <c r="F282" s="48"/>
      <c r="G282" s="46"/>
      <c r="H282" s="47">
        <v>3</v>
      </c>
      <c r="I282" s="48" t="s">
        <v>101</v>
      </c>
      <c r="J282" s="49">
        <f>SUM(H281:H282)</f>
        <v>31</v>
      </c>
      <c r="K282" s="28"/>
      <c r="L282" s="12" t="s">
        <v>102</v>
      </c>
      <c r="M282" s="18">
        <v>0</v>
      </c>
      <c r="N282" s="18">
        <v>135</v>
      </c>
      <c r="O282" s="10"/>
      <c r="P282" s="18"/>
      <c r="Q282" s="11"/>
      <c r="R282" s="18"/>
      <c r="S282" s="18"/>
      <c r="T282" s="10"/>
      <c r="U282" s="18"/>
      <c r="V282" s="11"/>
      <c r="W282" s="28"/>
      <c r="AB282" s="47" t="s">
        <v>84</v>
      </c>
      <c r="AC282" s="13">
        <f>SUM(AC280:AC281)</f>
        <v>79</v>
      </c>
      <c r="AD282" s="26">
        <f>SUM(AD280:AD281)</f>
        <v>84</v>
      </c>
      <c r="AE282" s="27"/>
      <c r="AF282" s="27"/>
      <c r="AG282" s="27"/>
      <c r="AH282" s="13"/>
      <c r="AI282" s="26"/>
      <c r="AJ282" s="17"/>
      <c r="AK282" s="57">
        <v>1</v>
      </c>
      <c r="AL282" s="37" t="s">
        <v>399</v>
      </c>
      <c r="AM282" s="11"/>
      <c r="AP282" s="41" t="s">
        <v>56</v>
      </c>
      <c r="AQ282">
        <v>818</v>
      </c>
      <c r="AR282">
        <v>866</v>
      </c>
      <c r="AS282" s="42"/>
      <c r="AT282" s="40"/>
      <c r="AU282" s="42"/>
      <c r="AV282" s="28"/>
      <c r="AW282" s="28"/>
      <c r="AX282" s="28"/>
      <c r="AY282" s="40"/>
      <c r="AZ282" s="28"/>
      <c r="BA282" s="28"/>
      <c r="BB282" s="17" t="s">
        <v>84</v>
      </c>
      <c r="BC282" s="18">
        <f>SUM(BC280:BC281)</f>
        <v>0</v>
      </c>
      <c r="BD282" s="18">
        <f>SUM(BD280:BD281)</f>
        <v>0</v>
      </c>
      <c r="BE282" s="13"/>
      <c r="BF282" s="27"/>
      <c r="BG282" s="26"/>
      <c r="BH282" s="58"/>
      <c r="BI282" s="27"/>
      <c r="BJ282" s="59">
        <v>1</v>
      </c>
      <c r="BK282" s="48" t="s">
        <v>400</v>
      </c>
      <c r="BL282" s="60">
        <f>SUM(BJ281:BJ282)</f>
        <v>24</v>
      </c>
    </row>
    <row r="283" spans="1:64" ht="15" thickBot="1" x14ac:dyDescent="0.35">
      <c r="A283" s="29" t="s">
        <v>250</v>
      </c>
      <c r="B283" s="29">
        <v>0</v>
      </c>
      <c r="C283" s="7">
        <v>0</v>
      </c>
      <c r="D283" s="8"/>
      <c r="E283" s="8"/>
      <c r="F283" s="8"/>
      <c r="G283" s="9"/>
      <c r="H283" s="8" t="s">
        <v>104</v>
      </c>
      <c r="I283" s="8"/>
      <c r="J283" s="7"/>
      <c r="K283" s="28"/>
      <c r="L283" s="12" t="s">
        <v>84</v>
      </c>
      <c r="M283" s="18">
        <f>SUM(M280:M282)</f>
        <v>0</v>
      </c>
      <c r="N283" s="18">
        <f>SUM(N280:N282)</f>
        <v>1480</v>
      </c>
      <c r="O283" s="10">
        <v>0</v>
      </c>
      <c r="P283" s="18">
        <v>0</v>
      </c>
      <c r="Q283" s="11">
        <v>0</v>
      </c>
      <c r="R283" s="18">
        <v>0</v>
      </c>
      <c r="S283" s="18">
        <v>0</v>
      </c>
      <c r="T283" s="13"/>
      <c r="U283" s="27"/>
      <c r="V283" s="26"/>
      <c r="W283" s="28"/>
      <c r="AB283" s="44"/>
      <c r="AC283" s="18"/>
      <c r="AD283" s="18"/>
      <c r="AE283" s="10"/>
      <c r="AF283" s="18"/>
      <c r="AG283" s="11"/>
      <c r="AH283" s="10"/>
      <c r="AI283" s="11"/>
      <c r="AJ283" s="6"/>
      <c r="AK283" s="33" t="s">
        <v>6</v>
      </c>
      <c r="AL283" s="61" t="s">
        <v>6</v>
      </c>
      <c r="AM283" s="7"/>
      <c r="AP283" s="62" t="s">
        <v>6</v>
      </c>
      <c r="AQ283" s="43"/>
      <c r="AR283" s="43"/>
      <c r="AS283" s="47"/>
      <c r="AT283" s="49"/>
      <c r="AU283" s="47"/>
      <c r="AV283" s="48">
        <v>91</v>
      </c>
      <c r="AW283" s="48" t="s">
        <v>73</v>
      </c>
      <c r="AX283" s="48"/>
      <c r="AY283" s="49">
        <f>SUM(AV283)</f>
        <v>91</v>
      </c>
      <c r="AZ283" s="28"/>
      <c r="BA283" s="28" t="s">
        <v>6</v>
      </c>
      <c r="BB283" s="32" t="s">
        <v>6</v>
      </c>
      <c r="BC283" s="63"/>
      <c r="BD283" s="64"/>
      <c r="BE283" s="33"/>
      <c r="BF283" s="8"/>
      <c r="BG283" s="35"/>
      <c r="BH283" s="65"/>
      <c r="BI283" s="66"/>
      <c r="BJ283" s="29"/>
      <c r="BK283" s="31" t="s">
        <v>57</v>
      </c>
      <c r="BL283" s="35"/>
    </row>
    <row r="284" spans="1:64" x14ac:dyDescent="0.3">
      <c r="A284" s="42" t="s">
        <v>105</v>
      </c>
      <c r="B284" s="42">
        <v>234</v>
      </c>
      <c r="C284" s="40">
        <v>441</v>
      </c>
      <c r="D284" s="28"/>
      <c r="E284" s="38" t="s">
        <v>60</v>
      </c>
      <c r="F284" s="28"/>
      <c r="G284" s="41">
        <v>560</v>
      </c>
      <c r="H284" s="67">
        <v>8</v>
      </c>
      <c r="I284" s="43" t="s">
        <v>106</v>
      </c>
      <c r="J284" s="40">
        <f>SUM(H284)</f>
        <v>8</v>
      </c>
      <c r="K284" s="28"/>
      <c r="L284" s="32"/>
      <c r="M284" s="33"/>
      <c r="N284" s="35"/>
      <c r="O284" s="34"/>
      <c r="P284" s="34"/>
      <c r="Q284" s="35"/>
      <c r="R284" s="33"/>
      <c r="S284" s="35"/>
      <c r="T284" s="6" t="s">
        <v>104</v>
      </c>
      <c r="U284" s="34"/>
      <c r="V284" s="35"/>
      <c r="W284" s="28"/>
      <c r="AB284" s="41" t="s">
        <v>6</v>
      </c>
      <c r="AC284" s="18"/>
      <c r="AD284" s="18"/>
      <c r="AE284" s="10">
        <v>0</v>
      </c>
      <c r="AF284" s="18">
        <v>0</v>
      </c>
      <c r="AG284" s="11">
        <v>0</v>
      </c>
      <c r="AH284" s="10"/>
      <c r="AI284" s="11"/>
      <c r="AJ284" s="10">
        <v>0</v>
      </c>
      <c r="AK284" s="10"/>
      <c r="AL284" s="37" t="s">
        <v>6</v>
      </c>
      <c r="AM284" s="11"/>
      <c r="AP284" s="10"/>
      <c r="AQ284" s="29"/>
      <c r="AR284" s="31"/>
      <c r="AS284" s="33"/>
      <c r="AT284" s="7"/>
      <c r="AU284" s="8"/>
      <c r="AV284" s="8"/>
      <c r="AW284" s="8"/>
      <c r="AX284" s="8"/>
      <c r="AY284" s="7"/>
      <c r="AZ284" s="28"/>
      <c r="BA284" s="28" t="s">
        <v>6</v>
      </c>
      <c r="BB284" s="41" t="s">
        <v>113</v>
      </c>
      <c r="BC284" s="70">
        <v>485</v>
      </c>
      <c r="BD284" s="71">
        <v>520</v>
      </c>
      <c r="BE284" s="42"/>
      <c r="BF284" s="28"/>
      <c r="BG284" s="40"/>
      <c r="BH284" s="42"/>
      <c r="BI284" s="40"/>
      <c r="BJ284" s="42"/>
      <c r="BK284" s="43"/>
      <c r="BL284" s="40"/>
    </row>
    <row r="285" spans="1:64" ht="15" thickBot="1" x14ac:dyDescent="0.35">
      <c r="A285" s="67" t="s">
        <v>84</v>
      </c>
      <c r="B285" s="47">
        <f>SUM(B283:B284)</f>
        <v>234</v>
      </c>
      <c r="C285" s="49">
        <f>SUM(C283:C284)</f>
        <v>441</v>
      </c>
      <c r="G285" s="46"/>
      <c r="H285" s="48"/>
      <c r="I285" s="48"/>
      <c r="J285" s="49"/>
      <c r="K285" s="28"/>
      <c r="L285" s="69" t="s">
        <v>109</v>
      </c>
      <c r="M285" s="42">
        <v>0</v>
      </c>
      <c r="N285" s="40">
        <v>0</v>
      </c>
      <c r="O285" s="28">
        <v>0</v>
      </c>
      <c r="P285" s="43">
        <v>0</v>
      </c>
      <c r="Q285" s="40">
        <v>0</v>
      </c>
      <c r="R285" s="42">
        <v>0</v>
      </c>
      <c r="S285" s="40">
        <v>0</v>
      </c>
      <c r="T285" s="28"/>
      <c r="U285" s="28"/>
      <c r="V285" s="40"/>
      <c r="W285" s="28"/>
      <c r="AA285" s="28"/>
      <c r="AB285" s="44"/>
      <c r="AC285" s="45"/>
      <c r="AD285" s="45"/>
      <c r="AE285" s="10">
        <v>0</v>
      </c>
      <c r="AF285" s="18">
        <v>0</v>
      </c>
      <c r="AG285" s="11">
        <v>0</v>
      </c>
      <c r="AH285" s="10"/>
      <c r="AI285" s="11"/>
      <c r="AJ285" s="67"/>
      <c r="AK285" s="42"/>
      <c r="AL285" s="54"/>
      <c r="AM285" s="40"/>
      <c r="AN285" s="28"/>
      <c r="AP285" s="36" t="s">
        <v>63</v>
      </c>
      <c r="AQ285" s="10">
        <v>133</v>
      </c>
      <c r="AR285" s="18">
        <v>105</v>
      </c>
      <c r="AS285" s="42"/>
      <c r="AT285" s="11"/>
      <c r="AU285" s="18"/>
      <c r="AV285" s="18" t="s">
        <v>110</v>
      </c>
      <c r="AW285" s="18" t="s">
        <v>111</v>
      </c>
      <c r="AX285" s="18" t="s">
        <v>112</v>
      </c>
      <c r="AY285" s="11"/>
      <c r="AZ285" s="45"/>
      <c r="BA285" s="28"/>
      <c r="BB285" s="68" t="s">
        <v>84</v>
      </c>
      <c r="BC285">
        <f>SUM(BC283:BC284)</f>
        <v>485</v>
      </c>
      <c r="BD285">
        <f>SUM(BD283:BD284)</f>
        <v>520</v>
      </c>
      <c r="BE285" s="47">
        <v>0</v>
      </c>
      <c r="BF285" s="27">
        <v>0</v>
      </c>
      <c r="BG285" s="49">
        <v>0</v>
      </c>
      <c r="BH285" s="75">
        <v>0</v>
      </c>
      <c r="BI285" s="49">
        <v>0</v>
      </c>
      <c r="BJ285" s="47">
        <v>44</v>
      </c>
      <c r="BK285" s="51" t="s">
        <v>73</v>
      </c>
      <c r="BL285" s="49">
        <f>SUM(BJ284:BJ285)</f>
        <v>44</v>
      </c>
    </row>
    <row r="286" spans="1:64" ht="15" thickBot="1" x14ac:dyDescent="0.35">
      <c r="A286" s="29" t="s">
        <v>108</v>
      </c>
      <c r="B286" s="29">
        <v>0</v>
      </c>
      <c r="C286" s="7">
        <v>0</v>
      </c>
      <c r="D286" s="8"/>
      <c r="E286" s="8">
        <v>887</v>
      </c>
      <c r="F286" s="8"/>
      <c r="G286" s="50"/>
      <c r="H286" s="6" t="s">
        <v>104</v>
      </c>
      <c r="I286" s="31"/>
      <c r="J286" s="30"/>
      <c r="K286" s="28"/>
      <c r="L286" s="46"/>
      <c r="M286" s="47"/>
      <c r="N286" s="49"/>
      <c r="O286" s="48"/>
      <c r="P286" s="48"/>
      <c r="Q286" s="49"/>
      <c r="R286" s="72"/>
      <c r="S286" s="73"/>
      <c r="T286" s="48"/>
      <c r="U286" s="48"/>
      <c r="V286" s="49"/>
      <c r="W286" s="28"/>
      <c r="AA286" s="28"/>
      <c r="AB286" s="41"/>
      <c r="AE286" s="10">
        <v>0</v>
      </c>
      <c r="AF286" s="18">
        <v>0</v>
      </c>
      <c r="AG286" s="11">
        <v>0</v>
      </c>
      <c r="AH286" s="10"/>
      <c r="AI286" s="11"/>
      <c r="AJ286" s="47"/>
      <c r="AK286" s="72"/>
      <c r="AL286" s="74"/>
      <c r="AM286" s="49"/>
      <c r="AN286" s="28"/>
      <c r="AP286" s="10" t="s">
        <v>115</v>
      </c>
      <c r="AQ286" s="36">
        <v>16</v>
      </c>
      <c r="AR286" s="37">
        <v>20</v>
      </c>
      <c r="AS286" s="42"/>
      <c r="AT286" s="11"/>
      <c r="AU286" s="18"/>
      <c r="AV286" s="18"/>
      <c r="AW286" s="18"/>
      <c r="AX286" s="18"/>
      <c r="AY286" s="11"/>
      <c r="AZ286" s="28"/>
      <c r="BA286" s="28"/>
      <c r="BB286" s="33" t="s">
        <v>108</v>
      </c>
      <c r="BC286" s="78">
        <v>0</v>
      </c>
      <c r="BD286" s="79">
        <v>18</v>
      </c>
      <c r="BE286" s="34"/>
      <c r="BF286" s="8"/>
      <c r="BG286" s="35"/>
      <c r="BH286" s="80"/>
      <c r="BI286" s="34"/>
      <c r="BJ286" s="33"/>
      <c r="BK286" s="34" t="s">
        <v>91</v>
      </c>
      <c r="BL286" s="35"/>
    </row>
    <row r="287" spans="1:64" x14ac:dyDescent="0.3">
      <c r="A287" s="52" t="s">
        <v>109</v>
      </c>
      <c r="B287" s="36">
        <v>845</v>
      </c>
      <c r="C287" s="11">
        <v>978</v>
      </c>
      <c r="D287" s="45"/>
      <c r="E287" s="45">
        <v>0</v>
      </c>
      <c r="F287" s="45"/>
      <c r="G287" s="69"/>
      <c r="H287" s="45">
        <v>7</v>
      </c>
      <c r="I287" s="28" t="s">
        <v>114</v>
      </c>
      <c r="J287" s="40"/>
      <c r="K287" s="28"/>
      <c r="L287" s="50" t="s">
        <v>93</v>
      </c>
      <c r="M287" s="8">
        <v>0</v>
      </c>
      <c r="N287" s="8">
        <v>0</v>
      </c>
      <c r="O287" s="6"/>
      <c r="P287" s="8"/>
      <c r="Q287" s="7"/>
      <c r="R287" s="8">
        <v>0</v>
      </c>
      <c r="S287" s="8">
        <v>0</v>
      </c>
      <c r="T287" s="10" t="s">
        <v>116</v>
      </c>
      <c r="U287" s="8"/>
      <c r="V287" s="7"/>
      <c r="W287" s="28"/>
      <c r="AA287" s="28"/>
      <c r="AB287" s="32"/>
      <c r="AC287" s="6"/>
      <c r="AD287" s="7"/>
      <c r="AE287" s="8"/>
      <c r="AF287" s="8"/>
      <c r="AG287" s="8"/>
      <c r="AH287" s="6"/>
      <c r="AI287" s="7"/>
      <c r="AJ287" s="8"/>
      <c r="AK287" s="36"/>
      <c r="AL287" s="77" t="s">
        <v>117</v>
      </c>
      <c r="AM287" s="11"/>
      <c r="AN287" s="28"/>
      <c r="AP287" s="52" t="s">
        <v>72</v>
      </c>
      <c r="AQ287" s="52">
        <v>2</v>
      </c>
      <c r="AR287" s="54">
        <v>0</v>
      </c>
      <c r="AS287" s="42"/>
      <c r="AT287" s="40"/>
      <c r="AU287" s="28"/>
      <c r="AV287" s="28"/>
      <c r="AW287" s="28"/>
      <c r="AX287" s="28"/>
      <c r="AY287" s="40"/>
      <c r="AZ287" s="28"/>
      <c r="BA287" s="28"/>
      <c r="BB287" s="52" t="s">
        <v>85</v>
      </c>
      <c r="BC287" s="42">
        <v>0</v>
      </c>
      <c r="BD287" s="40">
        <v>0</v>
      </c>
      <c r="BE287" s="28"/>
      <c r="BF287" s="28"/>
      <c r="BG287" s="40"/>
      <c r="BJ287" s="42"/>
      <c r="BK287" s="28"/>
      <c r="BL287" s="40"/>
    </row>
    <row r="288" spans="1:64" ht="15" thickBot="1" x14ac:dyDescent="0.35">
      <c r="A288" s="76" t="s">
        <v>84</v>
      </c>
      <c r="B288" s="42">
        <f>SUM(B286:B287)</f>
        <v>845</v>
      </c>
      <c r="C288" s="40">
        <f>SUM(C286:C287)</f>
        <v>978</v>
      </c>
      <c r="D288" s="28"/>
      <c r="E288" s="28">
        <f>SUM(E286:E287)</f>
        <v>887</v>
      </c>
      <c r="F288" s="28"/>
      <c r="G288" s="46">
        <v>2571</v>
      </c>
      <c r="H288" s="48"/>
      <c r="I288" s="48"/>
      <c r="J288" s="49">
        <f>SUM(H287)</f>
        <v>7</v>
      </c>
      <c r="K288" s="28"/>
      <c r="L288" s="12" t="s">
        <v>99</v>
      </c>
      <c r="M288" s="37">
        <v>40246</v>
      </c>
      <c r="N288" s="37">
        <v>13826</v>
      </c>
      <c r="O288" s="10"/>
      <c r="P288" s="18"/>
      <c r="Q288" s="11"/>
      <c r="R288" s="18">
        <v>3684</v>
      </c>
      <c r="S288" s="18">
        <v>261</v>
      </c>
      <c r="T288" s="10"/>
      <c r="U288" s="18"/>
      <c r="V288" s="11"/>
      <c r="W288" s="28"/>
      <c r="AA288" s="28"/>
      <c r="AB288" s="68"/>
      <c r="AC288" s="42"/>
      <c r="AD288" s="40"/>
      <c r="AH288" s="42"/>
      <c r="AI288" s="40"/>
      <c r="AK288" s="42">
        <v>2</v>
      </c>
      <c r="AL288" s="54" t="s">
        <v>401</v>
      </c>
      <c r="AM288" s="40"/>
      <c r="AN288" s="28"/>
      <c r="AP288" s="36" t="s">
        <v>78</v>
      </c>
      <c r="AQ288" s="36">
        <v>60</v>
      </c>
      <c r="AR288" s="37">
        <v>34</v>
      </c>
      <c r="AS288" s="42"/>
      <c r="AT288" s="11"/>
      <c r="AU288" s="18"/>
      <c r="AV288" s="37"/>
      <c r="AW288" s="18"/>
      <c r="AX288" s="37"/>
      <c r="AY288" s="11"/>
      <c r="AZ288" s="28"/>
      <c r="BA288" s="28"/>
      <c r="BB288" s="67" t="s">
        <v>113</v>
      </c>
      <c r="BC288" s="42">
        <v>535</v>
      </c>
      <c r="BD288" s="40">
        <v>540</v>
      </c>
      <c r="BE288" s="28"/>
      <c r="BF288" s="28"/>
      <c r="BG288" s="40"/>
      <c r="BH288" s="28"/>
      <c r="BI288" s="28"/>
      <c r="BJ288" s="67">
        <v>48</v>
      </c>
      <c r="BK288" s="43" t="s">
        <v>73</v>
      </c>
      <c r="BL288" s="40"/>
    </row>
    <row r="289" spans="1:65" ht="15" thickBot="1" x14ac:dyDescent="0.35">
      <c r="A289" s="32" t="s">
        <v>93</v>
      </c>
      <c r="B289" s="33">
        <v>5248</v>
      </c>
      <c r="C289" s="35">
        <v>5908</v>
      </c>
      <c r="D289" s="33"/>
      <c r="E289" s="34"/>
      <c r="F289" s="34"/>
      <c r="G289" s="32">
        <v>9150</v>
      </c>
      <c r="H289" s="33" t="s">
        <v>118</v>
      </c>
      <c r="I289" s="34"/>
      <c r="J289" s="35"/>
      <c r="K289" s="28"/>
      <c r="L289" s="12" t="s">
        <v>120</v>
      </c>
      <c r="M289" s="37">
        <v>8264</v>
      </c>
      <c r="N289" s="37">
        <v>110844</v>
      </c>
      <c r="O289" s="10"/>
      <c r="P289" s="18"/>
      <c r="Q289" s="11"/>
      <c r="R289" s="18">
        <v>887</v>
      </c>
      <c r="S289" s="18">
        <v>0</v>
      </c>
      <c r="T289" s="10"/>
      <c r="U289" s="18"/>
      <c r="V289" s="11"/>
      <c r="W289" s="28"/>
      <c r="AA289" s="28"/>
      <c r="AB289" s="44"/>
      <c r="AC289" s="10"/>
      <c r="AD289" s="11"/>
      <c r="AE289" s="18"/>
      <c r="AF289" s="18"/>
      <c r="AG289" s="18"/>
      <c r="AH289" s="10"/>
      <c r="AI289" s="11"/>
      <c r="AJ289" s="18"/>
      <c r="AK289" s="10"/>
      <c r="AL289" s="37" t="s">
        <v>302</v>
      </c>
      <c r="AM289" s="11"/>
      <c r="AN289" s="28"/>
      <c r="AP289" s="10" t="s">
        <v>122</v>
      </c>
      <c r="AQ289" s="36">
        <v>7</v>
      </c>
      <c r="AR289" s="37">
        <v>14</v>
      </c>
      <c r="AS289" s="42"/>
      <c r="AT289" s="11"/>
      <c r="AU289" s="18"/>
      <c r="AV289" s="18">
        <v>40</v>
      </c>
      <c r="AW289" s="18" t="s">
        <v>123</v>
      </c>
      <c r="AX289" s="18"/>
      <c r="AY289" s="11"/>
      <c r="AZ289" s="28"/>
      <c r="BA289" s="28"/>
      <c r="BB289" s="47" t="s">
        <v>84</v>
      </c>
      <c r="BC289" s="47">
        <f>SUM(BC286:BC288)</f>
        <v>535</v>
      </c>
      <c r="BD289" s="49">
        <f>SUM(BD286:BD288)</f>
        <v>558</v>
      </c>
      <c r="BE289" s="81">
        <v>0</v>
      </c>
      <c r="BF289" s="27">
        <v>0</v>
      </c>
      <c r="BG289" s="82">
        <v>0</v>
      </c>
      <c r="BH289" s="74">
        <v>0</v>
      </c>
      <c r="BI289" s="74">
        <v>0</v>
      </c>
      <c r="BJ289" s="47"/>
      <c r="BK289" s="51"/>
      <c r="BL289" s="49">
        <f>SUM(BJ288)</f>
        <v>48</v>
      </c>
      <c r="BM289" t="s">
        <v>6</v>
      </c>
    </row>
    <row r="290" spans="1:65" ht="15" thickBot="1" x14ac:dyDescent="0.35">
      <c r="A290" s="41" t="s">
        <v>120</v>
      </c>
      <c r="B290" s="42">
        <v>1879</v>
      </c>
      <c r="C290" s="40">
        <v>2625</v>
      </c>
      <c r="D290" s="42"/>
      <c r="E290" s="28" t="s">
        <v>60</v>
      </c>
      <c r="F290" s="28"/>
      <c r="G290" s="41">
        <f>30*150</f>
        <v>4500</v>
      </c>
      <c r="H290" s="42">
        <v>91</v>
      </c>
      <c r="I290" s="28" t="s">
        <v>101</v>
      </c>
      <c r="J290" s="40"/>
      <c r="K290" s="28"/>
      <c r="L290" s="12" t="s">
        <v>84</v>
      </c>
      <c r="M290" s="18">
        <f>SUM(M287:M289)</f>
        <v>48510</v>
      </c>
      <c r="N290" s="18">
        <f>SUM(N287:N289)</f>
        <v>124670</v>
      </c>
      <c r="O290" s="10">
        <v>0</v>
      </c>
      <c r="P290" s="18">
        <v>0</v>
      </c>
      <c r="Q290" s="11">
        <v>0</v>
      </c>
      <c r="R290" s="18">
        <f>SUM(R287:R289)</f>
        <v>4571</v>
      </c>
      <c r="S290" s="18">
        <f>SUM(S287:S289)</f>
        <v>261</v>
      </c>
      <c r="T290" s="10"/>
      <c r="U290" s="18"/>
      <c r="V290" s="11"/>
      <c r="W290" s="28"/>
      <c r="AA290" s="28"/>
      <c r="AB290" s="46"/>
      <c r="AC290" s="47"/>
      <c r="AD290" s="49"/>
      <c r="AE290" s="48"/>
      <c r="AF290" s="48"/>
      <c r="AG290" s="48"/>
      <c r="AH290" s="47"/>
      <c r="AI290" s="49"/>
      <c r="AJ290" s="48"/>
      <c r="AK290" s="47">
        <v>6</v>
      </c>
      <c r="AL290" s="48" t="s">
        <v>124</v>
      </c>
      <c r="AM290" s="49"/>
      <c r="AN290" s="28"/>
      <c r="AP290" s="10" t="s">
        <v>125</v>
      </c>
      <c r="AQ290" s="36">
        <v>16</v>
      </c>
      <c r="AR290" s="37">
        <v>0</v>
      </c>
      <c r="AS290" s="42"/>
      <c r="AT290" s="11"/>
      <c r="AU290" s="18"/>
      <c r="AV290" s="18">
        <v>30</v>
      </c>
      <c r="AW290" s="18" t="s">
        <v>126</v>
      </c>
      <c r="AX290" s="18"/>
      <c r="AY290" s="11"/>
      <c r="AZ290" s="28"/>
      <c r="BA290" s="28"/>
      <c r="BB290" s="52" t="s">
        <v>113</v>
      </c>
      <c r="BC290" s="42">
        <v>540</v>
      </c>
      <c r="BD290" s="85">
        <v>527</v>
      </c>
      <c r="BE290" s="37"/>
      <c r="BF290" s="18"/>
      <c r="BG290" s="54"/>
      <c r="BH290" s="52"/>
      <c r="BI290" s="40"/>
      <c r="BJ290" s="67"/>
      <c r="BK290" s="34" t="s">
        <v>130</v>
      </c>
      <c r="BL290" s="40"/>
    </row>
    <row r="291" spans="1:65" ht="15" thickBot="1" x14ac:dyDescent="0.35">
      <c r="A291" s="46" t="s">
        <v>84</v>
      </c>
      <c r="B291" s="47">
        <f>SUM(B289:B290)</f>
        <v>7127</v>
      </c>
      <c r="C291" s="49">
        <f>SUM(C289:C290)</f>
        <v>8533</v>
      </c>
      <c r="D291" s="47"/>
      <c r="E291" s="48"/>
      <c r="F291" s="48"/>
      <c r="G291" s="46">
        <f>SUM(G289:G290)</f>
        <v>13650</v>
      </c>
      <c r="H291" s="47"/>
      <c r="I291" s="48"/>
      <c r="J291" s="49">
        <f>SUM(H290:H291)</f>
        <v>91</v>
      </c>
      <c r="K291" s="28"/>
      <c r="L291" s="17"/>
      <c r="M291" s="27"/>
      <c r="N291" s="27"/>
      <c r="O291" s="13"/>
      <c r="P291" s="27"/>
      <c r="Q291" s="26"/>
      <c r="R291" s="27"/>
      <c r="S291" s="27"/>
      <c r="T291" s="13"/>
      <c r="U291" s="27"/>
      <c r="V291" s="26"/>
      <c r="W291" s="28"/>
      <c r="AA291" s="28"/>
      <c r="AB291" s="32"/>
      <c r="AE291" s="33"/>
      <c r="AF291" s="34"/>
      <c r="AG291" s="34"/>
      <c r="AH291" s="33"/>
      <c r="AI291" s="35"/>
      <c r="AJ291" s="32"/>
      <c r="AK291" s="83" t="s">
        <v>356</v>
      </c>
      <c r="AL291" s="34"/>
      <c r="AM291" s="35"/>
      <c r="AN291" s="28"/>
      <c r="AP291" s="84" t="s">
        <v>230</v>
      </c>
      <c r="AQ291" s="52">
        <v>1</v>
      </c>
      <c r="AR291" s="37">
        <v>1</v>
      </c>
      <c r="AS291" s="42"/>
      <c r="AT291" s="40"/>
      <c r="AU291" s="28"/>
      <c r="AV291" s="28">
        <v>20</v>
      </c>
      <c r="AW291" s="28" t="s">
        <v>129</v>
      </c>
      <c r="AX291" s="28"/>
      <c r="AY291" s="40"/>
      <c r="BA291" s="28"/>
      <c r="BB291" s="42" t="s">
        <v>133</v>
      </c>
      <c r="BC291" s="67">
        <v>0</v>
      </c>
      <c r="BD291" s="85">
        <v>0</v>
      </c>
      <c r="BE291" s="28"/>
      <c r="BF291" s="18"/>
      <c r="BG291" s="28"/>
      <c r="BH291" s="52"/>
      <c r="BI291" s="86"/>
      <c r="BJ291" s="52">
        <v>45</v>
      </c>
      <c r="BK291" s="43" t="s">
        <v>73</v>
      </c>
      <c r="BL291" s="40"/>
    </row>
    <row r="292" spans="1:65" ht="15" thickBot="1" x14ac:dyDescent="0.35">
      <c r="A292" s="41" t="s">
        <v>88</v>
      </c>
      <c r="B292" s="42">
        <v>384</v>
      </c>
      <c r="C292" s="40">
        <v>408</v>
      </c>
      <c r="D292" s="28"/>
      <c r="E292" s="45">
        <v>0</v>
      </c>
      <c r="F292" s="40"/>
      <c r="G292" s="40"/>
      <c r="H292" s="28" t="s">
        <v>131</v>
      </c>
      <c r="J292" s="40"/>
      <c r="K292" s="28"/>
      <c r="L292" s="12" t="s">
        <v>105</v>
      </c>
      <c r="M292" s="34">
        <v>7992</v>
      </c>
      <c r="N292" s="34">
        <v>7443</v>
      </c>
      <c r="O292" s="33"/>
      <c r="P292" s="34"/>
      <c r="Q292" s="35"/>
      <c r="R292" s="34">
        <v>9</v>
      </c>
      <c r="S292" s="34">
        <v>0</v>
      </c>
      <c r="T292" s="33"/>
      <c r="U292" s="34"/>
      <c r="V292" s="35"/>
      <c r="W292" s="28"/>
      <c r="AA292" s="28"/>
      <c r="AB292" s="46" t="s">
        <v>358</v>
      </c>
      <c r="AC292">
        <v>67</v>
      </c>
      <c r="AD292">
        <v>0</v>
      </c>
      <c r="AE292" s="47"/>
      <c r="AF292" s="48"/>
      <c r="AG292" s="48"/>
      <c r="AH292" s="47"/>
      <c r="AI292" s="49"/>
      <c r="AJ292" s="46"/>
      <c r="AK292" s="48">
        <v>1</v>
      </c>
      <c r="AL292" s="48" t="s">
        <v>359</v>
      </c>
      <c r="AM292" s="49"/>
      <c r="AN292" s="28"/>
      <c r="AP292" s="84" t="s">
        <v>132</v>
      </c>
      <c r="AQ292" s="42">
        <v>0</v>
      </c>
      <c r="AR292" s="37">
        <v>0</v>
      </c>
      <c r="AS292" s="42"/>
      <c r="AT292" s="40"/>
      <c r="AU292" s="28"/>
      <c r="AV292" s="28"/>
      <c r="AW292" s="28"/>
      <c r="AX292" s="28"/>
      <c r="AY292" s="40"/>
      <c r="AZ292" s="28"/>
      <c r="BA292" s="28"/>
      <c r="BB292" s="59" t="s">
        <v>84</v>
      </c>
      <c r="BC292" s="13">
        <f>SUM(BC290:BC291)</f>
        <v>540</v>
      </c>
      <c r="BD292" s="60">
        <f>SUM(BD290:BD291)</f>
        <v>527</v>
      </c>
      <c r="BE292" s="81">
        <v>0</v>
      </c>
      <c r="BF292" s="27">
        <v>0</v>
      </c>
      <c r="BG292" s="27">
        <v>0</v>
      </c>
      <c r="BH292" s="13">
        <v>0</v>
      </c>
      <c r="BI292" s="26">
        <v>0</v>
      </c>
      <c r="BJ292" s="13"/>
      <c r="BK292" s="43"/>
      <c r="BL292" s="26">
        <f>SUM(BJ290:BJ291)</f>
        <v>45</v>
      </c>
    </row>
    <row r="293" spans="1:65" x14ac:dyDescent="0.3">
      <c r="A293" s="41" t="s">
        <v>102</v>
      </c>
      <c r="B293" s="42">
        <v>310</v>
      </c>
      <c r="C293" s="85">
        <v>403</v>
      </c>
      <c r="D293" s="28"/>
      <c r="E293" s="45">
        <v>0</v>
      </c>
      <c r="F293" s="40"/>
      <c r="G293" s="40">
        <v>1368</v>
      </c>
      <c r="H293" s="43">
        <v>9</v>
      </c>
      <c r="I293" s="28" t="s">
        <v>134</v>
      </c>
      <c r="J293" s="40"/>
      <c r="K293" s="28"/>
      <c r="L293" s="44" t="s">
        <v>99</v>
      </c>
      <c r="M293" s="18">
        <v>681</v>
      </c>
      <c r="N293" s="18">
        <v>0</v>
      </c>
      <c r="O293" s="10"/>
      <c r="P293" s="18"/>
      <c r="Q293" s="11"/>
      <c r="R293" s="18">
        <v>0</v>
      </c>
      <c r="S293" s="18">
        <v>0</v>
      </c>
      <c r="T293" s="10" t="s">
        <v>135</v>
      </c>
      <c r="U293" s="18"/>
      <c r="V293" s="11"/>
      <c r="W293" s="28"/>
      <c r="AA293" s="28"/>
      <c r="AB293" s="32" t="s">
        <v>89</v>
      </c>
      <c r="AC293" s="33">
        <v>506</v>
      </c>
      <c r="AD293" s="34">
        <v>529</v>
      </c>
      <c r="AE293" s="33"/>
      <c r="AF293" s="34"/>
      <c r="AG293" s="34"/>
      <c r="AH293" s="33"/>
      <c r="AI293" s="35"/>
      <c r="AJ293" s="35"/>
      <c r="AK293" s="34" t="s">
        <v>136</v>
      </c>
      <c r="AL293" s="34"/>
      <c r="AM293" s="35"/>
      <c r="AN293" s="28"/>
      <c r="AP293" s="84" t="s">
        <v>81</v>
      </c>
      <c r="AQ293" s="42">
        <v>5</v>
      </c>
      <c r="AR293" s="37">
        <v>15</v>
      </c>
      <c r="AS293" s="42"/>
      <c r="AT293" s="40"/>
      <c r="AU293" s="28"/>
      <c r="AV293" s="28"/>
      <c r="AW293" s="28"/>
      <c r="AX293" s="28"/>
      <c r="AY293" s="40"/>
      <c r="AZ293" s="28"/>
      <c r="BA293" s="28"/>
      <c r="BB293" s="88" t="s">
        <v>139</v>
      </c>
      <c r="BC293" s="33">
        <v>2</v>
      </c>
      <c r="BD293" s="35">
        <v>0</v>
      </c>
      <c r="BE293" s="89"/>
      <c r="BF293" s="89"/>
      <c r="BG293" s="80"/>
      <c r="BH293" s="6"/>
      <c r="BI293" s="35"/>
      <c r="BJ293" s="33" t="s">
        <v>140</v>
      </c>
      <c r="BK293" s="34"/>
      <c r="BL293" s="35"/>
    </row>
    <row r="294" spans="1:65" ht="15" thickBot="1" x14ac:dyDescent="0.35">
      <c r="A294" s="87" t="s">
        <v>84</v>
      </c>
      <c r="B294" s="59">
        <f>SUM(B292:B293)</f>
        <v>694</v>
      </c>
      <c r="C294" s="26">
        <f>SUM(C292:C293)</f>
        <v>811</v>
      </c>
      <c r="D294" s="27"/>
      <c r="E294" s="16">
        <f>SUM(E290:E293)</f>
        <v>0</v>
      </c>
      <c r="F294" s="26"/>
      <c r="G294" s="49"/>
      <c r="H294" s="48"/>
      <c r="I294" s="48"/>
      <c r="J294" s="49">
        <f>SUM(H292:H293)</f>
        <v>9</v>
      </c>
      <c r="K294" s="28"/>
      <c r="L294" s="12"/>
      <c r="M294" s="18"/>
      <c r="N294" s="18"/>
      <c r="O294" s="10"/>
      <c r="P294" s="18"/>
      <c r="Q294" s="11"/>
      <c r="R294" s="18"/>
      <c r="S294" s="18"/>
      <c r="T294" s="10"/>
      <c r="U294" s="18"/>
      <c r="V294" s="11"/>
      <c r="W294" s="28"/>
      <c r="AA294" s="28"/>
      <c r="AB294" s="44" t="s">
        <v>137</v>
      </c>
      <c r="AC294" s="10">
        <v>175</v>
      </c>
      <c r="AD294" s="18">
        <v>178</v>
      </c>
      <c r="AE294" s="10"/>
      <c r="AF294" s="18"/>
      <c r="AG294" s="18"/>
      <c r="AH294" s="52"/>
      <c r="AI294" s="85"/>
      <c r="AJ294" s="40"/>
      <c r="AK294" s="45"/>
      <c r="AL294" s="37"/>
      <c r="AM294" s="40"/>
      <c r="AN294" s="28"/>
      <c r="AP294" s="10" t="s">
        <v>138</v>
      </c>
      <c r="AQ294" s="36">
        <v>7</v>
      </c>
      <c r="AR294" s="37">
        <v>2</v>
      </c>
      <c r="AS294" s="42"/>
      <c r="AT294" s="11"/>
      <c r="AU294" s="18"/>
      <c r="AV294" s="18"/>
      <c r="AW294" s="18"/>
      <c r="AX294" s="18"/>
      <c r="AY294" s="11"/>
      <c r="AZ294" s="28"/>
      <c r="BA294" s="28"/>
      <c r="BB294" s="92" t="s">
        <v>113</v>
      </c>
      <c r="BC294" s="67">
        <f>17+1+45+2+10+9+5</f>
        <v>89</v>
      </c>
      <c r="BD294" s="56">
        <f>21+43+8+3+18+5</f>
        <v>98</v>
      </c>
      <c r="BE294" s="54"/>
      <c r="BF294" s="54"/>
      <c r="BG294" s="45"/>
      <c r="BH294" s="10"/>
      <c r="BI294" s="40"/>
      <c r="BJ294" s="10" t="s">
        <v>142</v>
      </c>
      <c r="BK294" s="18"/>
      <c r="BL294" s="39" t="s">
        <v>402</v>
      </c>
    </row>
    <row r="295" spans="1:65" x14ac:dyDescent="0.3">
      <c r="A295" s="36" t="s">
        <v>93</v>
      </c>
      <c r="B295" s="42">
        <v>6812</v>
      </c>
      <c r="C295" s="90">
        <v>7458</v>
      </c>
      <c r="D295" s="3"/>
      <c r="E295" s="91" t="s">
        <v>60</v>
      </c>
      <c r="F295" s="18"/>
      <c r="G295" s="44">
        <v>9788</v>
      </c>
      <c r="H295" s="10" t="s">
        <v>116</v>
      </c>
      <c r="I295" s="18"/>
      <c r="J295" s="11"/>
      <c r="K295" s="28"/>
      <c r="L295" s="12" t="s">
        <v>84</v>
      </c>
      <c r="M295" s="18">
        <f>SUM(M292:M294)</f>
        <v>8673</v>
      </c>
      <c r="N295" s="18">
        <f>SUM(N292:N294)</f>
        <v>7443</v>
      </c>
      <c r="O295" s="10">
        <v>0</v>
      </c>
      <c r="P295" s="18">
        <v>0</v>
      </c>
      <c r="Q295" s="11">
        <v>0</v>
      </c>
      <c r="R295" s="18">
        <f>SUM(R292:R294)</f>
        <v>9</v>
      </c>
      <c r="S295" s="18">
        <f>SUM(S292:S294)</f>
        <v>0</v>
      </c>
      <c r="T295" s="10"/>
      <c r="U295" s="18"/>
      <c r="V295" s="11"/>
      <c r="W295" s="28"/>
      <c r="AA295" s="28"/>
      <c r="AB295" s="41" t="s">
        <v>84</v>
      </c>
      <c r="AC295" s="42">
        <f>SUM(AC293:AC294)</f>
        <v>681</v>
      </c>
      <c r="AD295" s="28">
        <f>SUM(AD293:AD294)</f>
        <v>707</v>
      </c>
      <c r="AE295" s="42">
        <v>0</v>
      </c>
      <c r="AF295" s="28">
        <v>0</v>
      </c>
      <c r="AG295" s="28">
        <v>0</v>
      </c>
      <c r="AH295" s="42">
        <v>0</v>
      </c>
      <c r="AI295" s="40">
        <v>0</v>
      </c>
      <c r="AJ295" s="40">
        <v>0</v>
      </c>
      <c r="AK295" s="43">
        <v>13</v>
      </c>
      <c r="AL295" s="28" t="s">
        <v>141</v>
      </c>
      <c r="AM295" s="40"/>
      <c r="AN295" s="28"/>
      <c r="AP295" s="84" t="s">
        <v>56</v>
      </c>
      <c r="AQ295" s="42">
        <v>9</v>
      </c>
      <c r="AR295" s="54">
        <v>7</v>
      </c>
      <c r="AS295" s="42"/>
      <c r="AT295" s="40"/>
      <c r="AU295" s="28"/>
      <c r="AV295" s="28"/>
      <c r="AW295" s="28"/>
      <c r="AX295" s="28"/>
      <c r="AY295" s="40"/>
      <c r="AZ295" s="28"/>
      <c r="BA295" s="28"/>
      <c r="BB295" s="92" t="s">
        <v>200</v>
      </c>
      <c r="BC295" s="67">
        <v>11</v>
      </c>
      <c r="BD295" s="56">
        <v>9</v>
      </c>
      <c r="BE295" s="54"/>
      <c r="BF295" s="54"/>
      <c r="BG295" s="45"/>
      <c r="BH295" s="10"/>
      <c r="BI295" s="40"/>
      <c r="BJ295" s="93" t="s">
        <v>146</v>
      </c>
      <c r="BK295" s="28"/>
      <c r="BL295" s="94" t="s">
        <v>253</v>
      </c>
    </row>
    <row r="296" spans="1:65" ht="15" thickBot="1" x14ac:dyDescent="0.35">
      <c r="A296" s="10" t="s">
        <v>99</v>
      </c>
      <c r="B296" s="42">
        <v>12259</v>
      </c>
      <c r="C296" s="40">
        <v>13786</v>
      </c>
      <c r="D296" s="3"/>
      <c r="E296" s="91" t="s">
        <v>60</v>
      </c>
      <c r="F296" s="18"/>
      <c r="G296" s="12">
        <v>17847</v>
      </c>
      <c r="H296" s="10">
        <v>92</v>
      </c>
      <c r="I296" s="37" t="s">
        <v>144</v>
      </c>
      <c r="J296" s="11"/>
      <c r="K296" s="28"/>
      <c r="L296" s="12"/>
      <c r="M296" s="18"/>
      <c r="N296" s="18"/>
      <c r="O296" s="10"/>
      <c r="P296" s="18"/>
      <c r="Q296" s="11"/>
      <c r="R296" s="18"/>
      <c r="S296" s="18"/>
      <c r="T296" s="10"/>
      <c r="U296" s="18"/>
      <c r="V296" s="11"/>
      <c r="W296" s="28"/>
      <c r="AA296" s="28"/>
      <c r="AB296" s="46"/>
      <c r="AC296" s="47"/>
      <c r="AD296" s="48"/>
      <c r="AE296" s="47"/>
      <c r="AF296" s="48"/>
      <c r="AG296" s="48"/>
      <c r="AH296" s="47"/>
      <c r="AI296" s="49"/>
      <c r="AJ296" s="49"/>
      <c r="AK296" s="48">
        <v>1</v>
      </c>
      <c r="AL296" s="48" t="s">
        <v>145</v>
      </c>
      <c r="AM296" s="49"/>
      <c r="AN296" s="28"/>
      <c r="AP296" s="36" t="s">
        <v>67</v>
      </c>
      <c r="AQ296" s="10">
        <v>21</v>
      </c>
      <c r="AR296" s="18">
        <v>29</v>
      </c>
      <c r="AS296" s="42"/>
      <c r="AT296" s="11"/>
      <c r="AU296" s="18"/>
      <c r="AV296" s="18"/>
      <c r="AW296" s="18"/>
      <c r="AX296" s="18"/>
      <c r="AY296" s="11"/>
      <c r="AZ296" s="28"/>
      <c r="BA296" s="28" t="s">
        <v>6</v>
      </c>
      <c r="BB296" s="127" t="s">
        <v>403</v>
      </c>
      <c r="BC296" s="67">
        <v>5</v>
      </c>
      <c r="BD296" s="56">
        <v>8</v>
      </c>
      <c r="BH296" s="42"/>
      <c r="BI296" s="40"/>
      <c r="BJ296" s="42"/>
      <c r="BK296" s="28"/>
      <c r="BL296" s="40"/>
    </row>
    <row r="297" spans="1:65" ht="15" thickBot="1" x14ac:dyDescent="0.35">
      <c r="A297" s="10" t="s">
        <v>120</v>
      </c>
      <c r="B297" s="42">
        <v>4848</v>
      </c>
      <c r="C297" s="40">
        <v>5826</v>
      </c>
      <c r="D297" s="3"/>
      <c r="E297" s="91" t="s">
        <v>60</v>
      </c>
      <c r="F297" s="18"/>
      <c r="G297" s="12">
        <v>6957</v>
      </c>
      <c r="H297" s="84">
        <v>61</v>
      </c>
      <c r="I297" s="37" t="s">
        <v>148</v>
      </c>
      <c r="J297" s="11"/>
      <c r="K297" s="28"/>
      <c r="L297" s="12"/>
      <c r="M297" s="18"/>
      <c r="N297" s="18"/>
      <c r="O297" s="10"/>
      <c r="P297" s="18"/>
      <c r="Q297" s="11"/>
      <c r="R297" s="18"/>
      <c r="S297" s="18"/>
      <c r="T297" s="10"/>
      <c r="U297" s="18"/>
      <c r="V297" s="11"/>
      <c r="W297" s="28"/>
      <c r="AA297" s="28"/>
      <c r="AB297" s="42"/>
      <c r="AC297" s="42"/>
      <c r="AD297" s="40"/>
      <c r="AE297" s="28"/>
      <c r="AF297" s="28"/>
      <c r="AG297" s="28"/>
      <c r="AH297" s="42"/>
      <c r="AI297" s="28"/>
      <c r="AJ297" s="41"/>
      <c r="AK297" s="28" t="s">
        <v>149</v>
      </c>
      <c r="AL297" s="28"/>
      <c r="AM297" s="40"/>
      <c r="AN297" s="28" t="s">
        <v>6</v>
      </c>
      <c r="AO297" s="95"/>
      <c r="AP297" s="13" t="s">
        <v>84</v>
      </c>
      <c r="AQ297" s="13">
        <f>SUM(AQ285:AQ296)</f>
        <v>277</v>
      </c>
      <c r="AR297" s="27">
        <f>SUM(AR285:AR296)</f>
        <v>227</v>
      </c>
      <c r="AS297" s="47"/>
      <c r="AT297" s="26">
        <f>SUM(AT289:AT296)</f>
        <v>0</v>
      </c>
      <c r="AU297" s="27"/>
      <c r="AV297" s="27"/>
      <c r="AW297" s="27"/>
      <c r="AX297" s="27"/>
      <c r="AY297" s="26">
        <f>SUM(AV289:AV291)</f>
        <v>90</v>
      </c>
      <c r="AZ297" s="28"/>
      <c r="BA297" s="28"/>
      <c r="BB297" s="52" t="s">
        <v>133</v>
      </c>
      <c r="BC297" s="67">
        <f>11+4+5</f>
        <v>20</v>
      </c>
      <c r="BD297" s="56">
        <f>11+3</f>
        <v>14</v>
      </c>
      <c r="BE297" s="54" t="s">
        <v>150</v>
      </c>
      <c r="BF297" s="54"/>
      <c r="BG297" s="45"/>
      <c r="BH297" s="10"/>
      <c r="BI297" s="40"/>
      <c r="BJ297" s="42" t="s">
        <v>151</v>
      </c>
      <c r="BK297" s="28"/>
      <c r="BL297" s="96"/>
    </row>
    <row r="298" spans="1:65" ht="15" thickBot="1" x14ac:dyDescent="0.35">
      <c r="A298" s="10" t="s">
        <v>84</v>
      </c>
      <c r="B298" s="42">
        <f>SUM(B295:B297)</f>
        <v>23919</v>
      </c>
      <c r="C298" s="40">
        <f>SUM(C295:C297)</f>
        <v>27070</v>
      </c>
      <c r="D298" s="3"/>
      <c r="E298" s="91" t="s">
        <v>60</v>
      </c>
      <c r="F298" s="18"/>
      <c r="G298" s="12">
        <f>SUM(G295:G297)</f>
        <v>34592</v>
      </c>
      <c r="H298" s="42">
        <v>32</v>
      </c>
      <c r="I298" s="54" t="s">
        <v>152</v>
      </c>
      <c r="J298" s="40"/>
      <c r="K298" s="28"/>
      <c r="L298" s="44"/>
      <c r="M298" s="18"/>
      <c r="N298" s="18"/>
      <c r="O298" s="10"/>
      <c r="P298" s="18"/>
      <c r="Q298" s="11"/>
      <c r="R298" s="18"/>
      <c r="S298" s="18"/>
      <c r="T298" s="10"/>
      <c r="U298" s="18"/>
      <c r="V298" s="11"/>
      <c r="W298" s="28"/>
      <c r="Y298" t="s">
        <v>6</v>
      </c>
      <c r="AB298" s="36" t="s">
        <v>99</v>
      </c>
      <c r="AC298" s="10">
        <v>0</v>
      </c>
      <c r="AD298" s="11">
        <v>0</v>
      </c>
      <c r="AE298" s="18">
        <v>0</v>
      </c>
      <c r="AF298" s="18">
        <v>0</v>
      </c>
      <c r="AG298" s="18">
        <v>0</v>
      </c>
      <c r="AH298" s="52">
        <v>70899</v>
      </c>
      <c r="AI298" s="45">
        <v>9252</v>
      </c>
      <c r="AJ298" s="41">
        <v>0</v>
      </c>
      <c r="AK298" s="45">
        <v>4</v>
      </c>
      <c r="AL298" s="37" t="s">
        <v>153</v>
      </c>
      <c r="AM298" s="40"/>
      <c r="AP298" s="32"/>
      <c r="AQ298" s="53"/>
      <c r="AR298" s="97"/>
      <c r="AS298" s="33"/>
      <c r="AT298" s="7"/>
      <c r="AU298" s="6"/>
      <c r="AV298" s="8"/>
      <c r="AW298" s="31"/>
      <c r="AX298" s="8"/>
      <c r="AY298" s="7"/>
      <c r="AZ298" s="28"/>
      <c r="BA298" s="28"/>
      <c r="BB298" s="52" t="s">
        <v>85</v>
      </c>
      <c r="BC298" s="42">
        <v>3</v>
      </c>
      <c r="BD298" s="56">
        <v>0</v>
      </c>
      <c r="BE298" s="28"/>
      <c r="BF298" s="54"/>
      <c r="BG298" s="28"/>
      <c r="BH298" s="84"/>
      <c r="BI298" s="56"/>
      <c r="BJ298" s="42" t="s">
        <v>404</v>
      </c>
      <c r="BK298" s="28" t="s">
        <v>161</v>
      </c>
      <c r="BL298" s="40" t="s">
        <v>405</v>
      </c>
    </row>
    <row r="299" spans="1:65" ht="16.2" thickBot="1" x14ac:dyDescent="0.35">
      <c r="A299" s="13"/>
      <c r="B299" s="47"/>
      <c r="C299" s="49"/>
      <c r="D299" s="27"/>
      <c r="E299" s="27"/>
      <c r="F299" s="27"/>
      <c r="G299" s="17"/>
      <c r="H299" s="47"/>
      <c r="I299" s="27"/>
      <c r="J299" s="60">
        <f>SUM(H296:H298)</f>
        <v>185</v>
      </c>
      <c r="K299" s="28"/>
      <c r="L299" s="12"/>
      <c r="M299" s="18"/>
      <c r="N299" s="18"/>
      <c r="O299" s="10"/>
      <c r="P299" s="18"/>
      <c r="Q299" s="11"/>
      <c r="R299" s="18"/>
      <c r="S299" s="18"/>
      <c r="T299" s="10"/>
      <c r="U299" s="18"/>
      <c r="V299" s="11"/>
      <c r="W299" s="28"/>
      <c r="AB299" s="32"/>
      <c r="AC299" s="6"/>
      <c r="AD299" s="7"/>
      <c r="AE299" s="8"/>
      <c r="AF299" s="8"/>
      <c r="AG299" s="8"/>
      <c r="AH299" s="6"/>
      <c r="AI299" s="7"/>
      <c r="AJ299" s="8"/>
      <c r="AK299" s="29" t="s">
        <v>157</v>
      </c>
      <c r="AL299" s="8"/>
      <c r="AM299" s="7"/>
      <c r="AP299" s="62"/>
      <c r="AQ299" s="72"/>
      <c r="AR299" s="73"/>
      <c r="AS299" s="47"/>
      <c r="AT299" s="49"/>
      <c r="AU299" s="47"/>
      <c r="AV299" s="48"/>
      <c r="AW299" s="48"/>
      <c r="AX299" s="48"/>
      <c r="AY299" s="49"/>
      <c r="AZ299" s="28"/>
      <c r="BA299" s="28"/>
      <c r="BB299" s="151" t="s">
        <v>306</v>
      </c>
      <c r="BC299" s="36">
        <v>5</v>
      </c>
      <c r="BD299" s="39">
        <v>7</v>
      </c>
      <c r="BE299" s="18"/>
      <c r="BF299" s="18"/>
      <c r="BG299" s="18"/>
      <c r="BH299" s="10"/>
      <c r="BI299" s="11"/>
      <c r="BJ299" s="98" t="s">
        <v>406</v>
      </c>
      <c r="BK299" s="28" t="s">
        <v>379</v>
      </c>
      <c r="BL299" s="99" t="s">
        <v>378</v>
      </c>
    </row>
    <row r="300" spans="1:65" ht="16.2" thickBot="1" x14ac:dyDescent="0.35">
      <c r="A300" s="6" t="s">
        <v>105</v>
      </c>
      <c r="B300" s="6">
        <v>1155</v>
      </c>
      <c r="C300" s="7">
        <v>1348</v>
      </c>
      <c r="D300" s="8"/>
      <c r="E300" s="80">
        <v>1123</v>
      </c>
      <c r="F300" s="66"/>
      <c r="G300" s="8"/>
      <c r="H300" s="6" t="s">
        <v>162</v>
      </c>
      <c r="I300" s="8"/>
      <c r="J300" s="7"/>
      <c r="K300" s="28"/>
      <c r="L300" s="17"/>
      <c r="M300" s="27"/>
      <c r="N300" s="27"/>
      <c r="O300" s="13"/>
      <c r="P300" s="27"/>
      <c r="Q300" s="26"/>
      <c r="R300" s="27"/>
      <c r="S300" s="27"/>
      <c r="T300" s="13"/>
      <c r="U300" s="27"/>
      <c r="V300" s="26"/>
      <c r="W300" s="28"/>
      <c r="AB300" s="68" t="s">
        <v>99</v>
      </c>
      <c r="AC300" s="42">
        <v>0</v>
      </c>
      <c r="AD300" s="40">
        <v>0</v>
      </c>
      <c r="AE300">
        <v>0</v>
      </c>
      <c r="AF300">
        <v>0</v>
      </c>
      <c r="AG300">
        <v>0</v>
      </c>
      <c r="AH300" s="42">
        <v>215937</v>
      </c>
      <c r="AI300" s="40">
        <v>63899</v>
      </c>
      <c r="AJ300" s="43">
        <v>0</v>
      </c>
      <c r="AK300" s="42">
        <v>5</v>
      </c>
      <c r="AL300" s="54" t="s">
        <v>163</v>
      </c>
      <c r="AM300" s="40"/>
      <c r="AP300" s="67" t="s">
        <v>63</v>
      </c>
      <c r="AQ300" s="33">
        <v>4</v>
      </c>
      <c r="AR300" s="35">
        <v>9</v>
      </c>
      <c r="AU300" s="33"/>
      <c r="AV300" s="34"/>
      <c r="AW300" s="34"/>
      <c r="AX300" s="34"/>
      <c r="AY300" s="35"/>
      <c r="AZ300" s="28"/>
      <c r="BA300" s="28"/>
      <c r="BB300" s="92" t="s">
        <v>358</v>
      </c>
      <c r="BC300" s="42">
        <v>2</v>
      </c>
      <c r="BD300" s="40">
        <v>5</v>
      </c>
      <c r="BE300" s="18"/>
      <c r="BF300" s="18"/>
      <c r="BG300" s="18"/>
      <c r="BH300" s="10"/>
      <c r="BI300" s="11"/>
      <c r="BJ300" s="98" t="s">
        <v>407</v>
      </c>
      <c r="BK300" s="100" t="s">
        <v>180</v>
      </c>
      <c r="BL300" s="39" t="s">
        <v>318</v>
      </c>
    </row>
    <row r="301" spans="1:65" ht="15" thickBot="1" x14ac:dyDescent="0.35">
      <c r="A301" s="36" t="s">
        <v>99</v>
      </c>
      <c r="B301" s="10">
        <v>629</v>
      </c>
      <c r="C301" s="11">
        <v>679</v>
      </c>
      <c r="D301" s="18"/>
      <c r="E301" s="18">
        <v>1004</v>
      </c>
      <c r="F301" s="85"/>
      <c r="G301" s="18"/>
      <c r="H301" s="42"/>
      <c r="I301" s="54"/>
      <c r="J301" s="11"/>
      <c r="L301" s="101" t="s">
        <v>84</v>
      </c>
      <c r="M301" s="102">
        <f>SUM(M295+M290+M285+M283+M279+M274)</f>
        <v>70345</v>
      </c>
      <c r="N301" s="102">
        <f>SUM(N295+N290+N285+N283+N279+N274)</f>
        <v>143524</v>
      </c>
      <c r="O301" s="103">
        <v>0</v>
      </c>
      <c r="P301" s="102">
        <v>0</v>
      </c>
      <c r="Q301" s="104">
        <v>0</v>
      </c>
      <c r="R301" s="102">
        <f>SUM(R295+R290+R285+R283+R274+R279)</f>
        <v>4680</v>
      </c>
      <c r="S301" s="102">
        <f>SUM(S295+S290+S283+S279+S274)</f>
        <v>261</v>
      </c>
      <c r="T301" s="105"/>
      <c r="U301" s="102"/>
      <c r="V301" s="106"/>
      <c r="AB301" s="44" t="s">
        <v>6</v>
      </c>
      <c r="AC301" s="10"/>
      <c r="AD301" s="11"/>
      <c r="AE301" s="18"/>
      <c r="AF301" s="18"/>
      <c r="AG301" s="18"/>
      <c r="AH301" s="10"/>
      <c r="AI301" s="11"/>
      <c r="AJ301" s="18"/>
      <c r="AK301" s="10">
        <v>8</v>
      </c>
      <c r="AL301" s="37" t="s">
        <v>153</v>
      </c>
      <c r="AM301" s="11"/>
      <c r="AP301" s="67" t="s">
        <v>168</v>
      </c>
      <c r="AQ301" s="42">
        <v>0</v>
      </c>
      <c r="AR301" s="40">
        <v>0</v>
      </c>
      <c r="AU301" s="42"/>
      <c r="AV301" s="28"/>
      <c r="AW301" s="28"/>
      <c r="AX301" s="28"/>
      <c r="AY301" s="40"/>
      <c r="AZ301" s="28"/>
      <c r="BA301" s="28"/>
      <c r="BB301" s="36" t="s">
        <v>169</v>
      </c>
      <c r="BC301" s="36">
        <v>4</v>
      </c>
      <c r="BD301" s="39">
        <v>14</v>
      </c>
      <c r="BE301" s="18"/>
      <c r="BF301" s="18"/>
      <c r="BG301" s="18"/>
      <c r="BH301" s="10"/>
      <c r="BI301" s="11"/>
      <c r="BJ301" s="98" t="s">
        <v>186</v>
      </c>
      <c r="BK301" s="37" t="s">
        <v>408</v>
      </c>
      <c r="BL301" s="39" t="s">
        <v>409</v>
      </c>
    </row>
    <row r="302" spans="1:65" ht="15" thickBot="1" x14ac:dyDescent="0.35">
      <c r="A302" s="10"/>
      <c r="B302" s="10"/>
      <c r="C302" s="39"/>
      <c r="D302" s="18"/>
      <c r="E302" s="18"/>
      <c r="F302" s="85"/>
      <c r="G302" s="18"/>
      <c r="H302" s="42">
        <v>45</v>
      </c>
      <c r="I302" s="37" t="s">
        <v>101</v>
      </c>
      <c r="J302" s="11"/>
      <c r="AB302" s="46" t="s">
        <v>6</v>
      </c>
      <c r="AC302" s="47"/>
      <c r="AD302" s="49"/>
      <c r="AE302" s="48"/>
      <c r="AF302" s="48"/>
      <c r="AG302" s="48"/>
      <c r="AH302" s="47"/>
      <c r="AI302" s="49"/>
      <c r="AJ302" s="48"/>
      <c r="AK302" s="47"/>
      <c r="AL302" s="48"/>
      <c r="AM302" s="49"/>
      <c r="AP302" s="52" t="s">
        <v>56</v>
      </c>
      <c r="AQ302" s="52">
        <v>0</v>
      </c>
      <c r="AR302" s="85">
        <v>0</v>
      </c>
      <c r="AS302" s="28"/>
      <c r="AT302" s="28"/>
      <c r="AU302" s="42"/>
      <c r="AV302" s="28" t="s">
        <v>173</v>
      </c>
      <c r="AW302" s="28"/>
      <c r="AX302" s="28"/>
      <c r="AY302" s="40"/>
      <c r="AZ302" s="28"/>
      <c r="BA302" s="28"/>
      <c r="BB302" s="36" t="s">
        <v>93</v>
      </c>
      <c r="BC302" s="36">
        <v>20</v>
      </c>
      <c r="BD302" s="39">
        <v>24</v>
      </c>
      <c r="BE302" s="18"/>
      <c r="BF302" s="18"/>
      <c r="BG302" s="18"/>
      <c r="BH302" s="10"/>
      <c r="BI302" s="11"/>
      <c r="BJ302" s="52" t="s">
        <v>410</v>
      </c>
      <c r="BK302" s="37" t="s">
        <v>411</v>
      </c>
      <c r="BL302" s="39" t="s">
        <v>412</v>
      </c>
    </row>
    <row r="303" spans="1:65" ht="15" thickBot="1" x14ac:dyDescent="0.35">
      <c r="A303" s="13" t="s">
        <v>84</v>
      </c>
      <c r="B303" s="13">
        <f>SUM(B300:B302)</f>
        <v>1784</v>
      </c>
      <c r="C303" s="26">
        <f>SUM(C300:C302)</f>
        <v>2027</v>
      </c>
      <c r="D303" s="27"/>
      <c r="E303" s="27">
        <f>SUM(E300:E302)</f>
        <v>2127</v>
      </c>
      <c r="F303" s="26"/>
      <c r="G303" s="27">
        <v>7110</v>
      </c>
      <c r="H303" s="13"/>
      <c r="I303" s="81"/>
      <c r="J303" s="26">
        <f>SUM(H301:H302)</f>
        <v>45</v>
      </c>
      <c r="L303" t="s">
        <v>6</v>
      </c>
      <c r="M303" s="115"/>
      <c r="AB303" s="6"/>
      <c r="AC303" s="6"/>
      <c r="AD303" s="7"/>
      <c r="AE303" s="8"/>
      <c r="AF303" s="8"/>
      <c r="AG303" s="8"/>
      <c r="AH303" s="6"/>
      <c r="AI303" s="7"/>
      <c r="AJ303" s="8"/>
      <c r="AK303" s="29"/>
      <c r="AL303" s="8"/>
      <c r="AM303" s="7"/>
      <c r="AN303" s="45"/>
      <c r="AP303" s="52" t="s">
        <v>67</v>
      </c>
      <c r="AQ303" s="52">
        <v>10</v>
      </c>
      <c r="AR303" s="56">
        <v>5</v>
      </c>
      <c r="AU303" s="42"/>
      <c r="AV303" s="28"/>
      <c r="AW303" s="28"/>
      <c r="AX303" s="28"/>
      <c r="AY303" s="40"/>
      <c r="AZ303" s="28"/>
      <c r="BA303" s="28"/>
      <c r="BB303" s="150" t="s">
        <v>413</v>
      </c>
      <c r="BC303" s="36">
        <v>4</v>
      </c>
      <c r="BD303" s="39">
        <v>0</v>
      </c>
      <c r="BE303" s="18"/>
      <c r="BF303" s="37"/>
      <c r="BG303" s="18"/>
      <c r="BH303" s="10"/>
      <c r="BI303" s="11"/>
      <c r="BJ303" s="93" t="s">
        <v>283</v>
      </c>
      <c r="BK303" s="54" t="s">
        <v>414</v>
      </c>
      <c r="BL303" s="39" t="s">
        <v>415</v>
      </c>
    </row>
    <row r="304" spans="1:65" ht="15" thickBot="1" x14ac:dyDescent="0.35">
      <c r="A304" s="42" t="s">
        <v>181</v>
      </c>
      <c r="B304" s="42">
        <v>690</v>
      </c>
      <c r="C304" s="40">
        <v>624</v>
      </c>
      <c r="D304" s="28"/>
      <c r="E304" s="107" t="s">
        <v>60</v>
      </c>
      <c r="F304" s="43"/>
      <c r="G304" s="41">
        <f>4*154</f>
        <v>616</v>
      </c>
      <c r="H304" s="18" t="s">
        <v>182</v>
      </c>
      <c r="I304" s="28"/>
      <c r="J304" s="11"/>
      <c r="K304" s="43"/>
      <c r="M304" s="126"/>
      <c r="AB304" s="36"/>
      <c r="AC304" s="10"/>
      <c r="AD304" s="11"/>
      <c r="AE304" s="18"/>
      <c r="AF304" s="18"/>
      <c r="AG304" s="18"/>
      <c r="AH304" s="36"/>
      <c r="AI304" s="11"/>
      <c r="AJ304" s="18"/>
      <c r="AK304" s="36"/>
      <c r="AL304" s="37"/>
      <c r="AM304" s="11"/>
      <c r="AN304" s="45"/>
      <c r="AP304" s="10" t="s">
        <v>78</v>
      </c>
      <c r="AQ304" s="52">
        <v>0</v>
      </c>
      <c r="AR304" s="85">
        <v>0</v>
      </c>
      <c r="AS304" s="28"/>
      <c r="AT304" s="28"/>
      <c r="AU304" s="42"/>
      <c r="AV304" s="28">
        <v>11</v>
      </c>
      <c r="AW304" s="28" t="s">
        <v>183</v>
      </c>
      <c r="AX304" s="28"/>
      <c r="AY304" s="40"/>
      <c r="AZ304" s="37"/>
      <c r="BA304" s="37"/>
      <c r="BB304" s="36" t="s">
        <v>184</v>
      </c>
      <c r="BC304" s="36">
        <v>2</v>
      </c>
      <c r="BD304" s="39">
        <f>2+4+3+1</f>
        <v>10</v>
      </c>
      <c r="BE304" s="18"/>
      <c r="BF304" s="18"/>
      <c r="BG304" s="18"/>
      <c r="BH304" s="10"/>
      <c r="BI304" s="11"/>
      <c r="BJ304" s="36" t="s">
        <v>416</v>
      </c>
      <c r="BK304" s="37" t="s">
        <v>417</v>
      </c>
      <c r="BL304" s="40" t="s">
        <v>418</v>
      </c>
    </row>
    <row r="305" spans="1:64" ht="15" thickBot="1" x14ac:dyDescent="0.35">
      <c r="A305" s="42" t="s">
        <v>120</v>
      </c>
      <c r="B305" s="42">
        <v>2512</v>
      </c>
      <c r="C305" s="40">
        <v>3629</v>
      </c>
      <c r="D305" s="28"/>
      <c r="E305" s="107" t="s">
        <v>60</v>
      </c>
      <c r="F305" s="43"/>
      <c r="G305" s="68">
        <f>31*160</f>
        <v>4960</v>
      </c>
      <c r="H305" s="43">
        <v>31</v>
      </c>
      <c r="I305" s="28" t="s">
        <v>188</v>
      </c>
      <c r="J305" s="11"/>
      <c r="K305" s="28"/>
      <c r="M305" s="126"/>
      <c r="AA305" s="28"/>
      <c r="AB305" s="103" t="s">
        <v>84</v>
      </c>
      <c r="AC305" s="103">
        <f>SUM(AC304+AC300+AC298+AC295+AC292+AC290+AC286+AC282+AC279+AC276+AC277)</f>
        <v>1839</v>
      </c>
      <c r="AD305" s="104">
        <f>SUM(AD304+AD300+AD298+AD295+AD292+AD286+AD282+AD279+AD277+AD276)</f>
        <v>1727</v>
      </c>
      <c r="AE305" s="103">
        <v>0</v>
      </c>
      <c r="AF305" s="102">
        <v>0</v>
      </c>
      <c r="AG305" s="102">
        <v>0</v>
      </c>
      <c r="AH305" s="109">
        <f>SUM(AH304+AH300+AH298+AH295+AH292+AH290+AH286+AH282+AH279+AH277+AH276)</f>
        <v>288025</v>
      </c>
      <c r="AI305" s="110">
        <f>SUM(AI304+AI300+AI298+AI295+AI290+AI286+AI281+AI279+AI277+AI276)</f>
        <v>84328</v>
      </c>
      <c r="AJ305" s="110">
        <v>0</v>
      </c>
      <c r="AK305" s="111" t="s">
        <v>189</v>
      </c>
      <c r="AL305" s="111"/>
      <c r="AM305" s="104">
        <f>SUM(AK276:AK304)</f>
        <v>45</v>
      </c>
      <c r="AN305" s="45"/>
      <c r="AP305" s="52" t="s">
        <v>81</v>
      </c>
      <c r="AQ305" s="52">
        <v>2</v>
      </c>
      <c r="AR305" s="85">
        <v>2</v>
      </c>
      <c r="AS305" s="28"/>
      <c r="AT305" s="28"/>
      <c r="AU305" s="42"/>
      <c r="AV305" s="28" t="s">
        <v>6</v>
      </c>
      <c r="AW305" s="28"/>
      <c r="AX305" s="28"/>
      <c r="AY305" s="40"/>
      <c r="AZ305" s="28"/>
      <c r="BA305" s="28"/>
      <c r="BB305" s="150" t="s">
        <v>211</v>
      </c>
      <c r="BC305" s="36">
        <v>1</v>
      </c>
      <c r="BD305" s="39">
        <v>0</v>
      </c>
      <c r="BE305" s="18"/>
      <c r="BF305" s="18"/>
      <c r="BG305" s="18"/>
      <c r="BH305" s="10"/>
      <c r="BI305" s="11"/>
      <c r="BJ305" s="112" t="s">
        <v>419</v>
      </c>
      <c r="BK305" s="37" t="s">
        <v>420</v>
      </c>
      <c r="BL305" s="39" t="s">
        <v>421</v>
      </c>
    </row>
    <row r="306" spans="1:64" x14ac:dyDescent="0.3">
      <c r="A306" s="42" t="s">
        <v>84</v>
      </c>
      <c r="B306" s="42">
        <f>SUM(B304:B305)</f>
        <v>3202</v>
      </c>
      <c r="C306" s="40">
        <f>SUM(C304:C305)</f>
        <v>4253</v>
      </c>
      <c r="D306" s="28"/>
      <c r="E306" s="107" t="s">
        <v>60</v>
      </c>
      <c r="F306" s="43"/>
      <c r="G306" s="41">
        <f>SUM(G304:G305)</f>
        <v>5576</v>
      </c>
      <c r="H306" s="28">
        <v>5</v>
      </c>
      <c r="I306" s="43" t="s">
        <v>101</v>
      </c>
      <c r="J306" s="40"/>
      <c r="K306" s="28"/>
      <c r="L306" s="28"/>
      <c r="N306" s="113"/>
      <c r="AA306" s="28"/>
      <c r="AB306" s="52" t="s">
        <v>193</v>
      </c>
      <c r="AC306" s="28"/>
      <c r="AD306" s="28"/>
      <c r="AE306" s="28"/>
      <c r="AF306" s="28"/>
      <c r="AG306" s="28"/>
      <c r="AH306" s="28"/>
      <c r="AI306" s="28"/>
      <c r="AM306" t="s">
        <v>6</v>
      </c>
      <c r="AN306" s="45"/>
      <c r="AP306" s="52" t="s">
        <v>72</v>
      </c>
      <c r="AQ306" s="52">
        <v>0</v>
      </c>
      <c r="AR306" s="85">
        <v>0</v>
      </c>
      <c r="AU306" s="42"/>
      <c r="AV306" s="28"/>
      <c r="AW306" s="28"/>
      <c r="AX306" s="28"/>
      <c r="AY306" s="40"/>
      <c r="AZ306" s="28"/>
      <c r="BB306" s="98" t="s">
        <v>422</v>
      </c>
      <c r="BC306" s="36">
        <v>0</v>
      </c>
      <c r="BD306" s="39">
        <v>4</v>
      </c>
      <c r="BE306" s="18"/>
      <c r="BF306" s="18"/>
      <c r="BG306" s="18"/>
      <c r="BH306" s="10"/>
      <c r="BI306" s="11"/>
      <c r="BJ306" s="36" t="s">
        <v>423</v>
      </c>
      <c r="BK306" s="37" t="s">
        <v>424</v>
      </c>
      <c r="BL306" s="114" t="s">
        <v>425</v>
      </c>
    </row>
    <row r="307" spans="1:64" ht="15" thickBot="1" x14ac:dyDescent="0.35">
      <c r="A307" s="13"/>
      <c r="B307" s="10"/>
      <c r="C307" s="11"/>
      <c r="D307" s="27"/>
      <c r="E307" s="27"/>
      <c r="F307" s="27"/>
      <c r="G307" s="17"/>
      <c r="H307" s="48">
        <v>0</v>
      </c>
      <c r="I307" s="48" t="s">
        <v>284</v>
      </c>
      <c r="J307" s="49">
        <f>SUM(H305:H307)</f>
        <v>36</v>
      </c>
      <c r="L307" s="108"/>
      <c r="M307" s="115"/>
      <c r="O307" s="116"/>
      <c r="AA307" s="28"/>
      <c r="AN307" s="45"/>
      <c r="AP307" s="52" t="s">
        <v>84</v>
      </c>
      <c r="AQ307" s="47">
        <f>SUM(AQ300:AQ306)</f>
        <v>16</v>
      </c>
      <c r="AR307" s="49">
        <f>SUM(AR300:AR306)</f>
        <v>16</v>
      </c>
      <c r="AS307" s="28"/>
      <c r="AT307" s="28"/>
      <c r="AU307" s="47"/>
      <c r="AV307" s="48"/>
      <c r="AW307" s="48"/>
      <c r="AX307" s="48"/>
      <c r="AY307" s="49">
        <f>SUM(AV304)</f>
        <v>11</v>
      </c>
      <c r="AZ307" s="28"/>
      <c r="BB307" s="36" t="s">
        <v>426</v>
      </c>
      <c r="BC307" s="36">
        <v>4</v>
      </c>
      <c r="BD307" s="39">
        <v>0</v>
      </c>
      <c r="BE307" s="18"/>
      <c r="BF307" s="18"/>
      <c r="BG307" s="18"/>
      <c r="BH307" s="10"/>
      <c r="BI307" s="11"/>
      <c r="BJ307" s="36" t="s">
        <v>427</v>
      </c>
      <c r="BK307" s="37" t="s">
        <v>428</v>
      </c>
      <c r="BL307" s="39"/>
    </row>
    <row r="308" spans="1:64" ht="16.2" thickBot="1" x14ac:dyDescent="0.35">
      <c r="A308" s="117" t="s">
        <v>84</v>
      </c>
      <c r="B308" s="118">
        <f>SUM(B306+B303+B298+B294+B291+B288+B285+B281+B277+B274)</f>
        <v>42911</v>
      </c>
      <c r="C308" s="120">
        <f>SUM(C306+C303+C298+C294+C291+C288+C285+C281+C277+C274)</f>
        <v>51720</v>
      </c>
      <c r="D308" s="119"/>
      <c r="E308" s="119">
        <f>SUM(E303+E288)</f>
        <v>3014</v>
      </c>
      <c r="F308" s="120"/>
      <c r="G308" s="121">
        <f>SUM(G306+G303+G298+G293+G291+G284+G281+G277+G274+G288)</f>
        <v>74370</v>
      </c>
      <c r="H308" s="13" t="s">
        <v>199</v>
      </c>
      <c r="I308" s="81"/>
      <c r="J308" s="26">
        <f>SUM(J275:J307)</f>
        <v>436</v>
      </c>
      <c r="O308" s="122"/>
      <c r="AN308" s="45"/>
      <c r="AP308" s="32" t="s">
        <v>63</v>
      </c>
      <c r="AQ308" s="123">
        <v>2</v>
      </c>
      <c r="AR308" s="123">
        <v>5</v>
      </c>
      <c r="AS308" s="33"/>
      <c r="AT308" s="7"/>
      <c r="AU308" s="6"/>
      <c r="AV308" s="34" t="s">
        <v>140</v>
      </c>
      <c r="AW308" s="8"/>
      <c r="AX308" s="8"/>
      <c r="AY308" s="7"/>
      <c r="AZ308" s="28"/>
      <c r="BB308" s="36" t="s">
        <v>429</v>
      </c>
      <c r="BC308" s="10">
        <v>1</v>
      </c>
      <c r="BD308" s="39">
        <v>2</v>
      </c>
      <c r="BE308" s="18"/>
      <c r="BF308" s="18"/>
      <c r="BG308" s="37"/>
      <c r="BH308" s="10"/>
      <c r="BI308" s="11"/>
      <c r="BJ308" s="124"/>
      <c r="BK308" s="37"/>
      <c r="BL308" s="39"/>
    </row>
    <row r="309" spans="1:64" x14ac:dyDescent="0.3">
      <c r="AN309" s="45"/>
      <c r="AP309" s="44" t="s">
        <v>78</v>
      </c>
      <c r="AQ309" s="37">
        <f>15+4+2</f>
        <v>21</v>
      </c>
      <c r="AR309" s="37">
        <f>11+4+4</f>
        <v>19</v>
      </c>
      <c r="AS309" s="42"/>
      <c r="AT309" s="11"/>
      <c r="AU309" s="10"/>
      <c r="AV309" s="37">
        <v>4</v>
      </c>
      <c r="AW309" s="37" t="s">
        <v>204</v>
      </c>
      <c r="AX309" s="18"/>
      <c r="AY309" s="11"/>
      <c r="AZ309" s="28"/>
      <c r="BB309" s="93" t="s">
        <v>430</v>
      </c>
      <c r="BC309" s="10">
        <v>1</v>
      </c>
      <c r="BD309" s="39">
        <v>1</v>
      </c>
      <c r="BE309" s="18"/>
      <c r="BF309" s="18"/>
      <c r="BG309" s="18"/>
      <c r="BH309" s="10"/>
      <c r="BI309" s="11"/>
      <c r="BJ309" s="52"/>
      <c r="BK309" s="37"/>
      <c r="BL309" s="39"/>
    </row>
    <row r="310" spans="1:64" x14ac:dyDescent="0.3">
      <c r="AN310" s="45"/>
      <c r="AP310" s="125" t="s">
        <v>209</v>
      </c>
      <c r="AQ310" s="54">
        <v>0</v>
      </c>
      <c r="AR310" s="54">
        <v>0</v>
      </c>
      <c r="AS310" s="42"/>
      <c r="AT310" s="40"/>
      <c r="AU310" s="42"/>
      <c r="AV310" s="28">
        <v>0</v>
      </c>
      <c r="AW310" s="28" t="s">
        <v>210</v>
      </c>
      <c r="AX310" s="28"/>
      <c r="AY310" s="40"/>
      <c r="AZ310" s="28"/>
      <c r="BB310" s="92" t="s">
        <v>64</v>
      </c>
      <c r="BC310" s="84">
        <v>1</v>
      </c>
      <c r="BD310" s="86">
        <v>0</v>
      </c>
      <c r="BE310" s="45"/>
      <c r="BF310" s="45"/>
      <c r="BG310" s="45"/>
      <c r="BH310" s="10"/>
      <c r="BI310" s="11"/>
      <c r="BJ310" s="112"/>
      <c r="BK310" s="54"/>
      <c r="BL310" s="86"/>
    </row>
    <row r="311" spans="1:64" x14ac:dyDescent="0.3">
      <c r="B311" s="126"/>
      <c r="C311" s="126"/>
      <c r="AN311" s="45"/>
      <c r="AP311" s="44" t="s">
        <v>168</v>
      </c>
      <c r="AQ311" s="37">
        <v>0</v>
      </c>
      <c r="AR311" s="18">
        <v>0</v>
      </c>
      <c r="AS311" s="42"/>
      <c r="AT311" s="11"/>
      <c r="AU311" s="10"/>
      <c r="AV311" s="37">
        <f>5+4+5+5+11</f>
        <v>30</v>
      </c>
      <c r="AW311" s="37" t="s">
        <v>213</v>
      </c>
      <c r="AX311" s="18"/>
      <c r="AY311" s="11"/>
      <c r="BB311" s="127" t="s">
        <v>97</v>
      </c>
      <c r="BC311" s="84">
        <v>12</v>
      </c>
      <c r="BD311" s="86">
        <v>5</v>
      </c>
      <c r="BE311" s="45"/>
      <c r="BF311" s="45"/>
      <c r="BG311" s="45"/>
      <c r="BH311" s="84"/>
      <c r="BI311" s="85"/>
      <c r="BJ311" s="52"/>
      <c r="BK311" s="54"/>
      <c r="BL311" s="40"/>
    </row>
    <row r="312" spans="1:64" x14ac:dyDescent="0.3">
      <c r="AN312" s="45"/>
      <c r="AP312" s="125" t="s">
        <v>81</v>
      </c>
      <c r="AQ312" s="54">
        <v>4</v>
      </c>
      <c r="AR312" s="45">
        <v>6</v>
      </c>
      <c r="AS312" s="42"/>
      <c r="AT312" s="40"/>
      <c r="AU312" s="42"/>
      <c r="AV312" s="54">
        <v>0</v>
      </c>
      <c r="AW312" s="128" t="s">
        <v>235</v>
      </c>
      <c r="AX312" s="28"/>
      <c r="AY312" s="40" t="s">
        <v>6</v>
      </c>
      <c r="BB312" s="127" t="s">
        <v>431</v>
      </c>
      <c r="BC312" s="84">
        <v>4</v>
      </c>
      <c r="BD312" s="86">
        <v>4</v>
      </c>
      <c r="BE312" s="45"/>
      <c r="BF312" s="45"/>
      <c r="BG312" s="45"/>
      <c r="BH312" s="84"/>
      <c r="BI312" s="85"/>
      <c r="BJ312" s="52"/>
      <c r="BK312" s="54"/>
      <c r="BL312" s="40"/>
    </row>
    <row r="313" spans="1:64" x14ac:dyDescent="0.3">
      <c r="AP313" s="125" t="s">
        <v>72</v>
      </c>
      <c r="AQ313" s="54">
        <v>14</v>
      </c>
      <c r="AR313" s="45">
        <v>18</v>
      </c>
      <c r="AS313" s="42"/>
      <c r="AT313" s="40"/>
      <c r="AU313" s="42"/>
      <c r="AV313" s="54">
        <v>14</v>
      </c>
      <c r="AW313" s="54" t="s">
        <v>216</v>
      </c>
      <c r="AX313" s="45"/>
      <c r="AY313" s="40"/>
      <c r="BB313" s="127" t="s">
        <v>99</v>
      </c>
      <c r="BC313" s="84">
        <v>3</v>
      </c>
      <c r="BD313" s="86">
        <v>0</v>
      </c>
      <c r="BE313" s="28"/>
      <c r="BF313" s="45"/>
      <c r="BG313" s="28"/>
      <c r="BH313" s="84"/>
      <c r="BI313" s="85"/>
      <c r="BJ313" s="98"/>
      <c r="BK313" s="54"/>
      <c r="BL313" s="86"/>
    </row>
    <row r="314" spans="1:64" x14ac:dyDescent="0.3">
      <c r="AP314" s="125" t="s">
        <v>115</v>
      </c>
      <c r="AQ314" s="54">
        <v>8</v>
      </c>
      <c r="AR314" s="45">
        <v>7</v>
      </c>
      <c r="AS314" s="42"/>
      <c r="AT314" s="40"/>
      <c r="AU314" s="42"/>
      <c r="AV314" s="54">
        <v>7</v>
      </c>
      <c r="AW314" s="54" t="s">
        <v>217</v>
      </c>
      <c r="AX314" s="28"/>
      <c r="AY314" s="40"/>
      <c r="BB314" s="127" t="s">
        <v>218</v>
      </c>
      <c r="BC314" s="84">
        <v>13</v>
      </c>
      <c r="BD314" s="86">
        <v>18</v>
      </c>
      <c r="BE314" s="28"/>
      <c r="BF314" s="45">
        <v>23</v>
      </c>
      <c r="BG314" s="28"/>
      <c r="BH314" s="84"/>
      <c r="BI314" s="85"/>
      <c r="BJ314" s="52"/>
      <c r="BK314" s="54"/>
      <c r="BL314" s="40"/>
    </row>
    <row r="315" spans="1:64" x14ac:dyDescent="0.3">
      <c r="AP315" s="125" t="s">
        <v>56</v>
      </c>
      <c r="AQ315" s="54">
        <v>3</v>
      </c>
      <c r="AR315" s="45">
        <v>2</v>
      </c>
      <c r="AS315" s="42"/>
      <c r="AT315" s="40"/>
      <c r="AU315" s="42"/>
      <c r="AV315" s="54">
        <v>3</v>
      </c>
      <c r="AW315" s="54" t="s">
        <v>219</v>
      </c>
      <c r="AX315" s="28"/>
      <c r="AY315" s="40"/>
      <c r="BB315" s="98" t="s">
        <v>432</v>
      </c>
      <c r="BC315" s="10">
        <v>7</v>
      </c>
      <c r="BD315" s="11">
        <v>0</v>
      </c>
      <c r="BE315" s="18"/>
      <c r="BF315" s="18"/>
      <c r="BG315" s="18"/>
      <c r="BH315" s="10"/>
      <c r="BI315" s="11"/>
      <c r="BJ315" s="52"/>
      <c r="BK315" s="37"/>
      <c r="BL315" s="129"/>
    </row>
    <row r="316" spans="1:64" ht="15" thickBot="1" x14ac:dyDescent="0.35">
      <c r="AP316" s="125" t="s">
        <v>138</v>
      </c>
      <c r="AQ316" s="54">
        <v>0</v>
      </c>
      <c r="AR316" s="45">
        <v>0</v>
      </c>
      <c r="AS316" s="42"/>
      <c r="AT316" s="40"/>
      <c r="AU316" s="42"/>
      <c r="AV316" s="54">
        <v>11</v>
      </c>
      <c r="AW316" s="54" t="s">
        <v>221</v>
      </c>
      <c r="AX316" s="28"/>
      <c r="AY316" s="40"/>
      <c r="BB316" s="13" t="s">
        <v>84</v>
      </c>
      <c r="BC316" s="13">
        <f>SUM(BC293:BC315)</f>
        <v>214</v>
      </c>
      <c r="BD316" s="26">
        <f>SUM(BD293:BD315)</f>
        <v>223</v>
      </c>
      <c r="BE316" s="27">
        <v>0</v>
      </c>
      <c r="BF316" s="27">
        <f>SUM(BF293:BF315)</f>
        <v>23</v>
      </c>
      <c r="BG316" s="27">
        <v>0</v>
      </c>
      <c r="BH316" s="130">
        <v>0</v>
      </c>
      <c r="BI316" s="26">
        <v>0</v>
      </c>
      <c r="BJ316" s="59"/>
      <c r="BK316" s="27"/>
      <c r="BL316" s="26">
        <f>9+6+11+13+5+11+11+14+7+4+5</f>
        <v>96</v>
      </c>
    </row>
    <row r="317" spans="1:64" ht="15" thickBot="1" x14ac:dyDescent="0.35">
      <c r="AP317" s="125" t="s">
        <v>67</v>
      </c>
      <c r="AQ317" s="54">
        <v>11</v>
      </c>
      <c r="AR317" s="45">
        <f>12+8</f>
        <v>20</v>
      </c>
      <c r="AS317" s="42"/>
      <c r="AT317" s="40"/>
      <c r="AU317" s="42"/>
      <c r="AV317" s="54">
        <v>17</v>
      </c>
      <c r="AW317" s="54" t="s">
        <v>222</v>
      </c>
      <c r="AX317" s="28"/>
      <c r="AY317" s="40"/>
      <c r="BB317" s="13" t="s">
        <v>223</v>
      </c>
      <c r="BC317" s="13">
        <f>SUM(BC316+BC292+BC289+BC285+BC282+BC279+BC277+BC275)</f>
        <v>1847</v>
      </c>
      <c r="BD317" s="26">
        <f>SUM(BD316+BD292+BD289+BD285+BD282+BD279+BD277+BD275)</f>
        <v>1895</v>
      </c>
      <c r="BE317" s="27">
        <f>SUM(BE316+BE292+BE285+BE281+BE279+BE277+BE274)</f>
        <v>0</v>
      </c>
      <c r="BF317" s="27">
        <f>SUM(BF293:BF315)</f>
        <v>23</v>
      </c>
      <c r="BG317" s="27">
        <f>SUM(BG316+BG292+BG285+BG281+BG279+BG277+BG274)</f>
        <v>0</v>
      </c>
      <c r="BH317" s="13">
        <f>SUM(BH316+BH292+BH285+BH281+BH279+BH277+BH274)</f>
        <v>102649</v>
      </c>
      <c r="BI317" s="26">
        <f>SUM(BI316+BI292+BI285+BI281+BI279+BI277+BI274)</f>
        <v>17569</v>
      </c>
      <c r="BJ317" s="81"/>
      <c r="BK317" s="27" t="s">
        <v>189</v>
      </c>
      <c r="BL317" s="26">
        <f>SUM(BL274:BL315)</f>
        <v>172</v>
      </c>
    </row>
    <row r="318" spans="1:64" x14ac:dyDescent="0.3">
      <c r="K318" s="28"/>
      <c r="AP318" s="125" t="s">
        <v>122</v>
      </c>
      <c r="AQ318" s="54">
        <v>0</v>
      </c>
      <c r="AR318" s="45">
        <v>0</v>
      </c>
      <c r="AS318" s="42"/>
      <c r="AT318" s="40"/>
      <c r="AU318" s="42"/>
      <c r="AV318" s="54">
        <v>0</v>
      </c>
      <c r="AW318" s="54" t="s">
        <v>390</v>
      </c>
      <c r="AX318" s="28"/>
      <c r="AY318" s="40"/>
      <c r="BB318" s="131" t="s">
        <v>225</v>
      </c>
      <c r="BD318">
        <f>SUM(BL316)</f>
        <v>96</v>
      </c>
      <c r="BG318" s="132"/>
    </row>
    <row r="319" spans="1:64" x14ac:dyDescent="0.3">
      <c r="K319" s="28"/>
      <c r="AP319" s="125" t="s">
        <v>227</v>
      </c>
      <c r="AQ319" s="54">
        <v>0</v>
      </c>
      <c r="AR319" s="45">
        <v>0</v>
      </c>
      <c r="AS319" s="42"/>
      <c r="AT319" s="40"/>
      <c r="AU319" s="42"/>
      <c r="AV319" s="54">
        <v>6</v>
      </c>
      <c r="AW319" s="54" t="s">
        <v>391</v>
      </c>
      <c r="AX319" s="28"/>
      <c r="AY319" s="40"/>
      <c r="BB319" t="s">
        <v>229</v>
      </c>
      <c r="BD319">
        <v>22</v>
      </c>
    </row>
    <row r="320" spans="1:64" x14ac:dyDescent="0.3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AP320" s="41" t="s">
        <v>230</v>
      </c>
      <c r="AQ320" s="54">
        <f>9+5</f>
        <v>14</v>
      </c>
      <c r="AR320" s="45">
        <f>7+17</f>
        <v>24</v>
      </c>
      <c r="AS320" s="42"/>
      <c r="AT320" s="40"/>
      <c r="AU320" s="42"/>
      <c r="AV320" s="54">
        <v>0</v>
      </c>
      <c r="AW320" s="54" t="s">
        <v>392</v>
      </c>
      <c r="AX320" s="28"/>
      <c r="AY320" s="40"/>
      <c r="BB320" t="s">
        <v>232</v>
      </c>
      <c r="BD320" t="s">
        <v>233</v>
      </c>
      <c r="BF320">
        <f>SUM(AQ325)</f>
        <v>2675</v>
      </c>
      <c r="BH320" t="s">
        <v>234</v>
      </c>
      <c r="BJ320" t="s">
        <v>233</v>
      </c>
      <c r="BL320">
        <f>SUM(BC317)</f>
        <v>1847</v>
      </c>
    </row>
    <row r="321" spans="2:65" ht="18" x14ac:dyDescent="0.35">
      <c r="B321" s="133"/>
      <c r="AP321" s="68" t="s">
        <v>125</v>
      </c>
      <c r="AQ321" s="54">
        <v>0</v>
      </c>
      <c r="AR321" s="45">
        <v>0</v>
      </c>
      <c r="AS321" s="42"/>
      <c r="AT321" s="40"/>
      <c r="AU321" s="42"/>
      <c r="AV321" s="54">
        <v>2</v>
      </c>
      <c r="AW321" s="54" t="s">
        <v>228</v>
      </c>
      <c r="AX321" s="28"/>
      <c r="AY321" s="40"/>
      <c r="BD321" t="s">
        <v>236</v>
      </c>
      <c r="BF321">
        <f>SUM(AR325)</f>
        <v>2665</v>
      </c>
      <c r="BJ321" t="s">
        <v>236</v>
      </c>
      <c r="BL321">
        <f>SUM(BD317)</f>
        <v>1895</v>
      </c>
    </row>
    <row r="322" spans="2:65" x14ac:dyDescent="0.3">
      <c r="AP322" s="68" t="s">
        <v>132</v>
      </c>
      <c r="AQ322" s="54">
        <v>16</v>
      </c>
      <c r="AR322" s="45">
        <v>16</v>
      </c>
      <c r="AS322" s="42"/>
      <c r="AT322" s="40"/>
      <c r="AU322" s="42"/>
      <c r="AV322" s="54">
        <v>1</v>
      </c>
      <c r="AW322" s="54" t="s">
        <v>237</v>
      </c>
      <c r="AX322" s="28"/>
      <c r="AY322" s="40"/>
      <c r="BB322" s="134" t="s">
        <v>238</v>
      </c>
      <c r="BC322" s="135" t="s">
        <v>239</v>
      </c>
      <c r="BD322" s="136"/>
      <c r="BE322" s="134" t="s">
        <v>240</v>
      </c>
      <c r="BF322" s="135" t="s">
        <v>241</v>
      </c>
      <c r="BG322" s="136"/>
      <c r="BH322" s="134"/>
      <c r="BI322" s="135" t="s">
        <v>242</v>
      </c>
      <c r="BJ322" s="137" t="s">
        <v>243</v>
      </c>
      <c r="BK322" s="135"/>
      <c r="BL322" s="135"/>
      <c r="BM322" s="136"/>
    </row>
    <row r="323" spans="2:65" x14ac:dyDescent="0.3">
      <c r="AP323" s="41" t="s">
        <v>6</v>
      </c>
      <c r="AS323" s="42"/>
      <c r="AT323" s="40"/>
      <c r="AU323" s="42"/>
      <c r="AV323" s="54">
        <v>1</v>
      </c>
      <c r="AW323" s="54" t="s">
        <v>433</v>
      </c>
      <c r="AX323" s="28"/>
      <c r="AY323" s="40"/>
      <c r="BB323" s="138" t="s">
        <v>233</v>
      </c>
      <c r="BC323" s="28"/>
      <c r="BD323" s="139">
        <f>SUM(B308)</f>
        <v>42911</v>
      </c>
      <c r="BE323" s="138" t="s">
        <v>233</v>
      </c>
      <c r="BF323" s="28"/>
      <c r="BG323" s="139">
        <f>SUM(AC305)</f>
        <v>1839</v>
      </c>
      <c r="BH323" s="138" t="s">
        <v>233</v>
      </c>
      <c r="BI323" s="28"/>
      <c r="BJ323" s="140">
        <f>SUM(BL320+BG323)</f>
        <v>3686</v>
      </c>
      <c r="BK323" s="28" t="s">
        <v>245</v>
      </c>
      <c r="BL323" s="28">
        <f>SUM(BJ323+BD323)</f>
        <v>46597</v>
      </c>
      <c r="BM323" s="141"/>
    </row>
    <row r="324" spans="2:65" ht="18.600000000000001" thickBot="1" x14ac:dyDescent="0.4">
      <c r="B324" s="133"/>
      <c r="AP324" s="46" t="s">
        <v>84</v>
      </c>
      <c r="AQ324" s="48">
        <f>SUM(AQ308:AQ323)</f>
        <v>93</v>
      </c>
      <c r="AR324" s="48">
        <f>SUM(AR308:AR323)</f>
        <v>117</v>
      </c>
      <c r="AS324" s="47"/>
      <c r="AT324" s="49"/>
      <c r="AU324" s="47"/>
      <c r="AV324" s="48">
        <v>2</v>
      </c>
      <c r="AW324" s="48" t="s">
        <v>244</v>
      </c>
      <c r="AX324" s="48"/>
      <c r="AY324" s="49">
        <f>SUM(AV310:AV322)</f>
        <v>91</v>
      </c>
      <c r="BB324" s="142" t="s">
        <v>236</v>
      </c>
      <c r="BC324" s="143"/>
      <c r="BD324" s="144">
        <f>SUM(C308)</f>
        <v>51720</v>
      </c>
      <c r="BE324" s="142" t="s">
        <v>236</v>
      </c>
      <c r="BF324" s="143"/>
      <c r="BG324" s="144">
        <f>SUM(AD305)</f>
        <v>1727</v>
      </c>
      <c r="BH324" s="142" t="s">
        <v>236</v>
      </c>
      <c r="BI324" s="143"/>
      <c r="BJ324" s="145">
        <f>SUM(BL321+BG324)</f>
        <v>3622</v>
      </c>
      <c r="BK324" s="143"/>
      <c r="BL324" s="143">
        <f>SUM(BJ324+BD324)</f>
        <v>55342</v>
      </c>
      <c r="BM324" s="146"/>
    </row>
    <row r="325" spans="2:65" ht="18.600000000000001" thickBot="1" x14ac:dyDescent="0.4">
      <c r="B325" s="133"/>
      <c r="AP325" s="147" t="s">
        <v>84</v>
      </c>
      <c r="AQ325" s="147">
        <f>SUM(+AQ324+AQ307+AQ297+AQ282+AQ279)</f>
        <v>2675</v>
      </c>
      <c r="AR325" s="148">
        <f>SUM(AR324+AR307+AR297+AR282+AR279)</f>
        <v>2665</v>
      </c>
      <c r="AS325" s="147"/>
      <c r="AT325" s="148"/>
      <c r="AU325" s="149" t="s">
        <v>247</v>
      </c>
      <c r="AV325" s="149"/>
      <c r="AW325" s="149"/>
      <c r="AX325" s="149"/>
      <c r="AY325" s="148">
        <f>SUM(AY279:AY324)</f>
        <v>410</v>
      </c>
    </row>
    <row r="326" spans="2:65" ht="15" thickTop="1" x14ac:dyDescent="0.3"/>
    <row r="336" spans="2:65" ht="15.6" x14ac:dyDescent="0.3">
      <c r="C336" s="1" t="s">
        <v>0</v>
      </c>
      <c r="P336" s="1" t="s">
        <v>1</v>
      </c>
    </row>
    <row r="337" spans="1:64" ht="15.6" x14ac:dyDescent="0.3">
      <c r="D337" t="s">
        <v>2</v>
      </c>
      <c r="Q337" t="s">
        <v>3</v>
      </c>
      <c r="AE337" s="2"/>
      <c r="AF337" s="1" t="s">
        <v>0</v>
      </c>
      <c r="AG337" s="1"/>
      <c r="AI337" s="1"/>
      <c r="AJ337" s="1"/>
      <c r="AS337" s="1" t="s">
        <v>4</v>
      </c>
      <c r="BE337" s="1"/>
      <c r="BF337" s="1" t="s">
        <v>5</v>
      </c>
      <c r="BG337" s="1"/>
      <c r="BH337" s="1"/>
      <c r="BI337" s="1"/>
      <c r="BJ337" s="1"/>
    </row>
    <row r="338" spans="1:64" ht="15.6" x14ac:dyDescent="0.3">
      <c r="A338" t="s">
        <v>6</v>
      </c>
      <c r="C338" t="s">
        <v>7</v>
      </c>
      <c r="O338" t="s">
        <v>8</v>
      </c>
      <c r="AE338" s="3"/>
      <c r="AF338" s="2" t="s">
        <v>9</v>
      </c>
      <c r="AG338" s="1"/>
      <c r="AI338" s="1"/>
      <c r="AJ338" s="1"/>
      <c r="AT338" t="s">
        <v>2</v>
      </c>
      <c r="BG338" t="s">
        <v>2</v>
      </c>
    </row>
    <row r="339" spans="1:64" ht="15.6" x14ac:dyDescent="0.3">
      <c r="D339" t="s">
        <v>434</v>
      </c>
      <c r="Q339" t="s">
        <v>434</v>
      </c>
      <c r="AF339" s="3" t="s">
        <v>11</v>
      </c>
      <c r="AG339" s="1"/>
      <c r="AI339" s="1"/>
      <c r="AJ339" s="1"/>
      <c r="AR339" t="s">
        <v>12</v>
      </c>
      <c r="AZ339" t="s">
        <v>6</v>
      </c>
      <c r="BE339" t="s">
        <v>13</v>
      </c>
    </row>
    <row r="340" spans="1:64" ht="15" thickBot="1" x14ac:dyDescent="0.35">
      <c r="I340" s="4" t="s">
        <v>14</v>
      </c>
      <c r="U340" s="5" t="s">
        <v>15</v>
      </c>
      <c r="AG340" t="s">
        <v>434</v>
      </c>
      <c r="AT340" t="s">
        <v>434</v>
      </c>
      <c r="AY340" s="5"/>
      <c r="BG340" t="s">
        <v>434</v>
      </c>
      <c r="BK340" s="5" t="s">
        <v>16</v>
      </c>
    </row>
    <row r="341" spans="1:64" ht="15" thickBot="1" x14ac:dyDescent="0.35">
      <c r="A341" s="6" t="s">
        <v>17</v>
      </c>
      <c r="B341" s="6" t="s">
        <v>18</v>
      </c>
      <c r="C341" s="7"/>
      <c r="D341" s="8" t="s">
        <v>19</v>
      </c>
      <c r="E341" s="8"/>
      <c r="F341" s="8"/>
      <c r="G341" s="9" t="s">
        <v>20</v>
      </c>
      <c r="H341" s="8" t="s">
        <v>21</v>
      </c>
      <c r="I341" s="8"/>
      <c r="J341" s="7"/>
      <c r="L341" s="6" t="s">
        <v>17</v>
      </c>
      <c r="M341" s="6" t="s">
        <v>22</v>
      </c>
      <c r="N341" s="7"/>
      <c r="O341" s="8" t="s">
        <v>23</v>
      </c>
      <c r="P341" s="8"/>
      <c r="Q341" s="8"/>
      <c r="R341" s="6" t="s">
        <v>24</v>
      </c>
      <c r="S341" s="7"/>
      <c r="T341" s="8" t="s">
        <v>21</v>
      </c>
      <c r="U341" s="8"/>
      <c r="V341" s="7"/>
      <c r="AL341" s="5" t="s">
        <v>25</v>
      </c>
      <c r="AX341" s="5" t="s">
        <v>26</v>
      </c>
      <c r="BB341" s="6" t="s">
        <v>17</v>
      </c>
      <c r="BC341" s="6" t="s">
        <v>27</v>
      </c>
      <c r="BD341" s="7"/>
      <c r="BE341" s="8" t="s">
        <v>28</v>
      </c>
      <c r="BF341" s="8"/>
      <c r="BG341" s="8"/>
      <c r="BH341" s="6" t="s">
        <v>29</v>
      </c>
      <c r="BI341" s="7" t="s">
        <v>30</v>
      </c>
      <c r="BJ341" s="8" t="s">
        <v>31</v>
      </c>
      <c r="BK341" s="8"/>
      <c r="BL341" s="7"/>
    </row>
    <row r="342" spans="1:64" x14ac:dyDescent="0.3">
      <c r="A342" s="10" t="s">
        <v>32</v>
      </c>
      <c r="B342" s="10"/>
      <c r="C342" s="11"/>
      <c r="D342" s="3"/>
      <c r="E342" s="3"/>
      <c r="F342" s="3"/>
      <c r="G342" s="12"/>
      <c r="H342" s="3" t="s">
        <v>33</v>
      </c>
      <c r="I342" s="3"/>
      <c r="J342" s="11"/>
      <c r="L342" s="10"/>
      <c r="M342" s="10"/>
      <c r="N342" s="11"/>
      <c r="O342" s="3"/>
      <c r="P342" s="3"/>
      <c r="Q342" s="3"/>
      <c r="R342" s="10"/>
      <c r="S342" s="11"/>
      <c r="T342" s="3" t="s">
        <v>33</v>
      </c>
      <c r="U342" s="3"/>
      <c r="V342" s="11"/>
      <c r="AB342" s="6" t="s">
        <v>34</v>
      </c>
      <c r="AC342" s="6" t="s">
        <v>35</v>
      </c>
      <c r="AD342" s="7"/>
      <c r="AE342" s="6" t="s">
        <v>36</v>
      </c>
      <c r="AF342" s="8"/>
      <c r="AG342" s="7"/>
      <c r="AH342" s="8" t="s">
        <v>37</v>
      </c>
      <c r="AI342" s="8"/>
      <c r="AJ342" s="9" t="s">
        <v>30</v>
      </c>
      <c r="AK342" s="8" t="s">
        <v>38</v>
      </c>
      <c r="AL342" s="8"/>
      <c r="AM342" s="7"/>
      <c r="AP342" s="6" t="s">
        <v>17</v>
      </c>
      <c r="AQ342" s="6" t="s">
        <v>39</v>
      </c>
      <c r="AR342" s="7"/>
      <c r="AS342" s="6" t="s">
        <v>29</v>
      </c>
      <c r="AT342" s="7" t="s">
        <v>30</v>
      </c>
      <c r="AU342" s="8" t="s">
        <v>40</v>
      </c>
      <c r="AV342" s="8"/>
      <c r="AW342" s="8"/>
      <c r="AX342" s="8"/>
      <c r="AY342" s="7"/>
      <c r="BB342" s="10"/>
      <c r="BC342" s="10"/>
      <c r="BD342" s="11"/>
      <c r="BE342" s="3"/>
      <c r="BF342" s="3"/>
      <c r="BG342" s="3"/>
      <c r="BH342" s="10"/>
      <c r="BI342" s="11" t="s">
        <v>6</v>
      </c>
      <c r="BJ342" s="3" t="s">
        <v>41</v>
      </c>
      <c r="BK342" s="3"/>
      <c r="BL342" s="11"/>
    </row>
    <row r="343" spans="1:64" ht="15" thickBot="1" x14ac:dyDescent="0.35">
      <c r="A343" s="13" t="s">
        <v>42</v>
      </c>
      <c r="B343" s="14" t="s">
        <v>43</v>
      </c>
      <c r="C343" s="15" t="s">
        <v>44</v>
      </c>
      <c r="D343" s="16" t="s">
        <v>45</v>
      </c>
      <c r="E343" s="16" t="s">
        <v>46</v>
      </c>
      <c r="F343" s="16" t="s">
        <v>47</v>
      </c>
      <c r="G343" s="17" t="s">
        <v>48</v>
      </c>
      <c r="H343" s="18" t="s">
        <v>49</v>
      </c>
      <c r="I343" s="18"/>
      <c r="J343" s="11"/>
      <c r="L343" s="10" t="s">
        <v>50</v>
      </c>
      <c r="M343" s="19" t="s">
        <v>43</v>
      </c>
      <c r="N343" s="20" t="s">
        <v>44</v>
      </c>
      <c r="O343" s="21" t="s">
        <v>43</v>
      </c>
      <c r="P343" s="18" t="s">
        <v>51</v>
      </c>
      <c r="Q343" s="21" t="s">
        <v>44</v>
      </c>
      <c r="R343" s="22" t="s">
        <v>43</v>
      </c>
      <c r="S343" s="23" t="s">
        <v>44</v>
      </c>
      <c r="T343" s="18" t="s">
        <v>49</v>
      </c>
      <c r="U343" s="18"/>
      <c r="V343" s="11"/>
      <c r="AB343" s="10" t="s">
        <v>50</v>
      </c>
      <c r="AC343" s="22" t="s">
        <v>43</v>
      </c>
      <c r="AD343" s="23" t="s">
        <v>44</v>
      </c>
      <c r="AE343" s="22" t="s">
        <v>45</v>
      </c>
      <c r="AF343" s="24" t="s">
        <v>46</v>
      </c>
      <c r="AG343" s="23" t="s">
        <v>52</v>
      </c>
      <c r="AH343" s="24" t="s">
        <v>43</v>
      </c>
      <c r="AI343" s="24" t="s">
        <v>44</v>
      </c>
      <c r="AJ343" s="25" t="s">
        <v>43</v>
      </c>
      <c r="AK343" s="3" t="s">
        <v>53</v>
      </c>
      <c r="AL343" s="3"/>
      <c r="AM343" s="11"/>
      <c r="AP343" s="13" t="s">
        <v>42</v>
      </c>
      <c r="AQ343" s="10" t="s">
        <v>43</v>
      </c>
      <c r="AR343" s="11" t="s">
        <v>44</v>
      </c>
      <c r="AS343" s="13" t="s">
        <v>43</v>
      </c>
      <c r="AT343" s="26" t="s">
        <v>44</v>
      </c>
      <c r="AU343" s="27"/>
      <c r="AV343" s="27"/>
      <c r="AW343" s="27"/>
      <c r="AX343" s="27"/>
      <c r="AY343" s="26"/>
      <c r="BB343" s="13" t="s">
        <v>42</v>
      </c>
      <c r="BC343" s="13" t="s">
        <v>43</v>
      </c>
      <c r="BD343" s="26" t="s">
        <v>44</v>
      </c>
      <c r="BE343" s="27" t="s">
        <v>45</v>
      </c>
      <c r="BF343" s="27" t="s">
        <v>46</v>
      </c>
      <c r="BG343" s="27" t="s">
        <v>52</v>
      </c>
      <c r="BH343" s="13" t="s">
        <v>43</v>
      </c>
      <c r="BI343" s="26" t="s">
        <v>44</v>
      </c>
      <c r="BJ343" s="27" t="s">
        <v>54</v>
      </c>
      <c r="BK343" s="27"/>
      <c r="BL343" s="26"/>
    </row>
    <row r="344" spans="1:64" ht="15" thickBot="1" x14ac:dyDescent="0.35">
      <c r="A344" s="6"/>
      <c r="B344" s="6"/>
      <c r="C344" s="7"/>
      <c r="D344" s="8"/>
      <c r="E344" s="8"/>
      <c r="F344" s="7"/>
      <c r="G344" s="8"/>
      <c r="H344" s="6" t="s">
        <v>396</v>
      </c>
      <c r="I344" s="8"/>
      <c r="J344" s="7"/>
      <c r="K344" s="28"/>
      <c r="L344" s="9"/>
      <c r="M344" s="8"/>
      <c r="N344" s="8"/>
      <c r="O344" s="6"/>
      <c r="P344" s="8"/>
      <c r="Q344" s="7"/>
      <c r="R344" s="8"/>
      <c r="S344" s="8"/>
      <c r="T344" s="6" t="s">
        <v>396</v>
      </c>
      <c r="U344" s="8"/>
      <c r="V344" s="7"/>
      <c r="W344" s="28"/>
      <c r="AB344" s="13"/>
      <c r="AC344" s="13"/>
      <c r="AD344" s="26"/>
      <c r="AE344" s="13"/>
      <c r="AF344" s="27"/>
      <c r="AG344" s="26"/>
      <c r="AH344" s="27"/>
      <c r="AI344" s="27"/>
      <c r="AJ344" s="17"/>
      <c r="AK344" s="27"/>
      <c r="AL344" s="27"/>
      <c r="AM344" s="26"/>
      <c r="AP344" s="6" t="s">
        <v>56</v>
      </c>
      <c r="AQ344" s="29">
        <v>1035</v>
      </c>
      <c r="AR344" s="30">
        <v>1076</v>
      </c>
      <c r="AU344" s="6"/>
      <c r="AV344" s="8"/>
      <c r="AW344" s="31" t="s">
        <v>57</v>
      </c>
      <c r="AX344" s="8"/>
      <c r="AY344" s="7"/>
      <c r="AZ344" s="28"/>
      <c r="BB344" s="32" t="s">
        <v>85</v>
      </c>
      <c r="BC344">
        <v>0</v>
      </c>
      <c r="BD344">
        <v>0</v>
      </c>
      <c r="BE344" s="33"/>
      <c r="BF344" s="34"/>
      <c r="BG344" s="34"/>
      <c r="BH344" s="33"/>
      <c r="BI344" s="35"/>
      <c r="BJ344" s="34" t="s">
        <v>58</v>
      </c>
      <c r="BK344" s="8"/>
      <c r="BL344" s="7"/>
    </row>
    <row r="345" spans="1:64" x14ac:dyDescent="0.3">
      <c r="A345" s="10" t="s">
        <v>59</v>
      </c>
      <c r="B345" s="36">
        <v>1662</v>
      </c>
      <c r="C345" s="11">
        <v>1698</v>
      </c>
      <c r="D345" s="37"/>
      <c r="E345" s="38" t="s">
        <v>60</v>
      </c>
      <c r="F345" s="39"/>
      <c r="G345" s="37">
        <f>9*264</f>
        <v>2376</v>
      </c>
      <c r="H345" s="36">
        <v>9</v>
      </c>
      <c r="I345" s="37" t="s">
        <v>61</v>
      </c>
      <c r="J345" s="40"/>
      <c r="K345" s="28"/>
      <c r="L345" s="41" t="s">
        <v>59</v>
      </c>
      <c r="M345" s="28">
        <v>14917</v>
      </c>
      <c r="N345" s="28">
        <v>11448</v>
      </c>
      <c r="O345" s="42">
        <v>0</v>
      </c>
      <c r="P345" s="43">
        <v>0</v>
      </c>
      <c r="Q345" s="40">
        <v>0</v>
      </c>
      <c r="R345" s="43">
        <v>0</v>
      </c>
      <c r="S345" s="43">
        <v>0</v>
      </c>
      <c r="T345" s="42"/>
      <c r="U345" s="28"/>
      <c r="V345" s="40"/>
      <c r="W345" s="28"/>
      <c r="AB345" s="9"/>
      <c r="AC345" s="8"/>
      <c r="AD345" s="8"/>
      <c r="AE345" s="6"/>
      <c r="AF345" s="8"/>
      <c r="AG345" s="7"/>
      <c r="AH345" s="8"/>
      <c r="AI345" s="8"/>
      <c r="AJ345" s="9"/>
      <c r="AK345" s="6" t="s">
        <v>62</v>
      </c>
      <c r="AL345" s="8"/>
      <c r="AM345" s="7"/>
      <c r="AP345" s="36" t="s">
        <v>63</v>
      </c>
      <c r="AQ345" s="36">
        <v>19</v>
      </c>
      <c r="AR345" s="39">
        <v>0</v>
      </c>
      <c r="AT345" s="18"/>
      <c r="AU345" s="10"/>
      <c r="AV345" s="18"/>
      <c r="AW345" s="18"/>
      <c r="AX345" s="18"/>
      <c r="AY345" s="11"/>
      <c r="AZ345" s="28"/>
      <c r="BB345" s="44" t="s">
        <v>64</v>
      </c>
      <c r="BC345" s="18">
        <v>99</v>
      </c>
      <c r="BD345" s="18">
        <v>89</v>
      </c>
      <c r="BE345" s="10">
        <v>0</v>
      </c>
      <c r="BF345" s="18">
        <v>0</v>
      </c>
      <c r="BG345" s="18">
        <v>0</v>
      </c>
      <c r="BH345" s="10">
        <v>0</v>
      </c>
      <c r="BI345" s="11">
        <v>0</v>
      </c>
      <c r="BJ345" s="45"/>
      <c r="BK345" s="28" t="s">
        <v>249</v>
      </c>
      <c r="BL345" s="11" t="s">
        <v>435</v>
      </c>
    </row>
    <row r="346" spans="1:64" ht="15" thickBot="1" x14ac:dyDescent="0.35">
      <c r="A346" s="36" t="s">
        <v>6</v>
      </c>
      <c r="B346" s="10"/>
      <c r="C346" s="11"/>
      <c r="D346" s="18"/>
      <c r="E346" s="18"/>
      <c r="F346" s="18"/>
      <c r="G346" s="36"/>
      <c r="H346" s="42"/>
      <c r="I346" s="28"/>
      <c r="J346" s="40">
        <f>SUM(H345)</f>
        <v>9</v>
      </c>
      <c r="K346" s="28"/>
      <c r="L346" s="12"/>
      <c r="M346" s="37"/>
      <c r="N346" s="37"/>
      <c r="O346" s="10"/>
      <c r="P346" s="18"/>
      <c r="Q346" s="11"/>
      <c r="R346" s="18"/>
      <c r="S346" s="18"/>
      <c r="T346" s="10"/>
      <c r="U346" s="18"/>
      <c r="V346" s="11"/>
      <c r="W346" s="28"/>
      <c r="AB346" s="41"/>
      <c r="AE346" s="42"/>
      <c r="AF346" s="28"/>
      <c r="AG346" s="40"/>
      <c r="AJ346" s="41"/>
      <c r="AK346" s="42">
        <v>1</v>
      </c>
      <c r="AL346" s="28" t="s">
        <v>398</v>
      </c>
      <c r="AM346" s="40"/>
      <c r="AP346" s="36" t="s">
        <v>67</v>
      </c>
      <c r="AQ346" s="36">
        <v>338</v>
      </c>
      <c r="AR346" s="39">
        <v>336</v>
      </c>
      <c r="AT346" s="18"/>
      <c r="AU346" s="10"/>
      <c r="AV346" s="37">
        <v>98</v>
      </c>
      <c r="AW346" s="37" t="s">
        <v>68</v>
      </c>
      <c r="AX346" s="18"/>
      <c r="AY346" s="11"/>
      <c r="AZ346" s="28"/>
      <c r="BA346" s="28"/>
      <c r="BB346" s="46" t="s">
        <v>84</v>
      </c>
      <c r="BC346">
        <f>SUM(BC344:BC345)</f>
        <v>99</v>
      </c>
      <c r="BD346">
        <f>SUM(BD344:BD345)</f>
        <v>89</v>
      </c>
      <c r="BE346" s="47"/>
      <c r="BF346" s="48"/>
      <c r="BG346" s="48"/>
      <c r="BH346" s="47"/>
      <c r="BI346" s="49"/>
      <c r="BJ346" s="48">
        <v>10</v>
      </c>
      <c r="BK346" s="48" t="s">
        <v>69</v>
      </c>
      <c r="BL346" s="49">
        <f>SUM(BJ345:BJ346)</f>
        <v>10</v>
      </c>
    </row>
    <row r="347" spans="1:64" ht="15" thickBot="1" x14ac:dyDescent="0.35">
      <c r="A347" s="32"/>
      <c r="B347" s="34"/>
      <c r="C347" s="34"/>
      <c r="D347" s="33"/>
      <c r="E347" s="34"/>
      <c r="F347" s="35"/>
      <c r="G347" s="34"/>
      <c r="H347" s="6" t="s">
        <v>70</v>
      </c>
      <c r="I347" s="8"/>
      <c r="J347" s="7"/>
      <c r="K347" s="28"/>
      <c r="L347" s="17"/>
      <c r="M347" s="27"/>
      <c r="N347" s="27"/>
      <c r="O347" s="13"/>
      <c r="P347" s="27"/>
      <c r="Q347" s="26"/>
      <c r="R347" s="27"/>
      <c r="S347" s="27"/>
      <c r="T347" s="13"/>
      <c r="U347" s="27"/>
      <c r="V347" s="26"/>
      <c r="W347" s="28"/>
      <c r="AB347" s="44" t="s">
        <v>59</v>
      </c>
      <c r="AC347" s="37">
        <v>1360</v>
      </c>
      <c r="AD347" s="37">
        <v>1135</v>
      </c>
      <c r="AE347" s="10">
        <v>0</v>
      </c>
      <c r="AF347" s="18">
        <v>0</v>
      </c>
      <c r="AG347" s="39">
        <v>0</v>
      </c>
      <c r="AH347" s="2">
        <v>2088</v>
      </c>
      <c r="AI347" s="2">
        <v>25097</v>
      </c>
      <c r="AJ347" s="12">
        <v>0</v>
      </c>
      <c r="AK347" s="36">
        <v>4</v>
      </c>
      <c r="AL347" s="37" t="s">
        <v>66</v>
      </c>
      <c r="AM347" s="11"/>
      <c r="AP347" s="36" t="s">
        <v>72</v>
      </c>
      <c r="AQ347" s="36"/>
      <c r="AR347" s="39">
        <v>11</v>
      </c>
      <c r="AT347" s="18"/>
      <c r="AU347" s="10"/>
      <c r="AV347" s="37">
        <v>30</v>
      </c>
      <c r="AW347" s="37" t="s">
        <v>73</v>
      </c>
      <c r="AX347" s="18"/>
      <c r="AY347" s="11"/>
      <c r="AZ347" s="28"/>
      <c r="BA347" s="28"/>
      <c r="BB347" s="33"/>
      <c r="BC347" s="33"/>
      <c r="BD347" s="35"/>
      <c r="BE347" s="34"/>
      <c r="BF347" s="34"/>
      <c r="BG347" s="34"/>
      <c r="BH347" s="33"/>
      <c r="BI347" s="35"/>
      <c r="BJ347" s="8" t="s">
        <v>6</v>
      </c>
      <c r="BK347" s="34"/>
      <c r="BL347" s="35"/>
    </row>
    <row r="348" spans="1:64" ht="15" thickBot="1" x14ac:dyDescent="0.35">
      <c r="A348" s="44" t="s">
        <v>74</v>
      </c>
      <c r="B348" s="37">
        <v>1291</v>
      </c>
      <c r="C348" s="18">
        <v>2188</v>
      </c>
      <c r="D348" s="36"/>
      <c r="E348" s="38" t="s">
        <v>60</v>
      </c>
      <c r="F348" s="39"/>
      <c r="G348" s="37">
        <f>282+992+2080</f>
        <v>3354</v>
      </c>
      <c r="H348" s="36">
        <v>3</v>
      </c>
      <c r="I348" s="28" t="s">
        <v>75</v>
      </c>
      <c r="J348" s="11"/>
      <c r="K348" s="28"/>
      <c r="L348" s="32"/>
      <c r="M348" s="34"/>
      <c r="N348" s="34"/>
      <c r="O348" s="33"/>
      <c r="P348" s="34"/>
      <c r="Q348" s="35"/>
      <c r="R348" s="34"/>
      <c r="S348" s="34"/>
      <c r="T348" s="33"/>
      <c r="U348" s="34"/>
      <c r="V348" s="35"/>
      <c r="W348" s="28"/>
      <c r="AB348" s="46"/>
      <c r="AE348" s="47"/>
      <c r="AF348" s="51"/>
      <c r="AG348" s="49"/>
      <c r="AH348" s="28"/>
      <c r="AI348" s="28"/>
      <c r="AJ348" s="62"/>
      <c r="AK348" s="47">
        <v>1</v>
      </c>
      <c r="AL348" s="48" t="s">
        <v>436</v>
      </c>
      <c r="AM348" s="49"/>
      <c r="AP348" s="36" t="s">
        <v>78</v>
      </c>
      <c r="AQ348" s="36">
        <v>28</v>
      </c>
      <c r="AR348" s="39">
        <v>0</v>
      </c>
      <c r="AT348" s="18"/>
      <c r="AU348" s="10"/>
      <c r="AV348" s="37"/>
      <c r="AW348" s="37"/>
      <c r="AX348" s="18" t="s">
        <v>6</v>
      </c>
      <c r="AY348" s="11"/>
      <c r="AZ348" s="28"/>
      <c r="BA348" s="28"/>
      <c r="BB348" s="47" t="s">
        <v>6</v>
      </c>
      <c r="BC348" s="47"/>
      <c r="BD348" s="49"/>
      <c r="BE348" s="48">
        <v>0</v>
      </c>
      <c r="BF348" s="48">
        <v>0</v>
      </c>
      <c r="BG348" s="48">
        <v>0</v>
      </c>
      <c r="BH348" s="47">
        <v>0</v>
      </c>
      <c r="BI348" s="49">
        <v>0</v>
      </c>
      <c r="BJ348" s="51"/>
      <c r="BK348" s="48" t="s">
        <v>6</v>
      </c>
      <c r="BL348" s="49">
        <f>SUM(BJ348)</f>
        <v>0</v>
      </c>
    </row>
    <row r="349" spans="1:64" x14ac:dyDescent="0.3">
      <c r="A349" s="41"/>
      <c r="D349" s="42"/>
      <c r="E349" s="28"/>
      <c r="F349" s="40"/>
      <c r="H349" s="42">
        <v>8</v>
      </c>
      <c r="I349" s="28" t="s">
        <v>79</v>
      </c>
      <c r="J349" s="40"/>
      <c r="K349" s="28"/>
      <c r="L349" s="41"/>
      <c r="M349" s="28"/>
      <c r="N349" s="28"/>
      <c r="O349" s="42"/>
      <c r="P349" s="28"/>
      <c r="Q349" s="40"/>
      <c r="R349" s="28"/>
      <c r="S349" s="28"/>
      <c r="T349" s="42" t="s">
        <v>80</v>
      </c>
      <c r="U349" s="28"/>
      <c r="V349" s="40"/>
      <c r="W349" s="28"/>
      <c r="AB349" s="50" t="s">
        <v>6</v>
      </c>
      <c r="AC349" s="8"/>
      <c r="AD349" s="8"/>
      <c r="AE349" s="6"/>
      <c r="AF349" s="8"/>
      <c r="AG349" s="7"/>
      <c r="AH349" s="6"/>
      <c r="AI349" s="7"/>
      <c r="AJ349" s="8"/>
      <c r="AK349" s="29" t="s">
        <v>71</v>
      </c>
      <c r="AL349" s="8"/>
      <c r="AM349" s="7"/>
      <c r="AP349" s="52" t="s">
        <v>81</v>
      </c>
      <c r="AQ349" s="36">
        <v>0</v>
      </c>
      <c r="AR349" s="39">
        <v>0</v>
      </c>
      <c r="AU349" s="42"/>
      <c r="AV349" s="28"/>
      <c r="AW349" s="28"/>
      <c r="AX349" s="28"/>
      <c r="AY349" s="40"/>
      <c r="AZ349" s="28"/>
      <c r="BA349" s="28"/>
      <c r="BB349" s="33"/>
      <c r="BC349" s="33"/>
      <c r="BD349" s="35"/>
      <c r="BE349" s="34"/>
      <c r="BF349" s="34"/>
      <c r="BG349" s="34"/>
      <c r="BH349" s="33"/>
      <c r="BI349" s="35"/>
      <c r="BJ349" s="53" t="s">
        <v>82</v>
      </c>
      <c r="BK349" s="34"/>
      <c r="BL349" s="35"/>
    </row>
    <row r="350" spans="1:64" ht="15" thickBot="1" x14ac:dyDescent="0.35">
      <c r="A350" s="46"/>
      <c r="B350" s="48"/>
      <c r="C350" s="48"/>
      <c r="D350" s="47"/>
      <c r="E350" s="48"/>
      <c r="F350" s="49"/>
      <c r="G350" s="48"/>
      <c r="H350" s="47">
        <v>13</v>
      </c>
      <c r="I350" s="28" t="s">
        <v>83</v>
      </c>
      <c r="J350" s="49">
        <f>SUM(H348:H350)</f>
        <v>24</v>
      </c>
      <c r="K350" s="28"/>
      <c r="L350" s="17" t="s">
        <v>74</v>
      </c>
      <c r="M350" s="27">
        <v>7444</v>
      </c>
      <c r="N350" s="27">
        <v>53</v>
      </c>
      <c r="O350" s="13">
        <v>0</v>
      </c>
      <c r="P350" s="27">
        <v>0</v>
      </c>
      <c r="Q350" s="26">
        <v>0</v>
      </c>
      <c r="R350" s="27">
        <v>137</v>
      </c>
      <c r="S350" s="27">
        <v>0</v>
      </c>
      <c r="T350" s="13"/>
      <c r="U350" s="27"/>
      <c r="V350" s="26"/>
      <c r="W350" s="28"/>
      <c r="AB350" s="41" t="s">
        <v>76</v>
      </c>
      <c r="AC350">
        <v>342</v>
      </c>
      <c r="AD350">
        <v>0</v>
      </c>
      <c r="AE350" s="42">
        <v>0</v>
      </c>
      <c r="AF350" s="43">
        <v>0</v>
      </c>
      <c r="AG350" s="40">
        <v>0</v>
      </c>
      <c r="AH350" s="42">
        <v>0</v>
      </c>
      <c r="AI350" s="40">
        <v>0</v>
      </c>
      <c r="AJ350" s="43">
        <v>0</v>
      </c>
      <c r="AK350" s="42">
        <v>3</v>
      </c>
      <c r="AL350" s="28" t="s">
        <v>77</v>
      </c>
      <c r="AM350" s="40"/>
      <c r="AP350" s="52" t="s">
        <v>115</v>
      </c>
      <c r="AQ350" s="52">
        <v>0</v>
      </c>
      <c r="AR350" s="86">
        <v>4</v>
      </c>
      <c r="AU350" s="42"/>
      <c r="AV350" s="28"/>
      <c r="AW350" s="28"/>
      <c r="AX350" s="28"/>
      <c r="AY350" s="40"/>
      <c r="AZ350" s="28"/>
      <c r="BA350" s="28"/>
      <c r="BB350" s="47" t="s">
        <v>85</v>
      </c>
      <c r="BC350" s="47">
        <v>2</v>
      </c>
      <c r="BD350" s="49">
        <v>1</v>
      </c>
      <c r="BE350" s="48"/>
      <c r="BF350" s="48">
        <v>0</v>
      </c>
      <c r="BG350" s="48">
        <v>0</v>
      </c>
      <c r="BH350" s="47">
        <v>0</v>
      </c>
      <c r="BI350" s="49">
        <v>0</v>
      </c>
      <c r="BJ350" s="51">
        <v>2</v>
      </c>
      <c r="BK350" s="48" t="s">
        <v>86</v>
      </c>
      <c r="BL350" s="49">
        <f>SUM(BJ350)</f>
        <v>2</v>
      </c>
    </row>
    <row r="351" spans="1:64" ht="15" thickBot="1" x14ac:dyDescent="0.35">
      <c r="A351" s="33"/>
      <c r="B351" s="33"/>
      <c r="C351" s="35"/>
      <c r="D351" s="34"/>
      <c r="E351" s="34"/>
      <c r="F351" s="34"/>
      <c r="G351" s="32"/>
      <c r="H351" s="6" t="s">
        <v>87</v>
      </c>
      <c r="I351" s="34"/>
      <c r="J351" s="35"/>
      <c r="K351" s="28"/>
      <c r="L351" s="12" t="s">
        <v>88</v>
      </c>
      <c r="M351" s="37">
        <v>0</v>
      </c>
      <c r="N351" s="37">
        <v>0</v>
      </c>
      <c r="O351" s="10"/>
      <c r="P351" s="18"/>
      <c r="Q351" s="11"/>
      <c r="R351" s="18"/>
      <c r="S351" s="18"/>
      <c r="T351" s="33" t="s">
        <v>6</v>
      </c>
      <c r="U351" s="31"/>
      <c r="V351" s="7"/>
      <c r="W351" s="28"/>
      <c r="AB351" s="6" t="s">
        <v>89</v>
      </c>
      <c r="AC351" s="6">
        <v>83</v>
      </c>
      <c r="AD351" s="7">
        <v>82</v>
      </c>
      <c r="AE351" s="8"/>
      <c r="AF351" s="8"/>
      <c r="AG351" s="8"/>
      <c r="AH351" s="6"/>
      <c r="AI351" s="7"/>
      <c r="AJ351" s="9"/>
      <c r="AK351" s="31" t="s">
        <v>90</v>
      </c>
      <c r="AL351" s="8"/>
      <c r="AM351" s="7"/>
      <c r="AP351" s="13" t="s">
        <v>84</v>
      </c>
      <c r="AQ351" s="13">
        <f>SUM(AQ344:AQ350)</f>
        <v>1420</v>
      </c>
      <c r="AR351" s="26">
        <f>SUM(AR344:AR350)</f>
        <v>1427</v>
      </c>
      <c r="AT351" s="18"/>
      <c r="AU351" s="13"/>
      <c r="AV351" s="27"/>
      <c r="AW351" s="27"/>
      <c r="AX351" s="27"/>
      <c r="AY351" s="26">
        <f>SUM(AV346:AV347)</f>
        <v>128</v>
      </c>
      <c r="AZ351" s="28"/>
      <c r="BA351" s="28"/>
      <c r="BB351" s="50"/>
      <c r="BC351" s="31"/>
      <c r="BD351" s="31"/>
      <c r="BE351" s="29"/>
      <c r="BF351" s="31"/>
      <c r="BG351" s="30"/>
      <c r="BH351" s="55"/>
      <c r="BI351" s="8"/>
      <c r="BJ351" s="29"/>
      <c r="BK351" s="34" t="s">
        <v>92</v>
      </c>
      <c r="BL351" s="35"/>
    </row>
    <row r="352" spans="1:64" x14ac:dyDescent="0.3">
      <c r="A352" s="36" t="s">
        <v>93</v>
      </c>
      <c r="B352" s="36">
        <v>3120</v>
      </c>
      <c r="C352" s="11">
        <v>2917</v>
      </c>
      <c r="D352" s="37"/>
      <c r="E352" s="38" t="s">
        <v>60</v>
      </c>
      <c r="F352" s="37"/>
      <c r="G352" s="12">
        <v>4355</v>
      </c>
      <c r="H352" s="36">
        <v>29</v>
      </c>
      <c r="I352" s="37" t="s">
        <v>94</v>
      </c>
      <c r="J352" s="40"/>
      <c r="K352" s="28"/>
      <c r="L352" s="44" t="s">
        <v>95</v>
      </c>
      <c r="M352" s="37">
        <v>0</v>
      </c>
      <c r="N352" s="37">
        <v>0</v>
      </c>
      <c r="O352" s="10"/>
      <c r="P352" s="18"/>
      <c r="Q352" s="11"/>
      <c r="R352" s="18"/>
      <c r="S352" s="18"/>
      <c r="T352" s="10" t="s">
        <v>96</v>
      </c>
      <c r="U352" s="37"/>
      <c r="V352" s="11"/>
      <c r="W352" s="28"/>
      <c r="AB352" s="36" t="s">
        <v>97</v>
      </c>
      <c r="AC352" s="10">
        <v>0</v>
      </c>
      <c r="AD352" s="11">
        <v>0</v>
      </c>
      <c r="AE352" s="18">
        <v>0</v>
      </c>
      <c r="AF352" s="18">
        <v>0</v>
      </c>
      <c r="AG352" s="18">
        <v>0</v>
      </c>
      <c r="AH352" s="36">
        <v>0</v>
      </c>
      <c r="AI352" s="11">
        <v>0</v>
      </c>
      <c r="AJ352" s="12">
        <v>0</v>
      </c>
      <c r="AK352" s="37">
        <v>1</v>
      </c>
      <c r="AL352" s="37" t="s">
        <v>98</v>
      </c>
      <c r="AM352" s="11"/>
      <c r="AP352" s="32" t="s">
        <v>6</v>
      </c>
      <c r="AQ352" s="43"/>
      <c r="AR352" s="54"/>
      <c r="AS352" s="33"/>
      <c r="AT352" s="35"/>
      <c r="AU352" s="33"/>
      <c r="AV352" s="34" t="s">
        <v>91</v>
      </c>
      <c r="AW352" s="34"/>
      <c r="AX352" s="34"/>
      <c r="AY352" s="35"/>
      <c r="AZ352" s="28" t="s">
        <v>6</v>
      </c>
      <c r="BA352" s="28"/>
      <c r="BB352" s="41" t="s">
        <v>99</v>
      </c>
      <c r="BC352" s="45">
        <v>0</v>
      </c>
      <c r="BD352" s="45">
        <v>0</v>
      </c>
      <c r="BE352" s="42">
        <v>0</v>
      </c>
      <c r="BF352" s="45">
        <v>0</v>
      </c>
      <c r="BG352" s="40">
        <v>0</v>
      </c>
      <c r="BH352" s="45">
        <v>48658</v>
      </c>
      <c r="BI352" s="56">
        <v>12652</v>
      </c>
      <c r="BJ352" s="52">
        <v>29</v>
      </c>
      <c r="BK352" s="37" t="s">
        <v>100</v>
      </c>
      <c r="BL352" s="40"/>
    </row>
    <row r="353" spans="1:65" ht="15" thickBot="1" x14ac:dyDescent="0.35">
      <c r="A353" s="47"/>
      <c r="B353" s="47"/>
      <c r="C353" s="49"/>
      <c r="D353" s="48"/>
      <c r="E353" s="48"/>
      <c r="F353" s="48"/>
      <c r="G353" s="46"/>
      <c r="H353" s="47">
        <v>1</v>
      </c>
      <c r="I353" s="48" t="s">
        <v>101</v>
      </c>
      <c r="J353" s="49">
        <f>SUM(H352:H353)</f>
        <v>30</v>
      </c>
      <c r="K353" s="28"/>
      <c r="L353" s="12" t="s">
        <v>102</v>
      </c>
      <c r="M353" s="18">
        <v>449</v>
      </c>
      <c r="N353" s="18">
        <v>0</v>
      </c>
      <c r="O353" s="10"/>
      <c r="P353" s="18"/>
      <c r="Q353" s="11"/>
      <c r="R353" s="18"/>
      <c r="S353" s="18"/>
      <c r="T353" s="10"/>
      <c r="U353" s="18"/>
      <c r="V353" s="11"/>
      <c r="W353" s="28"/>
      <c r="AB353" s="47" t="s">
        <v>84</v>
      </c>
      <c r="AC353" s="13">
        <f>SUM(AC351:AC352)</f>
        <v>83</v>
      </c>
      <c r="AD353" s="26">
        <f>SUM(AD351:AD352)</f>
        <v>82</v>
      </c>
      <c r="AE353" s="27"/>
      <c r="AF353" s="27"/>
      <c r="AG353" s="27"/>
      <c r="AH353" s="13"/>
      <c r="AI353" s="26"/>
      <c r="AJ353" s="17"/>
      <c r="AK353" s="57">
        <v>1</v>
      </c>
      <c r="AL353" s="37" t="s">
        <v>141</v>
      </c>
      <c r="AM353" s="11"/>
      <c r="AP353" s="41" t="s">
        <v>56</v>
      </c>
      <c r="AQ353">
        <v>882</v>
      </c>
      <c r="AR353">
        <v>844</v>
      </c>
      <c r="AS353" s="42"/>
      <c r="AT353" s="40"/>
      <c r="AU353" s="42"/>
      <c r="AV353" s="28"/>
      <c r="AW353" s="28"/>
      <c r="AX353" s="28"/>
      <c r="AY353" s="40"/>
      <c r="AZ353" s="28"/>
      <c r="BA353" s="28"/>
      <c r="BB353" s="17" t="s">
        <v>84</v>
      </c>
      <c r="BC353" s="18">
        <f>SUM(BC351:BC352)</f>
        <v>0</v>
      </c>
      <c r="BD353" s="18">
        <f>SUM(BD351:BD352)</f>
        <v>0</v>
      </c>
      <c r="BE353" s="13"/>
      <c r="BF353" s="27"/>
      <c r="BG353" s="26"/>
      <c r="BH353" s="58"/>
      <c r="BI353" s="27"/>
      <c r="BJ353" s="59"/>
      <c r="BK353" s="48"/>
      <c r="BL353" s="60">
        <f>SUM(BJ352:BJ353)</f>
        <v>29</v>
      </c>
    </row>
    <row r="354" spans="1:65" ht="15" thickBot="1" x14ac:dyDescent="0.35">
      <c r="A354" s="29" t="s">
        <v>250</v>
      </c>
      <c r="B354" s="29">
        <v>0</v>
      </c>
      <c r="C354" s="7">
        <v>0</v>
      </c>
      <c r="D354" s="8"/>
      <c r="E354" s="8"/>
      <c r="F354" s="8"/>
      <c r="G354" s="9"/>
      <c r="H354" s="8" t="s">
        <v>104</v>
      </c>
      <c r="I354" s="8"/>
      <c r="J354" s="7"/>
      <c r="K354" s="28"/>
      <c r="L354" s="12" t="s">
        <v>84</v>
      </c>
      <c r="M354" s="18">
        <f>SUM(M351:M353)</f>
        <v>449</v>
      </c>
      <c r="N354" s="18">
        <f>SUM(N351:N353)</f>
        <v>0</v>
      </c>
      <c r="O354" s="10">
        <v>0</v>
      </c>
      <c r="P354" s="18">
        <v>0</v>
      </c>
      <c r="Q354" s="11">
        <v>0</v>
      </c>
      <c r="R354" s="18">
        <v>0</v>
      </c>
      <c r="S354" s="18">
        <v>0</v>
      </c>
      <c r="T354" s="13"/>
      <c r="U354" s="27"/>
      <c r="V354" s="26"/>
      <c r="W354" s="28"/>
      <c r="AB354" s="44"/>
      <c r="AC354" s="18"/>
      <c r="AD354" s="18"/>
      <c r="AE354" s="10"/>
      <c r="AF354" s="18"/>
      <c r="AG354" s="11"/>
      <c r="AH354" s="10"/>
      <c r="AI354" s="11"/>
      <c r="AJ354" s="6"/>
      <c r="AK354" s="33" t="s">
        <v>6</v>
      </c>
      <c r="AL354" s="61" t="s">
        <v>6</v>
      </c>
      <c r="AM354" s="7"/>
      <c r="AP354" s="62" t="s">
        <v>6</v>
      </c>
      <c r="AQ354" s="43"/>
      <c r="AR354" s="43"/>
      <c r="AS354" s="47"/>
      <c r="AT354" s="49"/>
      <c r="AU354" s="47"/>
      <c r="AV354" s="48">
        <v>78</v>
      </c>
      <c r="AW354" s="48" t="s">
        <v>73</v>
      </c>
      <c r="AX354" s="48"/>
      <c r="AY354" s="49">
        <f>SUM(AV354)</f>
        <v>78</v>
      </c>
      <c r="AZ354" s="28" t="s">
        <v>437</v>
      </c>
      <c r="BA354" s="28" t="s">
        <v>6</v>
      </c>
      <c r="BB354" s="32" t="s">
        <v>6</v>
      </c>
      <c r="BC354" s="63">
        <v>0</v>
      </c>
      <c r="BD354" s="64">
        <v>0</v>
      </c>
      <c r="BE354" s="33"/>
      <c r="BF354" s="8"/>
      <c r="BG354" s="35"/>
      <c r="BH354" s="65"/>
      <c r="BI354" s="66"/>
      <c r="BJ354" s="29"/>
      <c r="BK354" s="31" t="s">
        <v>57</v>
      </c>
      <c r="BL354" s="35"/>
    </row>
    <row r="355" spans="1:65" x14ac:dyDescent="0.3">
      <c r="A355" s="42" t="s">
        <v>105</v>
      </c>
      <c r="B355" s="42">
        <v>150</v>
      </c>
      <c r="C355" s="40">
        <v>149</v>
      </c>
      <c r="D355" s="28"/>
      <c r="E355" s="38" t="s">
        <v>60</v>
      </c>
      <c r="F355" s="28"/>
      <c r="G355" s="41">
        <f>3*72</f>
        <v>216</v>
      </c>
      <c r="H355" s="67">
        <v>3</v>
      </c>
      <c r="I355" s="43" t="s">
        <v>106</v>
      </c>
      <c r="J355" s="40">
        <f>SUM(H355)</f>
        <v>3</v>
      </c>
      <c r="K355" s="28"/>
      <c r="L355" s="32"/>
      <c r="M355" s="33"/>
      <c r="N355" s="35"/>
      <c r="O355" s="34"/>
      <c r="P355" s="34"/>
      <c r="Q355" s="35"/>
      <c r="R355" s="33"/>
      <c r="S355" s="35"/>
      <c r="T355" s="6" t="s">
        <v>104</v>
      </c>
      <c r="U355" s="34"/>
      <c r="V355" s="35"/>
      <c r="W355" s="28"/>
      <c r="AB355" s="41" t="s">
        <v>6</v>
      </c>
      <c r="AC355" s="18"/>
      <c r="AD355" s="18"/>
      <c r="AE355" s="10">
        <v>0</v>
      </c>
      <c r="AF355" s="18">
        <v>0</v>
      </c>
      <c r="AG355" s="11">
        <v>0</v>
      </c>
      <c r="AH355" s="10"/>
      <c r="AI355" s="11"/>
      <c r="AJ355" s="10">
        <v>0</v>
      </c>
      <c r="AK355" s="10"/>
      <c r="AL355" s="37" t="s">
        <v>6</v>
      </c>
      <c r="AM355" s="11"/>
      <c r="AP355" s="10"/>
      <c r="AQ355" s="29"/>
      <c r="AR355" s="31"/>
      <c r="AS355" s="33"/>
      <c r="AT355" s="7"/>
      <c r="AU355" s="8"/>
      <c r="AV355" s="8"/>
      <c r="AW355" s="8"/>
      <c r="AX355" s="8"/>
      <c r="AY355" s="7"/>
      <c r="AZ355" s="28"/>
      <c r="BA355" s="28" t="s">
        <v>6</v>
      </c>
      <c r="BB355" s="41" t="s">
        <v>113</v>
      </c>
      <c r="BC355" s="70">
        <v>390</v>
      </c>
      <c r="BD355" s="71">
        <v>450</v>
      </c>
      <c r="BE355" s="42"/>
      <c r="BF355" s="28"/>
      <c r="BG355" s="40"/>
      <c r="BH355" s="42"/>
      <c r="BI355" s="40"/>
      <c r="BJ355" s="42" t="s">
        <v>6</v>
      </c>
      <c r="BK355" s="43"/>
      <c r="BL355" s="40"/>
    </row>
    <row r="356" spans="1:65" ht="15" thickBot="1" x14ac:dyDescent="0.35">
      <c r="A356" s="67" t="s">
        <v>84</v>
      </c>
      <c r="B356" s="47">
        <f>SUM(B354:B355)</f>
        <v>150</v>
      </c>
      <c r="C356" s="49">
        <f>SUM(C354:C355)</f>
        <v>149</v>
      </c>
      <c r="G356" s="46"/>
      <c r="H356" s="48"/>
      <c r="I356" s="48"/>
      <c r="J356" s="49"/>
      <c r="K356" s="28"/>
      <c r="L356" s="69" t="s">
        <v>109</v>
      </c>
      <c r="M356" s="42">
        <v>0</v>
      </c>
      <c r="N356" s="40">
        <v>0</v>
      </c>
      <c r="O356" s="28">
        <v>0</v>
      </c>
      <c r="P356" s="43">
        <v>0</v>
      </c>
      <c r="Q356" s="40">
        <v>0</v>
      </c>
      <c r="R356" s="42">
        <v>0</v>
      </c>
      <c r="S356" s="40">
        <v>0</v>
      </c>
      <c r="T356" s="28"/>
      <c r="U356" s="28"/>
      <c r="V356" s="40"/>
      <c r="W356" s="28"/>
      <c r="AA356" s="28"/>
      <c r="AB356" s="44"/>
      <c r="AC356" s="45"/>
      <c r="AD356" s="45"/>
      <c r="AE356" s="10">
        <v>0</v>
      </c>
      <c r="AF356" s="18">
        <v>0</v>
      </c>
      <c r="AG356" s="11">
        <v>0</v>
      </c>
      <c r="AH356" s="10"/>
      <c r="AI356" s="11"/>
      <c r="AJ356" s="67"/>
      <c r="AK356" s="42"/>
      <c r="AL356" s="54"/>
      <c r="AM356" s="40"/>
      <c r="AN356" s="28"/>
      <c r="AP356" s="36" t="s">
        <v>63</v>
      </c>
      <c r="AQ356" s="10">
        <v>40</v>
      </c>
      <c r="AR356" s="18">
        <v>17</v>
      </c>
      <c r="AS356" s="42"/>
      <c r="AT356" s="11"/>
      <c r="AU356" s="18"/>
      <c r="AV356" s="18" t="s">
        <v>110</v>
      </c>
      <c r="AW356" s="18" t="s">
        <v>111</v>
      </c>
      <c r="AX356" s="18" t="s">
        <v>112</v>
      </c>
      <c r="AY356" s="11"/>
      <c r="AZ356" s="45"/>
      <c r="BA356" s="28"/>
      <c r="BB356" s="68" t="s">
        <v>84</v>
      </c>
      <c r="BC356">
        <f>SUM(BC354:BC355)</f>
        <v>390</v>
      </c>
      <c r="BD356">
        <f>SUM(BD354:BD355)</f>
        <v>450</v>
      </c>
      <c r="BE356" s="47">
        <v>0</v>
      </c>
      <c r="BF356" s="27">
        <v>0</v>
      </c>
      <c r="BG356" s="49">
        <v>0</v>
      </c>
      <c r="BH356" s="75">
        <v>0</v>
      </c>
      <c r="BI356" s="49">
        <v>0</v>
      </c>
      <c r="BJ356" s="47">
        <v>37</v>
      </c>
      <c r="BK356" s="51" t="s">
        <v>73</v>
      </c>
      <c r="BL356" s="49">
        <f>SUM(BJ355:BJ356)</f>
        <v>37</v>
      </c>
    </row>
    <row r="357" spans="1:65" ht="15" thickBot="1" x14ac:dyDescent="0.35">
      <c r="A357" s="29" t="s">
        <v>108</v>
      </c>
      <c r="B357" s="29">
        <v>0</v>
      </c>
      <c r="C357" s="7">
        <v>0</v>
      </c>
      <c r="D357" s="8"/>
      <c r="E357" s="8">
        <v>742</v>
      </c>
      <c r="F357" s="8"/>
      <c r="G357" s="50"/>
      <c r="H357" s="6" t="s">
        <v>104</v>
      </c>
      <c r="I357" s="31"/>
      <c r="J357" s="30"/>
      <c r="K357" s="28"/>
      <c r="L357" s="46"/>
      <c r="M357" s="47"/>
      <c r="N357" s="49"/>
      <c r="O357" s="48"/>
      <c r="P357" s="48"/>
      <c r="Q357" s="49"/>
      <c r="R357" s="72"/>
      <c r="S357" s="73"/>
      <c r="T357" s="48"/>
      <c r="U357" s="48"/>
      <c r="V357" s="49"/>
      <c r="W357" s="28"/>
      <c r="AA357" s="28"/>
      <c r="AB357" s="41"/>
      <c r="AE357" s="10">
        <v>0</v>
      </c>
      <c r="AF357" s="18">
        <v>0</v>
      </c>
      <c r="AG357" s="11">
        <v>0</v>
      </c>
      <c r="AH357" s="10"/>
      <c r="AI357" s="11"/>
      <c r="AJ357" s="47"/>
      <c r="AK357" s="72"/>
      <c r="AL357" s="74"/>
      <c r="AM357" s="49"/>
      <c r="AN357" s="28"/>
      <c r="AP357" s="10" t="s">
        <v>115</v>
      </c>
      <c r="AQ357" s="36">
        <v>52</v>
      </c>
      <c r="AR357" s="37">
        <v>60</v>
      </c>
      <c r="AS357" s="42"/>
      <c r="AT357" s="11"/>
      <c r="AU357" s="18"/>
      <c r="AV357" s="18"/>
      <c r="AW357" s="18"/>
      <c r="AX357" s="18"/>
      <c r="AY357" s="11"/>
      <c r="AZ357" s="28"/>
      <c r="BA357" s="28"/>
      <c r="BB357" s="33" t="s">
        <v>108</v>
      </c>
      <c r="BC357" s="78">
        <v>0</v>
      </c>
      <c r="BD357" s="79">
        <v>0</v>
      </c>
      <c r="BE357" s="34"/>
      <c r="BF357" s="8"/>
      <c r="BG357" s="35"/>
      <c r="BH357" s="80"/>
      <c r="BI357" s="34"/>
      <c r="BJ357" s="33"/>
      <c r="BK357" s="34" t="s">
        <v>91</v>
      </c>
      <c r="BL357" s="35"/>
    </row>
    <row r="358" spans="1:65" x14ac:dyDescent="0.3">
      <c r="A358" s="52" t="s">
        <v>109</v>
      </c>
      <c r="B358" s="36">
        <v>1175</v>
      </c>
      <c r="C358" s="11">
        <v>837</v>
      </c>
      <c r="D358" s="45"/>
      <c r="E358" s="45">
        <v>0</v>
      </c>
      <c r="F358" s="45"/>
      <c r="G358" s="69"/>
      <c r="H358" s="45">
        <v>6</v>
      </c>
      <c r="I358" s="28" t="s">
        <v>114</v>
      </c>
      <c r="J358" s="40"/>
      <c r="K358" s="28"/>
      <c r="L358" s="50" t="s">
        <v>93</v>
      </c>
      <c r="M358" s="8">
        <v>0</v>
      </c>
      <c r="N358" s="8">
        <v>0</v>
      </c>
      <c r="O358" s="6"/>
      <c r="P358" s="8"/>
      <c r="Q358" s="7"/>
      <c r="R358" s="8">
        <v>0</v>
      </c>
      <c r="S358" s="8">
        <v>0</v>
      </c>
      <c r="T358" s="10" t="s">
        <v>116</v>
      </c>
      <c r="U358" s="8"/>
      <c r="V358" s="7"/>
      <c r="W358" s="28"/>
      <c r="AA358" s="28"/>
      <c r="AB358" s="32"/>
      <c r="AC358" s="6"/>
      <c r="AD358" s="7"/>
      <c r="AE358" s="8"/>
      <c r="AF358" s="8"/>
      <c r="AG358" s="8"/>
      <c r="AH358" s="6"/>
      <c r="AI358" s="7"/>
      <c r="AJ358" s="8"/>
      <c r="AK358" s="36"/>
      <c r="AL358" s="77" t="s">
        <v>117</v>
      </c>
      <c r="AM358" s="11"/>
      <c r="AN358" s="28"/>
      <c r="AP358" s="52" t="s">
        <v>72</v>
      </c>
      <c r="AQ358" s="52">
        <v>0</v>
      </c>
      <c r="AR358" s="54">
        <v>0</v>
      </c>
      <c r="AS358" s="42"/>
      <c r="AT358" s="40"/>
      <c r="AU358" s="28"/>
      <c r="AV358" s="28"/>
      <c r="AW358" s="28"/>
      <c r="AX358" s="28"/>
      <c r="AY358" s="40"/>
      <c r="AZ358" s="28"/>
      <c r="BA358" s="28"/>
      <c r="BB358" s="52" t="s">
        <v>85</v>
      </c>
      <c r="BC358" s="42">
        <v>0</v>
      </c>
      <c r="BD358" s="40">
        <v>0</v>
      </c>
      <c r="BE358" s="28"/>
      <c r="BF358" s="28"/>
      <c r="BG358" s="40"/>
      <c r="BJ358" s="42" t="s">
        <v>6</v>
      </c>
      <c r="BK358" s="28"/>
      <c r="BL358" s="40"/>
    </row>
    <row r="359" spans="1:65" ht="15" thickBot="1" x14ac:dyDescent="0.35">
      <c r="A359" s="76" t="s">
        <v>84</v>
      </c>
      <c r="B359" s="42">
        <f>SUM(B357:B358)</f>
        <v>1175</v>
      </c>
      <c r="C359" s="40">
        <f>SUM(C357:C358)</f>
        <v>837</v>
      </c>
      <c r="D359" s="28"/>
      <c r="E359" s="28">
        <f>SUM(E357:E358)</f>
        <v>742</v>
      </c>
      <c r="F359" s="28"/>
      <c r="G359" s="46">
        <f>355*6</f>
        <v>2130</v>
      </c>
      <c r="H359" s="48"/>
      <c r="I359" s="48"/>
      <c r="J359" s="49">
        <f>SUM(H358)</f>
        <v>6</v>
      </c>
      <c r="K359" s="28"/>
      <c r="L359" s="12" t="s">
        <v>99</v>
      </c>
      <c r="M359" s="37">
        <v>56242</v>
      </c>
      <c r="N359" s="37">
        <v>14460</v>
      </c>
      <c r="O359" s="10"/>
      <c r="P359" s="18"/>
      <c r="Q359" s="11"/>
      <c r="R359" s="18">
        <v>3816</v>
      </c>
      <c r="S359" s="18">
        <v>339</v>
      </c>
      <c r="T359" s="10"/>
      <c r="U359" s="18"/>
      <c r="V359" s="11"/>
      <c r="W359" s="28"/>
      <c r="AA359" s="28"/>
      <c r="AB359" s="68"/>
      <c r="AC359" s="42"/>
      <c r="AD359" s="40"/>
      <c r="AH359" s="42"/>
      <c r="AI359" s="40"/>
      <c r="AK359" s="42">
        <v>2</v>
      </c>
      <c r="AL359" s="54" t="s">
        <v>121</v>
      </c>
      <c r="AM359" s="40"/>
      <c r="AN359" s="28"/>
      <c r="AP359" s="36" t="s">
        <v>78</v>
      </c>
      <c r="AQ359" s="36">
        <v>49</v>
      </c>
      <c r="AR359" s="37">
        <v>59</v>
      </c>
      <c r="AS359" s="42"/>
      <c r="AT359" s="11"/>
      <c r="AU359" s="18"/>
      <c r="AV359" s="37"/>
      <c r="AW359" s="18"/>
      <c r="AX359" s="37"/>
      <c r="AY359" s="11"/>
      <c r="AZ359" s="28"/>
      <c r="BA359" s="28"/>
      <c r="BB359" s="67" t="s">
        <v>113</v>
      </c>
      <c r="BC359" s="42">
        <v>425</v>
      </c>
      <c r="BD359" s="40">
        <v>430</v>
      </c>
      <c r="BE359" s="28"/>
      <c r="BF359" s="28"/>
      <c r="BG359" s="40"/>
      <c r="BH359" s="28"/>
      <c r="BI359" s="28"/>
      <c r="BJ359" s="67">
        <v>42</v>
      </c>
      <c r="BK359" s="43" t="s">
        <v>73</v>
      </c>
      <c r="BL359" s="40"/>
    </row>
    <row r="360" spans="1:65" ht="15" thickBot="1" x14ac:dyDescent="0.35">
      <c r="A360" s="32" t="s">
        <v>93</v>
      </c>
      <c r="B360" s="33">
        <v>7101</v>
      </c>
      <c r="C360" s="35">
        <v>5237</v>
      </c>
      <c r="D360" s="33"/>
      <c r="E360" s="34"/>
      <c r="F360" s="34"/>
      <c r="G360" s="32">
        <v>9000</v>
      </c>
      <c r="H360" s="33" t="s">
        <v>118</v>
      </c>
      <c r="I360" s="34"/>
      <c r="J360" s="35"/>
      <c r="K360" s="28"/>
      <c r="L360" s="12" t="s">
        <v>120</v>
      </c>
      <c r="M360" s="37">
        <v>10852</v>
      </c>
      <c r="N360" s="37">
        <v>130744</v>
      </c>
      <c r="O360" s="10"/>
      <c r="P360" s="18"/>
      <c r="Q360" s="11"/>
      <c r="R360" s="18">
        <v>1293</v>
      </c>
      <c r="S360" s="18">
        <v>71</v>
      </c>
      <c r="T360" s="10"/>
      <c r="U360" s="18"/>
      <c r="V360" s="11"/>
      <c r="W360" s="28"/>
      <c r="AA360" s="28"/>
      <c r="AB360" s="44"/>
      <c r="AC360" s="10"/>
      <c r="AD360" s="11"/>
      <c r="AE360" s="18"/>
      <c r="AF360" s="18"/>
      <c r="AG360" s="18"/>
      <c r="AH360" s="10"/>
      <c r="AI360" s="11"/>
      <c r="AJ360" s="18"/>
      <c r="AK360" s="10"/>
      <c r="AL360" s="37" t="s">
        <v>302</v>
      </c>
      <c r="AM360" s="11"/>
      <c r="AN360" s="28"/>
      <c r="AP360" s="10" t="s">
        <v>122</v>
      </c>
      <c r="AQ360" s="36">
        <v>8</v>
      </c>
      <c r="AR360" s="37">
        <v>21</v>
      </c>
      <c r="AS360" s="42"/>
      <c r="AT360" s="11"/>
      <c r="AU360" s="18"/>
      <c r="AV360" s="18">
        <v>34</v>
      </c>
      <c r="AW360" s="18" t="s">
        <v>123</v>
      </c>
      <c r="AX360" s="18"/>
      <c r="AY360" s="11"/>
      <c r="AZ360" s="28"/>
      <c r="BA360" s="28"/>
      <c r="BB360" s="47" t="s">
        <v>84</v>
      </c>
      <c r="BC360" s="47">
        <f>SUM(BC357:BC359)</f>
        <v>425</v>
      </c>
      <c r="BD360" s="49">
        <f>SUM(BD357:BD359)</f>
        <v>430</v>
      </c>
      <c r="BE360" s="81">
        <v>0</v>
      </c>
      <c r="BF360" s="27">
        <v>0</v>
      </c>
      <c r="BG360" s="82">
        <v>0</v>
      </c>
      <c r="BH360" s="74">
        <v>0</v>
      </c>
      <c r="BI360" s="74">
        <v>0</v>
      </c>
      <c r="BJ360" s="47"/>
      <c r="BK360" s="51"/>
      <c r="BL360" s="49">
        <f>SUM(BJ359)</f>
        <v>42</v>
      </c>
      <c r="BM360" t="s">
        <v>6</v>
      </c>
    </row>
    <row r="361" spans="1:65" ht="15" thickBot="1" x14ac:dyDescent="0.35">
      <c r="A361" s="41" t="s">
        <v>120</v>
      </c>
      <c r="B361" s="42">
        <v>2701</v>
      </c>
      <c r="C361" s="40">
        <v>2560</v>
      </c>
      <c r="D361" s="42"/>
      <c r="E361" s="28" t="s">
        <v>60</v>
      </c>
      <c r="F361" s="28"/>
      <c r="G361" s="41">
        <v>4350</v>
      </c>
      <c r="H361" s="42">
        <v>89</v>
      </c>
      <c r="I361" s="28" t="s">
        <v>101</v>
      </c>
      <c r="J361" s="40"/>
      <c r="K361" s="28"/>
      <c r="L361" s="12" t="s">
        <v>84</v>
      </c>
      <c r="M361" s="18">
        <f>SUM(M358:M360)</f>
        <v>67094</v>
      </c>
      <c r="N361" s="18">
        <f>SUM(N358:N360)</f>
        <v>145204</v>
      </c>
      <c r="O361" s="10">
        <v>0</v>
      </c>
      <c r="P361" s="18">
        <v>0</v>
      </c>
      <c r="Q361" s="11">
        <v>0</v>
      </c>
      <c r="R361" s="18">
        <f>SUM(R358:R360)</f>
        <v>5109</v>
      </c>
      <c r="S361" s="18">
        <f>SUM(S358:S360)</f>
        <v>410</v>
      </c>
      <c r="T361" s="10"/>
      <c r="U361" s="18"/>
      <c r="V361" s="11"/>
      <c r="W361" s="28"/>
      <c r="AA361" s="28"/>
      <c r="AB361" s="46"/>
      <c r="AC361" s="47"/>
      <c r="AD361" s="49"/>
      <c r="AE361" s="48"/>
      <c r="AF361" s="48"/>
      <c r="AG361" s="48"/>
      <c r="AH361" s="47"/>
      <c r="AI361" s="49"/>
      <c r="AJ361" s="48"/>
      <c r="AK361" s="47">
        <v>5</v>
      </c>
      <c r="AL361" s="48" t="s">
        <v>124</v>
      </c>
      <c r="AM361" s="49"/>
      <c r="AN361" s="28"/>
      <c r="AP361" s="10" t="s">
        <v>125</v>
      </c>
      <c r="AQ361" s="36">
        <v>4</v>
      </c>
      <c r="AR361" s="37">
        <v>4</v>
      </c>
      <c r="AS361" s="42"/>
      <c r="AT361" s="11"/>
      <c r="AU361" s="18"/>
      <c r="AV361" s="18">
        <v>32</v>
      </c>
      <c r="AW361" s="18" t="s">
        <v>126</v>
      </c>
      <c r="AX361" s="18"/>
      <c r="AY361" s="11"/>
      <c r="AZ361" s="28"/>
      <c r="BA361" s="28"/>
      <c r="BB361" s="52" t="s">
        <v>113</v>
      </c>
      <c r="BC361" s="42">
        <v>627</v>
      </c>
      <c r="BD361" s="85">
        <v>571</v>
      </c>
      <c r="BE361" s="37"/>
      <c r="BF361" s="18"/>
      <c r="BG361" s="54"/>
      <c r="BH361" s="52"/>
      <c r="BI361" s="40"/>
      <c r="BJ361" s="67"/>
      <c r="BK361" s="34" t="s">
        <v>130</v>
      </c>
      <c r="BL361" s="40"/>
    </row>
    <row r="362" spans="1:65" ht="15" thickBot="1" x14ac:dyDescent="0.35">
      <c r="A362" s="46" t="s">
        <v>84</v>
      </c>
      <c r="B362" s="47">
        <f>SUM(B360:B361)</f>
        <v>9802</v>
      </c>
      <c r="C362" s="49">
        <f>SUM(C360:C361)</f>
        <v>7797</v>
      </c>
      <c r="D362" s="47"/>
      <c r="E362" s="48"/>
      <c r="F362" s="48"/>
      <c r="G362" s="46">
        <f>SUM(G360:G361)</f>
        <v>13350</v>
      </c>
      <c r="H362" s="47"/>
      <c r="I362" s="48"/>
      <c r="J362" s="49">
        <f>SUM(H361:H362)</f>
        <v>89</v>
      </c>
      <c r="K362" s="28"/>
      <c r="L362" s="17"/>
      <c r="M362" s="27"/>
      <c r="N362" s="27"/>
      <c r="O362" s="13"/>
      <c r="P362" s="27"/>
      <c r="Q362" s="26"/>
      <c r="R362" s="27"/>
      <c r="S362" s="27"/>
      <c r="T362" s="13"/>
      <c r="U362" s="27"/>
      <c r="V362" s="26"/>
      <c r="W362" s="28"/>
      <c r="AA362" s="28"/>
      <c r="AB362" s="32"/>
      <c r="AE362" s="33"/>
      <c r="AF362" s="34"/>
      <c r="AG362" s="34"/>
      <c r="AH362" s="33"/>
      <c r="AI362" s="35"/>
      <c r="AJ362" s="32"/>
      <c r="AK362" s="83"/>
      <c r="AL362" s="34"/>
      <c r="AM362" s="35"/>
      <c r="AN362" s="28"/>
      <c r="AP362" s="84" t="s">
        <v>230</v>
      </c>
      <c r="AQ362" s="52">
        <v>0</v>
      </c>
      <c r="AR362" s="37">
        <v>0</v>
      </c>
      <c r="AS362" s="42"/>
      <c r="AT362" s="40"/>
      <c r="AU362" s="28"/>
      <c r="AV362" s="28">
        <v>25</v>
      </c>
      <c r="AW362" s="28" t="s">
        <v>129</v>
      </c>
      <c r="AX362" s="28"/>
      <c r="AY362" s="40"/>
      <c r="BA362" s="28"/>
      <c r="BB362" s="42" t="s">
        <v>133</v>
      </c>
      <c r="BC362" s="67">
        <v>0</v>
      </c>
      <c r="BD362" s="85">
        <v>0</v>
      </c>
      <c r="BE362" s="28"/>
      <c r="BF362" s="18"/>
      <c r="BG362" s="28"/>
      <c r="BH362" s="52"/>
      <c r="BI362" s="86"/>
      <c r="BJ362" s="52">
        <v>51</v>
      </c>
      <c r="BK362" s="43" t="s">
        <v>73</v>
      </c>
      <c r="BL362" s="40"/>
    </row>
    <row r="363" spans="1:65" ht="15" thickBot="1" x14ac:dyDescent="0.35">
      <c r="A363" s="41" t="s">
        <v>88</v>
      </c>
      <c r="B363" s="42">
        <v>268</v>
      </c>
      <c r="C363" s="40">
        <v>316</v>
      </c>
      <c r="D363" s="28"/>
      <c r="E363" s="45">
        <v>0</v>
      </c>
      <c r="F363" s="40"/>
      <c r="G363" s="40"/>
      <c r="H363" s="28" t="s">
        <v>131</v>
      </c>
      <c r="J363" s="40"/>
      <c r="K363" s="28"/>
      <c r="L363" s="12" t="s">
        <v>105</v>
      </c>
      <c r="M363" s="34">
        <v>1335</v>
      </c>
      <c r="N363" s="34">
        <v>6593</v>
      </c>
      <c r="O363" s="33" t="s">
        <v>6</v>
      </c>
      <c r="P363" s="34"/>
      <c r="Q363" s="35"/>
      <c r="R363" s="34">
        <v>268</v>
      </c>
      <c r="S363" s="34">
        <v>0</v>
      </c>
      <c r="T363" s="33"/>
      <c r="U363" s="34"/>
      <c r="V363" s="35"/>
      <c r="W363" s="28"/>
      <c r="AA363" s="28"/>
      <c r="AB363" s="46"/>
      <c r="AD363">
        <v>0</v>
      </c>
      <c r="AE363" s="47"/>
      <c r="AF363" s="48"/>
      <c r="AG363" s="48"/>
      <c r="AH363" s="47"/>
      <c r="AI363" s="49"/>
      <c r="AJ363" s="46"/>
      <c r="AK363" s="48"/>
      <c r="AL363" s="48"/>
      <c r="AM363" s="49"/>
      <c r="AN363" s="28"/>
      <c r="AP363" s="84" t="s">
        <v>132</v>
      </c>
      <c r="AQ363" s="42">
        <v>0</v>
      </c>
      <c r="AR363" s="37">
        <v>0</v>
      </c>
      <c r="AS363" s="42"/>
      <c r="AT363" s="40"/>
      <c r="AU363" s="28"/>
      <c r="AV363" s="28"/>
      <c r="AW363" s="28"/>
      <c r="AX363" s="28"/>
      <c r="AY363" s="40"/>
      <c r="AZ363" s="28"/>
      <c r="BA363" s="28"/>
      <c r="BB363" s="59" t="s">
        <v>84</v>
      </c>
      <c r="BC363" s="13">
        <f>SUM(BC361:BC362)</f>
        <v>627</v>
      </c>
      <c r="BD363" s="60">
        <f>SUM(BD361:BD362)</f>
        <v>571</v>
      </c>
      <c r="BE363" s="81">
        <v>0</v>
      </c>
      <c r="BF363" s="27">
        <v>0</v>
      </c>
      <c r="BG363" s="27">
        <v>0</v>
      </c>
      <c r="BH363" s="13">
        <v>0</v>
      </c>
      <c r="BI363" s="26">
        <v>0</v>
      </c>
      <c r="BJ363" s="13"/>
      <c r="BK363" s="43"/>
      <c r="BL363" s="26">
        <f>SUM(BJ361:BJ362)</f>
        <v>51</v>
      </c>
    </row>
    <row r="364" spans="1:65" x14ac:dyDescent="0.3">
      <c r="A364" s="41" t="s">
        <v>102</v>
      </c>
      <c r="B364" s="42">
        <v>334</v>
      </c>
      <c r="C364" s="85">
        <v>282</v>
      </c>
      <c r="D364" s="28"/>
      <c r="E364" s="45">
        <v>0</v>
      </c>
      <c r="F364" s="40"/>
      <c r="G364" s="40">
        <f>8*150</f>
        <v>1200</v>
      </c>
      <c r="H364" s="43">
        <v>8</v>
      </c>
      <c r="I364" s="28" t="s">
        <v>134</v>
      </c>
      <c r="J364" s="40"/>
      <c r="K364" s="28"/>
      <c r="L364" s="44" t="s">
        <v>99</v>
      </c>
      <c r="M364" s="18">
        <v>576</v>
      </c>
      <c r="N364" s="18">
        <v>0</v>
      </c>
      <c r="O364" s="10"/>
      <c r="P364" s="18"/>
      <c r="Q364" s="11"/>
      <c r="R364" s="18">
        <v>0</v>
      </c>
      <c r="S364" s="18">
        <v>0</v>
      </c>
      <c r="T364" s="10" t="s">
        <v>135</v>
      </c>
      <c r="U364" s="18"/>
      <c r="V364" s="11"/>
      <c r="W364" s="28"/>
      <c r="AA364" s="28"/>
      <c r="AB364" s="32" t="s">
        <v>89</v>
      </c>
      <c r="AC364" s="33">
        <v>490</v>
      </c>
      <c r="AD364" s="34">
        <v>460</v>
      </c>
      <c r="AE364" s="33"/>
      <c r="AF364" s="34"/>
      <c r="AG364" s="34"/>
      <c r="AH364" s="33"/>
      <c r="AI364" s="35"/>
      <c r="AJ364" s="35"/>
      <c r="AK364" s="34" t="s">
        <v>136</v>
      </c>
      <c r="AL364" s="34"/>
      <c r="AM364" s="35"/>
      <c r="AN364" s="28"/>
      <c r="AP364" s="84" t="s">
        <v>81</v>
      </c>
      <c r="AQ364" s="42">
        <v>70</v>
      </c>
      <c r="AR364" s="37">
        <v>51</v>
      </c>
      <c r="AS364" s="42"/>
      <c r="AT364" s="40"/>
      <c r="AU364" s="28"/>
      <c r="AV364" s="28"/>
      <c r="AW364" s="28"/>
      <c r="AX364" s="28"/>
      <c r="AY364" s="40"/>
      <c r="AZ364" s="28"/>
      <c r="BA364" s="28"/>
      <c r="BB364" s="88" t="s">
        <v>139</v>
      </c>
      <c r="BC364" s="33">
        <v>0</v>
      </c>
      <c r="BD364" s="35">
        <v>43</v>
      </c>
      <c r="BE364" s="89"/>
      <c r="BF364" s="89"/>
      <c r="BG364" s="80"/>
      <c r="BH364" s="6"/>
      <c r="BI364" s="35"/>
      <c r="BJ364" s="33" t="s">
        <v>140</v>
      </c>
      <c r="BK364" s="34"/>
      <c r="BL364" s="35"/>
    </row>
    <row r="365" spans="1:65" ht="15" thickBot="1" x14ac:dyDescent="0.35">
      <c r="A365" s="87" t="s">
        <v>84</v>
      </c>
      <c r="B365" s="59">
        <f>SUM(B363:B364)</f>
        <v>602</v>
      </c>
      <c r="C365" s="26">
        <f>SUM(C363:C364)</f>
        <v>598</v>
      </c>
      <c r="D365" s="27"/>
      <c r="E365" s="16">
        <f>SUM(E361:E364)</f>
        <v>0</v>
      </c>
      <c r="F365" s="26"/>
      <c r="G365" s="49"/>
      <c r="H365" s="48"/>
      <c r="I365" s="48"/>
      <c r="J365" s="49">
        <f>SUM(H363:H364)</f>
        <v>8</v>
      </c>
      <c r="K365" s="28"/>
      <c r="L365" s="12"/>
      <c r="M365" s="18"/>
      <c r="N365" s="18"/>
      <c r="O365" s="10"/>
      <c r="P365" s="18"/>
      <c r="Q365" s="11"/>
      <c r="R365" s="18"/>
      <c r="S365" s="18"/>
      <c r="T365" s="10"/>
      <c r="U365" s="18"/>
      <c r="V365" s="11"/>
      <c r="W365" s="28"/>
      <c r="AA365" s="28"/>
      <c r="AB365" s="44" t="s">
        <v>137</v>
      </c>
      <c r="AC365" s="10">
        <v>124</v>
      </c>
      <c r="AD365" s="18">
        <v>133</v>
      </c>
      <c r="AE365" s="10"/>
      <c r="AF365" s="18"/>
      <c r="AG365" s="18"/>
      <c r="AH365" s="52"/>
      <c r="AI365" s="85"/>
      <c r="AJ365" s="40"/>
      <c r="AK365" s="45"/>
      <c r="AL365" s="37"/>
      <c r="AM365" s="40"/>
      <c r="AN365" s="28"/>
      <c r="AP365" s="10" t="s">
        <v>138</v>
      </c>
      <c r="AQ365" s="36">
        <v>0</v>
      </c>
      <c r="AR365" s="37">
        <v>3</v>
      </c>
      <c r="AS365" s="42"/>
      <c r="AT365" s="11"/>
      <c r="AU365" s="18"/>
      <c r="AV365" s="18"/>
      <c r="AW365" s="18"/>
      <c r="AX365" s="18"/>
      <c r="AY365" s="11"/>
      <c r="AZ365" s="28"/>
      <c r="BA365" s="28"/>
      <c r="BB365" s="92" t="s">
        <v>113</v>
      </c>
      <c r="BC365" s="67">
        <f>9+15+4+15+3+6+52</f>
        <v>104</v>
      </c>
      <c r="BD365" s="56">
        <f>9+14+13+11+3+6+1+54</f>
        <v>111</v>
      </c>
      <c r="BE365" s="54"/>
      <c r="BF365" s="54"/>
      <c r="BG365" s="45"/>
      <c r="BH365" s="10"/>
      <c r="BI365" s="40"/>
      <c r="BJ365" s="10" t="s">
        <v>142</v>
      </c>
      <c r="BK365" s="18"/>
      <c r="BL365" s="39" t="s">
        <v>438</v>
      </c>
    </row>
    <row r="366" spans="1:65" x14ac:dyDescent="0.3">
      <c r="A366" s="36" t="s">
        <v>93</v>
      </c>
      <c r="B366" s="42">
        <v>7928</v>
      </c>
      <c r="C366" s="90">
        <v>6997</v>
      </c>
      <c r="D366" s="3"/>
      <c r="E366" s="91" t="s">
        <v>60</v>
      </c>
      <c r="F366" s="18"/>
      <c r="G366" s="44">
        <v>9264</v>
      </c>
      <c r="H366" s="10" t="s">
        <v>116</v>
      </c>
      <c r="I366" s="18"/>
      <c r="J366" s="11"/>
      <c r="K366" s="28"/>
      <c r="L366" s="12" t="s">
        <v>84</v>
      </c>
      <c r="M366" s="18">
        <f>SUM(M363:M365)</f>
        <v>1911</v>
      </c>
      <c r="N366" s="18">
        <f>SUM(N363:N365)</f>
        <v>6593</v>
      </c>
      <c r="O366" s="10">
        <v>0</v>
      </c>
      <c r="P366" s="18">
        <v>0</v>
      </c>
      <c r="Q366" s="11">
        <v>0</v>
      </c>
      <c r="R366" s="18">
        <f>SUM(R363:R365)</f>
        <v>268</v>
      </c>
      <c r="S366" s="18">
        <f>SUM(S363:S365)</f>
        <v>0</v>
      </c>
      <c r="T366" s="10"/>
      <c r="U366" s="18"/>
      <c r="V366" s="11"/>
      <c r="W366" s="28"/>
      <c r="AA366" s="28"/>
      <c r="AB366" s="41" t="s">
        <v>84</v>
      </c>
      <c r="AC366" s="42">
        <f>SUM(AC364:AC365)</f>
        <v>614</v>
      </c>
      <c r="AD366" s="28">
        <f>SUM(AD364:AD365)</f>
        <v>593</v>
      </c>
      <c r="AE366" s="42">
        <v>0</v>
      </c>
      <c r="AF366" s="28">
        <v>0</v>
      </c>
      <c r="AG366" s="28">
        <v>0</v>
      </c>
      <c r="AH366" s="42">
        <v>0</v>
      </c>
      <c r="AI366" s="40">
        <v>0</v>
      </c>
      <c r="AJ366" s="40">
        <v>0</v>
      </c>
      <c r="AK366" s="43">
        <v>13</v>
      </c>
      <c r="AL366" s="28" t="s">
        <v>141</v>
      </c>
      <c r="AM366" s="40"/>
      <c r="AN366" s="28"/>
      <c r="AP366" s="84" t="s">
        <v>56</v>
      </c>
      <c r="AQ366" s="42">
        <v>9</v>
      </c>
      <c r="AR366" s="54">
        <v>10</v>
      </c>
      <c r="AS366" s="42"/>
      <c r="AT366" s="40"/>
      <c r="AU366" s="28"/>
      <c r="AV366" s="28"/>
      <c r="AW366" s="28"/>
      <c r="AX366" s="28"/>
      <c r="AY366" s="40"/>
      <c r="AZ366" s="28"/>
      <c r="BA366" s="28"/>
      <c r="BB366" s="92" t="s">
        <v>164</v>
      </c>
      <c r="BC366" s="67">
        <v>3</v>
      </c>
      <c r="BD366" s="56">
        <f>5+3</f>
        <v>8</v>
      </c>
      <c r="BE366" s="54"/>
      <c r="BF366" s="54"/>
      <c r="BG366" s="45"/>
      <c r="BH366" s="10"/>
      <c r="BI366" s="40"/>
      <c r="BJ366" s="93" t="s">
        <v>146</v>
      </c>
      <c r="BK366" s="28"/>
      <c r="BL366" s="94" t="s">
        <v>253</v>
      </c>
    </row>
    <row r="367" spans="1:65" ht="15" thickBot="1" x14ac:dyDescent="0.35">
      <c r="A367" s="10" t="s">
        <v>99</v>
      </c>
      <c r="B367" s="42">
        <v>16997</v>
      </c>
      <c r="C367" s="40">
        <v>15369</v>
      </c>
      <c r="D367" s="3"/>
      <c r="E367" s="91" t="s">
        <v>60</v>
      </c>
      <c r="F367" s="18"/>
      <c r="G367" s="12">
        <v>21266</v>
      </c>
      <c r="H367" s="10">
        <v>89</v>
      </c>
      <c r="I367" s="37" t="s">
        <v>144</v>
      </c>
      <c r="J367" s="11"/>
      <c r="K367" s="28"/>
      <c r="L367" s="12"/>
      <c r="M367" s="18"/>
      <c r="N367" s="18"/>
      <c r="O367" s="10"/>
      <c r="P367" s="18"/>
      <c r="Q367" s="11"/>
      <c r="R367" s="18"/>
      <c r="S367" s="18"/>
      <c r="T367" s="10"/>
      <c r="U367" s="18"/>
      <c r="V367" s="11"/>
      <c r="W367" s="28"/>
      <c r="AA367" s="28"/>
      <c r="AB367" s="46"/>
      <c r="AC367" s="47"/>
      <c r="AD367" s="48"/>
      <c r="AE367" s="47"/>
      <c r="AF367" s="48"/>
      <c r="AG367" s="48"/>
      <c r="AH367" s="47"/>
      <c r="AI367" s="49"/>
      <c r="AJ367" s="49"/>
      <c r="AK367" s="48"/>
      <c r="AL367" s="48" t="s">
        <v>145</v>
      </c>
      <c r="AM367" s="49"/>
      <c r="AN367" s="28"/>
      <c r="AP367" s="36" t="s">
        <v>67</v>
      </c>
      <c r="AQ367" s="10">
        <v>68</v>
      </c>
      <c r="AR367" s="18">
        <v>77</v>
      </c>
      <c r="AS367" s="42"/>
      <c r="AT367" s="11"/>
      <c r="AU367" s="18"/>
      <c r="AV367" s="18"/>
      <c r="AW367" s="18"/>
      <c r="AX367" s="18"/>
      <c r="AY367" s="11"/>
      <c r="AZ367" s="28"/>
      <c r="BA367" s="28" t="s">
        <v>6</v>
      </c>
      <c r="BB367" s="127" t="s">
        <v>190</v>
      </c>
      <c r="BC367" s="67">
        <v>1</v>
      </c>
      <c r="BD367" s="56">
        <v>0</v>
      </c>
      <c r="BH367" s="42"/>
      <c r="BI367" s="40"/>
      <c r="BJ367" s="42"/>
      <c r="BK367" s="28"/>
      <c r="BL367" s="40"/>
    </row>
    <row r="368" spans="1:65" ht="15" thickBot="1" x14ac:dyDescent="0.35">
      <c r="A368" s="10" t="s">
        <v>120</v>
      </c>
      <c r="B368" s="42">
        <v>5610</v>
      </c>
      <c r="C368" s="40">
        <v>5034</v>
      </c>
      <c r="D368" s="3"/>
      <c r="E368" s="91" t="s">
        <v>60</v>
      </c>
      <c r="F368" s="18"/>
      <c r="G368" s="12">
        <v>6664</v>
      </c>
      <c r="H368" s="84">
        <v>60</v>
      </c>
      <c r="I368" s="37" t="s">
        <v>148</v>
      </c>
      <c r="J368" s="11"/>
      <c r="K368" s="28"/>
      <c r="L368" s="12"/>
      <c r="M368" s="18"/>
      <c r="N368" s="18"/>
      <c r="O368" s="10"/>
      <c r="P368" s="18"/>
      <c r="Q368" s="11"/>
      <c r="R368" s="18"/>
      <c r="S368" s="18"/>
      <c r="T368" s="10"/>
      <c r="U368" s="18"/>
      <c r="V368" s="11"/>
      <c r="W368" s="28"/>
      <c r="AA368" s="28"/>
      <c r="AB368" s="42"/>
      <c r="AC368" s="42"/>
      <c r="AD368" s="40"/>
      <c r="AE368" s="28"/>
      <c r="AF368" s="28"/>
      <c r="AG368" s="28"/>
      <c r="AH368" s="42"/>
      <c r="AI368" s="28"/>
      <c r="AJ368" s="41"/>
      <c r="AK368" s="28" t="s">
        <v>149</v>
      </c>
      <c r="AL368" s="28"/>
      <c r="AM368" s="40"/>
      <c r="AN368" s="28" t="s">
        <v>6</v>
      </c>
      <c r="AO368" s="95"/>
      <c r="AP368" s="13" t="s">
        <v>84</v>
      </c>
      <c r="AQ368" s="13">
        <f>SUM(AQ356:AQ367)</f>
        <v>300</v>
      </c>
      <c r="AR368" s="27">
        <f>SUM(AR356:AR367)</f>
        <v>302</v>
      </c>
      <c r="AS368" s="47"/>
      <c r="AT368" s="26">
        <f>SUM(AT360:AT367)</f>
        <v>0</v>
      </c>
      <c r="AU368" s="27"/>
      <c r="AV368" s="27"/>
      <c r="AW368" s="27"/>
      <c r="AX368" s="27"/>
      <c r="AY368" s="26">
        <f>SUM(AV360:AV362)</f>
        <v>91</v>
      </c>
      <c r="AZ368" s="28"/>
      <c r="BA368" s="28"/>
      <c r="BB368" s="52" t="s">
        <v>133</v>
      </c>
      <c r="BC368" s="67">
        <f>54+8</f>
        <v>62</v>
      </c>
      <c r="BD368" s="56">
        <f>31+2+7</f>
        <v>40</v>
      </c>
      <c r="BE368" s="54" t="s">
        <v>150</v>
      </c>
      <c r="BF368" s="54"/>
      <c r="BG368" s="45"/>
      <c r="BH368" s="10"/>
      <c r="BI368" s="40"/>
      <c r="BJ368" s="42" t="s">
        <v>151</v>
      </c>
      <c r="BK368" s="28"/>
      <c r="BL368" s="96"/>
    </row>
    <row r="369" spans="1:64" ht="15" thickBot="1" x14ac:dyDescent="0.35">
      <c r="A369" s="10" t="s">
        <v>84</v>
      </c>
      <c r="B369" s="42">
        <f>SUM(B366:B368)</f>
        <v>30535</v>
      </c>
      <c r="C369" s="40">
        <f>SUM(C366:C368)</f>
        <v>27400</v>
      </c>
      <c r="D369" s="3"/>
      <c r="E369" s="91" t="s">
        <v>60</v>
      </c>
      <c r="F369" s="18"/>
      <c r="G369" s="12">
        <f>SUM(G366:G368)</f>
        <v>37194</v>
      </c>
      <c r="H369" s="42">
        <v>48</v>
      </c>
      <c r="I369" s="54" t="s">
        <v>152</v>
      </c>
      <c r="J369" s="40"/>
      <c r="K369" s="28"/>
      <c r="L369" s="44"/>
      <c r="M369" s="18"/>
      <c r="N369" s="18"/>
      <c r="O369" s="10"/>
      <c r="P369" s="18"/>
      <c r="Q369" s="11"/>
      <c r="R369" s="18"/>
      <c r="S369" s="18"/>
      <c r="T369" s="10"/>
      <c r="U369" s="18"/>
      <c r="V369" s="11"/>
      <c r="W369" s="28"/>
      <c r="Y369" t="s">
        <v>6</v>
      </c>
      <c r="AB369" s="36" t="s">
        <v>99</v>
      </c>
      <c r="AC369" s="10">
        <v>0</v>
      </c>
      <c r="AD369" s="11">
        <v>0</v>
      </c>
      <c r="AE369" s="18">
        <v>0</v>
      </c>
      <c r="AF369" s="18">
        <v>0</v>
      </c>
      <c r="AG369" s="18">
        <v>0</v>
      </c>
      <c r="AH369" s="52">
        <v>59590</v>
      </c>
      <c r="AI369" s="45">
        <v>5301</v>
      </c>
      <c r="AJ369" s="41">
        <v>0</v>
      </c>
      <c r="AK369" s="45">
        <v>3</v>
      </c>
      <c r="AL369" s="37" t="s">
        <v>153</v>
      </c>
      <c r="AM369" s="40"/>
      <c r="AP369" s="32"/>
      <c r="AQ369" s="53"/>
      <c r="AR369" s="97"/>
      <c r="AS369" s="33"/>
      <c r="AT369" s="7"/>
      <c r="AU369" s="6"/>
      <c r="AV369" s="8"/>
      <c r="AW369" s="31"/>
      <c r="AX369" s="8"/>
      <c r="AY369" s="7"/>
      <c r="AZ369" s="28"/>
      <c r="BA369" s="28"/>
      <c r="BB369" s="52" t="s">
        <v>85</v>
      </c>
      <c r="BC369" s="42">
        <f>26+10</f>
        <v>36</v>
      </c>
      <c r="BD369" s="56">
        <f>22+2</f>
        <v>24</v>
      </c>
      <c r="BE369" s="28"/>
      <c r="BF369" s="54"/>
      <c r="BG369" s="28"/>
      <c r="BH369" s="84"/>
      <c r="BI369" s="56"/>
      <c r="BJ369" s="42" t="s">
        <v>439</v>
      </c>
      <c r="BK369" s="28" t="s">
        <v>440</v>
      </c>
      <c r="BL369" s="40" t="s">
        <v>441</v>
      </c>
    </row>
    <row r="370" spans="1:64" ht="16.2" thickBot="1" x14ac:dyDescent="0.35">
      <c r="A370" s="13"/>
      <c r="B370" s="47"/>
      <c r="C370" s="49"/>
      <c r="D370" s="27"/>
      <c r="E370" s="27"/>
      <c r="F370" s="27"/>
      <c r="G370" s="17"/>
      <c r="H370" s="47"/>
      <c r="I370" s="27"/>
      <c r="J370" s="60">
        <f>SUM(H367:H369)</f>
        <v>197</v>
      </c>
      <c r="K370" s="28"/>
      <c r="L370" s="12"/>
      <c r="M370" s="18"/>
      <c r="N370" s="18"/>
      <c r="O370" s="10"/>
      <c r="P370" s="18"/>
      <c r="Q370" s="11"/>
      <c r="R370" s="18"/>
      <c r="S370" s="18"/>
      <c r="T370" s="10"/>
      <c r="U370" s="18"/>
      <c r="V370" s="11"/>
      <c r="W370" s="28"/>
      <c r="AB370" s="32"/>
      <c r="AC370" s="6"/>
      <c r="AD370" s="7"/>
      <c r="AE370" s="8"/>
      <c r="AF370" s="8"/>
      <c r="AG370" s="8"/>
      <c r="AH370" s="6"/>
      <c r="AI370" s="7"/>
      <c r="AJ370" s="8"/>
      <c r="AK370" s="29" t="s">
        <v>157</v>
      </c>
      <c r="AL370" s="8"/>
      <c r="AM370" s="7"/>
      <c r="AP370" s="62"/>
      <c r="AQ370" s="72"/>
      <c r="AR370" s="73"/>
      <c r="AS370" s="47"/>
      <c r="AT370" s="49"/>
      <c r="AU370" s="47"/>
      <c r="AV370" s="48"/>
      <c r="AW370" s="48"/>
      <c r="AX370" s="48"/>
      <c r="AY370" s="49"/>
      <c r="AZ370" s="28"/>
      <c r="BA370" s="28"/>
      <c r="BB370" s="151" t="s">
        <v>108</v>
      </c>
      <c r="BC370" s="36">
        <v>2</v>
      </c>
      <c r="BD370" s="39">
        <v>4</v>
      </c>
      <c r="BE370" s="18"/>
      <c r="BF370" s="18"/>
      <c r="BG370" s="18"/>
      <c r="BH370" s="10"/>
      <c r="BI370" s="11"/>
      <c r="BJ370" s="98" t="s">
        <v>442</v>
      </c>
      <c r="BK370" s="28" t="s">
        <v>443</v>
      </c>
      <c r="BL370" s="99" t="s">
        <v>444</v>
      </c>
    </row>
    <row r="371" spans="1:64" ht="16.2" thickBot="1" x14ac:dyDescent="0.35">
      <c r="A371" s="6" t="s">
        <v>105</v>
      </c>
      <c r="B371" s="6">
        <v>1729</v>
      </c>
      <c r="C371" s="7">
        <v>1259</v>
      </c>
      <c r="D371" s="8"/>
      <c r="E371" s="80">
        <v>662</v>
      </c>
      <c r="F371" s="66"/>
      <c r="G371" s="8"/>
      <c r="H371" s="6" t="s">
        <v>162</v>
      </c>
      <c r="I371" s="8"/>
      <c r="J371" s="7"/>
      <c r="K371" s="28"/>
      <c r="L371" s="17"/>
      <c r="M371" s="27"/>
      <c r="N371" s="27"/>
      <c r="O371" s="13"/>
      <c r="P371" s="27"/>
      <c r="Q371" s="26"/>
      <c r="R371" s="27"/>
      <c r="S371" s="27"/>
      <c r="T371" s="13"/>
      <c r="U371" s="27"/>
      <c r="V371" s="26"/>
      <c r="W371" s="28"/>
      <c r="AB371" s="68" t="s">
        <v>99</v>
      </c>
      <c r="AC371" s="42">
        <v>0</v>
      </c>
      <c r="AD371" s="40">
        <v>0</v>
      </c>
      <c r="AE371">
        <v>0</v>
      </c>
      <c r="AF371">
        <v>0</v>
      </c>
      <c r="AG371">
        <v>0</v>
      </c>
      <c r="AH371" s="42">
        <v>297674</v>
      </c>
      <c r="AI371" s="40">
        <v>70954</v>
      </c>
      <c r="AJ371" s="43">
        <v>0</v>
      </c>
      <c r="AK371" s="42">
        <v>7</v>
      </c>
      <c r="AL371" s="54" t="s">
        <v>163</v>
      </c>
      <c r="AM371" s="40"/>
      <c r="AP371" s="67" t="s">
        <v>63</v>
      </c>
      <c r="AQ371" s="33">
        <v>1</v>
      </c>
      <c r="AR371" s="35">
        <v>2</v>
      </c>
      <c r="AU371" s="33"/>
      <c r="AV371" s="34"/>
      <c r="AW371" s="34"/>
      <c r="AX371" s="34"/>
      <c r="AY371" s="35"/>
      <c r="AZ371" s="28"/>
      <c r="BA371" s="28"/>
      <c r="BB371" s="92" t="s">
        <v>445</v>
      </c>
      <c r="BC371" s="42">
        <v>3</v>
      </c>
      <c r="BD371" s="40">
        <v>0</v>
      </c>
      <c r="BE371" s="18"/>
      <c r="BF371" s="18"/>
      <c r="BG371" s="18"/>
      <c r="BH371" s="10"/>
      <c r="BI371" s="11"/>
      <c r="BJ371" s="98" t="s">
        <v>446</v>
      </c>
      <c r="BK371" s="100" t="s">
        <v>447</v>
      </c>
      <c r="BL371" s="39" t="s">
        <v>448</v>
      </c>
    </row>
    <row r="372" spans="1:64" ht="15" thickBot="1" x14ac:dyDescent="0.35">
      <c r="A372" s="36" t="s">
        <v>99</v>
      </c>
      <c r="B372" s="10">
        <v>1319</v>
      </c>
      <c r="C372" s="11">
        <v>1008</v>
      </c>
      <c r="D372" s="18"/>
      <c r="E372" s="18">
        <v>649</v>
      </c>
      <c r="F372" s="85"/>
      <c r="G372" s="18"/>
      <c r="H372" s="42"/>
      <c r="I372" s="54"/>
      <c r="J372" s="11"/>
      <c r="L372" s="101" t="s">
        <v>84</v>
      </c>
      <c r="M372" s="102">
        <f>SUM(M366+M361+M356+M354+M350+M345)</f>
        <v>91815</v>
      </c>
      <c r="N372" s="102">
        <f>SUM(N366+N361+N356+N354+N350+N345)</f>
        <v>163298</v>
      </c>
      <c r="O372" s="103">
        <v>0</v>
      </c>
      <c r="P372" s="102">
        <v>0</v>
      </c>
      <c r="Q372" s="104">
        <v>0</v>
      </c>
      <c r="R372" s="102">
        <f>SUM(R366+R361+R356+R354+R345+R350)</f>
        <v>5514</v>
      </c>
      <c r="S372" s="102">
        <f>SUM(S366+S361+S354+S350+S345)</f>
        <v>410</v>
      </c>
      <c r="T372" s="105"/>
      <c r="U372" s="102"/>
      <c r="V372" s="106"/>
      <c r="AB372" s="44" t="s">
        <v>6</v>
      </c>
      <c r="AC372" s="10"/>
      <c r="AD372" s="11"/>
      <c r="AE372" s="18"/>
      <c r="AF372" s="18"/>
      <c r="AG372" s="18"/>
      <c r="AH372" s="10"/>
      <c r="AI372" s="11"/>
      <c r="AJ372" s="18"/>
      <c r="AK372" s="10">
        <v>10</v>
      </c>
      <c r="AL372" s="37" t="s">
        <v>153</v>
      </c>
      <c r="AM372" s="11"/>
      <c r="AP372" s="67" t="s">
        <v>168</v>
      </c>
      <c r="AQ372" s="42">
        <v>0</v>
      </c>
      <c r="AR372" s="40">
        <v>0</v>
      </c>
      <c r="AU372" s="42"/>
      <c r="AV372" s="28"/>
      <c r="AW372" s="28"/>
      <c r="AX372" s="28"/>
      <c r="AY372" s="40"/>
      <c r="AZ372" s="28"/>
      <c r="BA372" s="28"/>
      <c r="BB372" s="36" t="s">
        <v>169</v>
      </c>
      <c r="BC372" s="36">
        <v>6</v>
      </c>
      <c r="BD372" s="39">
        <v>5</v>
      </c>
      <c r="BE372" s="18"/>
      <c r="BF372" s="18"/>
      <c r="BG372" s="18"/>
      <c r="BH372" s="10"/>
      <c r="BI372" s="11"/>
      <c r="BJ372" s="98" t="s">
        <v>345</v>
      </c>
      <c r="BK372" s="37" t="s">
        <v>276</v>
      </c>
      <c r="BL372" s="39" t="s">
        <v>449</v>
      </c>
    </row>
    <row r="373" spans="1:64" ht="15" thickBot="1" x14ac:dyDescent="0.35">
      <c r="A373" s="10"/>
      <c r="B373" s="10"/>
      <c r="C373" s="39"/>
      <c r="D373" s="18"/>
      <c r="E373" s="18"/>
      <c r="F373" s="85"/>
      <c r="G373" s="18"/>
      <c r="H373" s="42">
        <v>43</v>
      </c>
      <c r="I373" s="37" t="s">
        <v>101</v>
      </c>
      <c r="J373" s="11"/>
      <c r="AB373" s="46" t="s">
        <v>6</v>
      </c>
      <c r="AC373" s="47"/>
      <c r="AD373" s="49"/>
      <c r="AE373" s="48"/>
      <c r="AF373" s="48"/>
      <c r="AG373" s="48"/>
      <c r="AH373" s="47"/>
      <c r="AI373" s="49"/>
      <c r="AJ373" s="48"/>
      <c r="AK373" s="47"/>
      <c r="AL373" s="48"/>
      <c r="AM373" s="49"/>
      <c r="AP373" s="52" t="s">
        <v>56</v>
      </c>
      <c r="AQ373" s="52">
        <v>3</v>
      </c>
      <c r="AR373" s="85">
        <v>2</v>
      </c>
      <c r="AS373" s="28"/>
      <c r="AT373" s="28"/>
      <c r="AU373" s="42"/>
      <c r="AV373" s="28" t="s">
        <v>173</v>
      </c>
      <c r="AW373" s="28"/>
      <c r="AX373" s="28"/>
      <c r="AY373" s="40"/>
      <c r="AZ373" s="28"/>
      <c r="BA373" s="28"/>
      <c r="BB373" s="36" t="s">
        <v>93</v>
      </c>
      <c r="BC373" s="36">
        <v>0</v>
      </c>
      <c r="BD373" s="39">
        <v>5</v>
      </c>
      <c r="BE373" s="18"/>
      <c r="BF373" s="18"/>
      <c r="BG373" s="18"/>
      <c r="BH373" s="10"/>
      <c r="BI373" s="11"/>
      <c r="BJ373" s="52" t="s">
        <v>450</v>
      </c>
      <c r="BK373" s="37" t="s">
        <v>451</v>
      </c>
      <c r="BL373" s="39"/>
    </row>
    <row r="374" spans="1:64" ht="15" thickBot="1" x14ac:dyDescent="0.35">
      <c r="A374" s="13" t="s">
        <v>84</v>
      </c>
      <c r="B374" s="13">
        <f>SUM(B371:B373)</f>
        <v>3048</v>
      </c>
      <c r="C374" s="26">
        <f>SUM(C371:C373)</f>
        <v>2267</v>
      </c>
      <c r="D374" s="27"/>
      <c r="E374" s="27">
        <f>SUM(E371:E373)</f>
        <v>1311</v>
      </c>
      <c r="F374" s="26"/>
      <c r="G374" s="27">
        <v>7110</v>
      </c>
      <c r="H374" s="13"/>
      <c r="I374" s="81"/>
      <c r="J374" s="26">
        <f>SUM(H372:H373)</f>
        <v>43</v>
      </c>
      <c r="L374" t="s">
        <v>6</v>
      </c>
      <c r="M374" s="115"/>
      <c r="AB374" s="6"/>
      <c r="AC374" s="6"/>
      <c r="AD374" s="7"/>
      <c r="AE374" s="8"/>
      <c r="AF374" s="8"/>
      <c r="AG374" s="8"/>
      <c r="AH374" s="6"/>
      <c r="AI374" s="7"/>
      <c r="AJ374" s="8"/>
      <c r="AK374" s="29"/>
      <c r="AL374" s="8"/>
      <c r="AM374" s="7"/>
      <c r="AN374" s="45"/>
      <c r="AP374" s="52" t="s">
        <v>67</v>
      </c>
      <c r="AQ374" s="52">
        <v>3</v>
      </c>
      <c r="AR374" s="56">
        <v>3</v>
      </c>
      <c r="AU374" s="42"/>
      <c r="AV374" s="28"/>
      <c r="AW374" s="28"/>
      <c r="AX374" s="28"/>
      <c r="AY374" s="40"/>
      <c r="AZ374" s="28"/>
      <c r="BA374" s="28"/>
      <c r="BB374" s="150" t="s">
        <v>452</v>
      </c>
      <c r="BC374" s="36">
        <v>4</v>
      </c>
      <c r="BD374" s="39">
        <v>0</v>
      </c>
      <c r="BE374" s="18"/>
      <c r="BF374" s="37"/>
      <c r="BG374" s="18"/>
      <c r="BH374" s="10"/>
      <c r="BI374" s="11"/>
      <c r="BJ374" s="93" t="s">
        <v>453</v>
      </c>
      <c r="BK374" s="54" t="s">
        <v>454</v>
      </c>
      <c r="BL374" s="39"/>
    </row>
    <row r="375" spans="1:64" ht="15" thickBot="1" x14ac:dyDescent="0.35">
      <c r="A375" s="42" t="s">
        <v>181</v>
      </c>
      <c r="B375" s="42">
        <v>3820</v>
      </c>
      <c r="C375" s="40">
        <v>3078</v>
      </c>
      <c r="D375" s="28"/>
      <c r="E375" s="107" t="s">
        <v>60</v>
      </c>
      <c r="F375" s="43"/>
      <c r="G375" s="41">
        <v>4160</v>
      </c>
      <c r="H375" s="18" t="s">
        <v>182</v>
      </c>
      <c r="I375" s="28"/>
      <c r="J375" s="11"/>
      <c r="K375" s="43"/>
      <c r="M375" s="126"/>
      <c r="AB375" s="36"/>
      <c r="AC375" s="10"/>
      <c r="AD375" s="11"/>
      <c r="AE375" s="18"/>
      <c r="AF375" s="18"/>
      <c r="AG375" s="18"/>
      <c r="AH375" s="36"/>
      <c r="AI375" s="11"/>
      <c r="AJ375" s="18"/>
      <c r="AK375" s="36"/>
      <c r="AL375" s="37"/>
      <c r="AM375" s="11"/>
      <c r="AN375" s="45"/>
      <c r="AP375" s="10" t="s">
        <v>78</v>
      </c>
      <c r="AQ375" s="52">
        <v>0</v>
      </c>
      <c r="AR375" s="85">
        <v>1</v>
      </c>
      <c r="AS375" s="28"/>
      <c r="AT375" s="28"/>
      <c r="AU375" s="42"/>
      <c r="AV375" s="28">
        <v>7</v>
      </c>
      <c r="AW375" s="28" t="s">
        <v>183</v>
      </c>
      <c r="AX375" s="28"/>
      <c r="AY375" s="40"/>
      <c r="AZ375" s="37"/>
      <c r="BA375" s="37"/>
      <c r="BB375" s="36" t="s">
        <v>184</v>
      </c>
      <c r="BC375" s="36">
        <v>0</v>
      </c>
      <c r="BD375" s="39">
        <v>0</v>
      </c>
      <c r="BE375" s="18"/>
      <c r="BF375" s="18"/>
      <c r="BG375" s="18"/>
      <c r="BH375" s="10"/>
      <c r="BI375" s="11"/>
      <c r="BJ375" s="36" t="s">
        <v>455</v>
      </c>
      <c r="BK375" s="37" t="s">
        <v>456</v>
      </c>
      <c r="BL375" s="40"/>
    </row>
    <row r="376" spans="1:64" ht="15" thickBot="1" x14ac:dyDescent="0.35">
      <c r="A376" s="42" t="s">
        <v>120</v>
      </c>
      <c r="B376" s="42">
        <v>3752</v>
      </c>
      <c r="C376" s="40">
        <v>3557</v>
      </c>
      <c r="D376" s="28"/>
      <c r="E376" s="107" t="s">
        <v>60</v>
      </c>
      <c r="F376" s="43"/>
      <c r="G376" s="68">
        <v>4460</v>
      </c>
      <c r="H376" s="43">
        <v>56</v>
      </c>
      <c r="I376" s="28" t="s">
        <v>188</v>
      </c>
      <c r="J376" s="11"/>
      <c r="K376" s="28"/>
      <c r="M376" s="126"/>
      <c r="AA376" s="28"/>
      <c r="AB376" s="103" t="s">
        <v>84</v>
      </c>
      <c r="AC376" s="103">
        <f>SUM(AC375+AC371+AC369+AC366+AC363+AC361+AC357+AC353+AC350+AC347+AC348)</f>
        <v>2399</v>
      </c>
      <c r="AD376" s="104">
        <f>SUM(AD375+AD371+AD369+AD366+AD363+AD357+AD353+AD350+AD348+AD347)</f>
        <v>1810</v>
      </c>
      <c r="AE376" s="103">
        <v>0</v>
      </c>
      <c r="AF376" s="102">
        <v>0</v>
      </c>
      <c r="AG376" s="102">
        <v>0</v>
      </c>
      <c r="AH376" s="109">
        <f>SUM(AH375+AH371+AH369+AH366+AH363+AH361+AH357+AH353+AH350+AH348+AH347)</f>
        <v>359352</v>
      </c>
      <c r="AI376" s="110">
        <f>SUM(AI375+AI371+AI369+AI366+AI361+AI357+AI352+AI350+AI348+AI347)</f>
        <v>101352</v>
      </c>
      <c r="AJ376" s="110">
        <v>0</v>
      </c>
      <c r="AK376" s="111" t="s">
        <v>189</v>
      </c>
      <c r="AL376" s="111"/>
      <c r="AM376" s="104">
        <f>SUM(AK347:AK375)</f>
        <v>50</v>
      </c>
      <c r="AN376" s="45"/>
      <c r="AP376" s="52" t="s">
        <v>81</v>
      </c>
      <c r="AQ376" s="52">
        <v>0</v>
      </c>
      <c r="AR376" s="85">
        <v>0</v>
      </c>
      <c r="AS376" s="28"/>
      <c r="AT376" s="28"/>
      <c r="AU376" s="42"/>
      <c r="AV376" s="28" t="s">
        <v>6</v>
      </c>
      <c r="AW376" s="28"/>
      <c r="AX376" s="28"/>
      <c r="AY376" s="40"/>
      <c r="AZ376" s="28"/>
      <c r="BA376" s="28"/>
      <c r="BB376" s="150" t="s">
        <v>211</v>
      </c>
      <c r="BC376" s="36">
        <v>0</v>
      </c>
      <c r="BD376" s="39">
        <v>0</v>
      </c>
      <c r="BE376" s="18"/>
      <c r="BF376" s="18"/>
      <c r="BG376" s="18"/>
      <c r="BH376" s="10"/>
      <c r="BI376" s="11"/>
      <c r="BJ376" s="112" t="s">
        <v>316</v>
      </c>
      <c r="BK376" s="37" t="s">
        <v>457</v>
      </c>
      <c r="BL376" s="39"/>
    </row>
    <row r="377" spans="1:64" x14ac:dyDescent="0.3">
      <c r="A377" s="42" t="s">
        <v>84</v>
      </c>
      <c r="B377" s="42">
        <f>SUM(B375:B376)</f>
        <v>7572</v>
      </c>
      <c r="C377" s="40">
        <f>SUM(C375:C376)</f>
        <v>6635</v>
      </c>
      <c r="D377" s="28"/>
      <c r="E377" s="107" t="s">
        <v>60</v>
      </c>
      <c r="F377" s="43"/>
      <c r="G377" s="41">
        <f>SUM(G375:G376)</f>
        <v>8620</v>
      </c>
      <c r="H377" s="28">
        <v>0</v>
      </c>
      <c r="I377" s="43" t="s">
        <v>101</v>
      </c>
      <c r="J377" s="40"/>
      <c r="K377" s="28"/>
      <c r="L377" s="28" t="s">
        <v>6</v>
      </c>
      <c r="N377" s="113"/>
      <c r="AA377" s="28"/>
      <c r="AB377" s="52" t="s">
        <v>193</v>
      </c>
      <c r="AC377" s="28"/>
      <c r="AD377" s="28"/>
      <c r="AE377" s="28"/>
      <c r="AF377" s="28"/>
      <c r="AG377" s="28"/>
      <c r="AH377" s="28"/>
      <c r="AI377" s="28"/>
      <c r="AM377" t="s">
        <v>6</v>
      </c>
      <c r="AN377" s="45"/>
      <c r="AP377" s="52" t="s">
        <v>72</v>
      </c>
      <c r="AQ377" s="52">
        <v>1</v>
      </c>
      <c r="AR377" s="85">
        <v>0</v>
      </c>
      <c r="AU377" s="42"/>
      <c r="AV377" s="28"/>
      <c r="AW377" s="28"/>
      <c r="AX377" s="28"/>
      <c r="AY377" s="40"/>
      <c r="AZ377" s="28"/>
      <c r="BB377" s="150" t="s">
        <v>220</v>
      </c>
      <c r="BC377" s="36">
        <v>2</v>
      </c>
      <c r="BD377" s="39">
        <v>6</v>
      </c>
      <c r="BE377" s="18"/>
      <c r="BF377" s="18"/>
      <c r="BG377" s="18"/>
      <c r="BH377" s="10"/>
      <c r="BI377" s="11"/>
      <c r="BJ377" s="36" t="s">
        <v>207</v>
      </c>
      <c r="BK377" s="37" t="s">
        <v>458</v>
      </c>
      <c r="BL377" s="114"/>
    </row>
    <row r="378" spans="1:64" ht="15" thickBot="1" x14ac:dyDescent="0.35">
      <c r="A378" s="13"/>
      <c r="B378" s="10"/>
      <c r="C378" s="11"/>
      <c r="D378" s="27"/>
      <c r="E378" s="27"/>
      <c r="F378" s="27"/>
      <c r="G378" s="17"/>
      <c r="H378" s="48">
        <v>0</v>
      </c>
      <c r="I378" s="48" t="s">
        <v>284</v>
      </c>
      <c r="J378" s="49">
        <f>SUM(H376:H378)</f>
        <v>56</v>
      </c>
      <c r="L378" s="108"/>
      <c r="M378" s="115"/>
      <c r="O378" s="116"/>
      <c r="AA378" s="28"/>
      <c r="AN378" s="45"/>
      <c r="AP378" s="52" t="s">
        <v>84</v>
      </c>
      <c r="AQ378" s="47">
        <f>SUM(AQ371:AQ377)</f>
        <v>8</v>
      </c>
      <c r="AR378" s="49">
        <f>SUM(AR371:AR377)</f>
        <v>8</v>
      </c>
      <c r="AS378" s="28"/>
      <c r="AT378" s="28"/>
      <c r="AU378" s="47"/>
      <c r="AV378" s="48"/>
      <c r="AW378" s="48"/>
      <c r="AX378" s="48"/>
      <c r="AY378" s="49">
        <f>SUM(AV375)</f>
        <v>7</v>
      </c>
      <c r="AZ378" s="28"/>
      <c r="BB378" s="36" t="s">
        <v>331</v>
      </c>
      <c r="BC378" s="36">
        <v>0</v>
      </c>
      <c r="BD378" s="39">
        <v>4</v>
      </c>
      <c r="BE378" s="18"/>
      <c r="BF378" s="18"/>
      <c r="BG378" s="18"/>
      <c r="BH378" s="10"/>
      <c r="BI378" s="11"/>
      <c r="BJ378" s="36" t="s">
        <v>459</v>
      </c>
      <c r="BK378" s="37" t="s">
        <v>460</v>
      </c>
      <c r="BL378" s="39"/>
    </row>
    <row r="379" spans="1:64" ht="16.2" thickBot="1" x14ac:dyDescent="0.35">
      <c r="A379" s="117" t="s">
        <v>84</v>
      </c>
      <c r="B379" s="118">
        <f>SUM(B377+B374+B369+B365+B362+B359+B356+B352+B348+B345)</f>
        <v>58957</v>
      </c>
      <c r="C379" s="120">
        <f>SUM(C377+C374+C369+C365+C362+C359+C356+C352+C348+C345)</f>
        <v>52486</v>
      </c>
      <c r="D379" s="119"/>
      <c r="E379" s="119">
        <f>SUM(E374+E359)</f>
        <v>2053</v>
      </c>
      <c r="F379" s="120"/>
      <c r="G379" s="121">
        <f>SUM(G377+G374+G369+G364+G362+G355+G352+G348+G345+G359)</f>
        <v>79905</v>
      </c>
      <c r="H379" s="13" t="s">
        <v>199</v>
      </c>
      <c r="I379" s="81"/>
      <c r="J379" s="26">
        <f>SUM(J346:J378)</f>
        <v>465</v>
      </c>
      <c r="O379" s="122"/>
      <c r="AN379" s="45"/>
      <c r="AP379" s="32" t="s">
        <v>63</v>
      </c>
      <c r="AQ379" s="123">
        <f>1+1+1</f>
        <v>3</v>
      </c>
      <c r="AR379" s="123">
        <f>1+1+1</f>
        <v>3</v>
      </c>
      <c r="AS379" s="33"/>
      <c r="AT379" s="7"/>
      <c r="AU379" s="6"/>
      <c r="AV379" s="34" t="s">
        <v>140</v>
      </c>
      <c r="AW379" s="8"/>
      <c r="AX379" s="8"/>
      <c r="AY379" s="7"/>
      <c r="AZ379" s="28"/>
      <c r="BB379" s="36" t="s">
        <v>429</v>
      </c>
      <c r="BC379" s="10">
        <v>1</v>
      </c>
      <c r="BD379" s="39">
        <v>0</v>
      </c>
      <c r="BE379" s="18"/>
      <c r="BF379" s="18"/>
      <c r="BG379" s="37"/>
      <c r="BH379" s="10"/>
      <c r="BI379" s="11"/>
      <c r="BJ379" s="124" t="s">
        <v>461</v>
      </c>
      <c r="BK379" s="37" t="s">
        <v>462</v>
      </c>
      <c r="BL379" s="39"/>
    </row>
    <row r="380" spans="1:64" x14ac:dyDescent="0.3">
      <c r="AN380" s="45"/>
      <c r="AP380" s="44" t="s">
        <v>78</v>
      </c>
      <c r="AQ380" s="37">
        <f>22+7</f>
        <v>29</v>
      </c>
      <c r="AR380" s="37">
        <f>5+2</f>
        <v>7</v>
      </c>
      <c r="AS380" s="42"/>
      <c r="AT380" s="11"/>
      <c r="AU380" s="10"/>
      <c r="AV380" s="37">
        <v>1</v>
      </c>
      <c r="AW380" s="37" t="s">
        <v>204</v>
      </c>
      <c r="AX380" s="18"/>
      <c r="AY380" s="11"/>
      <c r="AZ380" s="28"/>
      <c r="BB380" s="93" t="s">
        <v>196</v>
      </c>
      <c r="BC380" s="10">
        <v>2</v>
      </c>
      <c r="BD380" s="39">
        <v>2</v>
      </c>
      <c r="BE380" s="18"/>
      <c r="BF380" s="18"/>
      <c r="BG380" s="18"/>
      <c r="BH380" s="10"/>
      <c r="BI380" s="11"/>
      <c r="BJ380" s="52" t="s">
        <v>463</v>
      </c>
      <c r="BK380" s="37" t="s">
        <v>464</v>
      </c>
      <c r="BL380" s="39"/>
    </row>
    <row r="381" spans="1:64" x14ac:dyDescent="0.3">
      <c r="AN381" s="45"/>
      <c r="AP381" s="125" t="s">
        <v>209</v>
      </c>
      <c r="AQ381" s="54">
        <v>0</v>
      </c>
      <c r="AR381" s="54">
        <v>0</v>
      </c>
      <c r="AS381" s="42"/>
      <c r="AT381" s="40"/>
      <c r="AU381" s="42"/>
      <c r="AV381" s="28">
        <v>6</v>
      </c>
      <c r="AW381" s="28" t="s">
        <v>210</v>
      </c>
      <c r="AX381" s="28"/>
      <c r="AY381" s="40"/>
      <c r="AZ381" s="28"/>
      <c r="BB381" s="92" t="s">
        <v>64</v>
      </c>
      <c r="BC381" s="84">
        <v>0</v>
      </c>
      <c r="BD381" s="86">
        <v>3</v>
      </c>
      <c r="BE381" s="45"/>
      <c r="BF381" s="45"/>
      <c r="BG381" s="45"/>
      <c r="BH381" s="10"/>
      <c r="BI381" s="11"/>
      <c r="BJ381" s="112" t="s">
        <v>465</v>
      </c>
      <c r="BK381" s="54" t="s">
        <v>466</v>
      </c>
      <c r="BL381" s="86"/>
    </row>
    <row r="382" spans="1:64" x14ac:dyDescent="0.3">
      <c r="B382" s="126"/>
      <c r="C382" s="126"/>
      <c r="AN382" s="45"/>
      <c r="AP382" s="44" t="s">
        <v>168</v>
      </c>
      <c r="AQ382" s="37">
        <v>0</v>
      </c>
      <c r="AR382" s="18">
        <v>0</v>
      </c>
      <c r="AS382" s="42"/>
      <c r="AT382" s="11"/>
      <c r="AU382" s="10"/>
      <c r="AV382" s="37">
        <f>2+7+11</f>
        <v>20</v>
      </c>
      <c r="AW382" s="37" t="s">
        <v>213</v>
      </c>
      <c r="AX382" s="18"/>
      <c r="AY382" s="11"/>
      <c r="BB382" s="127" t="s">
        <v>467</v>
      </c>
      <c r="BC382" s="84">
        <v>24</v>
      </c>
      <c r="BD382" s="86">
        <v>0</v>
      </c>
      <c r="BE382" s="45"/>
      <c r="BF382" s="45"/>
      <c r="BG382" s="45"/>
      <c r="BH382" s="84"/>
      <c r="BI382" s="85"/>
      <c r="BJ382" s="52" t="s">
        <v>305</v>
      </c>
      <c r="BK382" s="54"/>
      <c r="BL382" s="40"/>
    </row>
    <row r="383" spans="1:64" x14ac:dyDescent="0.3">
      <c r="AN383" s="45"/>
      <c r="AP383" s="125" t="s">
        <v>81</v>
      </c>
      <c r="AQ383" s="54">
        <f>1+2</f>
        <v>3</v>
      </c>
      <c r="AR383" s="45">
        <v>3</v>
      </c>
      <c r="AS383" s="42"/>
      <c r="AT383" s="40"/>
      <c r="AU383" s="42"/>
      <c r="AV383" s="54">
        <v>1</v>
      </c>
      <c r="AW383" s="128" t="s">
        <v>235</v>
      </c>
      <c r="AX383" s="28"/>
      <c r="AY383" s="40" t="s">
        <v>6</v>
      </c>
      <c r="BB383" s="127" t="s">
        <v>107</v>
      </c>
      <c r="BC383" s="84">
        <v>2</v>
      </c>
      <c r="BD383" s="86">
        <v>4</v>
      </c>
      <c r="BE383" s="45"/>
      <c r="BF383" s="45"/>
      <c r="BG383" s="45"/>
      <c r="BH383" s="84"/>
      <c r="BI383" s="85"/>
      <c r="BJ383" s="52"/>
      <c r="BK383" s="54"/>
      <c r="BL383" s="40"/>
    </row>
    <row r="384" spans="1:64" x14ac:dyDescent="0.3">
      <c r="AP384" s="125" t="s">
        <v>72</v>
      </c>
      <c r="AQ384" s="54">
        <f>24+3+12+1+6</f>
        <v>46</v>
      </c>
      <c r="AR384" s="45">
        <f>27+5+15+6</f>
        <v>53</v>
      </c>
      <c r="AS384" s="42"/>
      <c r="AT384" s="40"/>
      <c r="AU384" s="42"/>
      <c r="AV384" s="54">
        <v>12</v>
      </c>
      <c r="AW384" s="54" t="s">
        <v>216</v>
      </c>
      <c r="AX384" s="45"/>
      <c r="AY384" s="40"/>
      <c r="BB384" s="127" t="s">
        <v>468</v>
      </c>
      <c r="BC384" s="84">
        <v>0</v>
      </c>
      <c r="BD384" s="86">
        <v>2</v>
      </c>
      <c r="BE384" s="28"/>
      <c r="BF384" s="45"/>
      <c r="BG384" s="28"/>
      <c r="BH384" s="84"/>
      <c r="BI384" s="85"/>
      <c r="BJ384" s="98"/>
      <c r="BK384" s="54"/>
      <c r="BL384" s="86"/>
    </row>
    <row r="385" spans="1:65" x14ac:dyDescent="0.3">
      <c r="AP385" s="125" t="s">
        <v>115</v>
      </c>
      <c r="AQ385" s="54">
        <f>6+1</f>
        <v>7</v>
      </c>
      <c r="AR385" s="45">
        <f>1+1</f>
        <v>2</v>
      </c>
      <c r="AS385" s="42"/>
      <c r="AT385" s="40"/>
      <c r="AU385" s="42"/>
      <c r="AV385" s="54">
        <v>6</v>
      </c>
      <c r="AW385" s="54" t="s">
        <v>217</v>
      </c>
      <c r="AX385" s="28"/>
      <c r="AY385" s="40"/>
      <c r="BB385" s="127" t="s">
        <v>218</v>
      </c>
      <c r="BC385" s="84">
        <v>27</v>
      </c>
      <c r="BD385" s="86">
        <f>27+12</f>
        <v>39</v>
      </c>
      <c r="BE385" s="28"/>
      <c r="BF385" s="45">
        <v>1</v>
      </c>
      <c r="BG385" s="28"/>
      <c r="BH385" s="84"/>
      <c r="BI385" s="85"/>
      <c r="BJ385" s="52"/>
      <c r="BK385" s="54"/>
      <c r="BL385" s="40"/>
    </row>
    <row r="386" spans="1:65" x14ac:dyDescent="0.3">
      <c r="AP386" s="125" t="s">
        <v>56</v>
      </c>
      <c r="AQ386" s="54">
        <f>2+8+1</f>
        <v>11</v>
      </c>
      <c r="AR386" s="45">
        <f>7+2+4+21+2</f>
        <v>36</v>
      </c>
      <c r="AS386" s="42"/>
      <c r="AT386" s="40"/>
      <c r="AU386" s="42"/>
      <c r="AV386" s="54">
        <v>3</v>
      </c>
      <c r="AW386" s="54" t="s">
        <v>469</v>
      </c>
      <c r="AX386" s="28"/>
      <c r="AY386" s="40"/>
      <c r="BB386" s="98" t="s">
        <v>470</v>
      </c>
      <c r="BC386" s="10">
        <v>0</v>
      </c>
      <c r="BD386" s="11">
        <v>2</v>
      </c>
      <c r="BE386" s="18"/>
      <c r="BF386" s="18"/>
      <c r="BG386" s="18"/>
      <c r="BH386" s="10"/>
      <c r="BI386" s="11"/>
      <c r="BJ386" s="52"/>
      <c r="BK386" s="37"/>
      <c r="BL386" s="129"/>
    </row>
    <row r="387" spans="1:65" ht="15" thickBot="1" x14ac:dyDescent="0.35">
      <c r="AP387" s="125" t="s">
        <v>138</v>
      </c>
      <c r="AQ387" s="54">
        <v>0</v>
      </c>
      <c r="AR387" s="45">
        <v>0</v>
      </c>
      <c r="AS387" s="42"/>
      <c r="AT387" s="40"/>
      <c r="AU387" s="42"/>
      <c r="AV387" s="54">
        <f>5+1+1</f>
        <v>7</v>
      </c>
      <c r="AW387" s="54" t="s">
        <v>221</v>
      </c>
      <c r="AX387" s="28"/>
      <c r="AY387" s="40"/>
      <c r="BB387" s="13" t="s">
        <v>84</v>
      </c>
      <c r="BC387" s="13">
        <f>SUM(BC364:BC386)</f>
        <v>279</v>
      </c>
      <c r="BD387" s="26">
        <f>SUM(BD364:BD386)</f>
        <v>302</v>
      </c>
      <c r="BE387" s="27">
        <v>0</v>
      </c>
      <c r="BF387" s="27">
        <f>SUM(BF364:BF386)</f>
        <v>1</v>
      </c>
      <c r="BG387" s="27">
        <v>0</v>
      </c>
      <c r="BH387" s="130">
        <v>0</v>
      </c>
      <c r="BI387" s="26">
        <v>0</v>
      </c>
      <c r="BJ387" s="59"/>
      <c r="BK387" s="27"/>
      <c r="BL387" s="26">
        <f>10+4+6+6+7+10+2+2+1+1+5+3+2+12+2+2+6+4+7+6+5+12+1</f>
        <v>116</v>
      </c>
    </row>
    <row r="388" spans="1:65" ht="15" thickBot="1" x14ac:dyDescent="0.35">
      <c r="AP388" s="125" t="s">
        <v>67</v>
      </c>
      <c r="AQ388" s="54">
        <f>11+1</f>
        <v>12</v>
      </c>
      <c r="AR388" s="45">
        <f>6+1+3</f>
        <v>10</v>
      </c>
      <c r="AS388" s="42"/>
      <c r="AT388" s="40"/>
      <c r="AU388" s="42"/>
      <c r="AV388" s="54">
        <v>18</v>
      </c>
      <c r="AW388" s="54" t="s">
        <v>222</v>
      </c>
      <c r="AX388" s="28"/>
      <c r="AY388" s="40"/>
      <c r="BB388" s="13" t="s">
        <v>223</v>
      </c>
      <c r="BC388" s="13">
        <f>SUM(BC387+BC363+BC360+BC356+BC353+BC350+BC348+BC346)</f>
        <v>1822</v>
      </c>
      <c r="BD388" s="26">
        <f>SUM(BD387+BD363+BD360+BD356+BD353+BD350+BD348+BD346)</f>
        <v>1843</v>
      </c>
      <c r="BE388" s="27">
        <f>SUM(BE387+BE363+BE356+BE352+BE350+BE348+BE345)</f>
        <v>0</v>
      </c>
      <c r="BF388" s="27">
        <f>SUM(BF364:BF386)</f>
        <v>1</v>
      </c>
      <c r="BG388" s="27">
        <f>SUM(BG387+BG363+BG356+BG352+BG350+BG348+BG345)</f>
        <v>0</v>
      </c>
      <c r="BH388" s="13">
        <f>SUM(BH387+BH363+BH356+BH352+BH350+BH348+BH345)</f>
        <v>48658</v>
      </c>
      <c r="BI388" s="26">
        <f>SUM(BI387+BI363+BI356+BI352+BI350+BI348+BI345)</f>
        <v>12652</v>
      </c>
      <c r="BJ388" s="81"/>
      <c r="BK388" s="27" t="s">
        <v>189</v>
      </c>
      <c r="BL388" s="26">
        <f>SUM(BL345:BL386)</f>
        <v>171</v>
      </c>
    </row>
    <row r="389" spans="1:65" x14ac:dyDescent="0.3">
      <c r="K389" s="28"/>
      <c r="AP389" s="125" t="s">
        <v>122</v>
      </c>
      <c r="AQ389" s="54">
        <v>4</v>
      </c>
      <c r="AR389" s="45">
        <f>2+4+4</f>
        <v>10</v>
      </c>
      <c r="AS389" s="42"/>
      <c r="AT389" s="40"/>
      <c r="AU389" s="42"/>
      <c r="AV389" s="54">
        <v>2</v>
      </c>
      <c r="AW389" s="54" t="s">
        <v>471</v>
      </c>
      <c r="AX389" s="28"/>
      <c r="AY389" s="40"/>
      <c r="BB389" s="131" t="s">
        <v>225</v>
      </c>
      <c r="BD389">
        <f>SUM(BL387)</f>
        <v>116</v>
      </c>
      <c r="BG389" s="132"/>
    </row>
    <row r="390" spans="1:65" x14ac:dyDescent="0.3">
      <c r="K390" s="28"/>
      <c r="AP390" s="125" t="s">
        <v>227</v>
      </c>
      <c r="AQ390" s="54">
        <v>0</v>
      </c>
      <c r="AR390" s="45">
        <v>0</v>
      </c>
      <c r="AS390" s="42"/>
      <c r="AT390" s="40"/>
      <c r="AU390" s="42"/>
      <c r="AV390" s="54">
        <v>4</v>
      </c>
      <c r="AW390" s="54" t="s">
        <v>391</v>
      </c>
      <c r="AX390" s="28"/>
      <c r="AY390" s="40"/>
      <c r="BB390" t="s">
        <v>229</v>
      </c>
      <c r="BD390">
        <v>32</v>
      </c>
    </row>
    <row r="391" spans="1:65" x14ac:dyDescent="0.3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AP391" s="41" t="s">
        <v>230</v>
      </c>
      <c r="AQ391" s="54">
        <f>7+2+2</f>
        <v>11</v>
      </c>
      <c r="AR391" s="45">
        <f>7+2+2+2</f>
        <v>13</v>
      </c>
      <c r="AS391" s="42"/>
      <c r="AT391" s="40"/>
      <c r="AU391" s="42"/>
      <c r="AV391" s="54">
        <v>1</v>
      </c>
      <c r="AW391" s="54" t="s">
        <v>392</v>
      </c>
      <c r="AX391" s="28"/>
      <c r="AY391" s="40"/>
      <c r="BB391" t="s">
        <v>232</v>
      </c>
      <c r="BD391" t="s">
        <v>233</v>
      </c>
      <c r="BF391">
        <f>SUM(AQ396)</f>
        <v>2740</v>
      </c>
      <c r="BH391" t="s">
        <v>234</v>
      </c>
      <c r="BJ391" t="s">
        <v>233</v>
      </c>
      <c r="BL391">
        <f>SUM(BC388)</f>
        <v>1822</v>
      </c>
    </row>
    <row r="392" spans="1:65" ht="18" x14ac:dyDescent="0.35">
      <c r="B392" s="133"/>
      <c r="AP392" s="68" t="s">
        <v>125</v>
      </c>
      <c r="AQ392" s="54">
        <v>0</v>
      </c>
      <c r="AR392" s="45">
        <v>0</v>
      </c>
      <c r="AS392" s="42"/>
      <c r="AT392" s="40"/>
      <c r="AU392" s="42"/>
      <c r="AV392" s="54">
        <v>5</v>
      </c>
      <c r="AW392" s="54" t="s">
        <v>228</v>
      </c>
      <c r="AX392" s="28"/>
      <c r="AY392" s="40"/>
      <c r="BA392" t="s">
        <v>6</v>
      </c>
      <c r="BD392" t="s">
        <v>236</v>
      </c>
      <c r="BF392">
        <f>SUM(AR396)</f>
        <v>2729</v>
      </c>
      <c r="BJ392" t="s">
        <v>236</v>
      </c>
      <c r="BL392">
        <f>SUM(BD388)</f>
        <v>1843</v>
      </c>
    </row>
    <row r="393" spans="1:65" x14ac:dyDescent="0.3">
      <c r="AP393" s="68" t="s">
        <v>132</v>
      </c>
      <c r="AQ393" s="54">
        <v>4</v>
      </c>
      <c r="AR393" s="45">
        <v>11</v>
      </c>
      <c r="AS393" s="42"/>
      <c r="AT393" s="40"/>
      <c r="AU393" s="42"/>
      <c r="AV393" s="54">
        <v>1</v>
      </c>
      <c r="AW393" s="54" t="s">
        <v>237</v>
      </c>
      <c r="AX393" s="28"/>
      <c r="AY393" s="40"/>
      <c r="BB393" s="134" t="s">
        <v>238</v>
      </c>
      <c r="BC393" s="135" t="s">
        <v>239</v>
      </c>
      <c r="BD393" s="136"/>
      <c r="BE393" s="134" t="s">
        <v>240</v>
      </c>
      <c r="BF393" s="135" t="s">
        <v>241</v>
      </c>
      <c r="BG393" s="136"/>
      <c r="BH393" s="134"/>
      <c r="BI393" s="135" t="s">
        <v>242</v>
      </c>
      <c r="BJ393" s="137" t="s">
        <v>243</v>
      </c>
      <c r="BK393" s="135"/>
      <c r="BL393" s="135"/>
      <c r="BM393" s="136"/>
    </row>
    <row r="394" spans="1:65" x14ac:dyDescent="0.3">
      <c r="AP394" s="41" t="s">
        <v>6</v>
      </c>
      <c r="AS394" s="42"/>
      <c r="AT394" s="40"/>
      <c r="AU394" s="42"/>
      <c r="AV394" s="54">
        <v>1</v>
      </c>
      <c r="AW394" s="54" t="s">
        <v>472</v>
      </c>
      <c r="AX394" s="28"/>
      <c r="AY394" s="40"/>
      <c r="BB394" s="138" t="s">
        <v>233</v>
      </c>
      <c r="BC394" s="28"/>
      <c r="BD394" s="139">
        <f>SUM(B379)</f>
        <v>58957</v>
      </c>
      <c r="BE394" s="138" t="s">
        <v>233</v>
      </c>
      <c r="BF394" s="28"/>
      <c r="BG394" s="139">
        <f>SUM(AC376)</f>
        <v>2399</v>
      </c>
      <c r="BH394" s="138" t="s">
        <v>233</v>
      </c>
      <c r="BI394" s="28"/>
      <c r="BJ394" s="140">
        <f>SUM(BL391+BG394)</f>
        <v>4221</v>
      </c>
      <c r="BK394" s="28" t="s">
        <v>245</v>
      </c>
      <c r="BL394" s="28">
        <f>SUM(BJ394+BD394)</f>
        <v>63178</v>
      </c>
      <c r="BM394" s="141"/>
    </row>
    <row r="395" spans="1:65" ht="18.600000000000001" thickBot="1" x14ac:dyDescent="0.4">
      <c r="B395" s="133"/>
      <c r="AP395" s="46" t="s">
        <v>84</v>
      </c>
      <c r="AQ395" s="48">
        <f>SUM(AQ379:AQ394)</f>
        <v>130</v>
      </c>
      <c r="AR395" s="48">
        <f>SUM(AR379:AR394)</f>
        <v>148</v>
      </c>
      <c r="AS395" s="47"/>
      <c r="AT395" s="49"/>
      <c r="AU395" s="47"/>
      <c r="AV395" s="48">
        <v>4</v>
      </c>
      <c r="AW395" s="48" t="s">
        <v>244</v>
      </c>
      <c r="AX395" s="48"/>
      <c r="AY395" s="49">
        <f>SUM(AV381:AV393)</f>
        <v>86</v>
      </c>
      <c r="BB395" s="142" t="s">
        <v>236</v>
      </c>
      <c r="BC395" s="143"/>
      <c r="BD395" s="144">
        <f>SUM(C379)</f>
        <v>52486</v>
      </c>
      <c r="BE395" s="142" t="s">
        <v>236</v>
      </c>
      <c r="BF395" s="143"/>
      <c r="BG395" s="144">
        <f>SUM(AD376)</f>
        <v>1810</v>
      </c>
      <c r="BH395" s="142" t="s">
        <v>236</v>
      </c>
      <c r="BI395" s="143"/>
      <c r="BJ395" s="145">
        <f>SUM(BL392+BG395)</f>
        <v>3653</v>
      </c>
      <c r="BK395" s="143"/>
      <c r="BL395" s="143">
        <f>SUM(BJ395+BD395)</f>
        <v>56139</v>
      </c>
      <c r="BM395" s="146"/>
    </row>
    <row r="396" spans="1:65" ht="18.600000000000001" thickBot="1" x14ac:dyDescent="0.4">
      <c r="B396" s="133"/>
      <c r="AP396" s="147" t="s">
        <v>84</v>
      </c>
      <c r="AQ396" s="147">
        <f>SUM(+AQ395+AQ378+AQ368+AQ353+AQ351)</f>
        <v>2740</v>
      </c>
      <c r="AR396" s="148">
        <f>SUM(AR395+AR378+AR368+AR353+AR351)</f>
        <v>2729</v>
      </c>
      <c r="AS396" s="147"/>
      <c r="AT396" s="148"/>
      <c r="AU396" s="149" t="s">
        <v>247</v>
      </c>
      <c r="AV396" s="149"/>
      <c r="AW396" s="149"/>
      <c r="AX396" s="149"/>
      <c r="AY396" s="148">
        <f>SUM(AY351:AY395)</f>
        <v>390</v>
      </c>
    </row>
    <row r="397" spans="1:65" ht="15" thickTop="1" x14ac:dyDescent="0.3"/>
    <row r="406" spans="1:64" ht="15.6" x14ac:dyDescent="0.3">
      <c r="C406" s="1" t="s">
        <v>0</v>
      </c>
      <c r="P406" s="1" t="s">
        <v>1</v>
      </c>
    </row>
    <row r="407" spans="1:64" ht="15.6" x14ac:dyDescent="0.3">
      <c r="D407" t="s">
        <v>2</v>
      </c>
      <c r="Q407" t="s">
        <v>3</v>
      </c>
      <c r="AE407" s="2"/>
      <c r="AF407" s="1" t="s">
        <v>0</v>
      </c>
      <c r="AG407" s="1"/>
      <c r="AI407" s="1"/>
      <c r="AJ407" s="1"/>
      <c r="AS407" s="1" t="s">
        <v>4</v>
      </c>
      <c r="BE407" s="1"/>
      <c r="BF407" s="1" t="s">
        <v>5</v>
      </c>
      <c r="BG407" s="1"/>
      <c r="BH407" s="1"/>
      <c r="BI407" s="1"/>
      <c r="BJ407" s="1"/>
    </row>
    <row r="408" spans="1:64" ht="15.6" x14ac:dyDescent="0.3">
      <c r="A408" t="s">
        <v>6</v>
      </c>
      <c r="C408" t="s">
        <v>7</v>
      </c>
      <c r="O408" t="s">
        <v>8</v>
      </c>
      <c r="AE408" s="3"/>
      <c r="AF408" s="2" t="s">
        <v>9</v>
      </c>
      <c r="AG408" s="1"/>
      <c r="AI408" s="1"/>
      <c r="AJ408" s="1"/>
      <c r="AT408" t="s">
        <v>2</v>
      </c>
      <c r="BG408" t="s">
        <v>2</v>
      </c>
    </row>
    <row r="409" spans="1:64" ht="15.6" x14ac:dyDescent="0.3">
      <c r="D409" t="s">
        <v>473</v>
      </c>
      <c r="Q409" t="s">
        <v>473</v>
      </c>
      <c r="AF409" s="3" t="s">
        <v>11</v>
      </c>
      <c r="AG409" s="1"/>
      <c r="AI409" s="1"/>
      <c r="AJ409" s="1"/>
      <c r="AR409" t="s">
        <v>12</v>
      </c>
      <c r="AZ409" t="s">
        <v>6</v>
      </c>
      <c r="BE409" t="s">
        <v>13</v>
      </c>
    </row>
    <row r="410" spans="1:64" ht="15" thickBot="1" x14ac:dyDescent="0.35">
      <c r="I410" s="4" t="s">
        <v>14</v>
      </c>
      <c r="U410" s="5" t="s">
        <v>15</v>
      </c>
      <c r="AG410" t="s">
        <v>473</v>
      </c>
      <c r="AT410" t="s">
        <v>473</v>
      </c>
      <c r="AY410" s="5"/>
      <c r="BG410" t="s">
        <v>473</v>
      </c>
      <c r="BK410" s="5" t="s">
        <v>16</v>
      </c>
    </row>
    <row r="411" spans="1:64" ht="15" thickBot="1" x14ac:dyDescent="0.35">
      <c r="A411" s="6" t="s">
        <v>17</v>
      </c>
      <c r="B411" s="6" t="s">
        <v>18</v>
      </c>
      <c r="C411" s="7"/>
      <c r="D411" s="8" t="s">
        <v>19</v>
      </c>
      <c r="E411" s="8"/>
      <c r="F411" s="8"/>
      <c r="G411" s="9" t="s">
        <v>20</v>
      </c>
      <c r="H411" s="8" t="s">
        <v>21</v>
      </c>
      <c r="I411" s="8"/>
      <c r="J411" s="7"/>
      <c r="L411" s="6" t="s">
        <v>17</v>
      </c>
      <c r="M411" s="6" t="s">
        <v>22</v>
      </c>
      <c r="N411" s="7"/>
      <c r="O411" s="8" t="s">
        <v>23</v>
      </c>
      <c r="P411" s="8"/>
      <c r="Q411" s="8"/>
      <c r="R411" s="6" t="s">
        <v>24</v>
      </c>
      <c r="S411" s="7"/>
      <c r="T411" s="8" t="s">
        <v>21</v>
      </c>
      <c r="U411" s="8"/>
      <c r="V411" s="7"/>
      <c r="AL411" s="5" t="s">
        <v>25</v>
      </c>
      <c r="AX411" s="5" t="s">
        <v>26</v>
      </c>
      <c r="BB411" s="6" t="s">
        <v>17</v>
      </c>
      <c r="BC411" s="6" t="s">
        <v>27</v>
      </c>
      <c r="BD411" s="7"/>
      <c r="BE411" s="8" t="s">
        <v>28</v>
      </c>
      <c r="BF411" s="8"/>
      <c r="BG411" s="8"/>
      <c r="BH411" s="6" t="s">
        <v>29</v>
      </c>
      <c r="BI411" s="7" t="s">
        <v>30</v>
      </c>
      <c r="BJ411" s="8" t="s">
        <v>31</v>
      </c>
      <c r="BK411" s="8"/>
      <c r="BL411" s="7"/>
    </row>
    <row r="412" spans="1:64" x14ac:dyDescent="0.3">
      <c r="A412" s="10" t="s">
        <v>32</v>
      </c>
      <c r="B412" s="10"/>
      <c r="C412" s="11"/>
      <c r="D412" s="3"/>
      <c r="E412" s="3"/>
      <c r="F412" s="3"/>
      <c r="G412" s="12"/>
      <c r="H412" s="3" t="s">
        <v>33</v>
      </c>
      <c r="I412" s="3"/>
      <c r="J412" s="11"/>
      <c r="L412" s="10"/>
      <c r="M412" s="10"/>
      <c r="N412" s="11"/>
      <c r="O412" s="3"/>
      <c r="P412" s="3"/>
      <c r="Q412" s="3"/>
      <c r="R412" s="10"/>
      <c r="S412" s="11"/>
      <c r="T412" s="3" t="s">
        <v>33</v>
      </c>
      <c r="U412" s="3"/>
      <c r="V412" s="11"/>
      <c r="AB412" s="6" t="s">
        <v>34</v>
      </c>
      <c r="AC412" s="6" t="s">
        <v>35</v>
      </c>
      <c r="AD412" s="7"/>
      <c r="AE412" s="6" t="s">
        <v>36</v>
      </c>
      <c r="AF412" s="8"/>
      <c r="AG412" s="7"/>
      <c r="AH412" s="8" t="s">
        <v>37</v>
      </c>
      <c r="AI412" s="8"/>
      <c r="AJ412" s="9" t="s">
        <v>30</v>
      </c>
      <c r="AK412" s="8" t="s">
        <v>38</v>
      </c>
      <c r="AL412" s="8"/>
      <c r="AM412" s="7"/>
      <c r="AP412" s="6" t="s">
        <v>17</v>
      </c>
      <c r="AQ412" s="6" t="s">
        <v>39</v>
      </c>
      <c r="AR412" s="7"/>
      <c r="AS412" s="6" t="s">
        <v>29</v>
      </c>
      <c r="AT412" s="7" t="s">
        <v>30</v>
      </c>
      <c r="AU412" s="8" t="s">
        <v>40</v>
      </c>
      <c r="AV412" s="8"/>
      <c r="AW412" s="8"/>
      <c r="AX412" s="8"/>
      <c r="AY412" s="7"/>
      <c r="BB412" s="10"/>
      <c r="BC412" s="10"/>
      <c r="BD412" s="11"/>
      <c r="BE412" s="3"/>
      <c r="BF412" s="3"/>
      <c r="BG412" s="3"/>
      <c r="BH412" s="10"/>
      <c r="BI412" s="11" t="s">
        <v>6</v>
      </c>
      <c r="BJ412" s="3" t="s">
        <v>41</v>
      </c>
      <c r="BK412" s="3"/>
      <c r="BL412" s="11"/>
    </row>
    <row r="413" spans="1:64" ht="15" thickBot="1" x14ac:dyDescent="0.35">
      <c r="A413" s="13" t="s">
        <v>42</v>
      </c>
      <c r="B413" s="14" t="s">
        <v>43</v>
      </c>
      <c r="C413" s="15" t="s">
        <v>44</v>
      </c>
      <c r="D413" s="16" t="s">
        <v>45</v>
      </c>
      <c r="E413" s="16" t="s">
        <v>46</v>
      </c>
      <c r="F413" s="16" t="s">
        <v>47</v>
      </c>
      <c r="G413" s="17" t="s">
        <v>48</v>
      </c>
      <c r="H413" s="18" t="s">
        <v>49</v>
      </c>
      <c r="I413" s="18"/>
      <c r="J413" s="11"/>
      <c r="L413" s="10" t="s">
        <v>50</v>
      </c>
      <c r="M413" s="19" t="s">
        <v>43</v>
      </c>
      <c r="N413" s="20" t="s">
        <v>44</v>
      </c>
      <c r="O413" s="21" t="s">
        <v>43</v>
      </c>
      <c r="P413" s="18" t="s">
        <v>51</v>
      </c>
      <c r="Q413" s="21" t="s">
        <v>44</v>
      </c>
      <c r="R413" s="22" t="s">
        <v>43</v>
      </c>
      <c r="S413" s="23" t="s">
        <v>44</v>
      </c>
      <c r="T413" s="18" t="s">
        <v>49</v>
      </c>
      <c r="U413" s="18"/>
      <c r="V413" s="11"/>
      <c r="AB413" s="10" t="s">
        <v>50</v>
      </c>
      <c r="AC413" s="22" t="s">
        <v>43</v>
      </c>
      <c r="AD413" s="23" t="s">
        <v>44</v>
      </c>
      <c r="AE413" s="22" t="s">
        <v>45</v>
      </c>
      <c r="AF413" s="24" t="s">
        <v>46</v>
      </c>
      <c r="AG413" s="23" t="s">
        <v>52</v>
      </c>
      <c r="AH413" s="24" t="s">
        <v>43</v>
      </c>
      <c r="AI413" s="24" t="s">
        <v>44</v>
      </c>
      <c r="AJ413" s="25" t="s">
        <v>43</v>
      </c>
      <c r="AK413" s="3" t="s">
        <v>53</v>
      </c>
      <c r="AL413" s="3"/>
      <c r="AM413" s="11"/>
      <c r="AP413" s="13" t="s">
        <v>42</v>
      </c>
      <c r="AQ413" s="10" t="s">
        <v>43</v>
      </c>
      <c r="AR413" s="11" t="s">
        <v>44</v>
      </c>
      <c r="AS413" s="13" t="s">
        <v>43</v>
      </c>
      <c r="AT413" s="26" t="s">
        <v>44</v>
      </c>
      <c r="AU413" s="27"/>
      <c r="AV413" s="27"/>
      <c r="AW413" s="27"/>
      <c r="AX413" s="27"/>
      <c r="AY413" s="26"/>
      <c r="BB413" s="13" t="s">
        <v>42</v>
      </c>
      <c r="BC413" s="13" t="s">
        <v>43</v>
      </c>
      <c r="BD413" s="26" t="s">
        <v>44</v>
      </c>
      <c r="BE413" s="27" t="s">
        <v>45</v>
      </c>
      <c r="BF413" s="27" t="s">
        <v>46</v>
      </c>
      <c r="BG413" s="27" t="s">
        <v>52</v>
      </c>
      <c r="BH413" s="13" t="s">
        <v>43</v>
      </c>
      <c r="BI413" s="26" t="s">
        <v>44</v>
      </c>
      <c r="BJ413" s="27" t="s">
        <v>54</v>
      </c>
      <c r="BK413" s="27"/>
      <c r="BL413" s="26"/>
    </row>
    <row r="414" spans="1:64" ht="15" thickBot="1" x14ac:dyDescent="0.35">
      <c r="A414" s="6"/>
      <c r="B414" s="6"/>
      <c r="C414" s="7"/>
      <c r="D414" s="8"/>
      <c r="E414" s="8"/>
      <c r="F414" s="7"/>
      <c r="G414" s="8"/>
      <c r="H414" s="6" t="s">
        <v>396</v>
      </c>
      <c r="I414" s="8"/>
      <c r="J414" s="7"/>
      <c r="K414" s="28"/>
      <c r="L414" s="9"/>
      <c r="M414" s="8"/>
      <c r="N414" s="8"/>
      <c r="O414" s="6"/>
      <c r="P414" s="8"/>
      <c r="Q414" s="7"/>
      <c r="R414" s="8"/>
      <c r="S414" s="8"/>
      <c r="T414" s="6" t="s">
        <v>396</v>
      </c>
      <c r="U414" s="8"/>
      <c r="V414" s="7"/>
      <c r="W414" s="28"/>
      <c r="AB414" s="13"/>
      <c r="AC414" s="13"/>
      <c r="AD414" s="26"/>
      <c r="AE414" s="13"/>
      <c r="AF414" s="27"/>
      <c r="AG414" s="26"/>
      <c r="AH414" s="27"/>
      <c r="AI414" s="27"/>
      <c r="AJ414" s="17"/>
      <c r="AK414" s="27"/>
      <c r="AL414" s="27"/>
      <c r="AM414" s="26"/>
      <c r="AP414" s="6" t="s">
        <v>56</v>
      </c>
      <c r="AQ414" s="29">
        <v>898</v>
      </c>
      <c r="AR414" s="30">
        <v>987</v>
      </c>
      <c r="AU414" s="6"/>
      <c r="AV414" s="8"/>
      <c r="AW414" s="31" t="s">
        <v>57</v>
      </c>
      <c r="AX414" s="8"/>
      <c r="AY414" s="7"/>
      <c r="AZ414" s="28"/>
      <c r="BB414" s="32" t="s">
        <v>85</v>
      </c>
      <c r="BC414">
        <v>0</v>
      </c>
      <c r="BD414">
        <v>0</v>
      </c>
      <c r="BE414" s="33"/>
      <c r="BF414" s="34"/>
      <c r="BG414" s="34"/>
      <c r="BH414" s="33"/>
      <c r="BI414" s="35"/>
      <c r="BJ414" s="34" t="s">
        <v>58</v>
      </c>
      <c r="BK414" s="8"/>
      <c r="BL414" s="7"/>
    </row>
    <row r="415" spans="1:64" x14ac:dyDescent="0.3">
      <c r="A415" s="10" t="s">
        <v>59</v>
      </c>
      <c r="B415" s="36">
        <v>2307</v>
      </c>
      <c r="C415" s="11">
        <v>2207</v>
      </c>
      <c r="D415" s="37"/>
      <c r="E415" s="38" t="s">
        <v>60</v>
      </c>
      <c r="F415" s="39"/>
      <c r="G415" s="37">
        <f>9*264</f>
        <v>2376</v>
      </c>
      <c r="H415" s="36">
        <v>9</v>
      </c>
      <c r="I415" s="37" t="s">
        <v>61</v>
      </c>
      <c r="J415" s="40"/>
      <c r="K415" s="28"/>
      <c r="L415" s="41" t="s">
        <v>59</v>
      </c>
      <c r="M415" s="28">
        <v>7984</v>
      </c>
      <c r="N415" s="28">
        <v>11476</v>
      </c>
      <c r="O415" s="42">
        <v>0</v>
      </c>
      <c r="P415" s="43">
        <v>0</v>
      </c>
      <c r="Q415" s="40">
        <v>0</v>
      </c>
      <c r="R415" s="43">
        <v>0</v>
      </c>
      <c r="S415" s="43">
        <v>0</v>
      </c>
      <c r="T415" s="42"/>
      <c r="U415" s="28"/>
      <c r="V415" s="40"/>
      <c r="W415" s="28"/>
      <c r="AB415" s="9"/>
      <c r="AC415" s="8"/>
      <c r="AD415" s="8"/>
      <c r="AE415" s="6"/>
      <c r="AF415" s="8"/>
      <c r="AG415" s="7"/>
      <c r="AH415" s="8"/>
      <c r="AI415" s="8"/>
      <c r="AJ415" s="9"/>
      <c r="AK415" s="6" t="s">
        <v>62</v>
      </c>
      <c r="AL415" s="8"/>
      <c r="AM415" s="7"/>
      <c r="AP415" s="36" t="s">
        <v>132</v>
      </c>
      <c r="AQ415" s="36">
        <v>0</v>
      </c>
      <c r="AR415" s="39">
        <v>10</v>
      </c>
      <c r="AT415" s="18"/>
      <c r="AU415" s="10"/>
      <c r="AV415" s="18"/>
      <c r="AW415" s="18"/>
      <c r="AX415" s="18"/>
      <c r="AY415" s="11"/>
      <c r="AZ415" s="28"/>
      <c r="BB415" s="44" t="s">
        <v>64</v>
      </c>
      <c r="BC415" s="18">
        <v>157</v>
      </c>
      <c r="BD415" s="18">
        <v>128</v>
      </c>
      <c r="BE415" s="10">
        <v>0</v>
      </c>
      <c r="BF415" s="18">
        <v>0</v>
      </c>
      <c r="BG415" s="18">
        <v>0</v>
      </c>
      <c r="BH415" s="10">
        <v>0</v>
      </c>
      <c r="BI415" s="11">
        <v>0</v>
      </c>
      <c r="BJ415" s="45">
        <v>7</v>
      </c>
      <c r="BK415" s="28" t="s">
        <v>474</v>
      </c>
      <c r="BL415" s="11" t="s">
        <v>6</v>
      </c>
    </row>
    <row r="416" spans="1:64" ht="15" thickBot="1" x14ac:dyDescent="0.35">
      <c r="A416" s="36" t="s">
        <v>6</v>
      </c>
      <c r="B416" s="10"/>
      <c r="C416" s="11"/>
      <c r="D416" s="18"/>
      <c r="E416" s="18"/>
      <c r="F416" s="18"/>
      <c r="G416" s="36"/>
      <c r="H416" s="42"/>
      <c r="I416" s="28"/>
      <c r="J416" s="40">
        <f>SUM(H415)</f>
        <v>9</v>
      </c>
      <c r="K416" s="28"/>
      <c r="L416" s="12"/>
      <c r="M416" s="37"/>
      <c r="N416" s="37"/>
      <c r="O416" s="10"/>
      <c r="P416" s="18"/>
      <c r="Q416" s="11"/>
      <c r="R416" s="18"/>
      <c r="S416" s="18"/>
      <c r="T416" s="10"/>
      <c r="U416" s="18"/>
      <c r="V416" s="11"/>
      <c r="W416" s="28"/>
      <c r="AB416" s="41"/>
      <c r="AE416" s="42"/>
      <c r="AF416" s="28"/>
      <c r="AG416" s="40"/>
      <c r="AJ416" s="41"/>
      <c r="AK416" s="42"/>
      <c r="AL416" s="28" t="s">
        <v>6</v>
      </c>
      <c r="AM416" s="40"/>
      <c r="AP416" s="36" t="s">
        <v>67</v>
      </c>
      <c r="AQ416" s="36">
        <v>48</v>
      </c>
      <c r="AR416" s="39">
        <v>39</v>
      </c>
      <c r="AT416" s="18"/>
      <c r="AU416" s="10"/>
      <c r="AV416" s="37">
        <v>30</v>
      </c>
      <c r="AW416" s="37" t="s">
        <v>68</v>
      </c>
      <c r="AX416" s="18"/>
      <c r="AY416" s="11"/>
      <c r="AZ416" s="28"/>
      <c r="BA416" s="28"/>
      <c r="BB416" s="46" t="s">
        <v>84</v>
      </c>
      <c r="BC416">
        <f>SUM(BC414:BC415)</f>
        <v>157</v>
      </c>
      <c r="BD416">
        <f>SUM(BD414:BD415)</f>
        <v>128</v>
      </c>
      <c r="BE416" s="47"/>
      <c r="BF416" s="48"/>
      <c r="BG416" s="48"/>
      <c r="BH416" s="47"/>
      <c r="BI416" s="49"/>
      <c r="BJ416" s="48">
        <v>3</v>
      </c>
      <c r="BK416" s="48" t="s">
        <v>69</v>
      </c>
      <c r="BL416" s="49">
        <f>SUM(BJ415:BJ416)</f>
        <v>10</v>
      </c>
    </row>
    <row r="417" spans="1:65" ht="15" thickBot="1" x14ac:dyDescent="0.35">
      <c r="A417" s="32"/>
      <c r="B417" s="34"/>
      <c r="C417" s="34"/>
      <c r="D417" s="33"/>
      <c r="E417" s="34"/>
      <c r="F417" s="35"/>
      <c r="G417" s="34"/>
      <c r="H417" s="6" t="s">
        <v>70</v>
      </c>
      <c r="I417" s="8"/>
      <c r="J417" s="7"/>
      <c r="K417" s="28"/>
      <c r="L417" s="17"/>
      <c r="M417" s="27"/>
      <c r="N417" s="27"/>
      <c r="O417" s="13"/>
      <c r="P417" s="27"/>
      <c r="Q417" s="26"/>
      <c r="R417" s="27"/>
      <c r="S417" s="27"/>
      <c r="T417" s="13"/>
      <c r="U417" s="27"/>
      <c r="V417" s="26"/>
      <c r="W417" s="28"/>
      <c r="AB417" s="44" t="s">
        <v>59</v>
      </c>
      <c r="AC417" s="37">
        <v>2263</v>
      </c>
      <c r="AD417" s="37">
        <v>2141</v>
      </c>
      <c r="AE417" s="10">
        <v>0</v>
      </c>
      <c r="AF417" s="18">
        <v>0</v>
      </c>
      <c r="AG417" s="39">
        <v>0</v>
      </c>
      <c r="AH417" s="2">
        <v>3824</v>
      </c>
      <c r="AI417" s="2">
        <v>31663</v>
      </c>
      <c r="AJ417" s="12">
        <v>0</v>
      </c>
      <c r="AK417" s="36">
        <v>6</v>
      </c>
      <c r="AL417" s="37" t="s">
        <v>66</v>
      </c>
      <c r="AM417" s="11"/>
      <c r="AP417" s="36" t="s">
        <v>72</v>
      </c>
      <c r="AQ417" s="36">
        <v>0</v>
      </c>
      <c r="AR417" s="39">
        <v>0</v>
      </c>
      <c r="AT417" s="18"/>
      <c r="AU417" s="10"/>
      <c r="AV417" s="37">
        <v>55</v>
      </c>
      <c r="AW417" s="37" t="s">
        <v>73</v>
      </c>
      <c r="AX417" s="18"/>
      <c r="AY417" s="11"/>
      <c r="AZ417" s="28"/>
      <c r="BA417" s="28"/>
      <c r="BB417" s="33"/>
      <c r="BC417" s="33"/>
      <c r="BD417" s="35"/>
      <c r="BE417" s="34"/>
      <c r="BF417" s="34"/>
      <c r="BG417" s="34"/>
      <c r="BH417" s="33"/>
      <c r="BI417" s="35"/>
      <c r="BJ417" s="8" t="s">
        <v>6</v>
      </c>
      <c r="BK417" s="34"/>
      <c r="BL417" s="35"/>
    </row>
    <row r="418" spans="1:65" ht="15" thickBot="1" x14ac:dyDescent="0.35">
      <c r="A418" s="44" t="s">
        <v>74</v>
      </c>
      <c r="B418" s="37">
        <v>1440</v>
      </c>
      <c r="C418" s="18">
        <v>2219</v>
      </c>
      <c r="D418" s="36"/>
      <c r="E418" s="38" t="s">
        <v>60</v>
      </c>
      <c r="F418" s="39"/>
      <c r="G418" s="37">
        <v>3666</v>
      </c>
      <c r="H418" s="36">
        <v>5</v>
      </c>
      <c r="I418" s="28" t="s">
        <v>75</v>
      </c>
      <c r="J418" s="11"/>
      <c r="K418" s="28"/>
      <c r="L418" s="32"/>
      <c r="M418" s="34"/>
      <c r="N418" s="34"/>
      <c r="O418" s="33"/>
      <c r="P418" s="34"/>
      <c r="Q418" s="35"/>
      <c r="R418" s="34"/>
      <c r="S418" s="34"/>
      <c r="T418" s="33"/>
      <c r="U418" s="34"/>
      <c r="V418" s="35"/>
      <c r="W418" s="28"/>
      <c r="AB418" s="46"/>
      <c r="AE418" s="47"/>
      <c r="AF418" s="51"/>
      <c r="AG418" s="49"/>
      <c r="AH418" s="28"/>
      <c r="AI418" s="28"/>
      <c r="AJ418" s="62"/>
      <c r="AK418" s="47">
        <v>3</v>
      </c>
      <c r="AL418" s="48" t="s">
        <v>436</v>
      </c>
      <c r="AM418" s="49"/>
      <c r="AP418" s="36" t="s">
        <v>78</v>
      </c>
      <c r="AQ418" s="36">
        <v>0</v>
      </c>
      <c r="AR418" s="39">
        <v>0</v>
      </c>
      <c r="AT418" s="18"/>
      <c r="AU418" s="10"/>
      <c r="AV418" s="37"/>
      <c r="AW418" s="37"/>
      <c r="AX418" s="18" t="s">
        <v>6</v>
      </c>
      <c r="AY418" s="11"/>
      <c r="AZ418" s="28"/>
      <c r="BA418" s="28"/>
      <c r="BB418" s="47" t="s">
        <v>6</v>
      </c>
      <c r="BC418" s="47"/>
      <c r="BD418" s="49"/>
      <c r="BE418" s="48">
        <v>0</v>
      </c>
      <c r="BF418" s="48">
        <v>0</v>
      </c>
      <c r="BG418" s="48">
        <v>0</v>
      </c>
      <c r="BH418" s="47">
        <v>0</v>
      </c>
      <c r="BI418" s="49">
        <v>0</v>
      </c>
      <c r="BJ418" s="51"/>
      <c r="BK418" s="48" t="s">
        <v>6</v>
      </c>
      <c r="BL418" s="49">
        <f>SUM(BJ418)</f>
        <v>0</v>
      </c>
    </row>
    <row r="419" spans="1:65" x14ac:dyDescent="0.3">
      <c r="A419" s="41"/>
      <c r="D419" s="42"/>
      <c r="E419" s="28"/>
      <c r="F419" s="40"/>
      <c r="H419" s="42">
        <v>9</v>
      </c>
      <c r="I419" s="28" t="s">
        <v>79</v>
      </c>
      <c r="J419" s="40"/>
      <c r="K419" s="28"/>
      <c r="L419" s="41"/>
      <c r="M419" s="28"/>
      <c r="N419" s="28"/>
      <c r="O419" s="42"/>
      <c r="P419" s="28"/>
      <c r="Q419" s="40"/>
      <c r="R419" s="28"/>
      <c r="S419" s="28"/>
      <c r="T419" s="42" t="s">
        <v>80</v>
      </c>
      <c r="U419" s="28"/>
      <c r="V419" s="40"/>
      <c r="W419" s="28"/>
      <c r="AB419" s="50" t="s">
        <v>6</v>
      </c>
      <c r="AC419" s="8"/>
      <c r="AD419" s="8"/>
      <c r="AE419" s="6"/>
      <c r="AF419" s="8"/>
      <c r="AG419" s="7"/>
      <c r="AH419" s="6"/>
      <c r="AI419" s="7"/>
      <c r="AJ419" s="8"/>
      <c r="AK419" s="29" t="s">
        <v>71</v>
      </c>
      <c r="AL419" s="8"/>
      <c r="AM419" s="7"/>
      <c r="AP419" s="52" t="s">
        <v>81</v>
      </c>
      <c r="AQ419" s="36">
        <v>0</v>
      </c>
      <c r="AR419" s="39">
        <v>0</v>
      </c>
      <c r="AU419" s="42"/>
      <c r="AV419" s="28"/>
      <c r="AW419" s="28"/>
      <c r="AX419" s="28"/>
      <c r="AY419" s="40"/>
      <c r="AZ419" s="28"/>
      <c r="BA419" s="28"/>
      <c r="BB419" s="33"/>
      <c r="BC419" s="33"/>
      <c r="BD419" s="35"/>
      <c r="BE419" s="34"/>
      <c r="BF419" s="34"/>
      <c r="BG419" s="34"/>
      <c r="BH419" s="33"/>
      <c r="BI419" s="35"/>
      <c r="BJ419" s="53" t="s">
        <v>82</v>
      </c>
      <c r="BK419" s="34"/>
      <c r="BL419" s="35"/>
    </row>
    <row r="420" spans="1:65" ht="15" thickBot="1" x14ac:dyDescent="0.35">
      <c r="A420" s="46"/>
      <c r="B420" s="48"/>
      <c r="C420" s="48"/>
      <c r="D420" s="47"/>
      <c r="E420" s="48"/>
      <c r="F420" s="49"/>
      <c r="G420" s="48"/>
      <c r="H420" s="47">
        <v>13</v>
      </c>
      <c r="I420" s="28" t="s">
        <v>83</v>
      </c>
      <c r="J420" s="49">
        <f>SUM(H418:H420)</f>
        <v>27</v>
      </c>
      <c r="K420" s="28"/>
      <c r="L420" s="17" t="s">
        <v>74</v>
      </c>
      <c r="M420" s="27">
        <v>6474</v>
      </c>
      <c r="N420" s="27">
        <v>292</v>
      </c>
      <c r="O420" s="13">
        <v>0</v>
      </c>
      <c r="P420" s="27">
        <v>0</v>
      </c>
      <c r="Q420" s="26">
        <v>0</v>
      </c>
      <c r="R420" s="27">
        <v>12</v>
      </c>
      <c r="S420" s="27">
        <v>0</v>
      </c>
      <c r="T420" s="13"/>
      <c r="U420" s="27"/>
      <c r="V420" s="26"/>
      <c r="W420" s="28"/>
      <c r="AB420" s="41" t="s">
        <v>76</v>
      </c>
      <c r="AC420">
        <v>348</v>
      </c>
      <c r="AD420">
        <v>0</v>
      </c>
      <c r="AE420" s="42">
        <v>0</v>
      </c>
      <c r="AF420" s="43">
        <v>0</v>
      </c>
      <c r="AG420" s="40">
        <v>0</v>
      </c>
      <c r="AH420" s="42">
        <v>0</v>
      </c>
      <c r="AI420" s="40">
        <v>0</v>
      </c>
      <c r="AJ420" s="43">
        <v>0</v>
      </c>
      <c r="AK420" s="42">
        <v>3</v>
      </c>
      <c r="AL420" s="28" t="s">
        <v>77</v>
      </c>
      <c r="AM420" s="40"/>
      <c r="AP420" s="52" t="s">
        <v>115</v>
      </c>
      <c r="AQ420" s="52">
        <v>0</v>
      </c>
      <c r="AR420" s="86"/>
      <c r="AU420" s="42"/>
      <c r="AV420" s="28"/>
      <c r="AW420" s="28"/>
      <c r="AX420" s="28"/>
      <c r="AY420" s="40"/>
      <c r="AZ420" s="28"/>
      <c r="BA420" s="28"/>
      <c r="BB420" s="47" t="s">
        <v>85</v>
      </c>
      <c r="BC420" s="47">
        <v>0</v>
      </c>
      <c r="BD420" s="49">
        <v>0</v>
      </c>
      <c r="BE420" s="48"/>
      <c r="BF420" s="48">
        <v>0</v>
      </c>
      <c r="BG420" s="48">
        <v>0</v>
      </c>
      <c r="BH420" s="47">
        <v>0</v>
      </c>
      <c r="BI420" s="49">
        <v>0</v>
      </c>
      <c r="BJ420" s="51"/>
      <c r="BK420" s="48" t="s">
        <v>86</v>
      </c>
      <c r="BL420" s="49">
        <f>SUM(BJ420)</f>
        <v>0</v>
      </c>
    </row>
    <row r="421" spans="1:65" ht="15" thickBot="1" x14ac:dyDescent="0.35">
      <c r="A421" s="33"/>
      <c r="B421" s="33"/>
      <c r="C421" s="35"/>
      <c r="D421" s="34"/>
      <c r="E421" s="34"/>
      <c r="F421" s="34"/>
      <c r="G421" s="32"/>
      <c r="H421" s="6" t="s">
        <v>87</v>
      </c>
      <c r="I421" s="34"/>
      <c r="J421" s="35"/>
      <c r="K421" s="28"/>
      <c r="L421" s="12" t="s">
        <v>88</v>
      </c>
      <c r="M421" s="37">
        <v>0</v>
      </c>
      <c r="N421" s="37">
        <v>0</v>
      </c>
      <c r="O421" s="10"/>
      <c r="P421" s="18"/>
      <c r="Q421" s="11"/>
      <c r="R421" s="18"/>
      <c r="S421" s="18"/>
      <c r="T421" s="33" t="s">
        <v>6</v>
      </c>
      <c r="U421" s="31"/>
      <c r="V421" s="7"/>
      <c r="W421" s="28"/>
      <c r="AB421" s="6" t="s">
        <v>89</v>
      </c>
      <c r="AC421" s="6">
        <v>74</v>
      </c>
      <c r="AD421" s="7">
        <v>82</v>
      </c>
      <c r="AE421" s="8"/>
      <c r="AF421" s="8"/>
      <c r="AG421" s="8"/>
      <c r="AH421" s="6"/>
      <c r="AI421" s="7"/>
      <c r="AJ421" s="9"/>
      <c r="AK421" s="31" t="s">
        <v>90</v>
      </c>
      <c r="AL421" s="8"/>
      <c r="AM421" s="7"/>
      <c r="AP421" s="13" t="s">
        <v>84</v>
      </c>
      <c r="AQ421" s="13">
        <f>SUM(AQ414:AQ420)</f>
        <v>946</v>
      </c>
      <c r="AR421" s="26">
        <f>SUM(AR414:AR420)</f>
        <v>1036</v>
      </c>
      <c r="AT421" s="18"/>
      <c r="AU421" s="13"/>
      <c r="AV421" s="27"/>
      <c r="AW421" s="27"/>
      <c r="AX421" s="27"/>
      <c r="AY421" s="26">
        <f>SUM(AV416:AV417)</f>
        <v>85</v>
      </c>
      <c r="AZ421" s="28"/>
      <c r="BA421" s="28"/>
      <c r="BB421" s="50" t="s">
        <v>107</v>
      </c>
      <c r="BC421" s="31">
        <v>19</v>
      </c>
      <c r="BD421" s="31">
        <v>12</v>
      </c>
      <c r="BE421" s="29"/>
      <c r="BF421" s="31"/>
      <c r="BG421" s="30"/>
      <c r="BH421" s="55"/>
      <c r="BI421" s="8"/>
      <c r="BJ421" s="29"/>
      <c r="BK421" s="34" t="s">
        <v>92</v>
      </c>
      <c r="BL421" s="35"/>
    </row>
    <row r="422" spans="1:65" x14ac:dyDescent="0.3">
      <c r="A422" s="36" t="s">
        <v>93</v>
      </c>
      <c r="B422" s="36">
        <v>3920</v>
      </c>
      <c r="C422" s="11">
        <v>3825</v>
      </c>
      <c r="D422" s="37"/>
      <c r="E422" s="38" t="s">
        <v>60</v>
      </c>
      <c r="F422" s="37"/>
      <c r="G422" s="12">
        <v>4510</v>
      </c>
      <c r="H422" s="36">
        <v>30</v>
      </c>
      <c r="I422" s="37" t="s">
        <v>94</v>
      </c>
      <c r="J422" s="40"/>
      <c r="K422" s="28"/>
      <c r="L422" s="44" t="s">
        <v>95</v>
      </c>
      <c r="M422" s="37">
        <v>0</v>
      </c>
      <c r="N422" s="37">
        <v>500</v>
      </c>
      <c r="O422" s="10"/>
      <c r="P422" s="18"/>
      <c r="Q422" s="11"/>
      <c r="R422" s="18"/>
      <c r="S422" s="18"/>
      <c r="T422" s="10" t="s">
        <v>96</v>
      </c>
      <c r="U422" s="37"/>
      <c r="V422" s="11"/>
      <c r="W422" s="28"/>
      <c r="AB422" s="36" t="s">
        <v>97</v>
      </c>
      <c r="AC422" s="10">
        <v>0</v>
      </c>
      <c r="AD422" s="11">
        <v>0</v>
      </c>
      <c r="AE422" s="18">
        <v>0</v>
      </c>
      <c r="AF422" s="18">
        <v>0</v>
      </c>
      <c r="AG422" s="18">
        <v>0</v>
      </c>
      <c r="AH422" s="36">
        <v>0</v>
      </c>
      <c r="AI422" s="11">
        <v>0</v>
      </c>
      <c r="AJ422" s="12">
        <v>0</v>
      </c>
      <c r="AK422" s="37">
        <v>2</v>
      </c>
      <c r="AL422" s="37" t="s">
        <v>98</v>
      </c>
      <c r="AM422" s="11"/>
      <c r="AP422" s="32" t="s">
        <v>6</v>
      </c>
      <c r="AQ422" s="43"/>
      <c r="AR422" s="54"/>
      <c r="AS422" s="33"/>
      <c r="AT422" s="35"/>
      <c r="AU422" s="33"/>
      <c r="AV422" s="34" t="s">
        <v>91</v>
      </c>
      <c r="AW422" s="34"/>
      <c r="AX422" s="34"/>
      <c r="AY422" s="35"/>
      <c r="AZ422" s="28" t="s">
        <v>6</v>
      </c>
      <c r="BA422" s="28"/>
      <c r="BB422" s="41" t="s">
        <v>99</v>
      </c>
      <c r="BC422" s="45">
        <v>0</v>
      </c>
      <c r="BD422" s="45">
        <v>0</v>
      </c>
      <c r="BE422" s="42">
        <v>0</v>
      </c>
      <c r="BF422" s="45">
        <v>0</v>
      </c>
      <c r="BG422" s="40">
        <v>0</v>
      </c>
      <c r="BH422" s="45">
        <v>38735</v>
      </c>
      <c r="BI422" s="56">
        <v>10592</v>
      </c>
      <c r="BJ422" s="52">
        <v>27</v>
      </c>
      <c r="BK422" s="37" t="s">
        <v>100</v>
      </c>
      <c r="BL422" s="40"/>
    </row>
    <row r="423" spans="1:65" ht="15" thickBot="1" x14ac:dyDescent="0.35">
      <c r="A423" s="47"/>
      <c r="B423" s="47"/>
      <c r="C423" s="49"/>
      <c r="D423" s="48"/>
      <c r="E423" s="48"/>
      <c r="F423" s="48"/>
      <c r="G423" s="46"/>
      <c r="H423" s="47">
        <v>1</v>
      </c>
      <c r="I423" s="48" t="s">
        <v>101</v>
      </c>
      <c r="J423" s="49">
        <f>SUM(H422:H423)</f>
        <v>31</v>
      </c>
      <c r="K423" s="28"/>
      <c r="L423" s="12" t="s">
        <v>102</v>
      </c>
      <c r="M423" s="18"/>
      <c r="N423" s="18">
        <v>666</v>
      </c>
      <c r="O423" s="10"/>
      <c r="P423" s="18"/>
      <c r="Q423" s="11"/>
      <c r="R423" s="18"/>
      <c r="S423" s="18"/>
      <c r="T423" s="10"/>
      <c r="U423" s="18"/>
      <c r="V423" s="11"/>
      <c r="W423" s="28"/>
      <c r="AB423" s="47" t="s">
        <v>84</v>
      </c>
      <c r="AC423" s="13">
        <f>SUM(AC421:AC422)</f>
        <v>74</v>
      </c>
      <c r="AD423" s="26">
        <f>SUM(AD421:AD422)</f>
        <v>82</v>
      </c>
      <c r="AE423" s="27"/>
      <c r="AF423" s="27"/>
      <c r="AG423" s="27"/>
      <c r="AH423" s="13"/>
      <c r="AI423" s="26"/>
      <c r="AJ423" s="17"/>
      <c r="AK423" s="57"/>
      <c r="AL423" s="37" t="s">
        <v>141</v>
      </c>
      <c r="AM423" s="11"/>
      <c r="AP423" s="41" t="s">
        <v>56</v>
      </c>
      <c r="AQ423">
        <v>941</v>
      </c>
      <c r="AR423">
        <v>978</v>
      </c>
      <c r="AS423" s="42"/>
      <c r="AT423" s="40"/>
      <c r="AU423" s="42"/>
      <c r="AV423" s="28"/>
      <c r="AW423" s="28"/>
      <c r="AX423" s="28"/>
      <c r="AY423" s="40"/>
      <c r="AZ423" s="28"/>
      <c r="BA423" s="28"/>
      <c r="BB423" s="17" t="s">
        <v>84</v>
      </c>
      <c r="BC423" s="18">
        <f>SUM(BC421:BC422)</f>
        <v>19</v>
      </c>
      <c r="BD423" s="18">
        <f>SUM(BD421:BD422)</f>
        <v>12</v>
      </c>
      <c r="BE423" s="13"/>
      <c r="BF423" s="27"/>
      <c r="BG423" s="26"/>
      <c r="BH423" s="58"/>
      <c r="BI423" s="27"/>
      <c r="BJ423" s="59"/>
      <c r="BK423" s="48"/>
      <c r="BL423" s="60">
        <f>SUM(BJ422:BJ423)</f>
        <v>27</v>
      </c>
    </row>
    <row r="424" spans="1:65" ht="15" thickBot="1" x14ac:dyDescent="0.35">
      <c r="A424" s="29" t="s">
        <v>250</v>
      </c>
      <c r="B424" s="29">
        <v>0</v>
      </c>
      <c r="C424" s="7">
        <v>0</v>
      </c>
      <c r="D424" s="8"/>
      <c r="E424" s="8"/>
      <c r="F424" s="8"/>
      <c r="G424" s="9"/>
      <c r="H424" s="8" t="s">
        <v>104</v>
      </c>
      <c r="I424" s="8"/>
      <c r="J424" s="7"/>
      <c r="K424" s="28"/>
      <c r="L424" s="12" t="s">
        <v>84</v>
      </c>
      <c r="M424" s="18">
        <f>SUM(M421:M423)</f>
        <v>0</v>
      </c>
      <c r="N424" s="18">
        <f>SUM(N421:N423)</f>
        <v>1166</v>
      </c>
      <c r="O424" s="10">
        <v>0</v>
      </c>
      <c r="P424" s="18">
        <v>0</v>
      </c>
      <c r="Q424" s="11">
        <v>0</v>
      </c>
      <c r="R424" s="18">
        <v>0</v>
      </c>
      <c r="S424" s="18">
        <v>0</v>
      </c>
      <c r="T424" s="13"/>
      <c r="U424" s="27"/>
      <c r="V424" s="26"/>
      <c r="W424" s="28"/>
      <c r="AB424" s="44"/>
      <c r="AC424" s="18"/>
      <c r="AD424" s="18"/>
      <c r="AE424" s="10"/>
      <c r="AF424" s="18"/>
      <c r="AG424" s="11"/>
      <c r="AH424" s="10"/>
      <c r="AI424" s="11"/>
      <c r="AJ424" s="6"/>
      <c r="AK424" s="33" t="s">
        <v>6</v>
      </c>
      <c r="AL424" s="61" t="s">
        <v>6</v>
      </c>
      <c r="AM424" s="7"/>
      <c r="AP424" s="62" t="s">
        <v>6</v>
      </c>
      <c r="AQ424" s="43"/>
      <c r="AR424" s="43"/>
      <c r="AS424" s="47"/>
      <c r="AT424" s="49"/>
      <c r="AU424" s="47"/>
      <c r="AV424" s="48">
        <v>86</v>
      </c>
      <c r="AW424" s="48" t="s">
        <v>73</v>
      </c>
      <c r="AX424" s="48"/>
      <c r="AY424" s="49">
        <f>SUM(AV424)</f>
        <v>86</v>
      </c>
      <c r="AZ424" s="28" t="s">
        <v>6</v>
      </c>
      <c r="BA424" s="28" t="s">
        <v>6</v>
      </c>
      <c r="BB424" s="32" t="s">
        <v>107</v>
      </c>
      <c r="BC424" s="63">
        <v>0</v>
      </c>
      <c r="BD424" s="64">
        <v>19</v>
      </c>
      <c r="BE424" s="33"/>
      <c r="BF424" s="8"/>
      <c r="BG424" s="35"/>
      <c r="BH424" s="65"/>
      <c r="BI424" s="66"/>
      <c r="BJ424" s="29"/>
      <c r="BK424" s="31" t="s">
        <v>57</v>
      </c>
      <c r="BL424" s="35"/>
    </row>
    <row r="425" spans="1:65" x14ac:dyDescent="0.3">
      <c r="A425" s="42" t="s">
        <v>105</v>
      </c>
      <c r="B425" s="42">
        <v>487</v>
      </c>
      <c r="C425" s="40">
        <v>285</v>
      </c>
      <c r="D425" s="28"/>
      <c r="E425" s="38" t="s">
        <v>60</v>
      </c>
      <c r="F425" s="28"/>
      <c r="G425" s="41">
        <f>9*72</f>
        <v>648</v>
      </c>
      <c r="H425" s="67">
        <v>9</v>
      </c>
      <c r="I425" s="43" t="s">
        <v>106</v>
      </c>
      <c r="J425" s="40">
        <f>SUM(H425)</f>
        <v>9</v>
      </c>
      <c r="K425" s="28"/>
      <c r="L425" s="32"/>
      <c r="M425" s="33"/>
      <c r="N425" s="35"/>
      <c r="O425" s="34"/>
      <c r="P425" s="34"/>
      <c r="Q425" s="35"/>
      <c r="R425" s="33"/>
      <c r="S425" s="35"/>
      <c r="T425" s="6" t="s">
        <v>104</v>
      </c>
      <c r="U425" s="34"/>
      <c r="V425" s="35"/>
      <c r="W425" s="28"/>
      <c r="AB425" s="41" t="s">
        <v>6</v>
      </c>
      <c r="AC425" s="18"/>
      <c r="AD425" s="18"/>
      <c r="AE425" s="10">
        <v>0</v>
      </c>
      <c r="AF425" s="18">
        <v>0</v>
      </c>
      <c r="AG425" s="11">
        <v>0</v>
      </c>
      <c r="AH425" s="10"/>
      <c r="AI425" s="11"/>
      <c r="AJ425" s="10">
        <v>0</v>
      </c>
      <c r="AK425" s="10"/>
      <c r="AL425" s="37" t="s">
        <v>6</v>
      </c>
      <c r="AM425" s="11"/>
      <c r="AP425" s="10"/>
      <c r="AQ425" s="29"/>
      <c r="AR425" s="31"/>
      <c r="AS425" s="33"/>
      <c r="AT425" s="7"/>
      <c r="AU425" s="8"/>
      <c r="AV425" s="8"/>
      <c r="AW425" s="8"/>
      <c r="AX425" s="8"/>
      <c r="AY425" s="7"/>
      <c r="AZ425" s="28"/>
      <c r="BA425" s="28" t="s">
        <v>6</v>
      </c>
      <c r="BB425" s="41" t="s">
        <v>113</v>
      </c>
      <c r="BC425" s="70">
        <v>405</v>
      </c>
      <c r="BD425" s="71">
        <v>478</v>
      </c>
      <c r="BE425" s="42"/>
      <c r="BF425" s="28"/>
      <c r="BG425" s="40"/>
      <c r="BH425" s="42"/>
      <c r="BI425" s="40"/>
      <c r="BJ425" s="42" t="s">
        <v>6</v>
      </c>
      <c r="BK425" s="43"/>
      <c r="BL425" s="40"/>
    </row>
    <row r="426" spans="1:65" ht="15" thickBot="1" x14ac:dyDescent="0.35">
      <c r="A426" s="67" t="s">
        <v>84</v>
      </c>
      <c r="B426" s="47">
        <f>SUM(B424:B425)</f>
        <v>487</v>
      </c>
      <c r="C426" s="49">
        <f>SUM(C424:C425)</f>
        <v>285</v>
      </c>
      <c r="G426" s="46"/>
      <c r="H426" s="48"/>
      <c r="I426" s="48"/>
      <c r="J426" s="49"/>
      <c r="K426" s="28"/>
      <c r="L426" s="69" t="s">
        <v>109</v>
      </c>
      <c r="M426" s="42">
        <v>0</v>
      </c>
      <c r="N426" s="40">
        <v>0</v>
      </c>
      <c r="O426" s="28">
        <v>0</v>
      </c>
      <c r="P426" s="43">
        <v>0</v>
      </c>
      <c r="Q426" s="40">
        <v>0</v>
      </c>
      <c r="R426" s="42">
        <v>0</v>
      </c>
      <c r="S426" s="40">
        <v>0</v>
      </c>
      <c r="T426" s="28"/>
      <c r="U426" s="28"/>
      <c r="V426" s="40"/>
      <c r="W426" s="28"/>
      <c r="AA426" s="28"/>
      <c r="AB426" s="44"/>
      <c r="AC426" s="45"/>
      <c r="AD426" s="45"/>
      <c r="AE426" s="10">
        <v>0</v>
      </c>
      <c r="AF426" s="18">
        <v>0</v>
      </c>
      <c r="AG426" s="11">
        <v>0</v>
      </c>
      <c r="AH426" s="10"/>
      <c r="AI426" s="11"/>
      <c r="AJ426" s="67"/>
      <c r="AK426" s="42"/>
      <c r="AL426" s="54"/>
      <c r="AM426" s="40"/>
      <c r="AN426" s="28"/>
      <c r="AP426" s="36" t="s">
        <v>63</v>
      </c>
      <c r="AQ426" s="10">
        <v>43</v>
      </c>
      <c r="AR426" s="18">
        <v>31</v>
      </c>
      <c r="AS426" s="42"/>
      <c r="AT426" s="11"/>
      <c r="AU426" s="18"/>
      <c r="AV426" s="18" t="s">
        <v>110</v>
      </c>
      <c r="AW426" s="18" t="s">
        <v>111</v>
      </c>
      <c r="AX426" s="18" t="s">
        <v>112</v>
      </c>
      <c r="AY426" s="11"/>
      <c r="AZ426" s="45"/>
      <c r="BA426" s="28"/>
      <c r="BB426" s="68" t="s">
        <v>84</v>
      </c>
      <c r="BC426">
        <f>SUM(BC424:BC425)</f>
        <v>405</v>
      </c>
      <c r="BD426">
        <f>SUM(BD424:BD425)</f>
        <v>497</v>
      </c>
      <c r="BE426" s="47">
        <v>0</v>
      </c>
      <c r="BF426" s="27">
        <v>0</v>
      </c>
      <c r="BG426" s="49">
        <v>0</v>
      </c>
      <c r="BH426" s="75">
        <v>0</v>
      </c>
      <c r="BI426" s="49">
        <v>0</v>
      </c>
      <c r="BJ426" s="47">
        <v>43</v>
      </c>
      <c r="BK426" s="51" t="s">
        <v>73</v>
      </c>
      <c r="BL426" s="49">
        <f>SUM(BJ425:BJ426)</f>
        <v>43</v>
      </c>
    </row>
    <row r="427" spans="1:65" ht="15" thickBot="1" x14ac:dyDescent="0.35">
      <c r="A427" s="29" t="s">
        <v>108</v>
      </c>
      <c r="B427" s="29">
        <v>0</v>
      </c>
      <c r="C427" s="7">
        <v>0</v>
      </c>
      <c r="D427" s="8"/>
      <c r="E427" s="8">
        <v>1110</v>
      </c>
      <c r="F427" s="8"/>
      <c r="G427" s="50"/>
      <c r="H427" s="6" t="s">
        <v>104</v>
      </c>
      <c r="I427" s="31"/>
      <c r="J427" s="30"/>
      <c r="K427" s="28"/>
      <c r="L427" s="46"/>
      <c r="M427" s="47"/>
      <c r="N427" s="49"/>
      <c r="O427" s="48"/>
      <c r="P427" s="48"/>
      <c r="Q427" s="49"/>
      <c r="R427" s="72"/>
      <c r="S427" s="73"/>
      <c r="T427" s="48"/>
      <c r="U427" s="48"/>
      <c r="V427" s="49"/>
      <c r="W427" s="28"/>
      <c r="AA427" s="28"/>
      <c r="AB427" s="41"/>
      <c r="AE427" s="10">
        <v>0</v>
      </c>
      <c r="AF427" s="18">
        <v>0</v>
      </c>
      <c r="AG427" s="11">
        <v>0</v>
      </c>
      <c r="AH427" s="10"/>
      <c r="AI427" s="11"/>
      <c r="AJ427" s="47"/>
      <c r="AK427" s="72"/>
      <c r="AL427" s="74"/>
      <c r="AM427" s="49"/>
      <c r="AN427" s="28"/>
      <c r="AP427" s="10" t="s">
        <v>115</v>
      </c>
      <c r="AQ427" s="36">
        <v>52</v>
      </c>
      <c r="AR427" s="37">
        <v>45</v>
      </c>
      <c r="AS427" s="42"/>
      <c r="AT427" s="11"/>
      <c r="AU427" s="18"/>
      <c r="AV427" s="18"/>
      <c r="AW427" s="18"/>
      <c r="AX427" s="18"/>
      <c r="AY427" s="11"/>
      <c r="AZ427" s="28"/>
      <c r="BA427" s="28" t="s">
        <v>6</v>
      </c>
      <c r="BB427" s="33" t="s">
        <v>108</v>
      </c>
      <c r="BC427" s="78">
        <v>0</v>
      </c>
      <c r="BD427" s="79">
        <v>0</v>
      </c>
      <c r="BE427" s="34"/>
      <c r="BF427" s="8"/>
      <c r="BG427" s="35"/>
      <c r="BH427" s="80"/>
      <c r="BI427" s="34"/>
      <c r="BJ427" s="33"/>
      <c r="BK427" s="34" t="s">
        <v>91</v>
      </c>
      <c r="BL427" s="35"/>
    </row>
    <row r="428" spans="1:65" x14ac:dyDescent="0.3">
      <c r="A428" s="52" t="s">
        <v>109</v>
      </c>
      <c r="B428" s="36">
        <v>3211</v>
      </c>
      <c r="C428" s="11">
        <v>1813</v>
      </c>
      <c r="D428" s="45"/>
      <c r="E428" s="45">
        <v>0</v>
      </c>
      <c r="F428" s="45"/>
      <c r="G428" s="69"/>
      <c r="H428" s="45">
        <v>13</v>
      </c>
      <c r="I428" s="28" t="s">
        <v>114</v>
      </c>
      <c r="J428" s="40"/>
      <c r="K428" s="28"/>
      <c r="L428" s="50" t="s">
        <v>93</v>
      </c>
      <c r="M428" s="8">
        <v>0</v>
      </c>
      <c r="N428" s="8">
        <v>0</v>
      </c>
      <c r="O428" s="6"/>
      <c r="P428" s="8"/>
      <c r="Q428" s="7"/>
      <c r="R428" s="8"/>
      <c r="S428" s="8"/>
      <c r="T428" s="10" t="s">
        <v>116</v>
      </c>
      <c r="U428" s="8"/>
      <c r="V428" s="7"/>
      <c r="W428" s="28"/>
      <c r="AA428" s="28"/>
      <c r="AB428" s="32"/>
      <c r="AC428" s="6"/>
      <c r="AD428" s="7"/>
      <c r="AE428" s="8"/>
      <c r="AF428" s="8"/>
      <c r="AG428" s="8"/>
      <c r="AH428" s="6"/>
      <c r="AI428" s="7"/>
      <c r="AJ428" s="8"/>
      <c r="AK428" s="36"/>
      <c r="AL428" s="77" t="s">
        <v>117</v>
      </c>
      <c r="AM428" s="11"/>
      <c r="AN428" s="28"/>
      <c r="AP428" s="52" t="s">
        <v>72</v>
      </c>
      <c r="AQ428" s="52">
        <v>3</v>
      </c>
      <c r="AR428" s="54">
        <v>4</v>
      </c>
      <c r="AS428" s="42"/>
      <c r="AT428" s="40"/>
      <c r="AU428" s="28"/>
      <c r="AV428" s="28"/>
      <c r="AW428" s="28"/>
      <c r="AX428" s="28"/>
      <c r="AY428" s="40"/>
      <c r="AZ428" s="28"/>
      <c r="BA428" s="28"/>
      <c r="BB428" s="52" t="s">
        <v>85</v>
      </c>
      <c r="BC428" s="42">
        <v>0</v>
      </c>
      <c r="BD428" s="40">
        <v>0</v>
      </c>
      <c r="BE428" s="28"/>
      <c r="BF428" s="28"/>
      <c r="BG428" s="40"/>
      <c r="BJ428" s="42"/>
      <c r="BK428" s="28"/>
      <c r="BL428" s="40"/>
    </row>
    <row r="429" spans="1:65" ht="15" thickBot="1" x14ac:dyDescent="0.35">
      <c r="A429" s="76" t="s">
        <v>84</v>
      </c>
      <c r="B429" s="42">
        <f>SUM(B427:B428)</f>
        <v>3211</v>
      </c>
      <c r="C429" s="40">
        <f>SUM(C427:C428)</f>
        <v>1813</v>
      </c>
      <c r="D429" s="28"/>
      <c r="E429" s="28">
        <f>SUM(E427:E428)</f>
        <v>1110</v>
      </c>
      <c r="F429" s="28"/>
      <c r="G429" s="46">
        <f>355*13</f>
        <v>4615</v>
      </c>
      <c r="H429" s="48"/>
      <c r="I429" s="48"/>
      <c r="J429" s="49">
        <f>SUM(H428)</f>
        <v>13</v>
      </c>
      <c r="K429" s="28"/>
      <c r="L429" s="12" t="s">
        <v>99</v>
      </c>
      <c r="M429" s="37">
        <v>70563</v>
      </c>
      <c r="N429" s="37">
        <v>18231</v>
      </c>
      <c r="O429" s="10"/>
      <c r="P429" s="18"/>
      <c r="Q429" s="11"/>
      <c r="R429" s="18">
        <v>3858</v>
      </c>
      <c r="S429" s="18">
        <v>572</v>
      </c>
      <c r="T429" s="10"/>
      <c r="U429" s="18"/>
      <c r="V429" s="11"/>
      <c r="W429" s="28"/>
      <c r="AA429" s="28"/>
      <c r="AB429" s="68"/>
      <c r="AC429" s="42"/>
      <c r="AD429" s="40"/>
      <c r="AH429" s="42"/>
      <c r="AI429" s="40"/>
      <c r="AK429" s="42"/>
      <c r="AL429" s="54" t="s">
        <v>121</v>
      </c>
      <c r="AM429" s="40"/>
      <c r="AN429" s="28"/>
      <c r="AP429" s="36" t="s">
        <v>78</v>
      </c>
      <c r="AQ429" s="36">
        <v>56</v>
      </c>
      <c r="AR429" s="37">
        <v>18</v>
      </c>
      <c r="AS429" s="42"/>
      <c r="AT429" s="11"/>
      <c r="AU429" s="18"/>
      <c r="AV429" s="37"/>
      <c r="AW429" s="18"/>
      <c r="AX429" s="37"/>
      <c r="AY429" s="11"/>
      <c r="AZ429" s="28"/>
      <c r="BA429" s="28"/>
      <c r="BB429" s="67" t="s">
        <v>113</v>
      </c>
      <c r="BC429" s="42">
        <v>522</v>
      </c>
      <c r="BD429" s="40">
        <v>450</v>
      </c>
      <c r="BE429" s="28"/>
      <c r="BF429" s="28"/>
      <c r="BG429" s="40"/>
      <c r="BH429" s="28"/>
      <c r="BI429" s="28"/>
      <c r="BJ429" s="67">
        <v>47</v>
      </c>
      <c r="BK429" s="43" t="s">
        <v>73</v>
      </c>
      <c r="BL429" s="40"/>
    </row>
    <row r="430" spans="1:65" ht="15" thickBot="1" x14ac:dyDescent="0.35">
      <c r="A430" s="32" t="s">
        <v>93</v>
      </c>
      <c r="B430" s="33">
        <v>8319</v>
      </c>
      <c r="C430" s="35">
        <v>8192</v>
      </c>
      <c r="D430" s="33"/>
      <c r="E430" s="34"/>
      <c r="F430" s="34"/>
      <c r="G430" s="32">
        <f>160*62</f>
        <v>9920</v>
      </c>
      <c r="H430" s="33" t="s">
        <v>118</v>
      </c>
      <c r="I430" s="34"/>
      <c r="J430" s="35"/>
      <c r="K430" s="28"/>
      <c r="L430" s="12" t="s">
        <v>120</v>
      </c>
      <c r="M430" s="37">
        <v>18168</v>
      </c>
      <c r="N430" s="37">
        <v>95127</v>
      </c>
      <c r="O430" s="10"/>
      <c r="P430" s="18"/>
      <c r="Q430" s="11"/>
      <c r="R430" s="18">
        <v>1039</v>
      </c>
      <c r="S430" s="18">
        <v>71</v>
      </c>
      <c r="T430" s="10"/>
      <c r="U430" s="18"/>
      <c r="V430" s="11"/>
      <c r="W430" s="28"/>
      <c r="AA430" s="28"/>
      <c r="AB430" s="44"/>
      <c r="AC430" s="10"/>
      <c r="AD430" s="11"/>
      <c r="AE430" s="18"/>
      <c r="AF430" s="18"/>
      <c r="AG430" s="18"/>
      <c r="AH430" s="10"/>
      <c r="AI430" s="11"/>
      <c r="AJ430" s="18"/>
      <c r="AK430" s="10"/>
      <c r="AL430" s="37" t="s">
        <v>302</v>
      </c>
      <c r="AM430" s="11"/>
      <c r="AN430" s="28"/>
      <c r="AP430" s="10" t="s">
        <v>122</v>
      </c>
      <c r="AQ430" s="36">
        <v>77</v>
      </c>
      <c r="AR430" s="37">
        <v>66</v>
      </c>
      <c r="AS430" s="42"/>
      <c r="AT430" s="11"/>
      <c r="AU430" s="18"/>
      <c r="AV430" s="18">
        <v>49</v>
      </c>
      <c r="AW430" s="18" t="s">
        <v>123</v>
      </c>
      <c r="AX430" s="18"/>
      <c r="AY430" s="11"/>
      <c r="AZ430" s="28"/>
      <c r="BA430" s="28"/>
      <c r="BB430" s="47" t="s">
        <v>84</v>
      </c>
      <c r="BC430" s="47">
        <f>SUM(BC427:BC429)</f>
        <v>522</v>
      </c>
      <c r="BD430" s="49">
        <f>SUM(BD427:BD429)</f>
        <v>450</v>
      </c>
      <c r="BE430" s="81">
        <v>0</v>
      </c>
      <c r="BF430" s="27">
        <v>0</v>
      </c>
      <c r="BG430" s="82">
        <v>0</v>
      </c>
      <c r="BH430" s="74">
        <v>0</v>
      </c>
      <c r="BI430" s="74">
        <v>0</v>
      </c>
      <c r="BJ430" s="47"/>
      <c r="BK430" s="51"/>
      <c r="BL430" s="49">
        <f>SUM(BJ429)</f>
        <v>47</v>
      </c>
      <c r="BM430" t="s">
        <v>6</v>
      </c>
    </row>
    <row r="431" spans="1:65" ht="15" thickBot="1" x14ac:dyDescent="0.35">
      <c r="A431" s="41" t="s">
        <v>120</v>
      </c>
      <c r="B431" s="42">
        <v>4179</v>
      </c>
      <c r="C431" s="40">
        <v>4006</v>
      </c>
      <c r="D431" s="42"/>
      <c r="E431" s="28" t="s">
        <v>60</v>
      </c>
      <c r="F431" s="28"/>
      <c r="G431" s="41">
        <f>160*31</f>
        <v>4960</v>
      </c>
      <c r="H431" s="42">
        <v>93</v>
      </c>
      <c r="I431" s="28" t="s">
        <v>101</v>
      </c>
      <c r="J431" s="40"/>
      <c r="K431" s="28"/>
      <c r="L431" s="12" t="s">
        <v>84</v>
      </c>
      <c r="M431" s="18">
        <f>SUM(M428:M430)</f>
        <v>88731</v>
      </c>
      <c r="N431" s="18">
        <f>SUM(N428:N430)</f>
        <v>113358</v>
      </c>
      <c r="O431" s="10">
        <v>0</v>
      </c>
      <c r="P431" s="18">
        <v>0</v>
      </c>
      <c r="Q431" s="11">
        <v>0</v>
      </c>
      <c r="R431" s="18">
        <f>SUM(R428:R430)</f>
        <v>4897</v>
      </c>
      <c r="S431" s="18">
        <f>SUM(S428:S430)</f>
        <v>643</v>
      </c>
      <c r="T431" s="10"/>
      <c r="U431" s="18"/>
      <c r="V431" s="11"/>
      <c r="W431" s="28"/>
      <c r="AA431" s="28"/>
      <c r="AB431" s="46"/>
      <c r="AC431" s="47"/>
      <c r="AD431" s="49"/>
      <c r="AE431" s="48"/>
      <c r="AF431" s="48"/>
      <c r="AG431" s="48"/>
      <c r="AH431" s="47"/>
      <c r="AI431" s="49"/>
      <c r="AJ431" s="48"/>
      <c r="AK431" s="47">
        <v>3</v>
      </c>
      <c r="AL431" s="48" t="s">
        <v>124</v>
      </c>
      <c r="AM431" s="49"/>
      <c r="AN431" s="28"/>
      <c r="AP431" s="10" t="s">
        <v>125</v>
      </c>
      <c r="AQ431" s="36">
        <v>0</v>
      </c>
      <c r="AR431" s="37">
        <v>0</v>
      </c>
      <c r="AS431" s="42"/>
      <c r="AT431" s="11"/>
      <c r="AU431" s="18"/>
      <c r="AV431" s="18">
        <v>33</v>
      </c>
      <c r="AW431" s="18" t="s">
        <v>126</v>
      </c>
      <c r="AX431" s="18"/>
      <c r="AY431" s="11"/>
      <c r="AZ431" s="28"/>
      <c r="BA431" s="28"/>
      <c r="BB431" s="52" t="s">
        <v>113</v>
      </c>
      <c r="BC431" s="42">
        <v>580</v>
      </c>
      <c r="BD431" s="85">
        <v>588</v>
      </c>
      <c r="BE431" s="37"/>
      <c r="BF431" s="18"/>
      <c r="BG431" s="54"/>
      <c r="BH431" s="52"/>
      <c r="BI431" s="40"/>
      <c r="BJ431" s="67"/>
      <c r="BK431" s="34" t="s">
        <v>130</v>
      </c>
      <c r="BL431" s="40"/>
    </row>
    <row r="432" spans="1:65" ht="15" thickBot="1" x14ac:dyDescent="0.35">
      <c r="A432" s="46" t="s">
        <v>84</v>
      </c>
      <c r="B432" s="47">
        <f>SUM(B430:B431)</f>
        <v>12498</v>
      </c>
      <c r="C432" s="49">
        <f>SUM(C430:C431)</f>
        <v>12198</v>
      </c>
      <c r="D432" s="47"/>
      <c r="E432" s="48"/>
      <c r="F432" s="48"/>
      <c r="G432" s="46">
        <f>SUM(G430:G431)</f>
        <v>14880</v>
      </c>
      <c r="H432" s="47"/>
      <c r="I432" s="48"/>
      <c r="J432" s="49">
        <f>SUM(H431:H432)</f>
        <v>93</v>
      </c>
      <c r="K432" s="28"/>
      <c r="L432" s="17"/>
      <c r="M432" s="27"/>
      <c r="N432" s="27"/>
      <c r="O432" s="13"/>
      <c r="P432" s="27"/>
      <c r="Q432" s="26"/>
      <c r="R432" s="27"/>
      <c r="S432" s="27"/>
      <c r="T432" s="13"/>
      <c r="U432" s="27"/>
      <c r="V432" s="26"/>
      <c r="W432" s="28"/>
      <c r="AA432" s="28"/>
      <c r="AB432" s="32"/>
      <c r="AE432" s="33"/>
      <c r="AF432" s="34"/>
      <c r="AG432" s="34"/>
      <c r="AH432" s="33"/>
      <c r="AI432" s="35"/>
      <c r="AJ432" s="32"/>
      <c r="AK432" s="83"/>
      <c r="AL432" s="34"/>
      <c r="AM432" s="35"/>
      <c r="AN432" s="28"/>
      <c r="AP432" s="84" t="s">
        <v>128</v>
      </c>
      <c r="AQ432" s="52">
        <v>15</v>
      </c>
      <c r="AR432" s="37">
        <v>2</v>
      </c>
      <c r="AS432" s="42"/>
      <c r="AT432" s="40"/>
      <c r="AU432" s="28"/>
      <c r="AV432" s="28">
        <v>30</v>
      </c>
      <c r="AW432" s="28" t="s">
        <v>129</v>
      </c>
      <c r="AX432" s="28"/>
      <c r="AY432" s="40"/>
      <c r="BA432" s="28"/>
      <c r="BB432" s="42" t="s">
        <v>475</v>
      </c>
      <c r="BC432" s="67">
        <f>15+28</f>
        <v>43</v>
      </c>
      <c r="BD432" s="85">
        <v>0</v>
      </c>
      <c r="BE432" s="28"/>
      <c r="BF432" s="18"/>
      <c r="BG432" s="28"/>
      <c r="BH432" s="52"/>
      <c r="BI432" s="86"/>
      <c r="BJ432" s="52">
        <v>59</v>
      </c>
      <c r="BK432" s="43" t="s">
        <v>73</v>
      </c>
      <c r="BL432" s="40"/>
    </row>
    <row r="433" spans="1:64" ht="15" thickBot="1" x14ac:dyDescent="0.35">
      <c r="A433" s="41" t="s">
        <v>88</v>
      </c>
      <c r="B433" s="42">
        <v>379</v>
      </c>
      <c r="C433" s="40">
        <v>289</v>
      </c>
      <c r="D433" s="28"/>
      <c r="E433" s="45">
        <v>0</v>
      </c>
      <c r="F433" s="40"/>
      <c r="G433" s="40"/>
      <c r="H433" s="28" t="s">
        <v>131</v>
      </c>
      <c r="J433" s="40"/>
      <c r="K433" s="28"/>
      <c r="L433" s="12" t="s">
        <v>105</v>
      </c>
      <c r="M433" s="34">
        <v>2658</v>
      </c>
      <c r="N433" s="34">
        <v>12372</v>
      </c>
      <c r="O433" s="33" t="s">
        <v>6</v>
      </c>
      <c r="P433" s="34"/>
      <c r="Q433" s="35"/>
      <c r="R433" s="34">
        <v>176</v>
      </c>
      <c r="S433" s="34">
        <v>1</v>
      </c>
      <c r="T433" s="33"/>
      <c r="U433" s="34"/>
      <c r="V433" s="35"/>
      <c r="W433" s="28"/>
      <c r="AA433" s="28"/>
      <c r="AB433" s="46"/>
      <c r="AD433">
        <v>0</v>
      </c>
      <c r="AE433" s="47"/>
      <c r="AF433" s="48"/>
      <c r="AG433" s="48"/>
      <c r="AH433" s="47"/>
      <c r="AI433" s="49"/>
      <c r="AJ433" s="46"/>
      <c r="AK433" s="48"/>
      <c r="AL433" s="48"/>
      <c r="AM433" s="49"/>
      <c r="AN433" s="28"/>
      <c r="AP433" s="84" t="s">
        <v>132</v>
      </c>
      <c r="AQ433" s="42">
        <v>0</v>
      </c>
      <c r="AR433" s="37">
        <v>0</v>
      </c>
      <c r="AS433" s="42"/>
      <c r="AT433" s="40"/>
      <c r="AU433" s="28"/>
      <c r="AV433" s="28"/>
      <c r="AW433" s="28"/>
      <c r="AX433" s="28"/>
      <c r="AY433" s="40"/>
      <c r="AZ433" s="28"/>
      <c r="BA433" s="28"/>
      <c r="BB433" s="59" t="s">
        <v>84</v>
      </c>
      <c r="BC433" s="13">
        <f>SUM(BC431:BC432)</f>
        <v>623</v>
      </c>
      <c r="BD433" s="60">
        <f>SUM(BD431:BD432)</f>
        <v>588</v>
      </c>
      <c r="BE433" s="81">
        <v>0</v>
      </c>
      <c r="BF433" s="27">
        <v>0</v>
      </c>
      <c r="BG433" s="27">
        <v>0</v>
      </c>
      <c r="BH433" s="13">
        <v>0</v>
      </c>
      <c r="BI433" s="26">
        <v>0</v>
      </c>
      <c r="BJ433" s="13"/>
      <c r="BK433" s="43"/>
      <c r="BL433" s="26">
        <f>SUM(BJ431:BJ432)</f>
        <v>59</v>
      </c>
    </row>
    <row r="434" spans="1:64" x14ac:dyDescent="0.3">
      <c r="A434" s="41" t="s">
        <v>102</v>
      </c>
      <c r="B434" s="42">
        <v>733</v>
      </c>
      <c r="C434" s="85">
        <v>361</v>
      </c>
      <c r="D434" s="28"/>
      <c r="E434" s="45">
        <v>0</v>
      </c>
      <c r="F434" s="40"/>
      <c r="G434" s="40">
        <f>9*150</f>
        <v>1350</v>
      </c>
      <c r="H434" s="43">
        <v>9</v>
      </c>
      <c r="I434" s="28" t="s">
        <v>134</v>
      </c>
      <c r="J434" s="40"/>
      <c r="K434" s="28"/>
      <c r="L434" s="44" t="s">
        <v>99</v>
      </c>
      <c r="M434" s="18">
        <v>55</v>
      </c>
      <c r="N434" s="18"/>
      <c r="O434" s="10"/>
      <c r="P434" s="18"/>
      <c r="Q434" s="11"/>
      <c r="R434" s="18">
        <v>0</v>
      </c>
      <c r="S434" s="18">
        <v>0</v>
      </c>
      <c r="T434" s="10" t="s">
        <v>135</v>
      </c>
      <c r="U434" s="18"/>
      <c r="V434" s="11"/>
      <c r="W434" s="28"/>
      <c r="AA434" s="28"/>
      <c r="AB434" s="32" t="s">
        <v>89</v>
      </c>
      <c r="AC434" s="33">
        <v>591</v>
      </c>
      <c r="AD434" s="34">
        <v>608</v>
      </c>
      <c r="AE434" s="33"/>
      <c r="AF434" s="34"/>
      <c r="AG434" s="34"/>
      <c r="AH434" s="33"/>
      <c r="AI434" s="35"/>
      <c r="AJ434" s="35"/>
      <c r="AK434" s="34" t="s">
        <v>136</v>
      </c>
      <c r="AL434" s="34"/>
      <c r="AM434" s="35"/>
      <c r="AN434" s="28"/>
      <c r="AP434" s="84" t="s">
        <v>81</v>
      </c>
      <c r="AQ434" s="42">
        <v>69</v>
      </c>
      <c r="AR434" s="37">
        <v>36</v>
      </c>
      <c r="AS434" s="42"/>
      <c r="AT434" s="40"/>
      <c r="AU434" s="28"/>
      <c r="AV434" s="28"/>
      <c r="AW434" s="28"/>
      <c r="AX434" s="28"/>
      <c r="AY434" s="40"/>
      <c r="AZ434" s="28"/>
      <c r="BA434" s="28"/>
      <c r="BB434" s="88" t="s">
        <v>139</v>
      </c>
      <c r="BC434" s="33">
        <v>4</v>
      </c>
      <c r="BD434" s="35">
        <v>6</v>
      </c>
      <c r="BE434" s="89"/>
      <c r="BF434" s="89"/>
      <c r="BG434" s="80"/>
      <c r="BH434" s="6"/>
      <c r="BI434" s="35"/>
      <c r="BJ434" s="33" t="s">
        <v>140</v>
      </c>
      <c r="BK434" s="34"/>
      <c r="BL434" s="35"/>
    </row>
    <row r="435" spans="1:64" ht="15" thickBot="1" x14ac:dyDescent="0.35">
      <c r="A435" s="87" t="s">
        <v>84</v>
      </c>
      <c r="B435" s="59">
        <f>SUM(B433:B434)</f>
        <v>1112</v>
      </c>
      <c r="C435" s="26">
        <f>SUM(C433:C434)</f>
        <v>650</v>
      </c>
      <c r="D435" s="27"/>
      <c r="E435" s="16">
        <f>SUM(E431:E434)</f>
        <v>0</v>
      </c>
      <c r="F435" s="26"/>
      <c r="G435" s="49"/>
      <c r="H435" s="48"/>
      <c r="I435" s="48"/>
      <c r="J435" s="49">
        <f>SUM(H433:H434)</f>
        <v>9</v>
      </c>
      <c r="K435" s="28"/>
      <c r="L435" s="12"/>
      <c r="M435" s="18"/>
      <c r="N435" s="18"/>
      <c r="O435" s="10"/>
      <c r="P435" s="18"/>
      <c r="Q435" s="11"/>
      <c r="R435" s="18"/>
      <c r="S435" s="18"/>
      <c r="T435" s="10"/>
      <c r="U435" s="18"/>
      <c r="V435" s="11"/>
      <c r="W435" s="28"/>
      <c r="AA435" s="28"/>
      <c r="AB435" s="44" t="s">
        <v>137</v>
      </c>
      <c r="AC435" s="10">
        <v>37</v>
      </c>
      <c r="AD435" s="18">
        <v>18</v>
      </c>
      <c r="AE435" s="10"/>
      <c r="AF435" s="18"/>
      <c r="AG435" s="18"/>
      <c r="AH435" s="52"/>
      <c r="AI435" s="85"/>
      <c r="AJ435" s="40"/>
      <c r="AK435" s="45"/>
      <c r="AL435" s="37"/>
      <c r="AM435" s="40"/>
      <c r="AN435" s="28"/>
      <c r="AP435" s="10" t="s">
        <v>138</v>
      </c>
      <c r="AQ435" s="36">
        <v>16</v>
      </c>
      <c r="AR435" s="37">
        <v>6</v>
      </c>
      <c r="AS435" s="42"/>
      <c r="AT435" s="11"/>
      <c r="AU435" s="18"/>
      <c r="AV435" s="18"/>
      <c r="AW435" s="18"/>
      <c r="AX435" s="18"/>
      <c r="AY435" s="11"/>
      <c r="AZ435" s="28"/>
      <c r="BA435" s="28"/>
      <c r="BB435" s="92" t="s">
        <v>113</v>
      </c>
      <c r="BC435" s="67">
        <f>6+49+4+1</f>
        <v>60</v>
      </c>
      <c r="BD435" s="56">
        <f>5+55+2+3+1</f>
        <v>66</v>
      </c>
      <c r="BE435" s="54"/>
      <c r="BF435" s="54"/>
      <c r="BG435" s="45"/>
      <c r="BH435" s="10"/>
      <c r="BI435" s="40"/>
      <c r="BJ435" s="10" t="s">
        <v>142</v>
      </c>
      <c r="BK435" s="18"/>
      <c r="BL435" s="39" t="s">
        <v>438</v>
      </c>
    </row>
    <row r="436" spans="1:64" x14ac:dyDescent="0.3">
      <c r="A436" s="36" t="s">
        <v>93</v>
      </c>
      <c r="B436" s="42">
        <v>8849</v>
      </c>
      <c r="C436" s="90">
        <v>8540</v>
      </c>
      <c r="D436" s="3"/>
      <c r="E436" s="91" t="s">
        <v>60</v>
      </c>
      <c r="F436" s="18"/>
      <c r="G436" s="44">
        <f>160*62</f>
        <v>9920</v>
      </c>
      <c r="H436" s="10" t="s">
        <v>116</v>
      </c>
      <c r="I436" s="18"/>
      <c r="J436" s="11"/>
      <c r="K436" s="28"/>
      <c r="L436" s="12" t="s">
        <v>84</v>
      </c>
      <c r="M436" s="18">
        <f>SUM(M433:M435)</f>
        <v>2713</v>
      </c>
      <c r="N436" s="18">
        <f>SUM(N433:N435)</f>
        <v>12372</v>
      </c>
      <c r="O436" s="10">
        <v>0</v>
      </c>
      <c r="P436" s="18">
        <v>0</v>
      </c>
      <c r="Q436" s="11">
        <v>0</v>
      </c>
      <c r="R436" s="18">
        <f>SUM(R433:R435)</f>
        <v>176</v>
      </c>
      <c r="S436" s="18">
        <f>SUM(S433:S435)</f>
        <v>1</v>
      </c>
      <c r="T436" s="10"/>
      <c r="U436" s="18"/>
      <c r="V436" s="11"/>
      <c r="W436" s="28"/>
      <c r="AA436" s="28"/>
      <c r="AB436" s="41" t="s">
        <v>84</v>
      </c>
      <c r="AC436" s="42">
        <f>SUM(AC434:AC435)</f>
        <v>628</v>
      </c>
      <c r="AD436" s="28">
        <f>SUM(AD434:AD435)</f>
        <v>626</v>
      </c>
      <c r="AE436" s="42">
        <v>0</v>
      </c>
      <c r="AF436" s="28">
        <v>0</v>
      </c>
      <c r="AG436" s="28">
        <v>0</v>
      </c>
      <c r="AH436" s="42">
        <v>0</v>
      </c>
      <c r="AI436" s="40">
        <v>0</v>
      </c>
      <c r="AJ436" s="40">
        <v>0</v>
      </c>
      <c r="AK436" s="43">
        <v>14</v>
      </c>
      <c r="AL436" s="28" t="s">
        <v>141</v>
      </c>
      <c r="AM436" s="40"/>
      <c r="AN436" s="28"/>
      <c r="AP436" s="84" t="s">
        <v>56</v>
      </c>
      <c r="AQ436" s="42">
        <v>0</v>
      </c>
      <c r="AR436" s="54">
        <v>2</v>
      </c>
      <c r="AS436" s="42"/>
      <c r="AT436" s="40"/>
      <c r="AU436" s="28"/>
      <c r="AV436" s="28"/>
      <c r="AW436" s="28"/>
      <c r="AX436" s="28"/>
      <c r="AY436" s="40"/>
      <c r="AZ436" s="28"/>
      <c r="BA436" s="28"/>
      <c r="BB436" s="92" t="s">
        <v>164</v>
      </c>
      <c r="BC436" s="67">
        <v>3</v>
      </c>
      <c r="BD436" s="56">
        <v>6</v>
      </c>
      <c r="BE436" s="54"/>
      <c r="BF436" s="54"/>
      <c r="BG436" s="45"/>
      <c r="BH436" s="10"/>
      <c r="BI436" s="40"/>
      <c r="BJ436" s="93" t="s">
        <v>146</v>
      </c>
      <c r="BK436" s="28"/>
      <c r="BL436" s="94" t="s">
        <v>253</v>
      </c>
    </row>
    <row r="437" spans="1:64" ht="15" thickBot="1" x14ac:dyDescent="0.35">
      <c r="A437" s="10" t="s">
        <v>99</v>
      </c>
      <c r="B437" s="42">
        <v>21154</v>
      </c>
      <c r="C437" s="40">
        <v>19643</v>
      </c>
      <c r="D437" s="3"/>
      <c r="E437" s="91" t="s">
        <v>60</v>
      </c>
      <c r="F437" s="18"/>
      <c r="G437" s="12">
        <v>22390</v>
      </c>
      <c r="H437" s="10">
        <v>93</v>
      </c>
      <c r="I437" s="37" t="s">
        <v>144</v>
      </c>
      <c r="J437" s="11"/>
      <c r="K437" s="28"/>
      <c r="L437" s="12"/>
      <c r="M437" s="18"/>
      <c r="N437" s="18"/>
      <c r="O437" s="10"/>
      <c r="P437" s="18"/>
      <c r="Q437" s="11"/>
      <c r="R437" s="18"/>
      <c r="S437" s="18"/>
      <c r="T437" s="10"/>
      <c r="U437" s="18"/>
      <c r="V437" s="11"/>
      <c r="W437" s="28"/>
      <c r="AA437" s="28"/>
      <c r="AB437" s="46"/>
      <c r="AC437" s="47"/>
      <c r="AD437" s="48"/>
      <c r="AE437" s="47"/>
      <c r="AF437" s="48"/>
      <c r="AG437" s="48"/>
      <c r="AH437" s="47"/>
      <c r="AI437" s="49"/>
      <c r="AJ437" s="49"/>
      <c r="AK437" s="48"/>
      <c r="AL437" s="48" t="s">
        <v>145</v>
      </c>
      <c r="AM437" s="49"/>
      <c r="AN437" s="28"/>
      <c r="AP437" s="36" t="s">
        <v>67</v>
      </c>
      <c r="AQ437" s="10">
        <v>56</v>
      </c>
      <c r="AR437" s="18">
        <v>50</v>
      </c>
      <c r="AS437" s="42"/>
      <c r="AT437" s="11"/>
      <c r="AU437" s="18"/>
      <c r="AV437" s="18"/>
      <c r="AW437" s="18"/>
      <c r="AX437" s="18"/>
      <c r="AY437" s="11"/>
      <c r="AZ437" s="28"/>
      <c r="BA437" s="28" t="s">
        <v>6</v>
      </c>
      <c r="BB437" s="127" t="s">
        <v>200</v>
      </c>
      <c r="BC437" s="67">
        <v>0</v>
      </c>
      <c r="BD437" s="56">
        <v>7</v>
      </c>
      <c r="BH437" s="42"/>
      <c r="BI437" s="40"/>
      <c r="BJ437" s="42"/>
      <c r="BK437" s="28"/>
      <c r="BL437" s="40"/>
    </row>
    <row r="438" spans="1:64" ht="15" thickBot="1" x14ac:dyDescent="0.35">
      <c r="A438" s="10" t="s">
        <v>120</v>
      </c>
      <c r="B438" s="42">
        <v>6479</v>
      </c>
      <c r="C438" s="40">
        <v>5969</v>
      </c>
      <c r="D438" s="3"/>
      <c r="E438" s="91" t="s">
        <v>60</v>
      </c>
      <c r="F438" s="18"/>
      <c r="G438" s="12">
        <f>31*225</f>
        <v>6975</v>
      </c>
      <c r="H438" s="84">
        <v>60</v>
      </c>
      <c r="I438" s="37" t="s">
        <v>148</v>
      </c>
      <c r="J438" s="11"/>
      <c r="K438" s="28"/>
      <c r="L438" s="12"/>
      <c r="M438" s="18"/>
      <c r="N438" s="18"/>
      <c r="O438" s="10"/>
      <c r="P438" s="18"/>
      <c r="Q438" s="11"/>
      <c r="R438" s="18"/>
      <c r="S438" s="18"/>
      <c r="T438" s="10"/>
      <c r="U438" s="18"/>
      <c r="V438" s="11"/>
      <c r="W438" s="28"/>
      <c r="AA438" s="28"/>
      <c r="AB438" s="42"/>
      <c r="AC438" s="42"/>
      <c r="AD438" s="40"/>
      <c r="AE438" s="28"/>
      <c r="AF438" s="28"/>
      <c r="AG438" s="28"/>
      <c r="AH438" s="42"/>
      <c r="AI438" s="28"/>
      <c r="AJ438" s="41"/>
      <c r="AK438" s="28" t="s">
        <v>149</v>
      </c>
      <c r="AL438" s="28"/>
      <c r="AM438" s="40"/>
      <c r="AN438" s="28" t="s">
        <v>6</v>
      </c>
      <c r="AO438" s="95"/>
      <c r="AP438" s="13" t="s">
        <v>84</v>
      </c>
      <c r="AQ438" s="13">
        <f>SUM(AQ426:AQ437)</f>
        <v>387</v>
      </c>
      <c r="AR438" s="27">
        <f>SUM(AR426:AR437)</f>
        <v>260</v>
      </c>
      <c r="AS438" s="47"/>
      <c r="AT438" s="26">
        <f>SUM(AT430:AT437)</f>
        <v>0</v>
      </c>
      <c r="AU438" s="27"/>
      <c r="AV438" s="27"/>
      <c r="AW438" s="27"/>
      <c r="AX438" s="27"/>
      <c r="AY438" s="26">
        <f>SUM(AV430:AV432)</f>
        <v>112</v>
      </c>
      <c r="AZ438" s="28"/>
      <c r="BA438" s="28"/>
      <c r="BB438" s="52" t="s">
        <v>133</v>
      </c>
      <c r="BC438" s="67">
        <f>17+5</f>
        <v>22</v>
      </c>
      <c r="BD438" s="56">
        <f>36+5</f>
        <v>41</v>
      </c>
      <c r="BE438" s="54" t="s">
        <v>150</v>
      </c>
      <c r="BF438" s="54"/>
      <c r="BG438" s="45"/>
      <c r="BH438" s="10"/>
      <c r="BI438" s="40"/>
      <c r="BJ438" s="42" t="s">
        <v>151</v>
      </c>
      <c r="BK438" s="28"/>
      <c r="BL438" s="96"/>
    </row>
    <row r="439" spans="1:64" ht="15" thickBot="1" x14ac:dyDescent="0.35">
      <c r="A439" s="10" t="s">
        <v>84</v>
      </c>
      <c r="B439" s="42">
        <f>SUM(B436:B438)</f>
        <v>36482</v>
      </c>
      <c r="C439" s="40">
        <f>SUM(C436:C438)</f>
        <v>34152</v>
      </c>
      <c r="D439" s="3"/>
      <c r="E439" s="91" t="s">
        <v>60</v>
      </c>
      <c r="F439" s="18"/>
      <c r="G439" s="12">
        <f>SUM(G436:G438)</f>
        <v>39285</v>
      </c>
      <c r="H439" s="42">
        <v>64</v>
      </c>
      <c r="I439" s="54" t="s">
        <v>152</v>
      </c>
      <c r="J439" s="40"/>
      <c r="K439" s="28"/>
      <c r="L439" s="44"/>
      <c r="M439" s="18"/>
      <c r="N439" s="18"/>
      <c r="O439" s="10"/>
      <c r="P439" s="18"/>
      <c r="Q439" s="11"/>
      <c r="R439" s="18"/>
      <c r="S439" s="18"/>
      <c r="T439" s="10"/>
      <c r="U439" s="18"/>
      <c r="V439" s="11"/>
      <c r="W439" s="28"/>
      <c r="Y439" t="s">
        <v>6</v>
      </c>
      <c r="AB439" s="36" t="s">
        <v>99</v>
      </c>
      <c r="AC439" s="10">
        <v>0</v>
      </c>
      <c r="AD439" s="11">
        <v>0</v>
      </c>
      <c r="AE439" s="18">
        <v>0</v>
      </c>
      <c r="AF439" s="18">
        <v>0</v>
      </c>
      <c r="AG439" s="18">
        <v>0</v>
      </c>
      <c r="AH439" s="52">
        <v>45293</v>
      </c>
      <c r="AI439" s="45">
        <v>2583</v>
      </c>
      <c r="AJ439" s="41">
        <v>0</v>
      </c>
      <c r="AK439" s="45">
        <v>3</v>
      </c>
      <c r="AL439" s="37" t="s">
        <v>153</v>
      </c>
      <c r="AM439" s="40"/>
      <c r="AP439" s="32"/>
      <c r="AQ439" s="53"/>
      <c r="AR439" s="97"/>
      <c r="AS439" s="33"/>
      <c r="AT439" s="7"/>
      <c r="AU439" s="6"/>
      <c r="AV439" s="8"/>
      <c r="AW439" s="31"/>
      <c r="AX439" s="8"/>
      <c r="AY439" s="7"/>
      <c r="AZ439" s="28"/>
      <c r="BA439" s="28"/>
      <c r="BB439" s="52" t="s">
        <v>85</v>
      </c>
      <c r="BC439" s="42">
        <f>5+13</f>
        <v>18</v>
      </c>
      <c r="BD439" s="56">
        <f>2+1+6</f>
        <v>9</v>
      </c>
      <c r="BE439" s="28"/>
      <c r="BF439" s="54"/>
      <c r="BG439" s="28"/>
      <c r="BH439" s="84"/>
      <c r="BI439" s="56"/>
      <c r="BJ439" s="42" t="s">
        <v>159</v>
      </c>
      <c r="BK439" s="28" t="s">
        <v>476</v>
      </c>
      <c r="BL439" s="40"/>
    </row>
    <row r="440" spans="1:64" ht="16.2" thickBot="1" x14ac:dyDescent="0.35">
      <c r="A440" s="13"/>
      <c r="B440" s="47"/>
      <c r="C440" s="49"/>
      <c r="D440" s="27"/>
      <c r="E440" s="27"/>
      <c r="F440" s="27"/>
      <c r="G440" s="17"/>
      <c r="H440" s="47"/>
      <c r="I440" s="27"/>
      <c r="J440" s="60">
        <f>SUM(H437:H439)</f>
        <v>217</v>
      </c>
      <c r="K440" s="28"/>
      <c r="L440" s="12"/>
      <c r="M440" s="18"/>
      <c r="N440" s="18"/>
      <c r="O440" s="10"/>
      <c r="P440" s="18"/>
      <c r="Q440" s="11"/>
      <c r="R440" s="18"/>
      <c r="S440" s="18"/>
      <c r="T440" s="10"/>
      <c r="U440" s="18"/>
      <c r="V440" s="11"/>
      <c r="W440" s="28"/>
      <c r="AB440" s="32"/>
      <c r="AC440" s="6"/>
      <c r="AD440" s="7"/>
      <c r="AE440" s="8"/>
      <c r="AF440" s="8"/>
      <c r="AG440" s="8"/>
      <c r="AH440" s="6"/>
      <c r="AI440" s="7"/>
      <c r="AJ440" s="8"/>
      <c r="AK440" s="29" t="s">
        <v>157</v>
      </c>
      <c r="AL440" s="8"/>
      <c r="AM440" s="7"/>
      <c r="AP440" s="62"/>
      <c r="AQ440" s="72"/>
      <c r="AR440" s="73"/>
      <c r="AS440" s="47"/>
      <c r="AT440" s="49"/>
      <c r="AU440" s="47"/>
      <c r="AV440" s="48"/>
      <c r="AW440" s="48"/>
      <c r="AX440" s="48"/>
      <c r="AY440" s="49"/>
      <c r="AZ440" s="28"/>
      <c r="BA440" s="28"/>
      <c r="BB440" s="151" t="s">
        <v>108</v>
      </c>
      <c r="BC440" s="36">
        <v>3</v>
      </c>
      <c r="BD440" s="39">
        <v>7</v>
      </c>
      <c r="BE440" s="18"/>
      <c r="BF440" s="18"/>
      <c r="BG440" s="18"/>
      <c r="BH440" s="10"/>
      <c r="BI440" s="11"/>
      <c r="BJ440" s="98" t="s">
        <v>477</v>
      </c>
      <c r="BK440" s="28" t="s">
        <v>478</v>
      </c>
      <c r="BL440" s="99"/>
    </row>
    <row r="441" spans="1:64" ht="16.2" thickBot="1" x14ac:dyDescent="0.35">
      <c r="A441" s="6" t="s">
        <v>105</v>
      </c>
      <c r="B441" s="6">
        <v>2615</v>
      </c>
      <c r="C441" s="7">
        <v>1513</v>
      </c>
      <c r="D441" s="8"/>
      <c r="E441" s="80">
        <v>1316</v>
      </c>
      <c r="F441" s="66"/>
      <c r="G441" s="8"/>
      <c r="H441" s="6" t="s">
        <v>162</v>
      </c>
      <c r="I441" s="8"/>
      <c r="J441" s="7"/>
      <c r="K441" s="28"/>
      <c r="L441" s="17"/>
      <c r="M441" s="27"/>
      <c r="N441" s="27"/>
      <c r="O441" s="13"/>
      <c r="P441" s="27"/>
      <c r="Q441" s="26"/>
      <c r="R441" s="27"/>
      <c r="S441" s="27"/>
      <c r="T441" s="13"/>
      <c r="U441" s="27"/>
      <c r="V441" s="26"/>
      <c r="W441" s="28"/>
      <c r="AB441" s="68" t="s">
        <v>99</v>
      </c>
      <c r="AC441" s="42">
        <v>0</v>
      </c>
      <c r="AD441" s="40">
        <v>0</v>
      </c>
      <c r="AE441">
        <v>0</v>
      </c>
      <c r="AF441">
        <v>0</v>
      </c>
      <c r="AG441">
        <v>0</v>
      </c>
      <c r="AH441" s="42">
        <v>260703</v>
      </c>
      <c r="AI441" s="40">
        <v>90296</v>
      </c>
      <c r="AJ441" s="43">
        <v>0</v>
      </c>
      <c r="AK441" s="42">
        <v>7</v>
      </c>
      <c r="AL441" s="54" t="s">
        <v>163</v>
      </c>
      <c r="AM441" s="40"/>
      <c r="AP441" s="67" t="s">
        <v>63</v>
      </c>
      <c r="AQ441" s="33">
        <v>6</v>
      </c>
      <c r="AR441" s="35">
        <v>2</v>
      </c>
      <c r="AU441" s="33"/>
      <c r="AV441" s="34"/>
      <c r="AW441" s="34"/>
      <c r="AX441" s="34"/>
      <c r="AY441" s="35"/>
      <c r="AZ441" s="28"/>
      <c r="BA441" s="28"/>
      <c r="BB441" s="92" t="s">
        <v>102</v>
      </c>
      <c r="BC441" s="42">
        <v>1</v>
      </c>
      <c r="BD441" s="40">
        <v>0</v>
      </c>
      <c r="BE441" s="18"/>
      <c r="BF441" s="18"/>
      <c r="BG441" s="18"/>
      <c r="BH441" s="10"/>
      <c r="BI441" s="11"/>
      <c r="BJ441" s="98" t="s">
        <v>479</v>
      </c>
      <c r="BK441" s="100" t="s">
        <v>480</v>
      </c>
      <c r="BL441" s="39"/>
    </row>
    <row r="442" spans="1:64" ht="15" thickBot="1" x14ac:dyDescent="0.35">
      <c r="A442" s="36" t="s">
        <v>99</v>
      </c>
      <c r="B442" s="10">
        <v>2496</v>
      </c>
      <c r="C442" s="11">
        <v>1648</v>
      </c>
      <c r="D442" s="18"/>
      <c r="E442" s="18">
        <v>1934</v>
      </c>
      <c r="F442" s="85"/>
      <c r="G442" s="18"/>
      <c r="H442" s="42"/>
      <c r="I442" s="54"/>
      <c r="J442" s="11"/>
      <c r="L442" s="101" t="s">
        <v>84</v>
      </c>
      <c r="M442" s="102">
        <f>SUM(M436+M431+M426+M424+M420+M415)</f>
        <v>105902</v>
      </c>
      <c r="N442" s="102">
        <f>SUM(N436+N431+N426+N424+N420+N415)</f>
        <v>138664</v>
      </c>
      <c r="O442" s="103">
        <v>0</v>
      </c>
      <c r="P442" s="102">
        <v>0</v>
      </c>
      <c r="Q442" s="104">
        <v>0</v>
      </c>
      <c r="R442" s="102">
        <f>SUM(R436+R431+R426+R424+R415+R420)</f>
        <v>5085</v>
      </c>
      <c r="S442" s="102">
        <f>SUM(S436+S431+S424+S420+S415)</f>
        <v>644</v>
      </c>
      <c r="T442" s="105"/>
      <c r="U442" s="102"/>
      <c r="V442" s="106"/>
      <c r="AB442" s="44" t="s">
        <v>6</v>
      </c>
      <c r="AC442" s="10"/>
      <c r="AD442" s="11"/>
      <c r="AE442" s="18"/>
      <c r="AF442" s="18"/>
      <c r="AG442" s="18"/>
      <c r="AH442" s="10"/>
      <c r="AI442" s="11"/>
      <c r="AJ442" s="18"/>
      <c r="AK442" s="10">
        <v>11</v>
      </c>
      <c r="AL442" s="37" t="s">
        <v>153</v>
      </c>
      <c r="AM442" s="11"/>
      <c r="AP442" s="67" t="s">
        <v>168</v>
      </c>
      <c r="AQ442" s="42">
        <v>0</v>
      </c>
      <c r="AR442" s="40">
        <v>0</v>
      </c>
      <c r="AU442" s="42"/>
      <c r="AV442" s="28"/>
      <c r="AW442" s="28"/>
      <c r="AX442" s="28"/>
      <c r="AY442" s="40"/>
      <c r="AZ442" s="28"/>
      <c r="BA442" s="28"/>
      <c r="BB442" s="36" t="s">
        <v>169</v>
      </c>
      <c r="BC442" s="36">
        <f>2+1+1</f>
        <v>4</v>
      </c>
      <c r="BD442" s="39">
        <f>2+4</f>
        <v>6</v>
      </c>
      <c r="BE442" s="18"/>
      <c r="BF442" s="18"/>
      <c r="BG442" s="18"/>
      <c r="BH442" s="10"/>
      <c r="BI442" s="11"/>
      <c r="BJ442" s="98" t="s">
        <v>481</v>
      </c>
      <c r="BK442" s="37" t="s">
        <v>333</v>
      </c>
      <c r="BL442" s="39"/>
    </row>
    <row r="443" spans="1:64" ht="15" thickBot="1" x14ac:dyDescent="0.35">
      <c r="A443" s="10"/>
      <c r="B443" s="10"/>
      <c r="C443" s="39"/>
      <c r="D443" s="18"/>
      <c r="E443" s="18"/>
      <c r="F443" s="85"/>
      <c r="G443" s="18"/>
      <c r="H443" s="42">
        <v>58</v>
      </c>
      <c r="I443" s="37" t="s">
        <v>101</v>
      </c>
      <c r="J443" s="11"/>
      <c r="AB443" s="46" t="s">
        <v>6</v>
      </c>
      <c r="AC443" s="47"/>
      <c r="AD443" s="49"/>
      <c r="AE443" s="48"/>
      <c r="AF443" s="48"/>
      <c r="AG443" s="48"/>
      <c r="AH443" s="47"/>
      <c r="AI443" s="49"/>
      <c r="AJ443" s="48"/>
      <c r="AK443" s="47"/>
      <c r="AL443" s="48"/>
      <c r="AM443" s="49"/>
      <c r="AP443" s="52" t="s">
        <v>56</v>
      </c>
      <c r="AQ443" s="52">
        <v>1</v>
      </c>
      <c r="AR443" s="85">
        <v>1</v>
      </c>
      <c r="AS443" s="28"/>
      <c r="AT443" s="28"/>
      <c r="AU443" s="42"/>
      <c r="AV443" s="28" t="s">
        <v>173</v>
      </c>
      <c r="AW443" s="28"/>
      <c r="AX443" s="28"/>
      <c r="AY443" s="40"/>
      <c r="AZ443" s="28"/>
      <c r="BA443" s="28"/>
      <c r="BB443" s="36" t="s">
        <v>99</v>
      </c>
      <c r="BC443" s="36">
        <v>0</v>
      </c>
      <c r="BD443" s="39">
        <v>12</v>
      </c>
      <c r="BE443" s="18"/>
      <c r="BF443" s="18"/>
      <c r="BG443" s="18"/>
      <c r="BH443" s="10"/>
      <c r="BI443" s="11"/>
      <c r="BJ443" s="52" t="s">
        <v>482</v>
      </c>
      <c r="BK443" s="37" t="s">
        <v>483</v>
      </c>
      <c r="BL443" s="39"/>
    </row>
    <row r="444" spans="1:64" ht="15" thickBot="1" x14ac:dyDescent="0.35">
      <c r="A444" s="13" t="s">
        <v>84</v>
      </c>
      <c r="B444" s="13">
        <f>SUM(B441:B443)</f>
        <v>5111</v>
      </c>
      <c r="C444" s="26">
        <f>SUM(C441:C443)</f>
        <v>3161</v>
      </c>
      <c r="D444" s="27"/>
      <c r="E444" s="27">
        <f>SUM(E441:E443)</f>
        <v>3250</v>
      </c>
      <c r="F444" s="26"/>
      <c r="G444" s="27">
        <f>58*158</f>
        <v>9164</v>
      </c>
      <c r="H444" s="13"/>
      <c r="I444" s="81"/>
      <c r="J444" s="26">
        <f>SUM(H442:H443)</f>
        <v>58</v>
      </c>
      <c r="L444" t="s">
        <v>6</v>
      </c>
      <c r="M444" s="115"/>
      <c r="AB444" s="6" t="s">
        <v>484</v>
      </c>
      <c r="AC444" s="6">
        <v>0</v>
      </c>
      <c r="AD444" s="7">
        <v>0</v>
      </c>
      <c r="AE444" s="8">
        <v>0</v>
      </c>
      <c r="AF444" s="8">
        <v>0</v>
      </c>
      <c r="AG444" s="8">
        <v>0</v>
      </c>
      <c r="AH444" s="6">
        <v>19354</v>
      </c>
      <c r="AI444" s="7">
        <v>0</v>
      </c>
      <c r="AJ444" s="8">
        <v>0</v>
      </c>
      <c r="AK444" s="29" t="s">
        <v>485</v>
      </c>
      <c r="AL444" s="8"/>
      <c r="AM444" s="7"/>
      <c r="AN444" s="45"/>
      <c r="AP444" s="52" t="s">
        <v>67</v>
      </c>
      <c r="AQ444" s="52">
        <v>24</v>
      </c>
      <c r="AR444" s="56">
        <v>14</v>
      </c>
      <c r="AU444" s="42"/>
      <c r="AV444" s="28"/>
      <c r="AW444" s="28"/>
      <c r="AX444" s="28"/>
      <c r="AY444" s="40"/>
      <c r="AZ444" s="28"/>
      <c r="BA444" s="28"/>
      <c r="BB444" s="150" t="s">
        <v>486</v>
      </c>
      <c r="BC444" s="36">
        <v>10</v>
      </c>
      <c r="BD444" s="39">
        <v>0</v>
      </c>
      <c r="BE444" s="18"/>
      <c r="BF444" s="37"/>
      <c r="BG444" s="18"/>
      <c r="BH444" s="10"/>
      <c r="BI444" s="11"/>
      <c r="BJ444" s="150" t="s">
        <v>487</v>
      </c>
      <c r="BK444" s="54" t="s">
        <v>488</v>
      </c>
      <c r="BL444" s="39"/>
    </row>
    <row r="445" spans="1:64" ht="15" thickBot="1" x14ac:dyDescent="0.35">
      <c r="A445" s="42" t="s">
        <v>181</v>
      </c>
      <c r="B445" s="42">
        <f>4550</f>
        <v>4550</v>
      </c>
      <c r="C445" s="40">
        <v>4610</v>
      </c>
      <c r="D445" s="28"/>
      <c r="E445" s="107" t="s">
        <v>60</v>
      </c>
      <c r="F445" s="43"/>
      <c r="G445" s="41">
        <v>5147</v>
      </c>
      <c r="H445" s="18" t="s">
        <v>182</v>
      </c>
      <c r="I445" s="28"/>
      <c r="J445" s="11"/>
      <c r="K445" s="43"/>
      <c r="M445" s="126"/>
      <c r="AB445" s="36"/>
      <c r="AC445" s="10"/>
      <c r="AD445" s="11"/>
      <c r="AE445" s="18"/>
      <c r="AF445" s="18"/>
      <c r="AG445" s="18"/>
      <c r="AH445" s="36"/>
      <c r="AI445" s="11"/>
      <c r="AJ445" s="18"/>
      <c r="AK445" s="36">
        <v>1</v>
      </c>
      <c r="AL445" s="37" t="s">
        <v>153</v>
      </c>
      <c r="AM445" s="11"/>
      <c r="AN445" s="45"/>
      <c r="AP445" s="10" t="s">
        <v>78</v>
      </c>
      <c r="AQ445" s="52">
        <v>0</v>
      </c>
      <c r="AR445" s="85">
        <v>0</v>
      </c>
      <c r="AS445" s="28"/>
      <c r="AT445" s="28"/>
      <c r="AU445" s="42"/>
      <c r="AV445" s="28">
        <v>15</v>
      </c>
      <c r="AW445" s="28" t="s">
        <v>183</v>
      </c>
      <c r="AX445" s="28"/>
      <c r="AY445" s="40"/>
      <c r="AZ445" s="37"/>
      <c r="BA445" s="37"/>
      <c r="BB445" s="36" t="s">
        <v>489</v>
      </c>
      <c r="BC445" s="36">
        <v>0</v>
      </c>
      <c r="BD445" s="39">
        <v>1</v>
      </c>
      <c r="BE445" s="18"/>
      <c r="BF445" s="18"/>
      <c r="BG445" s="18"/>
      <c r="BH445" s="10"/>
      <c r="BI445" s="11"/>
      <c r="BJ445" s="36" t="s">
        <v>490</v>
      </c>
      <c r="BK445" s="37" t="s">
        <v>491</v>
      </c>
      <c r="BL445" s="40"/>
    </row>
    <row r="446" spans="1:64" ht="15" thickBot="1" x14ac:dyDescent="0.35">
      <c r="A446" s="42" t="s">
        <v>120</v>
      </c>
      <c r="B446" s="42">
        <f>4620+143</f>
        <v>4763</v>
      </c>
      <c r="C446" s="40">
        <f>4415+138</f>
        <v>4553</v>
      </c>
      <c r="D446" s="28"/>
      <c r="E446" s="107" t="s">
        <v>60</v>
      </c>
      <c r="F446" s="43"/>
      <c r="G446" s="68">
        <f>31*160</f>
        <v>4960</v>
      </c>
      <c r="H446" s="43">
        <v>62</v>
      </c>
      <c r="I446" s="28" t="s">
        <v>188</v>
      </c>
      <c r="J446" s="11"/>
      <c r="K446" s="28"/>
      <c r="M446" s="126"/>
      <c r="AA446" s="28"/>
      <c r="AB446" s="103" t="s">
        <v>84</v>
      </c>
      <c r="AC446" s="103">
        <f>SUM(AC445+AC441+AC439+AC436+AC433+AC431+AC427+AC423+AC420+AC417+AC418)</f>
        <v>3313</v>
      </c>
      <c r="AD446" s="104">
        <f>SUM(AD445+AD441+AD439+AD436+AD433+AD427+AD423+AD420+AD418+AD417)</f>
        <v>2849</v>
      </c>
      <c r="AE446" s="103">
        <v>0</v>
      </c>
      <c r="AF446" s="102">
        <v>0</v>
      </c>
      <c r="AG446" s="102">
        <v>0</v>
      </c>
      <c r="AH446" s="109">
        <f>SUM(AH445+AH441+AH439+AH436+AH433+AH431+AH427+AH423+AH420+AH418+AH417)</f>
        <v>309820</v>
      </c>
      <c r="AI446" s="110">
        <f>SUM(AI445+AI441+AI439+AI436+AI431+AI427+AI422+AI420+AI418+AI417)</f>
        <v>124542</v>
      </c>
      <c r="AJ446" s="110">
        <v>0</v>
      </c>
      <c r="AK446" s="111" t="s">
        <v>189</v>
      </c>
      <c r="AL446" s="111"/>
      <c r="AM446" s="104">
        <f>SUM(AK417:AK445)</f>
        <v>53</v>
      </c>
      <c r="AN446" s="45"/>
      <c r="AP446" s="52" t="s">
        <v>115</v>
      </c>
      <c r="AQ446" s="52">
        <v>5</v>
      </c>
      <c r="AR446" s="85">
        <v>8</v>
      </c>
      <c r="AS446" s="28"/>
      <c r="AT446" s="28"/>
      <c r="AU446" s="42"/>
      <c r="AV446" s="28" t="s">
        <v>6</v>
      </c>
      <c r="AW446" s="28"/>
      <c r="AX446" s="28"/>
      <c r="AY446" s="40"/>
      <c r="AZ446" s="28"/>
      <c r="BA446" s="28"/>
      <c r="BB446" s="150" t="s">
        <v>211</v>
      </c>
      <c r="BC446" s="36">
        <v>10</v>
      </c>
      <c r="BD446" s="39">
        <v>23</v>
      </c>
      <c r="BE446" s="18"/>
      <c r="BF446" s="18"/>
      <c r="BG446" s="18"/>
      <c r="BH446" s="10"/>
      <c r="BI446" s="11"/>
      <c r="BJ446" s="112" t="s">
        <v>492</v>
      </c>
      <c r="BK446" s="37" t="s">
        <v>340</v>
      </c>
      <c r="BL446" s="39"/>
    </row>
    <row r="447" spans="1:64" x14ac:dyDescent="0.3">
      <c r="A447" s="42" t="s">
        <v>84</v>
      </c>
      <c r="B447" s="42">
        <f>SUM(B445:B446)</f>
        <v>9313</v>
      </c>
      <c r="C447" s="40">
        <f>SUM(C445:C446)</f>
        <v>9163</v>
      </c>
      <c r="D447" s="28"/>
      <c r="E447" s="107" t="s">
        <v>60</v>
      </c>
      <c r="F447" s="43"/>
      <c r="G447" s="41">
        <f>SUM(G445:G446)</f>
        <v>10107</v>
      </c>
      <c r="H447" s="28">
        <v>0</v>
      </c>
      <c r="I447" s="43" t="s">
        <v>101</v>
      </c>
      <c r="J447" s="40"/>
      <c r="K447" s="28"/>
      <c r="L447" s="28"/>
      <c r="N447" s="113"/>
      <c r="AA447" s="28"/>
      <c r="AB447" s="52" t="s">
        <v>193</v>
      </c>
      <c r="AC447" s="28"/>
      <c r="AD447" s="28"/>
      <c r="AE447" s="28"/>
      <c r="AF447" s="28"/>
      <c r="AG447" s="28"/>
      <c r="AH447" s="28"/>
      <c r="AI447" s="28"/>
      <c r="AM447" t="s">
        <v>6</v>
      </c>
      <c r="AN447" s="45"/>
      <c r="AP447" s="52" t="s">
        <v>72</v>
      </c>
      <c r="AQ447" s="52">
        <v>0</v>
      </c>
      <c r="AR447" s="85">
        <v>0</v>
      </c>
      <c r="AU447" s="42"/>
      <c r="AV447" s="28"/>
      <c r="AW447" s="28"/>
      <c r="AX447" s="28"/>
      <c r="AY447" s="40"/>
      <c r="AZ447" s="28"/>
      <c r="BB447" s="150" t="s">
        <v>493</v>
      </c>
      <c r="BC447" s="36">
        <v>2</v>
      </c>
      <c r="BD447" s="39">
        <v>0</v>
      </c>
      <c r="BE447" s="18"/>
      <c r="BF447" s="18"/>
      <c r="BG447" s="18"/>
      <c r="BH447" s="10"/>
      <c r="BI447" s="11"/>
      <c r="BJ447" s="36" t="s">
        <v>348</v>
      </c>
      <c r="BK447" s="37" t="s">
        <v>494</v>
      </c>
      <c r="BL447" s="114"/>
    </row>
    <row r="448" spans="1:64" ht="15" thickBot="1" x14ac:dyDescent="0.35">
      <c r="A448" s="13"/>
      <c r="B448" s="10"/>
      <c r="C448" s="11"/>
      <c r="D448" s="27"/>
      <c r="E448" s="27"/>
      <c r="F448" s="27"/>
      <c r="G448" s="17"/>
      <c r="H448" s="48">
        <v>1</v>
      </c>
      <c r="I448" s="48" t="s">
        <v>284</v>
      </c>
      <c r="J448" s="49">
        <f>SUM(H446:H448)</f>
        <v>63</v>
      </c>
      <c r="L448" s="108"/>
      <c r="M448" s="115"/>
      <c r="O448" s="116"/>
      <c r="AA448" s="28"/>
      <c r="AN448" s="45"/>
      <c r="AP448" s="52" t="s">
        <v>84</v>
      </c>
      <c r="AQ448" s="47">
        <f>SUM(AQ441:AQ447)</f>
        <v>36</v>
      </c>
      <c r="AR448" s="49">
        <f>SUM(AR441:AR447)</f>
        <v>25</v>
      </c>
      <c r="AS448" s="28"/>
      <c r="AT448" s="28"/>
      <c r="AU448" s="47"/>
      <c r="AV448" s="48"/>
      <c r="AW448" s="48"/>
      <c r="AX448" s="48"/>
      <c r="AY448" s="49">
        <f>SUM(AV445)</f>
        <v>15</v>
      </c>
      <c r="AZ448" s="28"/>
      <c r="BB448" s="36" t="s">
        <v>495</v>
      </c>
      <c r="BC448" s="36">
        <v>2</v>
      </c>
      <c r="BD448" s="39">
        <v>0</v>
      </c>
      <c r="BE448" s="18"/>
      <c r="BF448" s="18"/>
      <c r="BG448" s="18"/>
      <c r="BH448" s="10"/>
      <c r="BI448" s="11"/>
      <c r="BJ448" s="36" t="s">
        <v>330</v>
      </c>
      <c r="BK448" s="37" t="s">
        <v>496</v>
      </c>
      <c r="BL448" s="39"/>
    </row>
    <row r="449" spans="1:65" ht="16.2" thickBot="1" x14ac:dyDescent="0.35">
      <c r="A449" s="117" t="s">
        <v>84</v>
      </c>
      <c r="B449" s="118">
        <f>SUM(B447+B444+B439+B435+B432+B429+B426+B422+B418+B415)</f>
        <v>75881</v>
      </c>
      <c r="C449" s="120">
        <f>SUM(C447+C444+C439+C435+C432+C429+C426+C422+C418+C415)</f>
        <v>69673</v>
      </c>
      <c r="D449" s="119"/>
      <c r="E449" s="119">
        <f>SUM(E444+E429)</f>
        <v>4360</v>
      </c>
      <c r="F449" s="120"/>
      <c r="G449" s="121">
        <f>SUM(G447+G444+G439+G434+G432+G425+G422+G418+G415+G429)</f>
        <v>90601</v>
      </c>
      <c r="H449" s="13" t="s">
        <v>199</v>
      </c>
      <c r="I449" s="81"/>
      <c r="J449" s="26">
        <f>SUM(J416:J448)</f>
        <v>529</v>
      </c>
      <c r="O449" s="122"/>
      <c r="AN449" s="45"/>
      <c r="AP449" s="32" t="s">
        <v>63</v>
      </c>
      <c r="AQ449" s="123">
        <f>5+1+1</f>
        <v>7</v>
      </c>
      <c r="AR449" s="123">
        <f>7+1+1</f>
        <v>9</v>
      </c>
      <c r="AS449" s="33"/>
      <c r="AT449" s="7"/>
      <c r="AU449" s="6"/>
      <c r="AV449" s="34" t="s">
        <v>140</v>
      </c>
      <c r="AW449" s="8"/>
      <c r="AX449" s="8"/>
      <c r="AY449" s="7"/>
      <c r="AZ449" s="28"/>
      <c r="BB449" s="36" t="s">
        <v>429</v>
      </c>
      <c r="BC449" s="10">
        <v>1</v>
      </c>
      <c r="BD449" s="39">
        <v>1</v>
      </c>
      <c r="BE449" s="18"/>
      <c r="BF449" s="18"/>
      <c r="BG449" s="37"/>
      <c r="BH449" s="10"/>
      <c r="BI449" s="11"/>
      <c r="BJ449" s="124" t="s">
        <v>497</v>
      </c>
      <c r="BK449" s="37" t="s">
        <v>498</v>
      </c>
      <c r="BL449" s="39"/>
    </row>
    <row r="450" spans="1:65" x14ac:dyDescent="0.3">
      <c r="AN450" s="45"/>
      <c r="AP450" s="44" t="s">
        <v>78</v>
      </c>
      <c r="AQ450" s="37">
        <f>26+2</f>
        <v>28</v>
      </c>
      <c r="AR450" s="37">
        <f>19+3</f>
        <v>22</v>
      </c>
      <c r="AS450" s="42"/>
      <c r="AT450" s="11"/>
      <c r="AU450" s="10"/>
      <c r="AV450" s="37">
        <v>6</v>
      </c>
      <c r="AW450" s="37" t="s">
        <v>204</v>
      </c>
      <c r="AX450" s="18"/>
      <c r="AY450" s="11"/>
      <c r="AZ450" s="28"/>
      <c r="BB450" s="93" t="s">
        <v>93</v>
      </c>
      <c r="BC450" s="10">
        <v>0</v>
      </c>
      <c r="BD450" s="39">
        <v>2</v>
      </c>
      <c r="BE450" s="18"/>
      <c r="BF450" s="18"/>
      <c r="BG450" s="18"/>
      <c r="BH450" s="10"/>
      <c r="BI450" s="11"/>
      <c r="BJ450" s="52" t="s">
        <v>499</v>
      </c>
      <c r="BK450" s="37" t="s">
        <v>500</v>
      </c>
      <c r="BL450" s="39"/>
    </row>
    <row r="451" spans="1:65" x14ac:dyDescent="0.3">
      <c r="AN451" s="45"/>
      <c r="AP451" s="125" t="s">
        <v>209</v>
      </c>
      <c r="AQ451" s="54">
        <v>0</v>
      </c>
      <c r="AR451" s="54">
        <v>0</v>
      </c>
      <c r="AS451" s="42"/>
      <c r="AT451" s="40"/>
      <c r="AU451" s="42"/>
      <c r="AV451" s="28">
        <v>6</v>
      </c>
      <c r="AW451" s="28" t="s">
        <v>210</v>
      </c>
      <c r="AX451" s="28"/>
      <c r="AY451" s="40"/>
      <c r="AZ451" s="28"/>
      <c r="BB451" s="92" t="s">
        <v>64</v>
      </c>
      <c r="BC451" s="84">
        <v>2</v>
      </c>
      <c r="BD451" s="86">
        <v>2</v>
      </c>
      <c r="BE451" s="45"/>
      <c r="BF451" s="45"/>
      <c r="BG451" s="45"/>
      <c r="BH451" s="10"/>
      <c r="BI451" s="11"/>
      <c r="BJ451" s="112" t="s">
        <v>325</v>
      </c>
      <c r="BK451" s="54"/>
      <c r="BL451" s="86"/>
    </row>
    <row r="452" spans="1:65" x14ac:dyDescent="0.3">
      <c r="B452" s="126"/>
      <c r="C452" s="126"/>
      <c r="AN452" s="45"/>
      <c r="AP452" s="44" t="s">
        <v>168</v>
      </c>
      <c r="AQ452" s="37">
        <v>0</v>
      </c>
      <c r="AR452" s="18">
        <v>0</v>
      </c>
      <c r="AS452" s="42"/>
      <c r="AT452" s="11"/>
      <c r="AU452" s="10"/>
      <c r="AV452" s="37">
        <f>9+5+13</f>
        <v>27</v>
      </c>
      <c r="AW452" s="37" t="s">
        <v>213</v>
      </c>
      <c r="AX452" s="18"/>
      <c r="AY452" s="11"/>
      <c r="BB452" s="127" t="s">
        <v>501</v>
      </c>
      <c r="BC452" s="84">
        <v>5</v>
      </c>
      <c r="BD452" s="86">
        <v>3</v>
      </c>
      <c r="BE452" s="45"/>
      <c r="BF452" s="45"/>
      <c r="BG452" s="45"/>
      <c r="BH452" s="84"/>
      <c r="BI452" s="85"/>
      <c r="BJ452" s="52"/>
      <c r="BK452" s="54"/>
      <c r="BL452" s="40"/>
    </row>
    <row r="453" spans="1:65" x14ac:dyDescent="0.3">
      <c r="AN453" s="45"/>
      <c r="AP453" s="125" t="s">
        <v>81</v>
      </c>
      <c r="AQ453" s="54">
        <v>5</v>
      </c>
      <c r="AR453" s="45">
        <f>2+1</f>
        <v>3</v>
      </c>
      <c r="AS453" s="42"/>
      <c r="AT453" s="40"/>
      <c r="AU453" s="42"/>
      <c r="AV453" s="54">
        <v>2</v>
      </c>
      <c r="AW453" s="128" t="s">
        <v>235</v>
      </c>
      <c r="AX453" s="28"/>
      <c r="AY453" s="40" t="s">
        <v>6</v>
      </c>
      <c r="BB453" s="127" t="s">
        <v>107</v>
      </c>
      <c r="BC453" s="84">
        <v>0</v>
      </c>
      <c r="BD453" s="86">
        <v>0</v>
      </c>
      <c r="BE453" s="45"/>
      <c r="BF453" s="45"/>
      <c r="BG453" s="45"/>
      <c r="BH453" s="84"/>
      <c r="BI453" s="85"/>
      <c r="BJ453" s="52"/>
      <c r="BK453" s="54"/>
      <c r="BL453" s="40"/>
    </row>
    <row r="454" spans="1:65" x14ac:dyDescent="0.3">
      <c r="AP454" s="125" t="s">
        <v>72</v>
      </c>
      <c r="AQ454" s="54">
        <f>36+1+18</f>
        <v>55</v>
      </c>
      <c r="AR454" s="45">
        <f>17+1+17+3</f>
        <v>38</v>
      </c>
      <c r="AS454" s="42"/>
      <c r="AT454" s="40"/>
      <c r="AU454" s="42"/>
      <c r="AV454" s="54">
        <v>12</v>
      </c>
      <c r="AW454" s="54" t="s">
        <v>216</v>
      </c>
      <c r="AX454" s="45"/>
      <c r="AY454" s="40"/>
      <c r="BB454" s="127" t="s">
        <v>502</v>
      </c>
      <c r="BC454" s="84">
        <v>2</v>
      </c>
      <c r="BD454" s="86">
        <v>0</v>
      </c>
      <c r="BE454" s="28"/>
      <c r="BF454" s="45"/>
      <c r="BG454" s="28"/>
      <c r="BH454" s="84"/>
      <c r="BI454" s="85"/>
      <c r="BJ454" s="98"/>
      <c r="BK454" s="54"/>
      <c r="BL454" s="86"/>
    </row>
    <row r="455" spans="1:65" x14ac:dyDescent="0.3">
      <c r="AP455" s="125" t="s">
        <v>115</v>
      </c>
      <c r="AQ455" s="54">
        <v>4</v>
      </c>
      <c r="AR455" s="45">
        <v>2</v>
      </c>
      <c r="AS455" s="42"/>
      <c r="AT455" s="40"/>
      <c r="AU455" s="42"/>
      <c r="AV455" s="54">
        <v>3</v>
      </c>
      <c r="AW455" s="54" t="s">
        <v>217</v>
      </c>
      <c r="AX455" s="28"/>
      <c r="AY455" s="40"/>
      <c r="BB455" s="127" t="s">
        <v>218</v>
      </c>
      <c r="BC455" s="84">
        <v>13</v>
      </c>
      <c r="BD455" s="86">
        <v>11</v>
      </c>
      <c r="BE455" s="28"/>
      <c r="BF455" s="45"/>
      <c r="BG455" s="28"/>
      <c r="BH455" s="84"/>
      <c r="BI455" s="85"/>
      <c r="BJ455" s="52"/>
      <c r="BK455" s="54"/>
      <c r="BL455" s="40"/>
    </row>
    <row r="456" spans="1:65" x14ac:dyDescent="0.3">
      <c r="AP456" s="125" t="s">
        <v>56</v>
      </c>
      <c r="AQ456" s="54">
        <v>3</v>
      </c>
      <c r="AR456" s="45">
        <v>31</v>
      </c>
      <c r="AS456" s="42"/>
      <c r="AT456" s="40"/>
      <c r="AU456" s="42"/>
      <c r="AV456" s="54">
        <v>1</v>
      </c>
      <c r="AW456" s="54" t="s">
        <v>503</v>
      </c>
      <c r="AX456" s="28"/>
      <c r="AY456" s="40"/>
      <c r="BB456" s="98" t="s">
        <v>504</v>
      </c>
      <c r="BC456" s="10">
        <v>0</v>
      </c>
      <c r="BD456" s="11">
        <v>2</v>
      </c>
      <c r="BE456" s="18"/>
      <c r="BF456" s="18"/>
      <c r="BG456" s="18"/>
      <c r="BH456" s="10"/>
      <c r="BI456" s="11"/>
      <c r="BJ456" s="52"/>
      <c r="BK456" s="37"/>
      <c r="BL456" s="129"/>
    </row>
    <row r="457" spans="1:65" ht="15" thickBot="1" x14ac:dyDescent="0.35">
      <c r="AP457" s="125" t="s">
        <v>138</v>
      </c>
      <c r="AQ457" s="54">
        <v>0</v>
      </c>
      <c r="AR457" s="45">
        <v>0</v>
      </c>
      <c r="AS457" s="42"/>
      <c r="AT457" s="40"/>
      <c r="AU457" s="42"/>
      <c r="AV457" s="54">
        <v>5</v>
      </c>
      <c r="AW457" s="54" t="s">
        <v>221</v>
      </c>
      <c r="AX457" s="28"/>
      <c r="AY457" s="40"/>
      <c r="BB457" s="13" t="s">
        <v>84</v>
      </c>
      <c r="BC457" s="13">
        <f>SUM(BC434:BC456)</f>
        <v>162</v>
      </c>
      <c r="BD457" s="26">
        <f>SUM(BD434:BD456)</f>
        <v>205</v>
      </c>
      <c r="BE457" s="27">
        <v>0</v>
      </c>
      <c r="BF457" s="27">
        <f>SUM(BF434:BF456)</f>
        <v>0</v>
      </c>
      <c r="BG457" s="27">
        <v>0</v>
      </c>
      <c r="BH457" s="130">
        <v>0</v>
      </c>
      <c r="BI457" s="26">
        <v>0</v>
      </c>
      <c r="BJ457" s="59"/>
      <c r="BK457" s="27"/>
      <c r="BL457" s="26">
        <f>10+13+10+3+2+2+8+6+8+3+2+6+5+1</f>
        <v>79</v>
      </c>
    </row>
    <row r="458" spans="1:65" ht="15" thickBot="1" x14ac:dyDescent="0.35">
      <c r="AP458" s="125" t="s">
        <v>67</v>
      </c>
      <c r="AQ458" s="54">
        <f>22+1+6</f>
        <v>29</v>
      </c>
      <c r="AR458" s="45">
        <f>21+1+1</f>
        <v>23</v>
      </c>
      <c r="AS458" s="42"/>
      <c r="AT458" s="40"/>
      <c r="AU458" s="42"/>
      <c r="AV458" s="54">
        <v>29</v>
      </c>
      <c r="AW458" s="54" t="s">
        <v>222</v>
      </c>
      <c r="AX458" s="28"/>
      <c r="AY458" s="40"/>
      <c r="BB458" s="13" t="s">
        <v>223</v>
      </c>
      <c r="BC458" s="13">
        <f>SUM(BC457+BC433+BC430+BC426+BC423+BC420+BC418+BC416)</f>
        <v>1888</v>
      </c>
      <c r="BD458" s="26">
        <f>SUM(BD457+BD433+BD430+BD426+BD423+BD420+BD418+BD416)</f>
        <v>1880</v>
      </c>
      <c r="BE458" s="27">
        <f>SUM(BE457+BE433+BE426+BE422+BE420+BE418+BE415)</f>
        <v>0</v>
      </c>
      <c r="BF458" s="27">
        <f>SUM(BF434:BF456)</f>
        <v>0</v>
      </c>
      <c r="BG458" s="27">
        <f>SUM(BG457+BG433+BG426+BG422+BG420+BG418+BG415)</f>
        <v>0</v>
      </c>
      <c r="BH458" s="13">
        <f>SUM(BH457+BH433+BH426+BH422+BH420+BH418+BH415)</f>
        <v>38735</v>
      </c>
      <c r="BI458" s="26">
        <f>SUM(BI457+BI433+BI426+BI422+BI420+BI418+BI415)</f>
        <v>10592</v>
      </c>
      <c r="BJ458" s="81"/>
      <c r="BK458" s="27" t="s">
        <v>189</v>
      </c>
      <c r="BL458" s="26">
        <f>SUM(BL415:BL456)</f>
        <v>186</v>
      </c>
    </row>
    <row r="459" spans="1:65" x14ac:dyDescent="0.3">
      <c r="K459" s="28"/>
      <c r="AP459" s="125" t="s">
        <v>122</v>
      </c>
      <c r="AQ459" s="54">
        <v>11</v>
      </c>
      <c r="AR459" s="45">
        <v>4</v>
      </c>
      <c r="AS459" s="42"/>
      <c r="AT459" s="40"/>
      <c r="AU459" s="42"/>
      <c r="AV459" s="54">
        <v>2</v>
      </c>
      <c r="AW459" s="54" t="s">
        <v>471</v>
      </c>
      <c r="AX459" s="28"/>
      <c r="AY459" s="40"/>
      <c r="BB459" s="131" t="s">
        <v>225</v>
      </c>
      <c r="BD459">
        <f>SUM(BL457)</f>
        <v>79</v>
      </c>
      <c r="BG459" s="132"/>
    </row>
    <row r="460" spans="1:65" x14ac:dyDescent="0.3">
      <c r="K460" s="28"/>
      <c r="AP460" s="125" t="s">
        <v>227</v>
      </c>
      <c r="AQ460" s="54">
        <v>0</v>
      </c>
      <c r="AR460" s="45">
        <v>0</v>
      </c>
      <c r="AS460" s="42"/>
      <c r="AT460" s="40"/>
      <c r="AU460" s="42"/>
      <c r="AV460" s="54">
        <v>8</v>
      </c>
      <c r="AW460" s="54" t="s">
        <v>391</v>
      </c>
      <c r="AX460" s="28"/>
      <c r="AY460" s="40"/>
      <c r="BB460" t="s">
        <v>229</v>
      </c>
      <c r="BD460">
        <v>32</v>
      </c>
    </row>
    <row r="461" spans="1:65" x14ac:dyDescent="0.3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AP461" s="41" t="s">
        <v>230</v>
      </c>
      <c r="AQ461" s="54">
        <f>7+6+2</f>
        <v>15</v>
      </c>
      <c r="AR461" s="45">
        <f>7+6+2</f>
        <v>15</v>
      </c>
      <c r="AS461" s="42"/>
      <c r="AT461" s="40"/>
      <c r="AU461" s="42"/>
      <c r="AV461" s="54">
        <v>0</v>
      </c>
      <c r="AW461" s="54" t="s">
        <v>392</v>
      </c>
      <c r="AX461" s="28"/>
      <c r="AY461" s="40"/>
      <c r="BB461" t="s">
        <v>232</v>
      </c>
      <c r="BD461" t="s">
        <v>233</v>
      </c>
      <c r="BF461">
        <f>SUM(AQ466)</f>
        <v>2486</v>
      </c>
      <c r="BH461" t="s">
        <v>234</v>
      </c>
      <c r="BJ461" t="s">
        <v>233</v>
      </c>
      <c r="BL461">
        <f>SUM(BC458)</f>
        <v>1888</v>
      </c>
    </row>
    <row r="462" spans="1:65" ht="18" x14ac:dyDescent="0.35">
      <c r="B462" s="133"/>
      <c r="AP462" s="68" t="s">
        <v>125</v>
      </c>
      <c r="AQ462" s="54">
        <v>0</v>
      </c>
      <c r="AR462" s="45">
        <v>0</v>
      </c>
      <c r="AS462" s="42"/>
      <c r="AT462" s="40"/>
      <c r="AU462" s="42"/>
      <c r="AV462" s="54">
        <v>4</v>
      </c>
      <c r="AW462" s="54" t="s">
        <v>228</v>
      </c>
      <c r="AX462" s="28"/>
      <c r="AY462" s="40"/>
      <c r="BA462" t="s">
        <v>6</v>
      </c>
      <c r="BD462" t="s">
        <v>236</v>
      </c>
      <c r="BF462">
        <f>SUM(AR466)</f>
        <v>2463</v>
      </c>
      <c r="BJ462" t="s">
        <v>236</v>
      </c>
      <c r="BL462">
        <f>SUM(BD458)</f>
        <v>1880</v>
      </c>
    </row>
    <row r="463" spans="1:65" x14ac:dyDescent="0.3">
      <c r="AP463" s="68" t="s">
        <v>132</v>
      </c>
      <c r="AQ463" s="54">
        <v>19</v>
      </c>
      <c r="AR463" s="45">
        <v>17</v>
      </c>
      <c r="AS463" s="42"/>
      <c r="AT463" s="40"/>
      <c r="AU463" s="42"/>
      <c r="AV463" s="54">
        <v>12</v>
      </c>
      <c r="AW463" s="54" t="s">
        <v>237</v>
      </c>
      <c r="AX463" s="28"/>
      <c r="AY463" s="40"/>
      <c r="BB463" s="134" t="s">
        <v>238</v>
      </c>
      <c r="BC463" s="135" t="s">
        <v>239</v>
      </c>
      <c r="BD463" s="136"/>
      <c r="BE463" s="134" t="s">
        <v>240</v>
      </c>
      <c r="BF463" s="135" t="s">
        <v>241</v>
      </c>
      <c r="BG463" s="136"/>
      <c r="BH463" s="134"/>
      <c r="BI463" s="135" t="s">
        <v>242</v>
      </c>
      <c r="BJ463" s="137" t="s">
        <v>243</v>
      </c>
      <c r="BK463" s="135"/>
      <c r="BL463" s="135"/>
      <c r="BM463" s="136"/>
    </row>
    <row r="464" spans="1:65" x14ac:dyDescent="0.3">
      <c r="AP464" s="41" t="s">
        <v>6</v>
      </c>
      <c r="AS464" s="42"/>
      <c r="AT464" s="40"/>
      <c r="AU464" s="42"/>
      <c r="AV464" s="54">
        <v>0</v>
      </c>
      <c r="AW464" s="54" t="s">
        <v>472</v>
      </c>
      <c r="AX464" s="28"/>
      <c r="AY464" s="40"/>
      <c r="BB464" s="138" t="s">
        <v>233</v>
      </c>
      <c r="BC464" s="28"/>
      <c r="BD464" s="139">
        <f>SUM(B449)</f>
        <v>75881</v>
      </c>
      <c r="BE464" s="138" t="s">
        <v>233</v>
      </c>
      <c r="BF464" s="28"/>
      <c r="BG464" s="139">
        <f>SUM(AC446)</f>
        <v>3313</v>
      </c>
      <c r="BH464" s="138" t="s">
        <v>233</v>
      </c>
      <c r="BI464" s="28"/>
      <c r="BJ464" s="140">
        <f>SUM(BL461+BG464)</f>
        <v>5201</v>
      </c>
      <c r="BK464" s="28" t="s">
        <v>245</v>
      </c>
      <c r="BL464" s="28">
        <f>SUM(BJ464+BD464)</f>
        <v>81082</v>
      </c>
      <c r="BM464" s="141"/>
    </row>
    <row r="465" spans="1:65" ht="18.600000000000001" thickBot="1" x14ac:dyDescent="0.4">
      <c r="B465" s="133"/>
      <c r="AP465" s="46" t="s">
        <v>84</v>
      </c>
      <c r="AQ465" s="48">
        <f>SUM(AQ449:AQ464)</f>
        <v>176</v>
      </c>
      <c r="AR465" s="48">
        <f>SUM(AR449:AR464)</f>
        <v>164</v>
      </c>
      <c r="AS465" s="47"/>
      <c r="AT465" s="49"/>
      <c r="AU465" s="47"/>
      <c r="AV465" s="48">
        <v>0</v>
      </c>
      <c r="AW465" s="48" t="s">
        <v>244</v>
      </c>
      <c r="AX465" s="48"/>
      <c r="AY465" s="49">
        <f>SUM(AV451:AV463)</f>
        <v>111</v>
      </c>
      <c r="BB465" s="142" t="s">
        <v>236</v>
      </c>
      <c r="BC465" s="143"/>
      <c r="BD465" s="144">
        <f>SUM(C449)</f>
        <v>69673</v>
      </c>
      <c r="BE465" s="142" t="s">
        <v>236</v>
      </c>
      <c r="BF465" s="143"/>
      <c r="BG465" s="144">
        <f>SUM(AD446)</f>
        <v>2849</v>
      </c>
      <c r="BH465" s="142" t="s">
        <v>236</v>
      </c>
      <c r="BI465" s="143"/>
      <c r="BJ465" s="145">
        <f>SUM(BL462+BG465)</f>
        <v>4729</v>
      </c>
      <c r="BK465" s="143"/>
      <c r="BL465" s="143">
        <f>SUM(BJ465+BD465)</f>
        <v>74402</v>
      </c>
      <c r="BM465" s="146"/>
    </row>
    <row r="466" spans="1:65" ht="18.600000000000001" thickBot="1" x14ac:dyDescent="0.4">
      <c r="B466" s="133"/>
      <c r="AP466" s="147" t="s">
        <v>84</v>
      </c>
      <c r="AQ466" s="147">
        <f>SUM(+AQ465+AQ448+AQ438+AQ423+AQ421)</f>
        <v>2486</v>
      </c>
      <c r="AR466" s="148">
        <f>SUM(AR465+AR448+AR438+AR423+AR421)</f>
        <v>2463</v>
      </c>
      <c r="AS466" s="147"/>
      <c r="AT466" s="148"/>
      <c r="AU466" s="149" t="s">
        <v>247</v>
      </c>
      <c r="AV466" s="149"/>
      <c r="AW466" s="149"/>
      <c r="AX466" s="149"/>
      <c r="AY466" s="148">
        <f>SUM(AY421:AY465)</f>
        <v>409</v>
      </c>
    </row>
    <row r="467" spans="1:65" ht="15" thickTop="1" x14ac:dyDescent="0.3"/>
    <row r="470" spans="1:65" ht="15.6" x14ac:dyDescent="0.3">
      <c r="C470" s="1" t="s">
        <v>0</v>
      </c>
      <c r="P470" s="1" t="s">
        <v>1</v>
      </c>
    </row>
    <row r="471" spans="1:65" ht="15.6" x14ac:dyDescent="0.3">
      <c r="D471" t="s">
        <v>2</v>
      </c>
      <c r="Q471" t="s">
        <v>3</v>
      </c>
      <c r="AE471" s="2"/>
      <c r="AF471" s="1" t="s">
        <v>0</v>
      </c>
      <c r="AG471" s="1"/>
      <c r="AI471" s="1"/>
      <c r="AJ471" s="1"/>
      <c r="AS471" s="1" t="s">
        <v>4</v>
      </c>
      <c r="BE471" s="1"/>
      <c r="BF471" s="1" t="s">
        <v>5</v>
      </c>
      <c r="BG471" s="1"/>
      <c r="BH471" s="1"/>
      <c r="BI471" s="1"/>
      <c r="BJ471" s="1"/>
    </row>
    <row r="472" spans="1:65" ht="15.6" x14ac:dyDescent="0.3">
      <c r="A472" t="s">
        <v>6</v>
      </c>
      <c r="C472" t="s">
        <v>7</v>
      </c>
      <c r="O472" t="s">
        <v>8</v>
      </c>
      <c r="AE472" s="3"/>
      <c r="AF472" s="2" t="s">
        <v>9</v>
      </c>
      <c r="AG472" s="1"/>
      <c r="AI472" s="1"/>
      <c r="AJ472" s="1"/>
      <c r="AT472" t="s">
        <v>2</v>
      </c>
      <c r="BG472" t="s">
        <v>2</v>
      </c>
    </row>
    <row r="473" spans="1:65" ht="15.6" x14ac:dyDescent="0.3">
      <c r="D473" t="s">
        <v>505</v>
      </c>
      <c r="Q473" t="s">
        <v>505</v>
      </c>
      <c r="AF473" s="3" t="s">
        <v>11</v>
      </c>
      <c r="AG473" s="1"/>
      <c r="AI473" s="1"/>
      <c r="AJ473" s="1"/>
      <c r="AR473" t="s">
        <v>12</v>
      </c>
      <c r="AZ473" t="s">
        <v>6</v>
      </c>
      <c r="BE473" t="s">
        <v>13</v>
      </c>
    </row>
    <row r="474" spans="1:65" ht="15" thickBot="1" x14ac:dyDescent="0.35">
      <c r="I474" s="4" t="s">
        <v>14</v>
      </c>
      <c r="U474" s="5" t="s">
        <v>15</v>
      </c>
      <c r="AG474" t="s">
        <v>505</v>
      </c>
      <c r="AT474" t="s">
        <v>505</v>
      </c>
      <c r="AY474" s="5"/>
      <c r="BG474" t="s">
        <v>505</v>
      </c>
      <c r="BK474" s="5" t="s">
        <v>16</v>
      </c>
    </row>
    <row r="475" spans="1:65" ht="15" thickBot="1" x14ac:dyDescent="0.35">
      <c r="A475" s="6" t="s">
        <v>17</v>
      </c>
      <c r="B475" s="6" t="s">
        <v>18</v>
      </c>
      <c r="C475" s="7"/>
      <c r="D475" s="8" t="s">
        <v>19</v>
      </c>
      <c r="E475" s="8"/>
      <c r="F475" s="8"/>
      <c r="G475" s="9" t="s">
        <v>20</v>
      </c>
      <c r="H475" s="8" t="s">
        <v>21</v>
      </c>
      <c r="I475" s="8"/>
      <c r="J475" s="7"/>
      <c r="L475" s="6" t="s">
        <v>17</v>
      </c>
      <c r="M475" s="6" t="s">
        <v>22</v>
      </c>
      <c r="N475" s="7"/>
      <c r="O475" s="8" t="s">
        <v>23</v>
      </c>
      <c r="P475" s="8"/>
      <c r="Q475" s="8"/>
      <c r="R475" s="6" t="s">
        <v>24</v>
      </c>
      <c r="S475" s="7"/>
      <c r="T475" s="8" t="s">
        <v>21</v>
      </c>
      <c r="U475" s="8"/>
      <c r="V475" s="7"/>
      <c r="AL475" s="5" t="s">
        <v>25</v>
      </c>
      <c r="AX475" s="5" t="s">
        <v>26</v>
      </c>
      <c r="BB475" s="6" t="s">
        <v>17</v>
      </c>
      <c r="BC475" s="6" t="s">
        <v>27</v>
      </c>
      <c r="BD475" s="7"/>
      <c r="BE475" s="8" t="s">
        <v>28</v>
      </c>
      <c r="BF475" s="8"/>
      <c r="BG475" s="8"/>
      <c r="BH475" s="6" t="s">
        <v>29</v>
      </c>
      <c r="BI475" s="7" t="s">
        <v>30</v>
      </c>
      <c r="BJ475" s="8" t="s">
        <v>31</v>
      </c>
      <c r="BK475" s="8"/>
      <c r="BL475" s="7"/>
    </row>
    <row r="476" spans="1:65" x14ac:dyDescent="0.3">
      <c r="A476" s="10" t="s">
        <v>32</v>
      </c>
      <c r="B476" s="10"/>
      <c r="C476" s="11"/>
      <c r="D476" s="3"/>
      <c r="E476" s="3"/>
      <c r="F476" s="3"/>
      <c r="G476" s="12"/>
      <c r="H476" s="3" t="s">
        <v>33</v>
      </c>
      <c r="I476" s="3"/>
      <c r="J476" s="11"/>
      <c r="L476" s="10"/>
      <c r="M476" s="10"/>
      <c r="N476" s="11"/>
      <c r="O476" s="3"/>
      <c r="P476" s="3"/>
      <c r="Q476" s="3"/>
      <c r="R476" s="10"/>
      <c r="S476" s="11"/>
      <c r="T476" s="3" t="s">
        <v>33</v>
      </c>
      <c r="U476" s="3"/>
      <c r="V476" s="11"/>
      <c r="AB476" s="6" t="s">
        <v>34</v>
      </c>
      <c r="AC476" s="6" t="s">
        <v>35</v>
      </c>
      <c r="AD476" s="7"/>
      <c r="AE476" s="6" t="s">
        <v>36</v>
      </c>
      <c r="AF476" s="8"/>
      <c r="AG476" s="7"/>
      <c r="AH476" s="8" t="s">
        <v>37</v>
      </c>
      <c r="AI476" s="8"/>
      <c r="AJ476" s="9" t="s">
        <v>30</v>
      </c>
      <c r="AK476" s="8" t="s">
        <v>38</v>
      </c>
      <c r="AL476" s="8"/>
      <c r="AM476" s="7"/>
      <c r="AP476" s="6" t="s">
        <v>17</v>
      </c>
      <c r="AQ476" s="6" t="s">
        <v>39</v>
      </c>
      <c r="AR476" s="7"/>
      <c r="AS476" s="6" t="s">
        <v>29</v>
      </c>
      <c r="AT476" s="7" t="s">
        <v>30</v>
      </c>
      <c r="AU476" s="8" t="s">
        <v>40</v>
      </c>
      <c r="AV476" s="8"/>
      <c r="AW476" s="8"/>
      <c r="AX476" s="8"/>
      <c r="AY476" s="7"/>
      <c r="BB476" s="10"/>
      <c r="BC476" s="10"/>
      <c r="BD476" s="11"/>
      <c r="BE476" s="3"/>
      <c r="BF476" s="3"/>
      <c r="BG476" s="3"/>
      <c r="BH476" s="10"/>
      <c r="BI476" s="11" t="s">
        <v>6</v>
      </c>
      <c r="BJ476" s="3" t="s">
        <v>41</v>
      </c>
      <c r="BK476" s="3"/>
      <c r="BL476" s="11"/>
    </row>
    <row r="477" spans="1:65" ht="15" thickBot="1" x14ac:dyDescent="0.35">
      <c r="A477" s="13" t="s">
        <v>42</v>
      </c>
      <c r="B477" s="14" t="s">
        <v>43</v>
      </c>
      <c r="C477" s="15" t="s">
        <v>44</v>
      </c>
      <c r="D477" s="16" t="s">
        <v>45</v>
      </c>
      <c r="E477" s="16" t="s">
        <v>46</v>
      </c>
      <c r="F477" s="16" t="s">
        <v>47</v>
      </c>
      <c r="G477" s="17" t="s">
        <v>48</v>
      </c>
      <c r="H477" s="18" t="s">
        <v>49</v>
      </c>
      <c r="I477" s="18"/>
      <c r="J477" s="11"/>
      <c r="L477" s="10" t="s">
        <v>50</v>
      </c>
      <c r="M477" s="19" t="s">
        <v>43</v>
      </c>
      <c r="N477" s="20" t="s">
        <v>44</v>
      </c>
      <c r="O477" s="21" t="s">
        <v>43</v>
      </c>
      <c r="P477" s="18" t="s">
        <v>51</v>
      </c>
      <c r="Q477" s="21" t="s">
        <v>44</v>
      </c>
      <c r="R477" s="22" t="s">
        <v>43</v>
      </c>
      <c r="S477" s="23" t="s">
        <v>44</v>
      </c>
      <c r="T477" s="18" t="s">
        <v>49</v>
      </c>
      <c r="U477" s="18"/>
      <c r="V477" s="11"/>
      <c r="AB477" s="10" t="s">
        <v>50</v>
      </c>
      <c r="AC477" s="22" t="s">
        <v>43</v>
      </c>
      <c r="AD477" s="23" t="s">
        <v>44</v>
      </c>
      <c r="AE477" s="22" t="s">
        <v>45</v>
      </c>
      <c r="AF477" s="24" t="s">
        <v>46</v>
      </c>
      <c r="AG477" s="23" t="s">
        <v>52</v>
      </c>
      <c r="AH477" s="24" t="s">
        <v>43</v>
      </c>
      <c r="AI477" s="24" t="s">
        <v>44</v>
      </c>
      <c r="AJ477" s="25" t="s">
        <v>43</v>
      </c>
      <c r="AK477" s="3" t="s">
        <v>53</v>
      </c>
      <c r="AL477" s="3"/>
      <c r="AM477" s="11"/>
      <c r="AP477" s="13" t="s">
        <v>42</v>
      </c>
      <c r="AQ477" s="10" t="s">
        <v>43</v>
      </c>
      <c r="AR477" s="11" t="s">
        <v>44</v>
      </c>
      <c r="AS477" s="13" t="s">
        <v>43</v>
      </c>
      <c r="AT477" s="26" t="s">
        <v>44</v>
      </c>
      <c r="AU477" s="27"/>
      <c r="AV477" s="27"/>
      <c r="AW477" s="27"/>
      <c r="AX477" s="27"/>
      <c r="AY477" s="26"/>
      <c r="BB477" s="13" t="s">
        <v>42</v>
      </c>
      <c r="BC477" s="13" t="s">
        <v>43</v>
      </c>
      <c r="BD477" s="26" t="s">
        <v>44</v>
      </c>
      <c r="BE477" s="27" t="s">
        <v>45</v>
      </c>
      <c r="BF477" s="27" t="s">
        <v>46</v>
      </c>
      <c r="BG477" s="27" t="s">
        <v>52</v>
      </c>
      <c r="BH477" s="13" t="s">
        <v>43</v>
      </c>
      <c r="BI477" s="26" t="s">
        <v>44</v>
      </c>
      <c r="BJ477" s="27" t="s">
        <v>54</v>
      </c>
      <c r="BK477" s="27"/>
      <c r="BL477" s="26"/>
    </row>
    <row r="478" spans="1:65" ht="15" thickBot="1" x14ac:dyDescent="0.35">
      <c r="A478" s="6"/>
      <c r="B478" s="6"/>
      <c r="C478" s="7"/>
      <c r="D478" s="8"/>
      <c r="E478" s="8"/>
      <c r="F478" s="7"/>
      <c r="G478" s="8"/>
      <c r="H478" s="6" t="s">
        <v>396</v>
      </c>
      <c r="I478" s="8"/>
      <c r="J478" s="7"/>
      <c r="K478" s="28"/>
      <c r="L478" s="9"/>
      <c r="M478" s="8"/>
      <c r="N478" s="8"/>
      <c r="O478" s="6"/>
      <c r="P478" s="8"/>
      <c r="Q478" s="7"/>
      <c r="R478" s="8"/>
      <c r="S478" s="8"/>
      <c r="T478" s="6" t="s">
        <v>396</v>
      </c>
      <c r="U478" s="8"/>
      <c r="V478" s="7"/>
      <c r="W478" s="28"/>
      <c r="AB478" s="13"/>
      <c r="AC478" s="13"/>
      <c r="AD478" s="26"/>
      <c r="AE478" s="13"/>
      <c r="AF478" s="27"/>
      <c r="AG478" s="26"/>
      <c r="AH478" s="27"/>
      <c r="AI478" s="27"/>
      <c r="AJ478" s="17"/>
      <c r="AK478" s="27"/>
      <c r="AL478" s="27"/>
      <c r="AM478" s="26"/>
      <c r="AP478" s="6" t="s">
        <v>56</v>
      </c>
      <c r="AQ478" s="29">
        <v>922</v>
      </c>
      <c r="AR478" s="30">
        <v>1065</v>
      </c>
      <c r="AU478" s="6"/>
      <c r="AV478" s="8"/>
      <c r="AW478" s="31" t="s">
        <v>57</v>
      </c>
      <c r="AX478" s="8"/>
      <c r="AY478" s="7"/>
      <c r="AZ478" s="28"/>
      <c r="BB478" s="32" t="s">
        <v>85</v>
      </c>
      <c r="BC478">
        <v>15</v>
      </c>
      <c r="BD478">
        <v>13</v>
      </c>
      <c r="BE478" s="33"/>
      <c r="BF478" s="34"/>
      <c r="BG478" s="34"/>
      <c r="BH478" s="33"/>
      <c r="BI478" s="35"/>
      <c r="BJ478" s="34" t="s">
        <v>58</v>
      </c>
      <c r="BK478" s="8"/>
      <c r="BL478" s="7"/>
    </row>
    <row r="479" spans="1:65" x14ac:dyDescent="0.3">
      <c r="A479" s="10" t="s">
        <v>59</v>
      </c>
      <c r="B479" s="36">
        <v>1895</v>
      </c>
      <c r="C479" s="11">
        <v>2348</v>
      </c>
      <c r="D479" s="37"/>
      <c r="E479" s="38" t="s">
        <v>60</v>
      </c>
      <c r="F479" s="39"/>
      <c r="G479" s="37">
        <f>9*264</f>
        <v>2376</v>
      </c>
      <c r="H479" s="36">
        <v>9</v>
      </c>
      <c r="I479" s="37" t="s">
        <v>61</v>
      </c>
      <c r="J479" s="40"/>
      <c r="K479" s="28"/>
      <c r="L479" s="41" t="s">
        <v>59</v>
      </c>
      <c r="M479" s="28">
        <v>8306</v>
      </c>
      <c r="N479" s="28">
        <v>10770</v>
      </c>
      <c r="O479" s="42">
        <v>0</v>
      </c>
      <c r="P479" s="43">
        <v>0</v>
      </c>
      <c r="Q479" s="40">
        <v>0</v>
      </c>
      <c r="R479" s="43">
        <v>0</v>
      </c>
      <c r="S479" s="43">
        <v>0</v>
      </c>
      <c r="T479" s="42"/>
      <c r="U479" s="28"/>
      <c r="V479" s="40"/>
      <c r="W479" s="28"/>
      <c r="AB479" s="9"/>
      <c r="AC479" s="8"/>
      <c r="AD479" s="8"/>
      <c r="AE479" s="6"/>
      <c r="AF479" s="8"/>
      <c r="AG479" s="7"/>
      <c r="AH479" s="8"/>
      <c r="AI479" s="8"/>
      <c r="AJ479" s="9"/>
      <c r="AK479" s="6" t="s">
        <v>62</v>
      </c>
      <c r="AL479" s="8"/>
      <c r="AM479" s="7"/>
      <c r="AP479" s="36" t="s">
        <v>63</v>
      </c>
      <c r="AQ479" s="36">
        <v>17</v>
      </c>
      <c r="AR479" s="39">
        <v>17</v>
      </c>
      <c r="AT479" s="18"/>
      <c r="AU479" s="10"/>
      <c r="AV479" s="18"/>
      <c r="AW479" s="18"/>
      <c r="AX479" s="18"/>
      <c r="AY479" s="11"/>
      <c r="AZ479" s="28"/>
      <c r="BB479" s="44" t="s">
        <v>64</v>
      </c>
      <c r="BC479" s="18">
        <v>135</v>
      </c>
      <c r="BD479" s="18">
        <v>133</v>
      </c>
      <c r="BE479" s="10">
        <v>0</v>
      </c>
      <c r="BF479" s="18">
        <v>0</v>
      </c>
      <c r="BG479" s="18">
        <v>0</v>
      </c>
      <c r="BH479" s="10">
        <v>0</v>
      </c>
      <c r="BI479" s="11">
        <v>0</v>
      </c>
      <c r="BJ479" s="45">
        <v>7</v>
      </c>
      <c r="BK479" s="28" t="s">
        <v>474</v>
      </c>
      <c r="BL479" s="11" t="s">
        <v>6</v>
      </c>
    </row>
    <row r="480" spans="1:65" ht="15" thickBot="1" x14ac:dyDescent="0.35">
      <c r="A480" s="36" t="s">
        <v>6</v>
      </c>
      <c r="B480" s="10"/>
      <c r="C480" s="11"/>
      <c r="D480" s="18"/>
      <c r="E480" s="18"/>
      <c r="F480" s="18"/>
      <c r="G480" s="36"/>
      <c r="H480" s="42"/>
      <c r="I480" s="28"/>
      <c r="J480" s="40">
        <f>SUM(H479)</f>
        <v>9</v>
      </c>
      <c r="K480" s="28"/>
      <c r="L480" s="12"/>
      <c r="M480" s="37"/>
      <c r="N480" s="37"/>
      <c r="O480" s="10"/>
      <c r="P480" s="18"/>
      <c r="Q480" s="11"/>
      <c r="R480" s="18"/>
      <c r="S480" s="18"/>
      <c r="T480" s="10"/>
      <c r="U480" s="18"/>
      <c r="V480" s="11"/>
      <c r="W480" s="28"/>
      <c r="AB480" s="41"/>
      <c r="AE480" s="42"/>
      <c r="AF480" s="28"/>
      <c r="AG480" s="40"/>
      <c r="AJ480" s="41"/>
      <c r="AK480" s="42"/>
      <c r="AL480" s="28" t="s">
        <v>6</v>
      </c>
      <c r="AM480" s="40"/>
      <c r="AP480" s="36" t="s">
        <v>67</v>
      </c>
      <c r="AQ480" s="36">
        <v>373</v>
      </c>
      <c r="AR480" s="39">
        <v>321</v>
      </c>
      <c r="AT480" s="18"/>
      <c r="AU480" s="10"/>
      <c r="AV480" s="37">
        <v>104</v>
      </c>
      <c r="AW480" s="37" t="s">
        <v>68</v>
      </c>
      <c r="AX480" s="18"/>
      <c r="AY480" s="11"/>
      <c r="AZ480" s="28"/>
      <c r="BA480" s="28"/>
      <c r="BB480" s="46" t="s">
        <v>84</v>
      </c>
      <c r="BC480">
        <f>SUM(BC478:BC479)</f>
        <v>150</v>
      </c>
      <c r="BD480">
        <f>SUM(BD478:BD479)</f>
        <v>146</v>
      </c>
      <c r="BE480" s="47"/>
      <c r="BF480" s="48"/>
      <c r="BG480" s="48"/>
      <c r="BH480" s="47"/>
      <c r="BI480" s="49"/>
      <c r="BJ480" s="48">
        <v>3</v>
      </c>
      <c r="BK480" s="48" t="s">
        <v>69</v>
      </c>
      <c r="BL480" s="49">
        <f>SUM(BJ479:BJ480)</f>
        <v>10</v>
      </c>
    </row>
    <row r="481" spans="1:65" ht="15" thickBot="1" x14ac:dyDescent="0.35">
      <c r="A481" s="32"/>
      <c r="B481" s="34"/>
      <c r="C481" s="34"/>
      <c r="D481" s="33"/>
      <c r="E481" s="34"/>
      <c r="F481" s="35"/>
      <c r="G481" s="34"/>
      <c r="H481" s="6" t="s">
        <v>70</v>
      </c>
      <c r="I481" s="8"/>
      <c r="J481" s="7"/>
      <c r="K481" s="28"/>
      <c r="L481" s="17"/>
      <c r="M481" s="27"/>
      <c r="N481" s="27"/>
      <c r="O481" s="13"/>
      <c r="P481" s="27"/>
      <c r="Q481" s="26"/>
      <c r="R481" s="27"/>
      <c r="S481" s="27"/>
      <c r="T481" s="13"/>
      <c r="U481" s="27"/>
      <c r="V481" s="26"/>
      <c r="W481" s="28"/>
      <c r="AB481" s="44" t="s">
        <v>59</v>
      </c>
      <c r="AC481" s="37">
        <v>1670</v>
      </c>
      <c r="AD481" s="37">
        <v>2063</v>
      </c>
      <c r="AE481" s="10">
        <v>0</v>
      </c>
      <c r="AF481" s="18">
        <v>0</v>
      </c>
      <c r="AG481" s="39">
        <v>0</v>
      </c>
      <c r="AH481" s="2">
        <v>2575</v>
      </c>
      <c r="AI481" s="2">
        <v>24587</v>
      </c>
      <c r="AJ481" s="12">
        <v>0</v>
      </c>
      <c r="AK481" s="36">
        <v>4</v>
      </c>
      <c r="AL481" s="37" t="s">
        <v>66</v>
      </c>
      <c r="AM481" s="11"/>
      <c r="AP481" s="36" t="s">
        <v>72</v>
      </c>
      <c r="AQ481" s="36">
        <v>0</v>
      </c>
      <c r="AR481" s="39">
        <v>0</v>
      </c>
      <c r="AT481" s="18"/>
      <c r="AU481" s="10"/>
      <c r="AV481" s="37">
        <v>6</v>
      </c>
      <c r="AW481" s="37" t="s">
        <v>73</v>
      </c>
      <c r="AX481" s="18"/>
      <c r="AY481" s="11"/>
      <c r="AZ481" s="28"/>
      <c r="BA481" s="28"/>
      <c r="BB481" s="33"/>
      <c r="BC481" s="33"/>
      <c r="BD481" s="35"/>
      <c r="BE481" s="34"/>
      <c r="BF481" s="34"/>
      <c r="BG481" s="34"/>
      <c r="BH481" s="33"/>
      <c r="BI481" s="35"/>
      <c r="BJ481" s="8" t="s">
        <v>6</v>
      </c>
      <c r="BK481" s="34"/>
      <c r="BL481" s="35"/>
    </row>
    <row r="482" spans="1:65" ht="15" thickBot="1" x14ac:dyDescent="0.35">
      <c r="A482" s="44" t="s">
        <v>74</v>
      </c>
      <c r="B482" s="37">
        <v>1626</v>
      </c>
      <c r="C482" s="18">
        <v>2747</v>
      </c>
      <c r="D482" s="36"/>
      <c r="E482" s="38" t="s">
        <v>60</v>
      </c>
      <c r="F482" s="39"/>
      <c r="G482" s="37">
        <v>3452</v>
      </c>
      <c r="H482" s="36">
        <v>8</v>
      </c>
      <c r="I482" s="28" t="s">
        <v>75</v>
      </c>
      <c r="J482" s="11"/>
      <c r="K482" s="28"/>
      <c r="L482" s="32"/>
      <c r="M482" s="34"/>
      <c r="N482" s="34"/>
      <c r="O482" s="33"/>
      <c r="P482" s="34"/>
      <c r="Q482" s="35"/>
      <c r="R482" s="34"/>
      <c r="S482" s="34"/>
      <c r="T482" s="33"/>
      <c r="U482" s="34"/>
      <c r="V482" s="35"/>
      <c r="W482" s="28"/>
      <c r="AB482" s="46"/>
      <c r="AE482" s="47"/>
      <c r="AF482" s="51"/>
      <c r="AG482" s="49"/>
      <c r="AH482" s="28"/>
      <c r="AI482" s="28"/>
      <c r="AJ482" s="62"/>
      <c r="AK482" s="47">
        <v>4</v>
      </c>
      <c r="AL482" s="48" t="s">
        <v>436</v>
      </c>
      <c r="AM482" s="49"/>
      <c r="AP482" s="36" t="s">
        <v>78</v>
      </c>
      <c r="AQ482" s="36">
        <v>0</v>
      </c>
      <c r="AR482" s="39">
        <v>0</v>
      </c>
      <c r="AT482" s="18"/>
      <c r="AU482" s="10"/>
      <c r="AV482" s="37"/>
      <c r="AW482" s="37"/>
      <c r="AX482" s="18" t="s">
        <v>6</v>
      </c>
      <c r="AY482" s="11"/>
      <c r="AZ482" s="28"/>
      <c r="BA482" s="28"/>
      <c r="BB482" s="47" t="s">
        <v>6</v>
      </c>
      <c r="BC482" s="47"/>
      <c r="BD482" s="49"/>
      <c r="BE482" s="48">
        <v>0</v>
      </c>
      <c r="BF482" s="48">
        <v>0</v>
      </c>
      <c r="BG482" s="48">
        <v>0</v>
      </c>
      <c r="BH482" s="47">
        <v>0</v>
      </c>
      <c r="BI482" s="49">
        <v>0</v>
      </c>
      <c r="BJ482" s="51"/>
      <c r="BK482" s="48" t="s">
        <v>6</v>
      </c>
      <c r="BL482" s="49">
        <f>SUM(BJ482)</f>
        <v>0</v>
      </c>
    </row>
    <row r="483" spans="1:65" x14ac:dyDescent="0.3">
      <c r="A483" s="41"/>
      <c r="D483" s="42"/>
      <c r="E483" s="28"/>
      <c r="F483" s="40"/>
      <c r="H483" s="42">
        <v>5</v>
      </c>
      <c r="I483" s="28" t="s">
        <v>79</v>
      </c>
      <c r="J483" s="40"/>
      <c r="K483" s="28"/>
      <c r="L483" s="41"/>
      <c r="M483" s="28"/>
      <c r="N483" s="28"/>
      <c r="O483" s="42"/>
      <c r="P483" s="28"/>
      <c r="Q483" s="40"/>
      <c r="R483" s="28"/>
      <c r="S483" s="28"/>
      <c r="T483" s="42" t="s">
        <v>80</v>
      </c>
      <c r="U483" s="28"/>
      <c r="V483" s="40"/>
      <c r="W483" s="28"/>
      <c r="AB483" s="50" t="s">
        <v>6</v>
      </c>
      <c r="AC483" s="8"/>
      <c r="AD483" s="8"/>
      <c r="AE483" s="6"/>
      <c r="AF483" s="8"/>
      <c r="AG483" s="7"/>
      <c r="AH483" s="6"/>
      <c r="AI483" s="7"/>
      <c r="AJ483" s="8"/>
      <c r="AK483" s="29" t="s">
        <v>71</v>
      </c>
      <c r="AL483" s="8"/>
      <c r="AM483" s="7"/>
      <c r="AP483" s="52" t="s">
        <v>81</v>
      </c>
      <c r="AQ483" s="36">
        <v>0</v>
      </c>
      <c r="AR483" s="39">
        <v>0</v>
      </c>
      <c r="AU483" s="42"/>
      <c r="AV483" s="28"/>
      <c r="AW483" s="28"/>
      <c r="AX483" s="28"/>
      <c r="AY483" s="40"/>
      <c r="AZ483" s="28"/>
      <c r="BA483" s="28"/>
      <c r="BB483" s="33"/>
      <c r="BC483" s="33"/>
      <c r="BD483" s="35"/>
      <c r="BE483" s="34"/>
      <c r="BF483" s="34"/>
      <c r="BG483" s="34"/>
      <c r="BH483" s="33"/>
      <c r="BI483" s="35"/>
      <c r="BJ483" s="53" t="s">
        <v>82</v>
      </c>
      <c r="BK483" s="34"/>
      <c r="BL483" s="35"/>
    </row>
    <row r="484" spans="1:65" ht="15" thickBot="1" x14ac:dyDescent="0.35">
      <c r="A484" s="46"/>
      <c r="B484" s="48"/>
      <c r="C484" s="48"/>
      <c r="D484" s="47"/>
      <c r="E484" s="48"/>
      <c r="F484" s="49"/>
      <c r="G484" s="48"/>
      <c r="H484" s="47">
        <v>13</v>
      </c>
      <c r="I484" s="28" t="s">
        <v>83</v>
      </c>
      <c r="J484" s="49">
        <f>SUM(H482:H484)</f>
        <v>26</v>
      </c>
      <c r="K484" s="28"/>
      <c r="L484" s="17" t="s">
        <v>74</v>
      </c>
      <c r="M484" s="27">
        <v>5544</v>
      </c>
      <c r="N484" s="27">
        <v>317</v>
      </c>
      <c r="O484" s="13">
        <v>0</v>
      </c>
      <c r="P484" s="27">
        <v>0</v>
      </c>
      <c r="Q484" s="26">
        <v>0</v>
      </c>
      <c r="R484" s="27">
        <v>24</v>
      </c>
      <c r="S484" s="27">
        <v>1</v>
      </c>
      <c r="T484" s="13"/>
      <c r="U484" s="27"/>
      <c r="V484" s="26"/>
      <c r="W484" s="28"/>
      <c r="AB484" s="41" t="s">
        <v>76</v>
      </c>
      <c r="AC484">
        <v>456</v>
      </c>
      <c r="AD484">
        <v>0</v>
      </c>
      <c r="AE484" s="42">
        <v>0</v>
      </c>
      <c r="AF484" s="43">
        <v>0</v>
      </c>
      <c r="AG484" s="40">
        <v>0</v>
      </c>
      <c r="AH484" s="42">
        <v>0</v>
      </c>
      <c r="AI484" s="40">
        <v>0</v>
      </c>
      <c r="AJ484" s="43">
        <v>0</v>
      </c>
      <c r="AK484" s="42">
        <v>4</v>
      </c>
      <c r="AL484" s="28" t="s">
        <v>77</v>
      </c>
      <c r="AM484" s="40"/>
      <c r="AP484" s="52" t="s">
        <v>115</v>
      </c>
      <c r="AQ484" s="52">
        <v>0</v>
      </c>
      <c r="AR484" s="86">
        <v>0</v>
      </c>
      <c r="AU484" s="42"/>
      <c r="AV484" s="28"/>
      <c r="AW484" s="28"/>
      <c r="AX484" s="28"/>
      <c r="AY484" s="40"/>
      <c r="AZ484" s="28"/>
      <c r="BA484" s="28"/>
      <c r="BB484" s="47" t="s">
        <v>85</v>
      </c>
      <c r="BC484" s="47">
        <v>6</v>
      </c>
      <c r="BD484" s="49">
        <v>5</v>
      </c>
      <c r="BE484" s="48"/>
      <c r="BF484" s="48">
        <v>0</v>
      </c>
      <c r="BG484" s="48">
        <v>0</v>
      </c>
      <c r="BH484" s="47">
        <v>0</v>
      </c>
      <c r="BI484" s="49">
        <v>0</v>
      </c>
      <c r="BJ484" s="51">
        <v>1</v>
      </c>
      <c r="BK484" s="48" t="s">
        <v>86</v>
      </c>
      <c r="BL484" s="49">
        <f>SUM(BJ484)</f>
        <v>1</v>
      </c>
    </row>
    <row r="485" spans="1:65" ht="15" thickBot="1" x14ac:dyDescent="0.35">
      <c r="A485" s="33"/>
      <c r="B485" s="33"/>
      <c r="C485" s="35"/>
      <c r="D485" s="34"/>
      <c r="E485" s="34"/>
      <c r="F485" s="34"/>
      <c r="G485" s="32"/>
      <c r="H485" s="6" t="s">
        <v>87</v>
      </c>
      <c r="I485" s="34"/>
      <c r="J485" s="35"/>
      <c r="K485" s="28"/>
      <c r="L485" s="12" t="s">
        <v>88</v>
      </c>
      <c r="M485" s="37">
        <v>0</v>
      </c>
      <c r="N485" s="37">
        <v>0</v>
      </c>
      <c r="O485" s="10"/>
      <c r="P485" s="18"/>
      <c r="Q485" s="11"/>
      <c r="R485" s="18"/>
      <c r="S485" s="18"/>
      <c r="T485" s="33" t="s">
        <v>6</v>
      </c>
      <c r="U485" s="31"/>
      <c r="V485" s="7"/>
      <c r="W485" s="28"/>
      <c r="AB485" s="6" t="s">
        <v>89</v>
      </c>
      <c r="AC485" s="6">
        <v>0</v>
      </c>
      <c r="AD485" s="7">
        <v>0</v>
      </c>
      <c r="AE485" s="8"/>
      <c r="AF485" s="8"/>
      <c r="AG485" s="8"/>
      <c r="AH485" s="6"/>
      <c r="AI485" s="7"/>
      <c r="AJ485" s="9"/>
      <c r="AK485" s="31" t="s">
        <v>90</v>
      </c>
      <c r="AL485" s="8"/>
      <c r="AM485" s="7"/>
      <c r="AP485" s="13" t="s">
        <v>84</v>
      </c>
      <c r="AQ485" s="13">
        <f>SUM(AQ478:AQ484)</f>
        <v>1312</v>
      </c>
      <c r="AR485" s="26">
        <f>SUM(AR478:AR484)</f>
        <v>1403</v>
      </c>
      <c r="AT485" s="18"/>
      <c r="AU485" s="13"/>
      <c r="AV485" s="27"/>
      <c r="AW485" s="27"/>
      <c r="AX485" s="27"/>
      <c r="AY485" s="26">
        <f>SUM(AV480:AV481)</f>
        <v>110</v>
      </c>
      <c r="AZ485" s="28"/>
      <c r="BA485" s="28"/>
      <c r="BB485" s="50" t="s">
        <v>107</v>
      </c>
      <c r="BC485" s="31">
        <f>105+20</f>
        <v>125</v>
      </c>
      <c r="BD485" s="31">
        <f>103+12</f>
        <v>115</v>
      </c>
      <c r="BE485" s="29"/>
      <c r="BF485" s="31"/>
      <c r="BG485" s="30"/>
      <c r="BH485" s="55"/>
      <c r="BI485" s="8"/>
      <c r="BJ485" s="29"/>
      <c r="BK485" s="34" t="s">
        <v>92</v>
      </c>
      <c r="BL485" s="35"/>
    </row>
    <row r="486" spans="1:65" x14ac:dyDescent="0.3">
      <c r="A486" s="36" t="s">
        <v>93</v>
      </c>
      <c r="B486" s="36">
        <v>3016</v>
      </c>
      <c r="C486" s="11">
        <v>4504</v>
      </c>
      <c r="D486" s="37"/>
      <c r="E486" s="38" t="s">
        <v>60</v>
      </c>
      <c r="F486" s="37"/>
      <c r="G486" s="12">
        <v>4561</v>
      </c>
      <c r="H486" s="36">
        <v>29</v>
      </c>
      <c r="I486" s="37" t="s">
        <v>94</v>
      </c>
      <c r="J486" s="40"/>
      <c r="K486" s="28"/>
      <c r="L486" s="44" t="s">
        <v>95</v>
      </c>
      <c r="M486" s="37">
        <v>0</v>
      </c>
      <c r="N486" s="37">
        <v>600</v>
      </c>
      <c r="O486" s="10"/>
      <c r="P486" s="18"/>
      <c r="Q486" s="11"/>
      <c r="R486" s="18"/>
      <c r="S486" s="18"/>
      <c r="T486" s="10" t="s">
        <v>96</v>
      </c>
      <c r="U486" s="37"/>
      <c r="V486" s="11"/>
      <c r="W486" s="28"/>
      <c r="AB486" s="36" t="s">
        <v>97</v>
      </c>
      <c r="AC486" s="10">
        <v>0</v>
      </c>
      <c r="AD486" s="11">
        <v>0</v>
      </c>
      <c r="AE486" s="18">
        <v>0</v>
      </c>
      <c r="AF486" s="18">
        <v>0</v>
      </c>
      <c r="AG486" s="18">
        <v>0</v>
      </c>
      <c r="AH486" s="36">
        <v>0</v>
      </c>
      <c r="AI486" s="11">
        <v>0</v>
      </c>
      <c r="AJ486" s="12">
        <v>0</v>
      </c>
      <c r="AK486" s="37"/>
      <c r="AL486" s="37" t="s">
        <v>98</v>
      </c>
      <c r="AM486" s="11"/>
      <c r="AP486" s="32" t="s">
        <v>6</v>
      </c>
      <c r="AQ486" s="43"/>
      <c r="AR486" s="54"/>
      <c r="AS486" s="33"/>
      <c r="AT486" s="35"/>
      <c r="AU486" s="33"/>
      <c r="AV486" s="34" t="s">
        <v>91</v>
      </c>
      <c r="AW486" s="34"/>
      <c r="AX486" s="34"/>
      <c r="AY486" s="35"/>
      <c r="AZ486" s="28" t="s">
        <v>6</v>
      </c>
      <c r="BA486" s="28"/>
      <c r="BB486" s="41" t="s">
        <v>99</v>
      </c>
      <c r="BC486" s="45">
        <v>0</v>
      </c>
      <c r="BD486" s="45">
        <v>0</v>
      </c>
      <c r="BE486" s="42">
        <v>0</v>
      </c>
      <c r="BF486" s="45">
        <v>0</v>
      </c>
      <c r="BG486" s="40">
        <v>0</v>
      </c>
      <c r="BH486" s="45">
        <v>46472</v>
      </c>
      <c r="BI486" s="56">
        <v>10266</v>
      </c>
      <c r="BJ486" s="52">
        <v>23</v>
      </c>
      <c r="BK486" s="37" t="s">
        <v>100</v>
      </c>
      <c r="BL486" s="40"/>
    </row>
    <row r="487" spans="1:65" ht="15" thickBot="1" x14ac:dyDescent="0.35">
      <c r="A487" s="47"/>
      <c r="B487" s="47"/>
      <c r="C487" s="49"/>
      <c r="D487" s="48"/>
      <c r="E487" s="48"/>
      <c r="F487" s="48"/>
      <c r="G487" s="46"/>
      <c r="H487" s="47">
        <v>2</v>
      </c>
      <c r="I487" s="48" t="s">
        <v>101</v>
      </c>
      <c r="J487" s="49">
        <f>SUM(H486:H487)</f>
        <v>31</v>
      </c>
      <c r="K487" s="28"/>
      <c r="L487" s="12" t="s">
        <v>102</v>
      </c>
      <c r="M487" s="18"/>
      <c r="N487" s="18"/>
      <c r="O487" s="10"/>
      <c r="P487" s="18"/>
      <c r="Q487" s="11"/>
      <c r="R487" s="18"/>
      <c r="S487" s="18"/>
      <c r="T487" s="10"/>
      <c r="U487" s="18"/>
      <c r="V487" s="11"/>
      <c r="W487" s="28"/>
      <c r="AB487" s="47" t="s">
        <v>84</v>
      </c>
      <c r="AC487" s="13">
        <f>SUM(AC485:AC486)</f>
        <v>0</v>
      </c>
      <c r="AD487" s="26">
        <f>SUM(AD485:AD486)</f>
        <v>0</v>
      </c>
      <c r="AE487" s="27"/>
      <c r="AF487" s="27"/>
      <c r="AG487" s="27"/>
      <c r="AH487" s="13"/>
      <c r="AI487" s="26"/>
      <c r="AJ487" s="17"/>
      <c r="AK487" s="57"/>
      <c r="AL487" s="37" t="s">
        <v>141</v>
      </c>
      <c r="AM487" s="11"/>
      <c r="AP487" s="41" t="s">
        <v>56</v>
      </c>
      <c r="AQ487" s="43">
        <v>902</v>
      </c>
      <c r="AR487">
        <v>956</v>
      </c>
      <c r="AS487" s="42"/>
      <c r="AT487" s="40"/>
      <c r="AU487" s="42"/>
      <c r="AV487" s="28"/>
      <c r="AW487" s="28"/>
      <c r="AX487" s="28"/>
      <c r="AY487" s="40"/>
      <c r="AZ487" s="28"/>
      <c r="BA487" s="28"/>
      <c r="BB487" s="17" t="s">
        <v>84</v>
      </c>
      <c r="BC487" s="18">
        <f>SUM(BC485:BC486)</f>
        <v>125</v>
      </c>
      <c r="BD487" s="18">
        <f>SUM(BD485:BD486)</f>
        <v>115</v>
      </c>
      <c r="BE487" s="13"/>
      <c r="BF487" s="27"/>
      <c r="BG487" s="26"/>
      <c r="BH487" s="58"/>
      <c r="BI487" s="27"/>
      <c r="BJ487" s="59">
        <v>1</v>
      </c>
      <c r="BK487" s="48" t="s">
        <v>506</v>
      </c>
      <c r="BL487" s="60">
        <f>SUM(BJ486:BJ487)</f>
        <v>24</v>
      </c>
    </row>
    <row r="488" spans="1:65" ht="15" thickBot="1" x14ac:dyDescent="0.35">
      <c r="A488" s="29" t="s">
        <v>250</v>
      </c>
      <c r="B488" s="29">
        <v>0</v>
      </c>
      <c r="C488" s="7">
        <v>0</v>
      </c>
      <c r="D488" s="8"/>
      <c r="E488" s="8"/>
      <c r="F488" s="8"/>
      <c r="G488" s="9"/>
      <c r="H488" s="8" t="s">
        <v>104</v>
      </c>
      <c r="I488" s="8"/>
      <c r="J488" s="7"/>
      <c r="K488" s="28"/>
      <c r="L488" s="12" t="s">
        <v>84</v>
      </c>
      <c r="M488" s="18">
        <f>SUM(M485:M487)</f>
        <v>0</v>
      </c>
      <c r="N488" s="18">
        <f>SUM(N485:N487)</f>
        <v>600</v>
      </c>
      <c r="O488" s="10">
        <v>0</v>
      </c>
      <c r="P488" s="18">
        <v>0</v>
      </c>
      <c r="Q488" s="11">
        <v>0</v>
      </c>
      <c r="R488" s="18">
        <v>0</v>
      </c>
      <c r="S488" s="18">
        <v>0</v>
      </c>
      <c r="T488" s="13"/>
      <c r="U488" s="27"/>
      <c r="V488" s="26"/>
      <c r="W488" s="28"/>
      <c r="AB488" s="44"/>
      <c r="AC488" s="18"/>
      <c r="AD488" s="18"/>
      <c r="AE488" s="10"/>
      <c r="AF488" s="18"/>
      <c r="AG488" s="11"/>
      <c r="AH488" s="10"/>
      <c r="AI488" s="11"/>
      <c r="AJ488" s="6"/>
      <c r="AK488" s="33" t="s">
        <v>6</v>
      </c>
      <c r="AL488" s="61" t="s">
        <v>6</v>
      </c>
      <c r="AM488" s="7"/>
      <c r="AP488" s="62" t="s">
        <v>6</v>
      </c>
      <c r="AQ488" s="43"/>
      <c r="AR488" s="43"/>
      <c r="AS488" s="47"/>
      <c r="AT488" s="49"/>
      <c r="AU488" s="47"/>
      <c r="AV488" s="48">
        <v>82</v>
      </c>
      <c r="AW488" s="48" t="s">
        <v>73</v>
      </c>
      <c r="AX488" s="48"/>
      <c r="AY488" s="49">
        <f>SUM(AV488)</f>
        <v>82</v>
      </c>
      <c r="AZ488" s="28" t="s">
        <v>6</v>
      </c>
      <c r="BA488" s="28" t="s">
        <v>6</v>
      </c>
      <c r="BB488" s="32" t="s">
        <v>107</v>
      </c>
      <c r="BC488" s="63"/>
      <c r="BD488" s="64"/>
      <c r="BE488" s="33"/>
      <c r="BF488" s="8"/>
      <c r="BG488" s="35"/>
      <c r="BH488" s="65"/>
      <c r="BI488" s="66"/>
      <c r="BJ488" s="29"/>
      <c r="BK488" s="31" t="s">
        <v>57</v>
      </c>
      <c r="BL488" s="35"/>
    </row>
    <row r="489" spans="1:65" x14ac:dyDescent="0.3">
      <c r="A489" s="42" t="s">
        <v>105</v>
      </c>
      <c r="B489" s="42">
        <v>298</v>
      </c>
      <c r="C489" s="40">
        <v>435</v>
      </c>
      <c r="D489" s="28"/>
      <c r="E489" s="38" t="s">
        <v>60</v>
      </c>
      <c r="F489" s="28"/>
      <c r="G489" s="41">
        <f>8*72</f>
        <v>576</v>
      </c>
      <c r="H489" s="67">
        <v>8</v>
      </c>
      <c r="I489" s="43" t="s">
        <v>106</v>
      </c>
      <c r="J489" s="40">
        <f>SUM(H489)</f>
        <v>8</v>
      </c>
      <c r="K489" s="28"/>
      <c r="L489" s="32"/>
      <c r="M489" s="33"/>
      <c r="N489" s="35"/>
      <c r="O489" s="34"/>
      <c r="P489" s="34"/>
      <c r="Q489" s="35"/>
      <c r="R489" s="33"/>
      <c r="S489" s="35"/>
      <c r="T489" s="6" t="s">
        <v>104</v>
      </c>
      <c r="U489" s="34"/>
      <c r="V489" s="35"/>
      <c r="W489" s="28"/>
      <c r="AB489" s="41" t="s">
        <v>6</v>
      </c>
      <c r="AC489" s="18"/>
      <c r="AD489" s="18"/>
      <c r="AE489" s="10">
        <v>0</v>
      </c>
      <c r="AF489" s="18">
        <v>0</v>
      </c>
      <c r="AG489" s="11">
        <v>0</v>
      </c>
      <c r="AH489" s="10"/>
      <c r="AI489" s="11"/>
      <c r="AJ489" s="10">
        <v>0</v>
      </c>
      <c r="AK489" s="10"/>
      <c r="AL489" s="37" t="s">
        <v>6</v>
      </c>
      <c r="AM489" s="11"/>
      <c r="AP489" s="10"/>
      <c r="AQ489" s="29"/>
      <c r="AR489" s="31"/>
      <c r="AS489" s="33"/>
      <c r="AT489" s="7"/>
      <c r="AU489" s="8"/>
      <c r="AV489" s="8"/>
      <c r="AW489" s="8"/>
      <c r="AX489" s="8"/>
      <c r="AY489" s="7"/>
      <c r="AZ489" s="28"/>
      <c r="BA489" s="28" t="s">
        <v>6</v>
      </c>
      <c r="BB489" s="41" t="s">
        <v>113</v>
      </c>
      <c r="BC489" s="70">
        <v>368</v>
      </c>
      <c r="BD489" s="71">
        <v>459</v>
      </c>
      <c r="BE489" s="42"/>
      <c r="BF489" s="28"/>
      <c r="BG489" s="40"/>
      <c r="BH489" s="42"/>
      <c r="BI489" s="40"/>
      <c r="BJ489" s="42" t="s">
        <v>6</v>
      </c>
      <c r="BK489" s="43"/>
      <c r="BL489" s="40"/>
    </row>
    <row r="490" spans="1:65" ht="15" thickBot="1" x14ac:dyDescent="0.35">
      <c r="A490" s="67" t="s">
        <v>84</v>
      </c>
      <c r="B490" s="47">
        <f>SUM(B488:B489)</f>
        <v>298</v>
      </c>
      <c r="C490" s="49">
        <f>SUM(C488:C489)</f>
        <v>435</v>
      </c>
      <c r="G490" s="46"/>
      <c r="H490" s="48"/>
      <c r="I490" s="48"/>
      <c r="J490" s="49"/>
      <c r="K490" s="28"/>
      <c r="L490" s="69" t="s">
        <v>109</v>
      </c>
      <c r="M490" s="42">
        <v>0</v>
      </c>
      <c r="N490" s="40">
        <v>0</v>
      </c>
      <c r="O490" s="28">
        <v>0</v>
      </c>
      <c r="P490" s="43">
        <v>0</v>
      </c>
      <c r="Q490" s="40">
        <v>0</v>
      </c>
      <c r="R490" s="42">
        <v>0</v>
      </c>
      <c r="S490" s="40">
        <v>0</v>
      </c>
      <c r="T490" s="28"/>
      <c r="U490" s="28"/>
      <c r="V490" s="40"/>
      <c r="W490" s="28"/>
      <c r="AA490" s="28"/>
      <c r="AB490" s="44"/>
      <c r="AC490" s="45"/>
      <c r="AD490" s="45"/>
      <c r="AE490" s="10">
        <v>0</v>
      </c>
      <c r="AF490" s="18">
        <v>0</v>
      </c>
      <c r="AG490" s="11">
        <v>0</v>
      </c>
      <c r="AH490" s="10"/>
      <c r="AI490" s="11"/>
      <c r="AJ490" s="67"/>
      <c r="AK490" s="42"/>
      <c r="AL490" s="54"/>
      <c r="AM490" s="40"/>
      <c r="AN490" s="28"/>
      <c r="AP490" s="36" t="s">
        <v>63</v>
      </c>
      <c r="AQ490" s="10">
        <v>39</v>
      </c>
      <c r="AR490" s="18">
        <v>70</v>
      </c>
      <c r="AS490" s="42"/>
      <c r="AT490" s="11"/>
      <c r="AU490" s="18"/>
      <c r="AV490" s="18" t="s">
        <v>110</v>
      </c>
      <c r="AW490" s="18" t="s">
        <v>111</v>
      </c>
      <c r="AX490" s="18" t="s">
        <v>112</v>
      </c>
      <c r="AY490" s="11"/>
      <c r="AZ490" s="45"/>
      <c r="BA490" s="28"/>
      <c r="BB490" s="68" t="s">
        <v>84</v>
      </c>
      <c r="BC490">
        <f>SUM(BC488:BC489)</f>
        <v>368</v>
      </c>
      <c r="BD490">
        <f>SUM(BD488:BD489)</f>
        <v>459</v>
      </c>
      <c r="BE490" s="47">
        <v>0</v>
      </c>
      <c r="BF490" s="27">
        <v>0</v>
      </c>
      <c r="BG490" s="49">
        <v>0</v>
      </c>
      <c r="BH490" s="75">
        <v>0</v>
      </c>
      <c r="BI490" s="49">
        <v>0</v>
      </c>
      <c r="BJ490" s="47">
        <v>41</v>
      </c>
      <c r="BK490" s="51" t="s">
        <v>73</v>
      </c>
      <c r="BL490" s="49">
        <f>SUM(BJ489:BJ490)</f>
        <v>41</v>
      </c>
    </row>
    <row r="491" spans="1:65" ht="15" thickBot="1" x14ac:dyDescent="0.35">
      <c r="A491" s="29" t="s">
        <v>108</v>
      </c>
      <c r="B491" s="29">
        <v>0</v>
      </c>
      <c r="C491" s="7">
        <v>0</v>
      </c>
      <c r="D491" s="8"/>
      <c r="E491" s="8">
        <v>1393</v>
      </c>
      <c r="F491" s="8"/>
      <c r="G491" s="50"/>
      <c r="H491" s="6" t="s">
        <v>104</v>
      </c>
      <c r="I491" s="31"/>
      <c r="J491" s="30"/>
      <c r="K491" s="28"/>
      <c r="L491" s="46"/>
      <c r="M491" s="47"/>
      <c r="N491" s="49"/>
      <c r="O491" s="48"/>
      <c r="P491" s="48"/>
      <c r="Q491" s="49"/>
      <c r="R491" s="72"/>
      <c r="S491" s="73"/>
      <c r="T491" s="48"/>
      <c r="U491" s="48"/>
      <c r="V491" s="49"/>
      <c r="W491" s="28"/>
      <c r="AA491" s="28"/>
      <c r="AB491" s="41"/>
      <c r="AE491" s="10">
        <v>0</v>
      </c>
      <c r="AF491" s="18">
        <v>0</v>
      </c>
      <c r="AG491" s="11">
        <v>0</v>
      </c>
      <c r="AH491" s="10"/>
      <c r="AI491" s="11"/>
      <c r="AJ491" s="47"/>
      <c r="AK491" s="72"/>
      <c r="AL491" s="74"/>
      <c r="AM491" s="49"/>
      <c r="AN491" s="28"/>
      <c r="AP491" s="10" t="s">
        <v>115</v>
      </c>
      <c r="AQ491" s="36">
        <v>36</v>
      </c>
      <c r="AR491" s="37">
        <v>34</v>
      </c>
      <c r="AS491" s="42"/>
      <c r="AT491" s="11"/>
      <c r="AU491" s="18"/>
      <c r="AV491" s="18"/>
      <c r="AW491" s="18"/>
      <c r="AX491" s="18"/>
      <c r="AY491" s="11"/>
      <c r="AZ491" s="28"/>
      <c r="BA491" s="28" t="s">
        <v>6</v>
      </c>
      <c r="BB491" s="33" t="s">
        <v>358</v>
      </c>
      <c r="BC491" s="78">
        <v>19</v>
      </c>
      <c r="BD491" s="79">
        <v>19</v>
      </c>
      <c r="BE491" s="34"/>
      <c r="BF491" s="8"/>
      <c r="BG491" s="35"/>
      <c r="BH491" s="80"/>
      <c r="BI491" s="34"/>
      <c r="BJ491" s="33"/>
      <c r="BK491" s="34" t="s">
        <v>91</v>
      </c>
      <c r="BL491" s="35"/>
    </row>
    <row r="492" spans="1:65" x14ac:dyDescent="0.3">
      <c r="A492" s="52" t="s">
        <v>109</v>
      </c>
      <c r="B492" s="36">
        <v>2416</v>
      </c>
      <c r="C492" s="11">
        <v>3226</v>
      </c>
      <c r="D492" s="45"/>
      <c r="E492" s="45">
        <v>0</v>
      </c>
      <c r="F492" s="45"/>
      <c r="G492" s="69"/>
      <c r="H492" s="45">
        <v>14</v>
      </c>
      <c r="I492" s="28" t="s">
        <v>114</v>
      </c>
      <c r="J492" s="40"/>
      <c r="K492" s="28"/>
      <c r="L492" s="50" t="s">
        <v>93</v>
      </c>
      <c r="M492" s="8">
        <v>0</v>
      </c>
      <c r="N492" s="8">
        <v>0</v>
      </c>
      <c r="O492" s="6"/>
      <c r="P492" s="8"/>
      <c r="Q492" s="7"/>
      <c r="R492" s="8"/>
      <c r="S492" s="8"/>
      <c r="T492" s="10" t="s">
        <v>116</v>
      </c>
      <c r="U492" s="8"/>
      <c r="V492" s="7"/>
      <c r="W492" s="28"/>
      <c r="AA492" s="28"/>
      <c r="AB492" s="32"/>
      <c r="AC492" s="6"/>
      <c r="AD492" s="7"/>
      <c r="AE492" s="8"/>
      <c r="AF492" s="8"/>
      <c r="AG492" s="8"/>
      <c r="AH492" s="6"/>
      <c r="AI492" s="7"/>
      <c r="AJ492" s="8"/>
      <c r="AK492" s="36"/>
      <c r="AL492" s="77" t="s">
        <v>117</v>
      </c>
      <c r="AM492" s="11"/>
      <c r="AN492" s="28"/>
      <c r="AP492" s="52" t="s">
        <v>72</v>
      </c>
      <c r="AQ492" s="52">
        <v>6</v>
      </c>
      <c r="AR492" s="54"/>
      <c r="AS492" s="42"/>
      <c r="AT492" s="40"/>
      <c r="AU492" s="28"/>
      <c r="AV492" s="28"/>
      <c r="AW492" s="28"/>
      <c r="AX492" s="28"/>
      <c r="AY492" s="40"/>
      <c r="AZ492" s="28"/>
      <c r="BA492" s="28"/>
      <c r="BB492" s="52" t="s">
        <v>89</v>
      </c>
      <c r="BC492" s="42">
        <v>0</v>
      </c>
      <c r="BD492" s="40">
        <v>15</v>
      </c>
      <c r="BE492" s="28"/>
      <c r="BF492" s="28"/>
      <c r="BG492" s="40"/>
      <c r="BJ492" s="42"/>
      <c r="BK492" s="28"/>
      <c r="BL492" s="40"/>
    </row>
    <row r="493" spans="1:65" ht="15" thickBot="1" x14ac:dyDescent="0.35">
      <c r="A493" s="76" t="s">
        <v>84</v>
      </c>
      <c r="B493" s="42">
        <f>SUM(B491:B492)</f>
        <v>2416</v>
      </c>
      <c r="C493" s="40">
        <f>SUM(C491:C492)</f>
        <v>3226</v>
      </c>
      <c r="D493" s="28"/>
      <c r="E493" s="28">
        <f>SUM(E491:E492)</f>
        <v>1393</v>
      </c>
      <c r="F493" s="28"/>
      <c r="G493" s="46">
        <f>355*14</f>
        <v>4970</v>
      </c>
      <c r="H493" s="48"/>
      <c r="I493" s="48"/>
      <c r="J493" s="49">
        <f>SUM(H492)</f>
        <v>14</v>
      </c>
      <c r="K493" s="28"/>
      <c r="L493" s="12" t="s">
        <v>99</v>
      </c>
      <c r="M493" s="37">
        <v>81507</v>
      </c>
      <c r="N493" s="37">
        <v>21885</v>
      </c>
      <c r="O493" s="10"/>
      <c r="P493" s="18"/>
      <c r="Q493" s="11"/>
      <c r="R493" s="18">
        <v>5065</v>
      </c>
      <c r="S493" s="18">
        <v>229</v>
      </c>
      <c r="T493" s="10"/>
      <c r="U493" s="18"/>
      <c r="V493" s="11"/>
      <c r="W493" s="28"/>
      <c r="AA493" s="28"/>
      <c r="AB493" s="68"/>
      <c r="AC493" s="42"/>
      <c r="AD493" s="40"/>
      <c r="AH493" s="42"/>
      <c r="AI493" s="40"/>
      <c r="AK493" s="42"/>
      <c r="AL493" s="54" t="s">
        <v>121</v>
      </c>
      <c r="AM493" s="40"/>
      <c r="AN493" s="28"/>
      <c r="AP493" s="36" t="s">
        <v>78</v>
      </c>
      <c r="AQ493" s="36">
        <v>80</v>
      </c>
      <c r="AR493" s="37">
        <v>16</v>
      </c>
      <c r="AS493" s="42"/>
      <c r="AT493" s="11"/>
      <c r="AU493" s="18"/>
      <c r="AV493" s="37"/>
      <c r="AW493" s="18"/>
      <c r="AX493" s="37"/>
      <c r="AY493" s="11"/>
      <c r="AZ493" s="28"/>
      <c r="BA493" s="28"/>
      <c r="BB493" s="67" t="s">
        <v>113</v>
      </c>
      <c r="BC493" s="42">
        <v>356</v>
      </c>
      <c r="BD493" s="40">
        <v>419</v>
      </c>
      <c r="BE493" s="28"/>
      <c r="BF493" s="28"/>
      <c r="BG493" s="40"/>
      <c r="BH493" s="28"/>
      <c r="BI493" s="28"/>
      <c r="BJ493" s="67">
        <v>43</v>
      </c>
      <c r="BK493" s="43" t="s">
        <v>73</v>
      </c>
      <c r="BL493" s="40"/>
    </row>
    <row r="494" spans="1:65" ht="15" thickBot="1" x14ac:dyDescent="0.35">
      <c r="A494" s="32" t="s">
        <v>93</v>
      </c>
      <c r="B494" s="33">
        <v>7140</v>
      </c>
      <c r="C494" s="35">
        <v>9013</v>
      </c>
      <c r="D494" s="33"/>
      <c r="E494" s="34"/>
      <c r="F494" s="34"/>
      <c r="G494" s="32">
        <f>160*62</f>
        <v>9920</v>
      </c>
      <c r="H494" s="33" t="s">
        <v>118</v>
      </c>
      <c r="I494" s="34"/>
      <c r="J494" s="35"/>
      <c r="K494" s="28"/>
      <c r="L494" s="12" t="s">
        <v>120</v>
      </c>
      <c r="M494" s="37">
        <v>26917</v>
      </c>
      <c r="N494" s="37">
        <v>57544</v>
      </c>
      <c r="O494" s="10"/>
      <c r="P494" s="18"/>
      <c r="Q494" s="11"/>
      <c r="R494" s="18">
        <v>868</v>
      </c>
      <c r="S494" s="18">
        <v>0</v>
      </c>
      <c r="T494" s="10"/>
      <c r="U494" s="18"/>
      <c r="V494" s="11"/>
      <c r="W494" s="28"/>
      <c r="AA494" s="28"/>
      <c r="AB494" s="44"/>
      <c r="AC494" s="10"/>
      <c r="AD494" s="11"/>
      <c r="AE494" s="18"/>
      <c r="AF494" s="18"/>
      <c r="AG494" s="18"/>
      <c r="AH494" s="10"/>
      <c r="AI494" s="11"/>
      <c r="AJ494" s="18"/>
      <c r="AK494" s="10"/>
      <c r="AL494" s="37" t="s">
        <v>302</v>
      </c>
      <c r="AM494" s="11"/>
      <c r="AN494" s="28"/>
      <c r="AP494" s="10" t="s">
        <v>122</v>
      </c>
      <c r="AQ494" s="36">
        <v>9</v>
      </c>
      <c r="AR494" s="37">
        <v>7</v>
      </c>
      <c r="AS494" s="42"/>
      <c r="AT494" s="11"/>
      <c r="AU494" s="18"/>
      <c r="AV494" s="18">
        <v>2</v>
      </c>
      <c r="AW494" s="18" t="s">
        <v>123</v>
      </c>
      <c r="AX494" s="18"/>
      <c r="AY494" s="11"/>
      <c r="AZ494" s="28"/>
      <c r="BA494" s="28"/>
      <c r="BB494" s="47" t="s">
        <v>84</v>
      </c>
      <c r="BC494" s="47">
        <f>SUM(BC491:BC493)</f>
        <v>375</v>
      </c>
      <c r="BD494" s="49">
        <f>SUM(BD491:BD493)</f>
        <v>453</v>
      </c>
      <c r="BE494" s="81">
        <v>0</v>
      </c>
      <c r="BF494" s="27">
        <v>0</v>
      </c>
      <c r="BG494" s="82">
        <v>0</v>
      </c>
      <c r="BH494" s="74">
        <v>0</v>
      </c>
      <c r="BI494" s="74">
        <v>0</v>
      </c>
      <c r="BJ494" s="47"/>
      <c r="BK494" s="51"/>
      <c r="BL494" s="49">
        <f>SUM(BJ493)</f>
        <v>43</v>
      </c>
      <c r="BM494" t="s">
        <v>6</v>
      </c>
    </row>
    <row r="495" spans="1:65" ht="15" thickBot="1" x14ac:dyDescent="0.35">
      <c r="A495" s="41" t="s">
        <v>120</v>
      </c>
      <c r="B495" s="42">
        <v>3841</v>
      </c>
      <c r="C495" s="40">
        <v>4548</v>
      </c>
      <c r="D495" s="42"/>
      <c r="E495" s="28" t="s">
        <v>60</v>
      </c>
      <c r="F495" s="28"/>
      <c r="G495" s="41">
        <f>160*31</f>
        <v>4960</v>
      </c>
      <c r="H495" s="42">
        <v>93</v>
      </c>
      <c r="I495" s="28" t="s">
        <v>101</v>
      </c>
      <c r="J495" s="40"/>
      <c r="K495" s="28"/>
      <c r="L495" s="12" t="s">
        <v>84</v>
      </c>
      <c r="M495" s="18">
        <f>SUM(M492:M494)</f>
        <v>108424</v>
      </c>
      <c r="N495" s="18">
        <f>SUM(N492:N494)</f>
        <v>79429</v>
      </c>
      <c r="O495" s="10">
        <v>0</v>
      </c>
      <c r="P495" s="18">
        <v>0</v>
      </c>
      <c r="Q495" s="11">
        <v>0</v>
      </c>
      <c r="R495" s="18">
        <f>SUM(R492:R494)</f>
        <v>5933</v>
      </c>
      <c r="S495" s="18">
        <f>SUM(S492:S494)</f>
        <v>229</v>
      </c>
      <c r="T495" s="10"/>
      <c r="U495" s="18"/>
      <c r="V495" s="11"/>
      <c r="W495" s="28"/>
      <c r="AA495" s="28"/>
      <c r="AB495" s="46"/>
      <c r="AC495" s="47"/>
      <c r="AD495" s="49"/>
      <c r="AE495" s="48"/>
      <c r="AF495" s="48"/>
      <c r="AG495" s="48"/>
      <c r="AH495" s="47"/>
      <c r="AI495" s="49"/>
      <c r="AJ495" s="48"/>
      <c r="AK495" s="47">
        <v>1</v>
      </c>
      <c r="AL495" s="48" t="s">
        <v>124</v>
      </c>
      <c r="AM495" s="49"/>
      <c r="AN495" s="28"/>
      <c r="AP495" s="10" t="s">
        <v>125</v>
      </c>
      <c r="AQ495" s="36">
        <v>13</v>
      </c>
      <c r="AR495" s="37">
        <v>14</v>
      </c>
      <c r="AS495" s="42"/>
      <c r="AT495" s="11"/>
      <c r="AU495" s="18"/>
      <c r="AV495" s="18">
        <v>32</v>
      </c>
      <c r="AW495" s="18" t="s">
        <v>126</v>
      </c>
      <c r="AX495" s="18"/>
      <c r="AY495" s="11"/>
      <c r="AZ495" s="28"/>
      <c r="BA495" s="28"/>
      <c r="BB495" s="52" t="s">
        <v>113</v>
      </c>
      <c r="BC495" s="42">
        <v>557</v>
      </c>
      <c r="BD495" s="85">
        <v>609</v>
      </c>
      <c r="BE495" s="37"/>
      <c r="BF495" s="18"/>
      <c r="BG495" s="54"/>
      <c r="BH495" s="52"/>
      <c r="BI495" s="40"/>
      <c r="BJ495" s="67"/>
      <c r="BK495" s="34" t="s">
        <v>130</v>
      </c>
      <c r="BL495" s="40"/>
    </row>
    <row r="496" spans="1:65" ht="15" thickBot="1" x14ac:dyDescent="0.35">
      <c r="A496" s="46" t="s">
        <v>84</v>
      </c>
      <c r="B496" s="47">
        <f>SUM(B494:B495)</f>
        <v>10981</v>
      </c>
      <c r="C496" s="49">
        <f>SUM(C494:C495)</f>
        <v>13561</v>
      </c>
      <c r="D496" s="47"/>
      <c r="E496" s="48"/>
      <c r="F496" s="48"/>
      <c r="G496" s="46">
        <f>SUM(G494:G495)</f>
        <v>14880</v>
      </c>
      <c r="H496" s="47"/>
      <c r="I496" s="48"/>
      <c r="J496" s="49">
        <f>SUM(H495:H496)</f>
        <v>93</v>
      </c>
      <c r="K496" s="28"/>
      <c r="L496" s="17"/>
      <c r="M496" s="27"/>
      <c r="N496" s="27"/>
      <c r="O496" s="13"/>
      <c r="P496" s="27"/>
      <c r="Q496" s="26"/>
      <c r="R496" s="27"/>
      <c r="S496" s="27"/>
      <c r="T496" s="13"/>
      <c r="U496" s="27"/>
      <c r="V496" s="26"/>
      <c r="W496" s="28"/>
      <c r="AA496" s="28"/>
      <c r="AB496" s="32"/>
      <c r="AE496" s="33"/>
      <c r="AF496" s="34"/>
      <c r="AG496" s="34"/>
      <c r="AH496" s="33"/>
      <c r="AI496" s="35"/>
      <c r="AJ496" s="32"/>
      <c r="AK496" s="83"/>
      <c r="AL496" s="34"/>
      <c r="AM496" s="35"/>
      <c r="AN496" s="28"/>
      <c r="AP496" s="84" t="s">
        <v>128</v>
      </c>
      <c r="AQ496" s="52">
        <v>6</v>
      </c>
      <c r="AR496" s="37">
        <v>5</v>
      </c>
      <c r="AS496" s="42"/>
      <c r="AT496" s="40"/>
      <c r="AU496" s="28"/>
      <c r="AV496" s="28">
        <v>40</v>
      </c>
      <c r="AW496" s="28" t="s">
        <v>129</v>
      </c>
      <c r="AX496" s="28"/>
      <c r="AY496" s="40"/>
      <c r="BA496" s="28"/>
      <c r="BB496" s="42" t="s">
        <v>475</v>
      </c>
      <c r="BC496" s="67">
        <v>0</v>
      </c>
      <c r="BD496" s="85">
        <v>0</v>
      </c>
      <c r="BE496" s="28"/>
      <c r="BF496" s="18"/>
      <c r="BG496" s="28"/>
      <c r="BH496" s="52"/>
      <c r="BI496" s="86"/>
      <c r="BJ496" s="52">
        <v>52</v>
      </c>
      <c r="BK496" s="43" t="s">
        <v>73</v>
      </c>
      <c r="BL496" s="40"/>
    </row>
    <row r="497" spans="1:64" ht="15" thickBot="1" x14ac:dyDescent="0.35">
      <c r="A497" s="41" t="s">
        <v>88</v>
      </c>
      <c r="B497" s="42">
        <v>198</v>
      </c>
      <c r="C497" s="40">
        <v>377</v>
      </c>
      <c r="D497" s="28"/>
      <c r="E497" s="45">
        <v>0</v>
      </c>
      <c r="F497" s="40"/>
      <c r="G497" s="40"/>
      <c r="H497" s="28" t="s">
        <v>131</v>
      </c>
      <c r="J497" s="40"/>
      <c r="K497" s="28"/>
      <c r="L497" s="12" t="s">
        <v>105</v>
      </c>
      <c r="M497" s="34">
        <v>2311</v>
      </c>
      <c r="N497" s="34">
        <v>7606</v>
      </c>
      <c r="O497" s="33" t="s">
        <v>6</v>
      </c>
      <c r="P497" s="34"/>
      <c r="Q497" s="35"/>
      <c r="R497" s="34">
        <v>1</v>
      </c>
      <c r="S497" s="34">
        <v>0</v>
      </c>
      <c r="T497" s="33"/>
      <c r="U497" s="34"/>
      <c r="V497" s="35"/>
      <c r="W497" s="28"/>
      <c r="AA497" s="28"/>
      <c r="AB497" s="46"/>
      <c r="AD497">
        <v>0</v>
      </c>
      <c r="AE497" s="47"/>
      <c r="AF497" s="48"/>
      <c r="AG497" s="48"/>
      <c r="AH497" s="47"/>
      <c r="AI497" s="49"/>
      <c r="AJ497" s="46"/>
      <c r="AK497" s="48"/>
      <c r="AL497" s="48"/>
      <c r="AM497" s="49"/>
      <c r="AN497" s="28"/>
      <c r="AP497" s="84" t="s">
        <v>132</v>
      </c>
      <c r="AQ497" s="42">
        <v>0</v>
      </c>
      <c r="AR497" s="37">
        <v>0</v>
      </c>
      <c r="AS497" s="42"/>
      <c r="AT497" s="40"/>
      <c r="AU497" s="28"/>
      <c r="AV497" s="28"/>
      <c r="AW497" s="28"/>
      <c r="AX497" s="28"/>
      <c r="AY497" s="40"/>
      <c r="AZ497" s="28"/>
      <c r="BA497" s="28"/>
      <c r="BB497" s="59" t="s">
        <v>84</v>
      </c>
      <c r="BC497" s="13">
        <f>SUM(BC495:BC496)</f>
        <v>557</v>
      </c>
      <c r="BD497" s="60">
        <f>SUM(BD495:BD496)</f>
        <v>609</v>
      </c>
      <c r="BE497" s="81">
        <v>0</v>
      </c>
      <c r="BF497" s="27">
        <v>0</v>
      </c>
      <c r="BG497" s="27">
        <v>0</v>
      </c>
      <c r="BH497" s="13">
        <v>0</v>
      </c>
      <c r="BI497" s="26">
        <v>0</v>
      </c>
      <c r="BJ497" s="13"/>
      <c r="BK497" s="43"/>
      <c r="BL497" s="26">
        <f>SUM(BJ495:BJ496)</f>
        <v>52</v>
      </c>
    </row>
    <row r="498" spans="1:64" x14ac:dyDescent="0.3">
      <c r="A498" s="41" t="s">
        <v>102</v>
      </c>
      <c r="B498" s="42">
        <v>532</v>
      </c>
      <c r="C498" s="85">
        <v>721</v>
      </c>
      <c r="D498" s="28"/>
      <c r="E498" s="45">
        <v>0</v>
      </c>
      <c r="F498" s="40"/>
      <c r="G498" s="40">
        <f>9*150</f>
        <v>1350</v>
      </c>
      <c r="H498" s="43">
        <v>9</v>
      </c>
      <c r="I498" s="28" t="s">
        <v>134</v>
      </c>
      <c r="J498" s="40"/>
      <c r="K498" s="28"/>
      <c r="L498" s="44" t="s">
        <v>99</v>
      </c>
      <c r="M498" s="18">
        <v>81</v>
      </c>
      <c r="N498" s="18">
        <v>0</v>
      </c>
      <c r="O498" s="10"/>
      <c r="P498" s="18"/>
      <c r="Q498" s="11"/>
      <c r="R498" s="18">
        <v>0</v>
      </c>
      <c r="S498" s="18">
        <v>0</v>
      </c>
      <c r="T498" s="10" t="s">
        <v>135</v>
      </c>
      <c r="U498" s="18"/>
      <c r="V498" s="11"/>
      <c r="W498" s="28"/>
      <c r="AA498" s="28"/>
      <c r="AB498" s="32" t="s">
        <v>89</v>
      </c>
      <c r="AC498" s="33">
        <v>622</v>
      </c>
      <c r="AD498" s="34">
        <f>495+58</f>
        <v>553</v>
      </c>
      <c r="AE498" s="33"/>
      <c r="AF498" s="34"/>
      <c r="AG498" s="34"/>
      <c r="AH498" s="33"/>
      <c r="AI498" s="35"/>
      <c r="AJ498" s="35"/>
      <c r="AK498" s="34" t="s">
        <v>136</v>
      </c>
      <c r="AL498" s="34"/>
      <c r="AM498" s="35"/>
      <c r="AN498" s="28"/>
      <c r="AP498" s="84" t="s">
        <v>81</v>
      </c>
      <c r="AQ498" s="42">
        <v>29</v>
      </c>
      <c r="AR498" s="37">
        <v>26</v>
      </c>
      <c r="AS498" s="42"/>
      <c r="AT498" s="40"/>
      <c r="AU498" s="28"/>
      <c r="AV498" s="28"/>
      <c r="AW498" s="28"/>
      <c r="AX498" s="28"/>
      <c r="AY498" s="40"/>
      <c r="AZ498" s="28"/>
      <c r="BA498" s="28"/>
      <c r="BB498" s="88" t="s">
        <v>139</v>
      </c>
      <c r="BC498" s="33">
        <v>6</v>
      </c>
      <c r="BD498" s="35">
        <f>6+10</f>
        <v>16</v>
      </c>
      <c r="BE498" s="89"/>
      <c r="BF498" s="89"/>
      <c r="BG498" s="80"/>
      <c r="BH498" s="6"/>
      <c r="BI498" s="35"/>
      <c r="BJ498" s="33" t="s">
        <v>140</v>
      </c>
      <c r="BK498" s="34"/>
      <c r="BL498" s="35"/>
    </row>
    <row r="499" spans="1:64" ht="15" thickBot="1" x14ac:dyDescent="0.35">
      <c r="A499" s="87" t="s">
        <v>84</v>
      </c>
      <c r="B499" s="59">
        <f>SUM(B497:B498)</f>
        <v>730</v>
      </c>
      <c r="C499" s="26">
        <f>SUM(C497:C498)</f>
        <v>1098</v>
      </c>
      <c r="D499" s="27"/>
      <c r="E499" s="16">
        <f>SUM(E495:E498)</f>
        <v>0</v>
      </c>
      <c r="F499" s="26"/>
      <c r="G499" s="49"/>
      <c r="H499" s="48"/>
      <c r="I499" s="48"/>
      <c r="J499" s="49">
        <f>SUM(H497:H498)</f>
        <v>9</v>
      </c>
      <c r="K499" s="28"/>
      <c r="L499" s="12"/>
      <c r="M499" s="18"/>
      <c r="N499" s="18"/>
      <c r="O499" s="10"/>
      <c r="P499" s="18"/>
      <c r="Q499" s="11"/>
      <c r="R499" s="18"/>
      <c r="S499" s="18"/>
      <c r="T499" s="10"/>
      <c r="U499" s="18"/>
      <c r="V499" s="11"/>
      <c r="W499" s="28"/>
      <c r="AA499" s="28"/>
      <c r="AB499" s="44" t="s">
        <v>137</v>
      </c>
      <c r="AC499" s="10">
        <v>88</v>
      </c>
      <c r="AD499" s="18">
        <v>77</v>
      </c>
      <c r="AE499" s="10"/>
      <c r="AF499" s="18"/>
      <c r="AG499" s="18"/>
      <c r="AH499" s="52"/>
      <c r="AI499" s="85"/>
      <c r="AJ499" s="40"/>
      <c r="AK499" s="45"/>
      <c r="AL499" s="37"/>
      <c r="AM499" s="40"/>
      <c r="AN499" s="28"/>
      <c r="AP499" s="10" t="s">
        <v>138</v>
      </c>
      <c r="AQ499" s="36">
        <v>0</v>
      </c>
      <c r="AR499" s="37">
        <v>4</v>
      </c>
      <c r="AS499" s="42"/>
      <c r="AT499" s="11"/>
      <c r="AU499" s="18"/>
      <c r="AV499" s="18"/>
      <c r="AW499" s="18"/>
      <c r="AX499" s="18"/>
      <c r="AY499" s="11"/>
      <c r="AZ499" s="28"/>
      <c r="BA499" s="28"/>
      <c r="BB499" s="92" t="s">
        <v>113</v>
      </c>
      <c r="BC499" s="67">
        <f>1+8+28+5</f>
        <v>42</v>
      </c>
      <c r="BD499" s="56">
        <f>1+38+6</f>
        <v>45</v>
      </c>
      <c r="BE499" s="54"/>
      <c r="BF499" s="54"/>
      <c r="BG499" s="45"/>
      <c r="BH499" s="10"/>
      <c r="BI499" s="40"/>
      <c r="BJ499" s="10" t="s">
        <v>142</v>
      </c>
      <c r="BK499" s="18"/>
      <c r="BL499" s="39" t="s">
        <v>251</v>
      </c>
    </row>
    <row r="500" spans="1:64" x14ac:dyDescent="0.3">
      <c r="A500" s="36" t="s">
        <v>93</v>
      </c>
      <c r="B500" s="42">
        <v>7906</v>
      </c>
      <c r="C500" s="90">
        <v>9213</v>
      </c>
      <c r="D500" s="3"/>
      <c r="E500" s="91" t="s">
        <v>60</v>
      </c>
      <c r="F500" s="18"/>
      <c r="G500" s="44">
        <f>160*62</f>
        <v>9920</v>
      </c>
      <c r="H500" s="10" t="s">
        <v>116</v>
      </c>
      <c r="I500" s="18"/>
      <c r="J500" s="11"/>
      <c r="K500" s="28"/>
      <c r="L500" s="12" t="s">
        <v>84</v>
      </c>
      <c r="M500" s="18">
        <f>SUM(M497:M499)</f>
        <v>2392</v>
      </c>
      <c r="N500" s="18">
        <f>SUM(N497:N499)</f>
        <v>7606</v>
      </c>
      <c r="O500" s="10">
        <v>0</v>
      </c>
      <c r="P500" s="18">
        <v>0</v>
      </c>
      <c r="Q500" s="11">
        <v>0</v>
      </c>
      <c r="R500" s="18">
        <f>SUM(R497:R499)</f>
        <v>1</v>
      </c>
      <c r="S500" s="18">
        <f>SUM(S497:S499)</f>
        <v>0</v>
      </c>
      <c r="T500" s="10"/>
      <c r="U500" s="18"/>
      <c r="V500" s="11"/>
      <c r="W500" s="28"/>
      <c r="AA500" s="28"/>
      <c r="AB500" s="41" t="s">
        <v>84</v>
      </c>
      <c r="AC500" s="42">
        <f>SUM(AC498:AC499)</f>
        <v>710</v>
      </c>
      <c r="AD500" s="28">
        <f>SUM(AD498:AD499)</f>
        <v>630</v>
      </c>
      <c r="AE500" s="42">
        <v>0</v>
      </c>
      <c r="AF500" s="28">
        <v>0</v>
      </c>
      <c r="AG500" s="28">
        <v>0</v>
      </c>
      <c r="AH500" s="42">
        <v>0</v>
      </c>
      <c r="AI500" s="40">
        <v>0</v>
      </c>
      <c r="AJ500" s="40">
        <v>0</v>
      </c>
      <c r="AK500" s="43">
        <v>13</v>
      </c>
      <c r="AL500" s="28" t="s">
        <v>141</v>
      </c>
      <c r="AM500" s="40"/>
      <c r="AN500" s="28"/>
      <c r="AP500" s="84" t="s">
        <v>56</v>
      </c>
      <c r="AQ500" s="42">
        <v>0</v>
      </c>
      <c r="AR500" s="54">
        <v>3</v>
      </c>
      <c r="AS500" s="42"/>
      <c r="AT500" s="40"/>
      <c r="AU500" s="28"/>
      <c r="AV500" s="28"/>
      <c r="AW500" s="28"/>
      <c r="AX500" s="28"/>
      <c r="AY500" s="40"/>
      <c r="AZ500" s="28"/>
      <c r="BA500" s="28"/>
      <c r="BB500" s="92" t="s">
        <v>164</v>
      </c>
      <c r="BC500" s="67">
        <v>2</v>
      </c>
      <c r="BD500" s="56">
        <v>2</v>
      </c>
      <c r="BE500" s="54"/>
      <c r="BF500" s="54"/>
      <c r="BG500" s="45"/>
      <c r="BH500" s="10"/>
      <c r="BI500" s="40"/>
      <c r="BJ500" s="93" t="s">
        <v>146</v>
      </c>
      <c r="BK500" s="28"/>
      <c r="BL500" s="94" t="s">
        <v>253</v>
      </c>
    </row>
    <row r="501" spans="1:64" ht="15" thickBot="1" x14ac:dyDescent="0.35">
      <c r="A501" s="10" t="s">
        <v>99</v>
      </c>
      <c r="B501" s="42">
        <v>17657</v>
      </c>
      <c r="C501" s="40">
        <v>20517</v>
      </c>
      <c r="D501" s="3"/>
      <c r="E501" s="91" t="s">
        <v>60</v>
      </c>
      <c r="F501" s="18"/>
      <c r="G501" s="12">
        <v>20891</v>
      </c>
      <c r="H501" s="10">
        <v>80</v>
      </c>
      <c r="I501" s="37" t="s">
        <v>144</v>
      </c>
      <c r="J501" s="11"/>
      <c r="K501" s="28"/>
      <c r="L501" s="12"/>
      <c r="M501" s="18"/>
      <c r="N501" s="18"/>
      <c r="O501" s="10"/>
      <c r="P501" s="18"/>
      <c r="Q501" s="11"/>
      <c r="R501" s="18"/>
      <c r="S501" s="18"/>
      <c r="T501" s="10"/>
      <c r="U501" s="18"/>
      <c r="V501" s="11"/>
      <c r="W501" s="28"/>
      <c r="AA501" s="28"/>
      <c r="AB501" s="46"/>
      <c r="AC501" s="47"/>
      <c r="AD501" s="48"/>
      <c r="AE501" s="47"/>
      <c r="AF501" s="48"/>
      <c r="AG501" s="48"/>
      <c r="AH501" s="47"/>
      <c r="AI501" s="49"/>
      <c r="AJ501" s="49"/>
      <c r="AK501" s="48">
        <v>1</v>
      </c>
      <c r="AL501" s="48" t="s">
        <v>145</v>
      </c>
      <c r="AM501" s="49"/>
      <c r="AN501" s="28"/>
      <c r="AP501" s="36" t="s">
        <v>67</v>
      </c>
      <c r="AQ501" s="10">
        <v>17</v>
      </c>
      <c r="AR501" s="18">
        <v>15</v>
      </c>
      <c r="AS501" s="42"/>
      <c r="AT501" s="11"/>
      <c r="AU501" s="18"/>
      <c r="AV501" s="18"/>
      <c r="AW501" s="18"/>
      <c r="AX501" s="18"/>
      <c r="AY501" s="11"/>
      <c r="AZ501" s="28"/>
      <c r="BA501" s="28" t="s">
        <v>6</v>
      </c>
      <c r="BB501" s="127" t="s">
        <v>200</v>
      </c>
      <c r="BC501" s="67">
        <v>0</v>
      </c>
      <c r="BD501" s="56">
        <v>0</v>
      </c>
      <c r="BH501" s="42"/>
      <c r="BI501" s="40"/>
      <c r="BJ501" s="42"/>
      <c r="BK501" s="28"/>
      <c r="BL501" s="40"/>
    </row>
    <row r="502" spans="1:64" ht="15" thickBot="1" x14ac:dyDescent="0.35">
      <c r="A502" s="10" t="s">
        <v>120</v>
      </c>
      <c r="B502" s="42">
        <v>5900</v>
      </c>
      <c r="C502" s="40">
        <v>6650</v>
      </c>
      <c r="D502" s="3"/>
      <c r="E502" s="91" t="s">
        <v>60</v>
      </c>
      <c r="F502" s="18"/>
      <c r="G502" s="12">
        <f>31*225</f>
        <v>6975</v>
      </c>
      <c r="H502" s="84">
        <v>62</v>
      </c>
      <c r="I502" s="37" t="s">
        <v>148</v>
      </c>
      <c r="J502" s="11"/>
      <c r="K502" s="28"/>
      <c r="L502" s="12"/>
      <c r="M502" s="18"/>
      <c r="N502" s="18"/>
      <c r="O502" s="10"/>
      <c r="P502" s="18"/>
      <c r="Q502" s="11"/>
      <c r="R502" s="18"/>
      <c r="S502" s="18"/>
      <c r="T502" s="10"/>
      <c r="U502" s="18"/>
      <c r="V502" s="11"/>
      <c r="W502" s="28"/>
      <c r="AA502" s="28"/>
      <c r="AB502" s="42"/>
      <c r="AC502" s="42"/>
      <c r="AD502" s="40"/>
      <c r="AE502" s="28"/>
      <c r="AF502" s="28"/>
      <c r="AG502" s="28"/>
      <c r="AH502" s="42"/>
      <c r="AI502" s="28"/>
      <c r="AJ502" s="41"/>
      <c r="AK502" s="28" t="s">
        <v>149</v>
      </c>
      <c r="AL502" s="28"/>
      <c r="AM502" s="40"/>
      <c r="AN502" s="28" t="s">
        <v>6</v>
      </c>
      <c r="AO502" s="95"/>
      <c r="AP502" s="13" t="s">
        <v>84</v>
      </c>
      <c r="AQ502" s="13">
        <f>SUM(AQ490:AQ501)</f>
        <v>235</v>
      </c>
      <c r="AR502" s="27">
        <f>SUM(AR490:AR501)</f>
        <v>194</v>
      </c>
      <c r="AS502" s="47"/>
      <c r="AT502" s="26">
        <f>SUM(AT494:AT501)</f>
        <v>0</v>
      </c>
      <c r="AU502" s="27"/>
      <c r="AV502" s="27"/>
      <c r="AW502" s="27"/>
      <c r="AX502" s="27"/>
      <c r="AY502" s="26">
        <f>SUM(AV494:AV496)</f>
        <v>74</v>
      </c>
      <c r="AZ502" s="28"/>
      <c r="BA502" s="28"/>
      <c r="BB502" s="52" t="s">
        <v>133</v>
      </c>
      <c r="BC502" s="67">
        <f>59+2</f>
        <v>61</v>
      </c>
      <c r="BD502" s="56">
        <f>66+2+2</f>
        <v>70</v>
      </c>
      <c r="BE502" s="54" t="s">
        <v>150</v>
      </c>
      <c r="BF502" s="54"/>
      <c r="BG502" s="45"/>
      <c r="BH502" s="10"/>
      <c r="BI502" s="40"/>
      <c r="BJ502" s="42" t="s">
        <v>151</v>
      </c>
      <c r="BK502" s="28"/>
      <c r="BL502" s="96"/>
    </row>
    <row r="503" spans="1:64" ht="15" thickBot="1" x14ac:dyDescent="0.35">
      <c r="A503" s="10" t="s">
        <v>84</v>
      </c>
      <c r="B503" s="42">
        <f>SUM(B500:B502)</f>
        <v>31463</v>
      </c>
      <c r="C503" s="40">
        <f>SUM(C500:C502)</f>
        <v>36380</v>
      </c>
      <c r="D503" s="3"/>
      <c r="E503" s="91" t="s">
        <v>60</v>
      </c>
      <c r="F503" s="18"/>
      <c r="G503" s="12">
        <f>SUM(G500:G502)</f>
        <v>37786</v>
      </c>
      <c r="H503" s="42">
        <v>62</v>
      </c>
      <c r="I503" s="54" t="s">
        <v>152</v>
      </c>
      <c r="J503" s="40"/>
      <c r="K503" s="28"/>
      <c r="L503" s="44"/>
      <c r="M503" s="18"/>
      <c r="N503" s="18"/>
      <c r="O503" s="10"/>
      <c r="P503" s="18"/>
      <c r="Q503" s="11"/>
      <c r="R503" s="18"/>
      <c r="S503" s="18"/>
      <c r="T503" s="10"/>
      <c r="U503" s="18"/>
      <c r="V503" s="11"/>
      <c r="W503" s="28"/>
      <c r="Y503" t="s">
        <v>6</v>
      </c>
      <c r="AB503" s="36" t="s">
        <v>99</v>
      </c>
      <c r="AC503" s="10">
        <v>0</v>
      </c>
      <c r="AD503" s="11">
        <v>0</v>
      </c>
      <c r="AE503" s="18">
        <v>0</v>
      </c>
      <c r="AF503" s="18">
        <v>0</v>
      </c>
      <c r="AG503" s="18">
        <v>0</v>
      </c>
      <c r="AH503" s="52">
        <v>69879</v>
      </c>
      <c r="AI503" s="45">
        <v>5817</v>
      </c>
      <c r="AJ503" s="41">
        <v>0</v>
      </c>
      <c r="AK503" s="45">
        <v>4</v>
      </c>
      <c r="AL503" s="37" t="s">
        <v>153</v>
      </c>
      <c r="AM503" s="40"/>
      <c r="AP503" s="32"/>
      <c r="AQ503" s="53"/>
      <c r="AR503" s="97"/>
      <c r="AS503" s="33"/>
      <c r="AT503" s="7"/>
      <c r="AU503" s="6"/>
      <c r="AV503" s="8"/>
      <c r="AW503" s="31"/>
      <c r="AX503" s="8"/>
      <c r="AY503" s="7"/>
      <c r="AZ503" s="28"/>
      <c r="BA503" s="28"/>
      <c r="BB503" s="52" t="s">
        <v>85</v>
      </c>
      <c r="BC503" s="42">
        <v>5</v>
      </c>
      <c r="BD503" s="56">
        <f>4+7</f>
        <v>11</v>
      </c>
      <c r="BE503" s="28"/>
      <c r="BF503" s="54"/>
      <c r="BG503" s="28"/>
      <c r="BH503" s="84"/>
      <c r="BI503" s="56"/>
      <c r="BJ503" s="42" t="s">
        <v>409</v>
      </c>
      <c r="BK503" s="28" t="s">
        <v>507</v>
      </c>
      <c r="BL503" s="40" t="s">
        <v>508</v>
      </c>
    </row>
    <row r="504" spans="1:64" ht="16.2" thickBot="1" x14ac:dyDescent="0.35">
      <c r="A504" s="13"/>
      <c r="B504" s="47"/>
      <c r="C504" s="49"/>
      <c r="D504" s="27"/>
      <c r="E504" s="27"/>
      <c r="F504" s="27"/>
      <c r="G504" s="17"/>
      <c r="H504" s="47"/>
      <c r="I504" s="27"/>
      <c r="J504" s="60">
        <f>SUM(H501:H503)</f>
        <v>204</v>
      </c>
      <c r="K504" s="28"/>
      <c r="L504" s="12"/>
      <c r="M504" s="18"/>
      <c r="N504" s="18"/>
      <c r="O504" s="10"/>
      <c r="P504" s="18"/>
      <c r="Q504" s="11"/>
      <c r="R504" s="18"/>
      <c r="S504" s="18"/>
      <c r="T504" s="10"/>
      <c r="U504" s="18"/>
      <c r="V504" s="11"/>
      <c r="W504" s="28"/>
      <c r="AB504" s="32"/>
      <c r="AC504" s="6"/>
      <c r="AD504" s="7"/>
      <c r="AE504" s="8"/>
      <c r="AF504" s="8"/>
      <c r="AG504" s="8"/>
      <c r="AH504" s="6"/>
      <c r="AI504" s="7"/>
      <c r="AJ504" s="8"/>
      <c r="AK504" s="29" t="s">
        <v>157</v>
      </c>
      <c r="AL504" s="8"/>
      <c r="AM504" s="7"/>
      <c r="AP504" s="62"/>
      <c r="AQ504" s="72"/>
      <c r="AR504" s="73"/>
      <c r="AS504" s="47"/>
      <c r="AT504" s="49"/>
      <c r="AU504" s="47"/>
      <c r="AV504" s="48"/>
      <c r="AW504" s="48"/>
      <c r="AX504" s="48"/>
      <c r="AY504" s="49"/>
      <c r="AZ504" s="28"/>
      <c r="BA504" s="28"/>
      <c r="BB504" s="151" t="s">
        <v>108</v>
      </c>
      <c r="BC504" s="36">
        <v>2</v>
      </c>
      <c r="BD504" s="39">
        <v>0</v>
      </c>
      <c r="BE504" s="18"/>
      <c r="BF504" s="18"/>
      <c r="BG504" s="18"/>
      <c r="BH504" s="10"/>
      <c r="BI504" s="11"/>
      <c r="BJ504" s="98" t="s">
        <v>509</v>
      </c>
      <c r="BK504" s="28" t="s">
        <v>510</v>
      </c>
      <c r="BL504" s="99" t="s">
        <v>511</v>
      </c>
    </row>
    <row r="505" spans="1:64" ht="16.2" thickBot="1" x14ac:dyDescent="0.35">
      <c r="A505" s="6" t="s">
        <v>105</v>
      </c>
      <c r="B505" s="6">
        <v>1499</v>
      </c>
      <c r="C505" s="7">
        <v>2133</v>
      </c>
      <c r="D505" s="8"/>
      <c r="E505" s="80">
        <v>1880</v>
      </c>
      <c r="F505" s="66"/>
      <c r="G505" s="8"/>
      <c r="H505" s="6" t="s">
        <v>162</v>
      </c>
      <c r="I505" s="8"/>
      <c r="J505" s="7"/>
      <c r="K505" s="28"/>
      <c r="L505" s="17"/>
      <c r="M505" s="27"/>
      <c r="N505" s="27"/>
      <c r="O505" s="13"/>
      <c r="P505" s="27"/>
      <c r="Q505" s="26"/>
      <c r="R505" s="27"/>
      <c r="S505" s="27"/>
      <c r="T505" s="13"/>
      <c r="U505" s="27"/>
      <c r="V505" s="26"/>
      <c r="W505" s="28"/>
      <c r="AB505" s="68" t="s">
        <v>99</v>
      </c>
      <c r="AC505" s="42">
        <v>0</v>
      </c>
      <c r="AD505" s="40">
        <v>0</v>
      </c>
      <c r="AE505">
        <v>0</v>
      </c>
      <c r="AF505">
        <v>0</v>
      </c>
      <c r="AG505">
        <v>0</v>
      </c>
      <c r="AH505" s="42">
        <v>196032</v>
      </c>
      <c r="AI505" s="40">
        <v>81259</v>
      </c>
      <c r="AJ505" s="43">
        <v>0</v>
      </c>
      <c r="AK505" s="42">
        <v>2</v>
      </c>
      <c r="AL505" s="54" t="s">
        <v>163</v>
      </c>
      <c r="AM505" s="40"/>
      <c r="AP505" s="67" t="s">
        <v>63</v>
      </c>
      <c r="AQ505" s="33">
        <v>2</v>
      </c>
      <c r="AR505" s="35">
        <v>1</v>
      </c>
      <c r="AU505" s="33"/>
      <c r="AV505" s="34"/>
      <c r="AW505" s="34"/>
      <c r="AX505" s="34"/>
      <c r="AY505" s="35"/>
      <c r="AZ505" s="28"/>
      <c r="BA505" s="28"/>
      <c r="BB505" s="92" t="s">
        <v>174</v>
      </c>
      <c r="BC505" s="42">
        <v>0</v>
      </c>
      <c r="BD505" s="40">
        <v>2</v>
      </c>
      <c r="BE505" s="18"/>
      <c r="BF505" s="18"/>
      <c r="BG505" s="18"/>
      <c r="BH505" s="10"/>
      <c r="BI505" s="11"/>
      <c r="BJ505" s="98" t="s">
        <v>512</v>
      </c>
      <c r="BK505" s="100" t="s">
        <v>513</v>
      </c>
      <c r="BL505" s="39" t="s">
        <v>514</v>
      </c>
    </row>
    <row r="506" spans="1:64" ht="15" thickBot="1" x14ac:dyDescent="0.35">
      <c r="A506" s="36" t="s">
        <v>99</v>
      </c>
      <c r="B506" s="10">
        <v>1423</v>
      </c>
      <c r="C506" s="11">
        <v>2578</v>
      </c>
      <c r="D506" s="18"/>
      <c r="E506" s="18">
        <v>2538</v>
      </c>
      <c r="F506" s="85"/>
      <c r="G506" s="18"/>
      <c r="H506" s="42"/>
      <c r="I506" s="54"/>
      <c r="J506" s="11"/>
      <c r="L506" s="101" t="s">
        <v>84</v>
      </c>
      <c r="M506" s="102">
        <f>SUM(M500+M495+M490+M488+M484+M479)</f>
        <v>124666</v>
      </c>
      <c r="N506" s="102">
        <f>SUM(N500+N495+N490+N488+N484+N479)</f>
        <v>98722</v>
      </c>
      <c r="O506" s="103">
        <v>0</v>
      </c>
      <c r="P506" s="102">
        <v>0</v>
      </c>
      <c r="Q506" s="104">
        <v>0</v>
      </c>
      <c r="R506" s="102">
        <f>SUM(R500+R495+R490+R488+R479+R484)</f>
        <v>5958</v>
      </c>
      <c r="S506" s="102">
        <f>SUM(S500+S495+S488+S484+S479)</f>
        <v>230</v>
      </c>
      <c r="T506" s="105"/>
      <c r="U506" s="102"/>
      <c r="V506" s="106"/>
      <c r="AB506" s="44" t="s">
        <v>6</v>
      </c>
      <c r="AC506" s="10"/>
      <c r="AD506" s="11"/>
      <c r="AE506" s="18"/>
      <c r="AF506" s="18"/>
      <c r="AG506" s="18"/>
      <c r="AH506" s="10"/>
      <c r="AI506" s="11"/>
      <c r="AJ506" s="18"/>
      <c r="AK506" s="10">
        <v>11</v>
      </c>
      <c r="AL506" s="37" t="s">
        <v>153</v>
      </c>
      <c r="AM506" s="11"/>
      <c r="AP506" s="67" t="s">
        <v>168</v>
      </c>
      <c r="AQ506" s="42">
        <v>0</v>
      </c>
      <c r="AR506" s="40">
        <v>0</v>
      </c>
      <c r="AU506" s="42"/>
      <c r="AV506" s="28"/>
      <c r="AW506" s="28"/>
      <c r="AX506" s="28"/>
      <c r="AY506" s="40"/>
      <c r="AZ506" s="28"/>
      <c r="BA506" s="28"/>
      <c r="BB506" s="36" t="s">
        <v>169</v>
      </c>
      <c r="BC506" s="36">
        <v>2</v>
      </c>
      <c r="BD506" s="39">
        <v>2</v>
      </c>
      <c r="BE506" s="18"/>
      <c r="BF506" s="18"/>
      <c r="BG506" s="18"/>
      <c r="BH506" s="10"/>
      <c r="BI506" s="11"/>
      <c r="BJ506" s="98" t="s">
        <v>330</v>
      </c>
      <c r="BK506" s="37" t="s">
        <v>515</v>
      </c>
      <c r="BL506" s="39" t="s">
        <v>316</v>
      </c>
    </row>
    <row r="507" spans="1:64" ht="15" thickBot="1" x14ac:dyDescent="0.35">
      <c r="A507" s="10"/>
      <c r="B507" s="10"/>
      <c r="C507" s="39"/>
      <c r="D507" s="18"/>
      <c r="E507" s="18"/>
      <c r="F507" s="85"/>
      <c r="G507" s="18"/>
      <c r="H507" s="42">
        <v>60</v>
      </c>
      <c r="I507" s="37" t="s">
        <v>101</v>
      </c>
      <c r="J507" s="11"/>
      <c r="AB507" s="46" t="s">
        <v>6</v>
      </c>
      <c r="AC507" s="47"/>
      <c r="AD507" s="49"/>
      <c r="AE507" s="48"/>
      <c r="AF507" s="48"/>
      <c r="AG507" s="48"/>
      <c r="AH507" s="47"/>
      <c r="AI507" s="49"/>
      <c r="AJ507" s="48"/>
      <c r="AK507" s="47"/>
      <c r="AL507" s="48"/>
      <c r="AM507" s="49"/>
      <c r="AP507" s="52" t="s">
        <v>56</v>
      </c>
      <c r="AQ507" s="52">
        <v>0</v>
      </c>
      <c r="AR507" s="85">
        <v>0</v>
      </c>
      <c r="AS507" s="28"/>
      <c r="AT507" s="28"/>
      <c r="AU507" s="42"/>
      <c r="AV507" s="28" t="s">
        <v>173</v>
      </c>
      <c r="AW507" s="28"/>
      <c r="AX507" s="28"/>
      <c r="AY507" s="40"/>
      <c r="AZ507" s="28"/>
      <c r="BA507" s="28"/>
      <c r="BB507" s="36" t="s">
        <v>99</v>
      </c>
      <c r="BC507" s="36">
        <v>0</v>
      </c>
      <c r="BD507" s="39">
        <v>0</v>
      </c>
      <c r="BE507" s="18"/>
      <c r="BF507" s="18"/>
      <c r="BG507" s="18"/>
      <c r="BH507" s="10"/>
      <c r="BI507" s="11"/>
      <c r="BJ507" s="52" t="s">
        <v>516</v>
      </c>
      <c r="BK507" s="37" t="s">
        <v>517</v>
      </c>
      <c r="BL507" s="39"/>
    </row>
    <row r="508" spans="1:64" ht="15" thickBot="1" x14ac:dyDescent="0.35">
      <c r="A508" s="13" t="s">
        <v>84</v>
      </c>
      <c r="B508" s="13">
        <f>SUM(B505:B507)</f>
        <v>2922</v>
      </c>
      <c r="C508" s="26">
        <f>SUM(C505:C507)</f>
        <v>4711</v>
      </c>
      <c r="D508" s="27"/>
      <c r="E508" s="27">
        <f>SUM(E505:E507)</f>
        <v>4418</v>
      </c>
      <c r="F508" s="26"/>
      <c r="G508" s="27">
        <f>60*158</f>
        <v>9480</v>
      </c>
      <c r="H508" s="13"/>
      <c r="I508" s="81"/>
      <c r="J508" s="26">
        <f>SUM(H506:H507)</f>
        <v>60</v>
      </c>
      <c r="L508" t="s">
        <v>6</v>
      </c>
      <c r="M508" s="115"/>
      <c r="AB508" s="6" t="s">
        <v>484</v>
      </c>
      <c r="AC508" s="6">
        <v>0</v>
      </c>
      <c r="AD508" s="7">
        <v>0</v>
      </c>
      <c r="AE508" s="8">
        <v>0</v>
      </c>
      <c r="AF508" s="8">
        <v>0</v>
      </c>
      <c r="AG508" s="8">
        <v>0</v>
      </c>
      <c r="AH508" s="6"/>
      <c r="AI508" s="7">
        <v>0</v>
      </c>
      <c r="AJ508" s="8">
        <v>0</v>
      </c>
      <c r="AK508" s="29"/>
      <c r="AL508" s="8"/>
      <c r="AM508" s="7"/>
      <c r="AN508" s="45"/>
      <c r="AP508" s="52" t="s">
        <v>67</v>
      </c>
      <c r="AQ508" s="52">
        <v>4</v>
      </c>
      <c r="AR508" s="56">
        <v>5</v>
      </c>
      <c r="AU508" s="42"/>
      <c r="AV508" s="28"/>
      <c r="AW508" s="28"/>
      <c r="AX508" s="28"/>
      <c r="AY508" s="40"/>
      <c r="AZ508" s="28"/>
      <c r="BA508" s="28"/>
      <c r="BB508" s="150" t="s">
        <v>190</v>
      </c>
      <c r="BC508" s="36">
        <v>4</v>
      </c>
      <c r="BD508" s="39">
        <v>4</v>
      </c>
      <c r="BE508" s="18"/>
      <c r="BF508" s="37"/>
      <c r="BG508" s="18"/>
      <c r="BH508" s="10"/>
      <c r="BI508" s="11"/>
      <c r="BJ508" s="150" t="s">
        <v>370</v>
      </c>
      <c r="BK508" s="54" t="s">
        <v>518</v>
      </c>
      <c r="BL508" s="39"/>
    </row>
    <row r="509" spans="1:64" ht="15" thickBot="1" x14ac:dyDescent="0.35">
      <c r="A509" s="42" t="s">
        <v>181</v>
      </c>
      <c r="B509" s="42">
        <v>2391</v>
      </c>
      <c r="C509" s="40">
        <v>3135</v>
      </c>
      <c r="D509" s="28"/>
      <c r="E509" s="107" t="s">
        <v>60</v>
      </c>
      <c r="F509" s="43"/>
      <c r="G509" s="41">
        <v>3356</v>
      </c>
      <c r="H509" s="18" t="s">
        <v>182</v>
      </c>
      <c r="I509" s="28"/>
      <c r="J509" s="11"/>
      <c r="K509" s="43"/>
      <c r="M509" s="126"/>
      <c r="AB509" s="36"/>
      <c r="AC509" s="10"/>
      <c r="AD509" s="11"/>
      <c r="AE509" s="18"/>
      <c r="AF509" s="18"/>
      <c r="AG509" s="18"/>
      <c r="AH509" s="36"/>
      <c r="AI509" s="11"/>
      <c r="AJ509" s="18"/>
      <c r="AK509" s="36"/>
      <c r="AL509" s="37"/>
      <c r="AM509" s="11"/>
      <c r="AN509" s="45"/>
      <c r="AP509" s="10" t="s">
        <v>78</v>
      </c>
      <c r="AQ509" s="52">
        <v>1</v>
      </c>
      <c r="AR509" s="85">
        <v>6</v>
      </c>
      <c r="AS509" s="28"/>
      <c r="AT509" s="28"/>
      <c r="AU509" s="42"/>
      <c r="AV509" s="28">
        <v>11</v>
      </c>
      <c r="AW509" s="28" t="s">
        <v>183</v>
      </c>
      <c r="AX509" s="28"/>
      <c r="AY509" s="40"/>
      <c r="AZ509" s="37"/>
      <c r="BA509" s="37"/>
      <c r="BB509" s="36" t="s">
        <v>489</v>
      </c>
      <c r="BC509" s="36">
        <v>0</v>
      </c>
      <c r="BD509" s="39">
        <v>0</v>
      </c>
      <c r="BE509" s="18"/>
      <c r="BF509" s="18"/>
      <c r="BG509" s="18"/>
      <c r="BH509" s="10"/>
      <c r="BI509" s="11"/>
      <c r="BJ509" s="36" t="s">
        <v>519</v>
      </c>
      <c r="BK509" s="37" t="s">
        <v>520</v>
      </c>
      <c r="BL509" s="40"/>
    </row>
    <row r="510" spans="1:64" ht="15" thickBot="1" x14ac:dyDescent="0.35">
      <c r="A510" s="42" t="s">
        <v>120</v>
      </c>
      <c r="B510" s="42">
        <v>4322</v>
      </c>
      <c r="C510" s="40">
        <v>4913</v>
      </c>
      <c r="D510" s="28"/>
      <c r="E510" s="107" t="s">
        <v>60</v>
      </c>
      <c r="F510" s="43"/>
      <c r="G510" s="68">
        <f>31*160</f>
        <v>4960</v>
      </c>
      <c r="H510" s="43">
        <v>50</v>
      </c>
      <c r="I510" s="28" t="s">
        <v>188</v>
      </c>
      <c r="J510" s="11"/>
      <c r="K510" s="28"/>
      <c r="M510" s="126"/>
      <c r="AA510" s="28"/>
      <c r="AB510" s="103" t="s">
        <v>84</v>
      </c>
      <c r="AC510" s="103">
        <f>SUM(AC509+AC505+AC503+AC500+AC497+AC495+AC491+AC487+AC484+AC481+AC482)</f>
        <v>2836</v>
      </c>
      <c r="AD510" s="104">
        <f>SUM(AD509+AD505+AD503+AD500+AD497+AD491+AD487+AD484+AD482+AD481)</f>
        <v>2693</v>
      </c>
      <c r="AE510" s="103">
        <v>0</v>
      </c>
      <c r="AF510" s="102">
        <v>0</v>
      </c>
      <c r="AG510" s="102">
        <v>0</v>
      </c>
      <c r="AH510" s="109">
        <f>SUM(AH509+AH505+AH503+AH500+AH497+AH495+AH491+AH487+AH484+AH482+AH481)</f>
        <v>268486</v>
      </c>
      <c r="AI510" s="110">
        <f>SUM(AI509+AI505+AI503+AI500+AI495+AI491+AI486+AI484+AI482+AI481)</f>
        <v>111663</v>
      </c>
      <c r="AJ510" s="110">
        <v>0</v>
      </c>
      <c r="AK510" s="111" t="s">
        <v>189</v>
      </c>
      <c r="AL510" s="111"/>
      <c r="AM510" s="104">
        <f>SUM(AK481:AK509)</f>
        <v>44</v>
      </c>
      <c r="AN510" s="45"/>
      <c r="AP510" s="52" t="s">
        <v>115</v>
      </c>
      <c r="AQ510" s="52">
        <v>0</v>
      </c>
      <c r="AR510" s="85">
        <v>1</v>
      </c>
      <c r="AS510" s="28"/>
      <c r="AT510" s="28"/>
      <c r="AU510" s="42"/>
      <c r="AV510" s="28" t="s">
        <v>6</v>
      </c>
      <c r="AW510" s="28"/>
      <c r="AX510" s="28"/>
      <c r="AY510" s="40"/>
      <c r="AZ510" s="28"/>
      <c r="BA510" s="28"/>
      <c r="BB510" s="150" t="s">
        <v>211</v>
      </c>
      <c r="BC510" s="36">
        <v>0</v>
      </c>
      <c r="BD510" s="39">
        <v>0</v>
      </c>
      <c r="BE510" s="18"/>
      <c r="BF510" s="18"/>
      <c r="BG510" s="18"/>
      <c r="BH510" s="10"/>
      <c r="BI510" s="11"/>
      <c r="BJ510" s="112" t="s">
        <v>521</v>
      </c>
      <c r="BK510" s="37" t="s">
        <v>373</v>
      </c>
      <c r="BL510" s="39"/>
    </row>
    <row r="511" spans="1:64" x14ac:dyDescent="0.3">
      <c r="A511" s="42" t="s">
        <v>84</v>
      </c>
      <c r="B511" s="42">
        <f>SUM(B509:B510)</f>
        <v>6713</v>
      </c>
      <c r="C511" s="40">
        <f>SUM(C509:C510)</f>
        <v>8048</v>
      </c>
      <c r="D511" s="28"/>
      <c r="E511" s="107" t="s">
        <v>60</v>
      </c>
      <c r="F511" s="43"/>
      <c r="G511" s="41">
        <f>SUM(G509:G510)</f>
        <v>8316</v>
      </c>
      <c r="H511" s="28">
        <v>0</v>
      </c>
      <c r="I511" s="43" t="s">
        <v>101</v>
      </c>
      <c r="J511" s="40"/>
      <c r="K511" s="28"/>
      <c r="L511" s="28"/>
      <c r="N511" s="113"/>
      <c r="AA511" s="28"/>
      <c r="AB511" s="52" t="s">
        <v>193</v>
      </c>
      <c r="AC511" s="28"/>
      <c r="AD511" s="28"/>
      <c r="AE511" s="28"/>
      <c r="AF511" s="28"/>
      <c r="AG511" s="28"/>
      <c r="AH511" s="28"/>
      <c r="AI511" s="28"/>
      <c r="AM511" t="s">
        <v>6</v>
      </c>
      <c r="AN511" s="45"/>
      <c r="AP511" s="52" t="s">
        <v>72</v>
      </c>
      <c r="AQ511" s="52">
        <v>2</v>
      </c>
      <c r="AR511" s="85">
        <v>2</v>
      </c>
      <c r="AU511" s="42"/>
      <c r="AV511" s="28"/>
      <c r="AW511" s="28"/>
      <c r="AX511" s="28"/>
      <c r="AY511" s="40"/>
      <c r="AZ511" s="28"/>
      <c r="BB511" s="150" t="s">
        <v>181</v>
      </c>
      <c r="BC511" s="36">
        <v>0</v>
      </c>
      <c r="BD511" s="39">
        <v>3</v>
      </c>
      <c r="BE511" s="18"/>
      <c r="BF511" s="18"/>
      <c r="BG511" s="18"/>
      <c r="BH511" s="10"/>
      <c r="BI511" s="11"/>
      <c r="BJ511" s="36" t="s">
        <v>522</v>
      </c>
      <c r="BK511" s="37"/>
      <c r="BL511" s="114"/>
    </row>
    <row r="512" spans="1:64" ht="15" thickBot="1" x14ac:dyDescent="0.35">
      <c r="A512" s="13"/>
      <c r="B512" s="10"/>
      <c r="C512" s="11"/>
      <c r="D512" s="27"/>
      <c r="E512" s="27"/>
      <c r="F512" s="27"/>
      <c r="G512" s="17"/>
      <c r="H512" s="48">
        <v>1</v>
      </c>
      <c r="I512" s="48" t="s">
        <v>284</v>
      </c>
      <c r="J512" s="49">
        <f>SUM(H510:H512)</f>
        <v>51</v>
      </c>
      <c r="L512" s="108"/>
      <c r="M512" s="115"/>
      <c r="O512" s="116"/>
      <c r="AA512" s="28"/>
      <c r="AN512" s="45"/>
      <c r="AP512" s="52" t="s">
        <v>84</v>
      </c>
      <c r="AQ512" s="47">
        <f>SUM(AQ505:AQ511)</f>
        <v>9</v>
      </c>
      <c r="AR512" s="49">
        <f>SUM(AR505:AR511)</f>
        <v>15</v>
      </c>
      <c r="AS512" s="28"/>
      <c r="AT512" s="28"/>
      <c r="AU512" s="47"/>
      <c r="AV512" s="48"/>
      <c r="AW512" s="48"/>
      <c r="AX512" s="48"/>
      <c r="AY512" s="49">
        <f>SUM(AV509)</f>
        <v>11</v>
      </c>
      <c r="AZ512" s="28"/>
      <c r="BB512" s="36" t="s">
        <v>250</v>
      </c>
      <c r="BC512" s="36">
        <v>0</v>
      </c>
      <c r="BD512" s="39">
        <v>2</v>
      </c>
      <c r="BE512" s="18"/>
      <c r="BF512" s="18"/>
      <c r="BG512" s="18"/>
      <c r="BH512" s="10"/>
      <c r="BI512" s="11"/>
      <c r="BJ512" s="36"/>
      <c r="BK512" s="37"/>
      <c r="BL512" s="39"/>
    </row>
    <row r="513" spans="1:65" ht="16.2" thickBot="1" x14ac:dyDescent="0.35">
      <c r="A513" s="117" t="s">
        <v>84</v>
      </c>
      <c r="B513" s="118">
        <f>SUM(B511+B508+B503+B499+B496+B493+B490+B486+B482+B479)</f>
        <v>62060</v>
      </c>
      <c r="C513" s="120">
        <f>SUM(C511+C508+C503+C499+C496+C493+C490+C486+C482+C479)</f>
        <v>77058</v>
      </c>
      <c r="D513" s="119"/>
      <c r="E513" s="119">
        <f>SUM(E508+E493)</f>
        <v>5811</v>
      </c>
      <c r="F513" s="120"/>
      <c r="G513" s="121">
        <f>SUM(G511+G508+G503+G498+G496+G489+G486+G482+G479+G493)</f>
        <v>87747</v>
      </c>
      <c r="H513" s="13" t="s">
        <v>199</v>
      </c>
      <c r="I513" s="81"/>
      <c r="J513" s="26">
        <f>SUM(J480:J512)</f>
        <v>505</v>
      </c>
      <c r="O513" s="122"/>
      <c r="AN513" s="45"/>
      <c r="AP513" s="32" t="s">
        <v>63</v>
      </c>
      <c r="AQ513" s="123">
        <f>1+2</f>
        <v>3</v>
      </c>
      <c r="AR513" s="123">
        <f>1+2</f>
        <v>3</v>
      </c>
      <c r="AS513" s="33"/>
      <c r="AT513" s="7"/>
      <c r="AU513" s="6"/>
      <c r="AV513" s="34" t="s">
        <v>140</v>
      </c>
      <c r="AW513" s="8"/>
      <c r="AX513" s="8"/>
      <c r="AY513" s="7"/>
      <c r="AZ513" s="28"/>
      <c r="BB513" s="36" t="s">
        <v>523</v>
      </c>
      <c r="BC513" s="10">
        <v>0</v>
      </c>
      <c r="BD513" s="39">
        <v>1</v>
      </c>
      <c r="BE513" s="18"/>
      <c r="BF513" s="18"/>
      <c r="BG513" s="37"/>
      <c r="BH513" s="10"/>
      <c r="BI513" s="11"/>
      <c r="BJ513" s="124"/>
      <c r="BK513" s="37"/>
      <c r="BL513" s="39"/>
    </row>
    <row r="514" spans="1:65" x14ac:dyDescent="0.3">
      <c r="AN514" s="45"/>
      <c r="AP514" s="44" t="s">
        <v>78</v>
      </c>
      <c r="AQ514" s="37">
        <f>7+2</f>
        <v>9</v>
      </c>
      <c r="AR514" s="37">
        <f>12+5+3</f>
        <v>20</v>
      </c>
      <c r="AS514" s="42"/>
      <c r="AT514" s="11"/>
      <c r="AU514" s="10"/>
      <c r="AV514" s="37">
        <v>3</v>
      </c>
      <c r="AW514" s="37" t="s">
        <v>204</v>
      </c>
      <c r="AX514" s="18"/>
      <c r="AY514" s="11"/>
      <c r="AZ514" s="28"/>
      <c r="BB514" s="93" t="s">
        <v>93</v>
      </c>
      <c r="BC514" s="10">
        <v>0</v>
      </c>
      <c r="BD514" s="39">
        <v>3</v>
      </c>
      <c r="BE514" s="18"/>
      <c r="BF514" s="18"/>
      <c r="BG514" s="18"/>
      <c r="BH514" s="10"/>
      <c r="BI514" s="11"/>
      <c r="BJ514" s="52"/>
      <c r="BK514" s="37"/>
      <c r="BL514" s="39"/>
    </row>
    <row r="515" spans="1:65" x14ac:dyDescent="0.3">
      <c r="AN515" s="45"/>
      <c r="AP515" s="125" t="s">
        <v>209</v>
      </c>
      <c r="AQ515" s="54">
        <v>0</v>
      </c>
      <c r="AR515" s="54">
        <v>0</v>
      </c>
      <c r="AS515" s="42"/>
      <c r="AT515" s="40"/>
      <c r="AU515" s="42"/>
      <c r="AV515" s="28">
        <v>4</v>
      </c>
      <c r="AW515" s="28" t="s">
        <v>210</v>
      </c>
      <c r="AX515" s="28"/>
      <c r="AY515" s="40"/>
      <c r="AZ515" s="28"/>
      <c r="BB515" s="92" t="s">
        <v>64</v>
      </c>
      <c r="BC515" s="84">
        <v>0</v>
      </c>
      <c r="BD515" s="86">
        <v>0</v>
      </c>
      <c r="BE515" s="45"/>
      <c r="BF515" s="45"/>
      <c r="BG515" s="45"/>
      <c r="BH515" s="10"/>
      <c r="BI515" s="11"/>
      <c r="BJ515" s="112"/>
      <c r="BK515" s="54"/>
      <c r="BL515" s="86"/>
    </row>
    <row r="516" spans="1:65" x14ac:dyDescent="0.3">
      <c r="B516" s="126"/>
      <c r="C516" s="126"/>
      <c r="AN516" s="45"/>
      <c r="AP516" s="44" t="s">
        <v>168</v>
      </c>
      <c r="AQ516" s="54">
        <v>0</v>
      </c>
      <c r="AR516" s="54">
        <v>0</v>
      </c>
      <c r="AS516" s="42"/>
      <c r="AT516" s="11"/>
      <c r="AU516" s="10"/>
      <c r="AV516" s="37">
        <v>15</v>
      </c>
      <c r="AW516" s="37" t="s">
        <v>213</v>
      </c>
      <c r="AX516" s="18"/>
      <c r="AY516" s="11"/>
      <c r="BB516" s="127" t="s">
        <v>524</v>
      </c>
      <c r="BC516" s="84">
        <v>7</v>
      </c>
      <c r="BD516" s="86">
        <v>7</v>
      </c>
      <c r="BE516" s="45"/>
      <c r="BF516" s="45"/>
      <c r="BG516" s="45"/>
      <c r="BH516" s="84"/>
      <c r="BI516" s="85"/>
      <c r="BJ516" s="52"/>
      <c r="BK516" s="54"/>
      <c r="BL516" s="40"/>
    </row>
    <row r="517" spans="1:65" x14ac:dyDescent="0.3">
      <c r="AN517" s="45"/>
      <c r="AP517" s="125" t="s">
        <v>81</v>
      </c>
      <c r="AQ517" s="54">
        <v>0</v>
      </c>
      <c r="AR517" s="54">
        <v>0</v>
      </c>
      <c r="AS517" s="42"/>
      <c r="AT517" s="40"/>
      <c r="AU517" s="42"/>
      <c r="AV517" s="54">
        <v>1</v>
      </c>
      <c r="AW517" s="128" t="s">
        <v>525</v>
      </c>
      <c r="AX517" s="28"/>
      <c r="AY517" s="40" t="s">
        <v>6</v>
      </c>
      <c r="BB517" s="127" t="s">
        <v>358</v>
      </c>
      <c r="BC517" s="84">
        <v>2</v>
      </c>
      <c r="BD517" s="86">
        <v>0</v>
      </c>
      <c r="BE517" s="45"/>
      <c r="BF517" s="45"/>
      <c r="BG517" s="45"/>
      <c r="BH517" s="84"/>
      <c r="BI517" s="85"/>
      <c r="BJ517" s="52"/>
      <c r="BK517" s="54"/>
      <c r="BL517" s="40"/>
    </row>
    <row r="518" spans="1:65" x14ac:dyDescent="0.3">
      <c r="AP518" s="125" t="s">
        <v>72</v>
      </c>
      <c r="AQ518" s="54">
        <f>25+6+23+6</f>
        <v>60</v>
      </c>
      <c r="AR518" s="45">
        <f>6+4+12+4</f>
        <v>26</v>
      </c>
      <c r="AS518" s="42"/>
      <c r="AT518" s="40"/>
      <c r="AU518" s="42"/>
      <c r="AV518" s="54">
        <v>6</v>
      </c>
      <c r="AW518" s="54" t="s">
        <v>216</v>
      </c>
      <c r="AX518" s="45"/>
      <c r="AY518" s="40"/>
      <c r="BB518" s="127" t="s">
        <v>107</v>
      </c>
      <c r="BC518" s="84">
        <v>5</v>
      </c>
      <c r="BD518" s="86">
        <v>5</v>
      </c>
      <c r="BE518" s="28"/>
      <c r="BF518" s="45"/>
      <c r="BG518" s="28"/>
      <c r="BH518" s="84"/>
      <c r="BI518" s="85"/>
      <c r="BJ518" s="98"/>
      <c r="BK518" s="54"/>
      <c r="BL518" s="86"/>
    </row>
    <row r="519" spans="1:65" x14ac:dyDescent="0.3">
      <c r="AP519" s="125" t="s">
        <v>115</v>
      </c>
      <c r="AQ519" s="54">
        <f>3+2</f>
        <v>5</v>
      </c>
      <c r="AR519" s="45">
        <v>3</v>
      </c>
      <c r="AS519" s="42"/>
      <c r="AT519" s="40"/>
      <c r="AU519" s="42"/>
      <c r="AV519" s="54">
        <v>3</v>
      </c>
      <c r="AW519" s="54" t="s">
        <v>217</v>
      </c>
      <c r="AX519" s="28"/>
      <c r="AY519" s="40"/>
      <c r="BB519" s="127" t="s">
        <v>218</v>
      </c>
      <c r="BC519" s="84">
        <v>5</v>
      </c>
      <c r="BD519" s="86">
        <v>36</v>
      </c>
      <c r="BE519" s="28"/>
      <c r="BF519" s="45"/>
      <c r="BG519" s="28"/>
      <c r="BH519" s="84"/>
      <c r="BI519" s="85"/>
      <c r="BJ519" s="52"/>
      <c r="BK519" s="54"/>
      <c r="BL519" s="40"/>
    </row>
    <row r="520" spans="1:65" x14ac:dyDescent="0.3">
      <c r="AP520" s="125" t="s">
        <v>56</v>
      </c>
      <c r="AQ520" s="54">
        <v>8</v>
      </c>
      <c r="AR520" s="45">
        <f>3+8</f>
        <v>11</v>
      </c>
      <c r="AS520" s="42"/>
      <c r="AT520" s="40"/>
      <c r="AU520" s="42"/>
      <c r="AV520" s="54">
        <v>1</v>
      </c>
      <c r="AW520" s="54" t="s">
        <v>503</v>
      </c>
      <c r="AX520" s="28"/>
      <c r="AY520" s="40"/>
      <c r="BB520" s="98" t="s">
        <v>526</v>
      </c>
      <c r="BC520" s="10">
        <v>4</v>
      </c>
      <c r="BD520" s="11">
        <v>13</v>
      </c>
      <c r="BE520" s="18"/>
      <c r="BF520" s="18"/>
      <c r="BG520" s="18"/>
      <c r="BH520" s="10"/>
      <c r="BI520" s="11"/>
      <c r="BJ520" s="52"/>
      <c r="BK520" s="37"/>
      <c r="BL520" s="129"/>
    </row>
    <row r="521" spans="1:65" ht="15" thickBot="1" x14ac:dyDescent="0.35">
      <c r="AP521" s="125" t="s">
        <v>138</v>
      </c>
      <c r="AQ521" s="54">
        <v>0</v>
      </c>
      <c r="AR521" s="45">
        <v>0</v>
      </c>
      <c r="AS521" s="42"/>
      <c r="AT521" s="40"/>
      <c r="AU521" s="42"/>
      <c r="AV521" s="54">
        <v>9</v>
      </c>
      <c r="AW521" s="54" t="s">
        <v>221</v>
      </c>
      <c r="AX521" s="28"/>
      <c r="AY521" s="40"/>
      <c r="BB521" s="13" t="s">
        <v>84</v>
      </c>
      <c r="BC521" s="13">
        <f>SUM(BC498:BC520)</f>
        <v>147</v>
      </c>
      <c r="BD521" s="26">
        <f>SUM(BD498:BD520)</f>
        <v>222</v>
      </c>
      <c r="BE521" s="27">
        <v>0</v>
      </c>
      <c r="BF521" s="27">
        <f>SUM(BF498:BF520)</f>
        <v>0</v>
      </c>
      <c r="BG521" s="27">
        <v>0</v>
      </c>
      <c r="BH521" s="130">
        <v>0</v>
      </c>
      <c r="BI521" s="26">
        <v>0</v>
      </c>
      <c r="BJ521" s="59"/>
      <c r="BK521" s="27"/>
      <c r="BL521" s="26">
        <f>8+7+20+4+5+4+3+9+5+5</f>
        <v>70</v>
      </c>
    </row>
    <row r="522" spans="1:65" ht="15" thickBot="1" x14ac:dyDescent="0.35">
      <c r="AP522" s="125" t="s">
        <v>67</v>
      </c>
      <c r="AQ522" s="54">
        <v>1</v>
      </c>
      <c r="AR522" s="45">
        <f>1+1</f>
        <v>2</v>
      </c>
      <c r="AS522" s="42"/>
      <c r="AT522" s="40"/>
      <c r="AU522" s="42"/>
      <c r="AV522" s="54">
        <v>14</v>
      </c>
      <c r="AW522" s="54" t="s">
        <v>222</v>
      </c>
      <c r="AX522" s="28"/>
      <c r="AY522" s="40"/>
      <c r="BB522" s="13" t="s">
        <v>223</v>
      </c>
      <c r="BC522" s="13">
        <f>SUM(BC521+BC497+BC494+BC490+BC487+BC484+BC482+BC480)</f>
        <v>1728</v>
      </c>
      <c r="BD522" s="26">
        <f>SUM(BD521+BD497+BD494+BD490+BD487+BD484+BD482+BD480)</f>
        <v>2009</v>
      </c>
      <c r="BE522" s="27">
        <f>SUM(BE521+BE497+BE490+BE486+BE484+BE482+BE479)</f>
        <v>0</v>
      </c>
      <c r="BF522" s="27">
        <f>SUM(BF498:BF520)</f>
        <v>0</v>
      </c>
      <c r="BG522" s="27">
        <f>SUM(BG521+BG497+BG490+BG486+BG484+BG482+BG479)</f>
        <v>0</v>
      </c>
      <c r="BH522" s="13">
        <f>SUM(BH521+BH497+BH490+BH486+BH484+BH482+BH479)</f>
        <v>46472</v>
      </c>
      <c r="BI522" s="26">
        <f>SUM(BI521+BI497+BI490+BI486+BI484+BI482+BI479)</f>
        <v>10266</v>
      </c>
      <c r="BJ522" s="81"/>
      <c r="BK522" s="27" t="s">
        <v>189</v>
      </c>
      <c r="BL522" s="26">
        <f>SUM(BL479:BL520)</f>
        <v>171</v>
      </c>
    </row>
    <row r="523" spans="1:65" x14ac:dyDescent="0.3">
      <c r="K523" s="28"/>
      <c r="AP523" s="125" t="s">
        <v>122</v>
      </c>
      <c r="AQ523" s="54">
        <v>0</v>
      </c>
      <c r="AR523" s="45">
        <v>0</v>
      </c>
      <c r="AS523" s="42"/>
      <c r="AT523" s="40"/>
      <c r="AU523" s="42"/>
      <c r="AV523" s="54">
        <v>1</v>
      </c>
      <c r="AW523" s="54" t="s">
        <v>471</v>
      </c>
      <c r="AX523" s="28"/>
      <c r="AY523" s="40"/>
      <c r="BB523" s="131" t="s">
        <v>225</v>
      </c>
      <c r="BD523">
        <f>SUM(BL521)</f>
        <v>70</v>
      </c>
      <c r="BG523" s="132"/>
    </row>
    <row r="524" spans="1:65" x14ac:dyDescent="0.3">
      <c r="K524" s="28"/>
      <c r="AP524" s="125" t="s">
        <v>227</v>
      </c>
      <c r="AQ524" s="54">
        <v>0</v>
      </c>
      <c r="AR524" s="45">
        <v>0</v>
      </c>
      <c r="AS524" s="42"/>
      <c r="AT524" s="40"/>
      <c r="AU524" s="42"/>
      <c r="AV524" s="54">
        <v>8</v>
      </c>
      <c r="AW524" s="54" t="s">
        <v>391</v>
      </c>
      <c r="AX524" s="28"/>
      <c r="AY524" s="40"/>
      <c r="BB524" t="s">
        <v>229</v>
      </c>
      <c r="BD524">
        <v>30</v>
      </c>
    </row>
    <row r="525" spans="1:65" x14ac:dyDescent="0.3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AP525" s="41" t="s">
        <v>230</v>
      </c>
      <c r="AQ525" s="54">
        <f>3+5</f>
        <v>8</v>
      </c>
      <c r="AR525" s="45">
        <f>3+5</f>
        <v>8</v>
      </c>
      <c r="AS525" s="42"/>
      <c r="AT525" s="40"/>
      <c r="AU525" s="42"/>
      <c r="AV525" s="54">
        <v>1</v>
      </c>
      <c r="AW525" s="54" t="s">
        <v>352</v>
      </c>
      <c r="AX525" s="28"/>
      <c r="AY525" s="40"/>
      <c r="BB525" t="s">
        <v>232</v>
      </c>
      <c r="BD525" t="s">
        <v>233</v>
      </c>
      <c r="BF525">
        <f>SUM(AQ530)</f>
        <v>2565</v>
      </c>
      <c r="BH525" t="s">
        <v>234</v>
      </c>
      <c r="BJ525" t="s">
        <v>233</v>
      </c>
      <c r="BL525">
        <f>SUM(BC522)</f>
        <v>1728</v>
      </c>
    </row>
    <row r="526" spans="1:65" ht="18" x14ac:dyDescent="0.35">
      <c r="B526" s="133"/>
      <c r="AP526" s="68" t="s">
        <v>125</v>
      </c>
      <c r="AQ526" s="54">
        <v>0</v>
      </c>
      <c r="AR526" s="45">
        <v>1</v>
      </c>
      <c r="AS526" s="42"/>
      <c r="AT526" s="40"/>
      <c r="AU526" s="42"/>
      <c r="AV526" s="54">
        <v>1</v>
      </c>
      <c r="AW526" s="54" t="s">
        <v>228</v>
      </c>
      <c r="AX526" s="28"/>
      <c r="AY526" s="40"/>
      <c r="BA526" t="s">
        <v>6</v>
      </c>
      <c r="BD526" t="s">
        <v>236</v>
      </c>
      <c r="BF526">
        <f>SUM(AR530)</f>
        <v>2644</v>
      </c>
      <c r="BJ526" t="s">
        <v>236</v>
      </c>
      <c r="BL526">
        <f>SUM(BD522)</f>
        <v>2009</v>
      </c>
    </row>
    <row r="527" spans="1:65" x14ac:dyDescent="0.3">
      <c r="AP527" s="68" t="s">
        <v>132</v>
      </c>
      <c r="AQ527" s="54">
        <f>1+6+6</f>
        <v>13</v>
      </c>
      <c r="AR527" s="45">
        <f>1+1</f>
        <v>2</v>
      </c>
      <c r="AS527" s="42"/>
      <c r="AT527" s="40"/>
      <c r="AU527" s="42"/>
      <c r="AV527" s="54">
        <v>3</v>
      </c>
      <c r="AW527" s="54" t="s">
        <v>237</v>
      </c>
      <c r="AX527" s="28"/>
      <c r="AY527" s="40"/>
      <c r="BB527" s="134" t="s">
        <v>238</v>
      </c>
      <c r="BC527" s="135" t="s">
        <v>239</v>
      </c>
      <c r="BD527" s="136"/>
      <c r="BE527" s="134" t="s">
        <v>240</v>
      </c>
      <c r="BF527" s="135" t="s">
        <v>241</v>
      </c>
      <c r="BG527" s="136"/>
      <c r="BH527" s="134"/>
      <c r="BI527" s="135" t="s">
        <v>242</v>
      </c>
      <c r="BJ527" s="137" t="s">
        <v>243</v>
      </c>
      <c r="BK527" s="135"/>
      <c r="BL527" s="135"/>
      <c r="BM527" s="136"/>
    </row>
    <row r="528" spans="1:65" x14ac:dyDescent="0.3">
      <c r="AP528" s="41" t="s">
        <v>6</v>
      </c>
      <c r="AS528" s="42"/>
      <c r="AT528" s="40"/>
      <c r="AU528" s="42"/>
      <c r="AV528" s="54">
        <v>0</v>
      </c>
      <c r="AW528" s="54" t="s">
        <v>472</v>
      </c>
      <c r="AX528" s="28"/>
      <c r="AY528" s="40"/>
      <c r="BB528" s="138" t="s">
        <v>233</v>
      </c>
      <c r="BC528" s="28"/>
      <c r="BD528" s="139">
        <f>SUM(B513)</f>
        <v>62060</v>
      </c>
      <c r="BE528" s="138" t="s">
        <v>233</v>
      </c>
      <c r="BF528" s="28"/>
      <c r="BG528" s="139">
        <f>SUM(AC510)</f>
        <v>2836</v>
      </c>
      <c r="BH528" s="138" t="s">
        <v>233</v>
      </c>
      <c r="BI528" s="28"/>
      <c r="BJ528" s="140">
        <f>SUM(BL525+BG528)</f>
        <v>4564</v>
      </c>
      <c r="BK528" s="28" t="s">
        <v>245</v>
      </c>
      <c r="BL528" s="28">
        <f>SUM(BJ528+BD528)</f>
        <v>66624</v>
      </c>
      <c r="BM528" s="141"/>
    </row>
    <row r="529" spans="1:65" ht="18.600000000000001" thickBot="1" x14ac:dyDescent="0.4">
      <c r="B529" s="133"/>
      <c r="AP529" s="46" t="s">
        <v>84</v>
      </c>
      <c r="AQ529" s="48">
        <f>SUM(AQ513:AQ528)</f>
        <v>107</v>
      </c>
      <c r="AR529" s="48">
        <f>SUM(AR513:AR528)</f>
        <v>76</v>
      </c>
      <c r="AS529" s="47"/>
      <c r="AT529" s="49"/>
      <c r="AU529" s="47"/>
      <c r="AV529" s="48">
        <v>7</v>
      </c>
      <c r="AW529" s="48" t="s">
        <v>244</v>
      </c>
      <c r="AX529" s="48"/>
      <c r="AY529" s="49">
        <f>SUM(AV514:AV529)</f>
        <v>77</v>
      </c>
      <c r="BB529" s="142" t="s">
        <v>236</v>
      </c>
      <c r="BC529" s="143"/>
      <c r="BD529" s="144">
        <f>SUM(C513)</f>
        <v>77058</v>
      </c>
      <c r="BE529" s="142" t="s">
        <v>236</v>
      </c>
      <c r="BF529" s="143"/>
      <c r="BG529" s="144">
        <f>SUM(AD510)</f>
        <v>2693</v>
      </c>
      <c r="BH529" s="142" t="s">
        <v>236</v>
      </c>
      <c r="BI529" s="143"/>
      <c r="BJ529" s="145">
        <f>SUM(BL526+BG529)</f>
        <v>4702</v>
      </c>
      <c r="BK529" s="143"/>
      <c r="BL529" s="143">
        <f>SUM(BJ529+BD529)</f>
        <v>81760</v>
      </c>
      <c r="BM529" s="146"/>
    </row>
    <row r="530" spans="1:65" ht="18.600000000000001" thickBot="1" x14ac:dyDescent="0.4">
      <c r="B530" s="133"/>
      <c r="AP530" s="147" t="s">
        <v>84</v>
      </c>
      <c r="AQ530" s="147">
        <f>SUM(+AQ529+AQ512+AQ502+AQ487+AQ485)</f>
        <v>2565</v>
      </c>
      <c r="AR530" s="148">
        <f>SUM(AR529+AR512+AR502+AR487+AR485)</f>
        <v>2644</v>
      </c>
      <c r="AS530" s="147"/>
      <c r="AT530" s="148"/>
      <c r="AU530" s="149" t="s">
        <v>247</v>
      </c>
      <c r="AV530" s="149"/>
      <c r="AW530" s="149"/>
      <c r="AX530" s="149"/>
      <c r="AY530" s="148">
        <f>SUM(AY485:AY529)</f>
        <v>354</v>
      </c>
    </row>
    <row r="531" spans="1:65" ht="15" thickTop="1" x14ac:dyDescent="0.3"/>
    <row r="533" spans="1:65" ht="15.6" x14ac:dyDescent="0.3">
      <c r="C533" s="1" t="s">
        <v>0</v>
      </c>
      <c r="P533" s="1" t="s">
        <v>1</v>
      </c>
    </row>
    <row r="534" spans="1:65" ht="15.6" x14ac:dyDescent="0.3">
      <c r="D534" t="s">
        <v>2</v>
      </c>
      <c r="Q534" t="s">
        <v>3</v>
      </c>
      <c r="AE534" s="2"/>
      <c r="AF534" s="1" t="s">
        <v>0</v>
      </c>
      <c r="AG534" s="1"/>
      <c r="AI534" s="1"/>
      <c r="AJ534" s="1"/>
      <c r="AS534" s="1" t="s">
        <v>4</v>
      </c>
      <c r="BE534" s="1"/>
      <c r="BF534" s="1" t="s">
        <v>5</v>
      </c>
      <c r="BG534" s="1"/>
      <c r="BH534" s="1"/>
      <c r="BI534" s="1"/>
      <c r="BJ534" s="1"/>
    </row>
    <row r="535" spans="1:65" ht="15.6" x14ac:dyDescent="0.3">
      <c r="A535" t="s">
        <v>6</v>
      </c>
      <c r="C535" t="s">
        <v>7</v>
      </c>
      <c r="O535" t="s">
        <v>8</v>
      </c>
      <c r="AE535" s="3"/>
      <c r="AF535" s="2" t="s">
        <v>9</v>
      </c>
      <c r="AG535" s="1"/>
      <c r="AI535" s="1"/>
      <c r="AJ535" s="1"/>
      <c r="AT535" t="s">
        <v>2</v>
      </c>
      <c r="BG535" t="s">
        <v>2</v>
      </c>
    </row>
    <row r="536" spans="1:65" ht="15.6" x14ac:dyDescent="0.3">
      <c r="D536" t="s">
        <v>527</v>
      </c>
      <c r="Q536" t="s">
        <v>527</v>
      </c>
      <c r="AF536" s="3" t="s">
        <v>11</v>
      </c>
      <c r="AG536" s="1"/>
      <c r="AI536" s="1"/>
      <c r="AJ536" s="1"/>
      <c r="AR536" t="s">
        <v>12</v>
      </c>
      <c r="AZ536" t="s">
        <v>6</v>
      </c>
      <c r="BE536" t="s">
        <v>13</v>
      </c>
    </row>
    <row r="537" spans="1:65" ht="15" thickBot="1" x14ac:dyDescent="0.35">
      <c r="I537" s="4" t="s">
        <v>14</v>
      </c>
      <c r="U537" s="5" t="s">
        <v>15</v>
      </c>
      <c r="AG537" t="s">
        <v>527</v>
      </c>
      <c r="AT537" t="s">
        <v>527</v>
      </c>
      <c r="AY537" s="5"/>
      <c r="BG537" t="s">
        <v>527</v>
      </c>
      <c r="BK537" s="5" t="s">
        <v>16</v>
      </c>
    </row>
    <row r="538" spans="1:65" ht="15" thickBot="1" x14ac:dyDescent="0.35">
      <c r="A538" s="6" t="s">
        <v>17</v>
      </c>
      <c r="B538" s="6" t="s">
        <v>18</v>
      </c>
      <c r="C538" s="7"/>
      <c r="D538" s="8" t="s">
        <v>19</v>
      </c>
      <c r="E538" s="8"/>
      <c r="F538" s="8"/>
      <c r="G538" s="9" t="s">
        <v>20</v>
      </c>
      <c r="H538" s="8" t="s">
        <v>21</v>
      </c>
      <c r="I538" s="8"/>
      <c r="J538" s="7"/>
      <c r="L538" s="6" t="s">
        <v>17</v>
      </c>
      <c r="M538" s="6" t="s">
        <v>22</v>
      </c>
      <c r="N538" s="7"/>
      <c r="O538" s="8" t="s">
        <v>23</v>
      </c>
      <c r="P538" s="8"/>
      <c r="Q538" s="8"/>
      <c r="R538" s="6" t="s">
        <v>24</v>
      </c>
      <c r="S538" s="7"/>
      <c r="T538" s="8" t="s">
        <v>21</v>
      </c>
      <c r="U538" s="8"/>
      <c r="V538" s="7"/>
      <c r="AL538" s="5" t="s">
        <v>25</v>
      </c>
      <c r="AX538" s="5" t="s">
        <v>26</v>
      </c>
      <c r="BB538" s="6" t="s">
        <v>17</v>
      </c>
      <c r="BC538" s="6" t="s">
        <v>27</v>
      </c>
      <c r="BD538" s="7"/>
      <c r="BE538" s="8" t="s">
        <v>28</v>
      </c>
      <c r="BF538" s="8"/>
      <c r="BG538" s="8"/>
      <c r="BH538" s="6" t="s">
        <v>29</v>
      </c>
      <c r="BI538" s="7" t="s">
        <v>30</v>
      </c>
      <c r="BJ538" s="8" t="s">
        <v>31</v>
      </c>
      <c r="BK538" s="8"/>
      <c r="BL538" s="7"/>
    </row>
    <row r="539" spans="1:65" x14ac:dyDescent="0.3">
      <c r="A539" s="10" t="s">
        <v>32</v>
      </c>
      <c r="B539" s="10"/>
      <c r="C539" s="11"/>
      <c r="D539" s="3"/>
      <c r="E539" s="3"/>
      <c r="F539" s="3"/>
      <c r="G539" s="12"/>
      <c r="H539" s="3" t="s">
        <v>33</v>
      </c>
      <c r="I539" s="3"/>
      <c r="J539" s="11"/>
      <c r="L539" s="10"/>
      <c r="M539" s="10"/>
      <c r="N539" s="11"/>
      <c r="O539" s="3"/>
      <c r="P539" s="3"/>
      <c r="Q539" s="3"/>
      <c r="R539" s="10"/>
      <c r="S539" s="11"/>
      <c r="T539" s="3" t="s">
        <v>33</v>
      </c>
      <c r="U539" s="3"/>
      <c r="V539" s="11"/>
      <c r="AB539" s="6" t="s">
        <v>34</v>
      </c>
      <c r="AC539" s="6" t="s">
        <v>35</v>
      </c>
      <c r="AD539" s="7"/>
      <c r="AE539" s="6" t="s">
        <v>36</v>
      </c>
      <c r="AF539" s="8"/>
      <c r="AG539" s="7"/>
      <c r="AH539" s="8" t="s">
        <v>37</v>
      </c>
      <c r="AI539" s="8"/>
      <c r="AJ539" s="9" t="s">
        <v>30</v>
      </c>
      <c r="AK539" s="8" t="s">
        <v>38</v>
      </c>
      <c r="AL539" s="8"/>
      <c r="AM539" s="7"/>
      <c r="AP539" s="6" t="s">
        <v>17</v>
      </c>
      <c r="AQ539" s="6" t="s">
        <v>39</v>
      </c>
      <c r="AR539" s="7"/>
      <c r="AS539" s="6" t="s">
        <v>29</v>
      </c>
      <c r="AT539" s="7" t="s">
        <v>30</v>
      </c>
      <c r="AU539" s="8" t="s">
        <v>40</v>
      </c>
      <c r="AV539" s="8"/>
      <c r="AW539" s="8"/>
      <c r="AX539" s="8"/>
      <c r="AY539" s="7"/>
      <c r="BB539" s="10"/>
      <c r="BC539" s="10"/>
      <c r="BD539" s="11"/>
      <c r="BE539" s="3"/>
      <c r="BF539" s="3"/>
      <c r="BG539" s="3"/>
      <c r="BH539" s="10"/>
      <c r="BI539" s="11" t="s">
        <v>6</v>
      </c>
      <c r="BJ539" s="3" t="s">
        <v>41</v>
      </c>
      <c r="BK539" s="3"/>
      <c r="BL539" s="11"/>
    </row>
    <row r="540" spans="1:65" ht="15" thickBot="1" x14ac:dyDescent="0.35">
      <c r="A540" s="13" t="s">
        <v>42</v>
      </c>
      <c r="B540" s="14" t="s">
        <v>43</v>
      </c>
      <c r="C540" s="15" t="s">
        <v>44</v>
      </c>
      <c r="D540" s="16" t="s">
        <v>45</v>
      </c>
      <c r="E540" s="16" t="s">
        <v>46</v>
      </c>
      <c r="F540" s="16" t="s">
        <v>47</v>
      </c>
      <c r="G540" s="17" t="s">
        <v>48</v>
      </c>
      <c r="H540" s="18" t="s">
        <v>49</v>
      </c>
      <c r="I540" s="18"/>
      <c r="J540" s="11"/>
      <c r="L540" s="10" t="s">
        <v>50</v>
      </c>
      <c r="M540" s="19" t="s">
        <v>43</v>
      </c>
      <c r="N540" s="20" t="s">
        <v>44</v>
      </c>
      <c r="O540" s="21" t="s">
        <v>43</v>
      </c>
      <c r="P540" s="18" t="s">
        <v>51</v>
      </c>
      <c r="Q540" s="21" t="s">
        <v>44</v>
      </c>
      <c r="R540" s="22" t="s">
        <v>43</v>
      </c>
      <c r="S540" s="23" t="s">
        <v>44</v>
      </c>
      <c r="T540" s="18" t="s">
        <v>49</v>
      </c>
      <c r="U540" s="18"/>
      <c r="V540" s="11"/>
      <c r="AB540" s="10" t="s">
        <v>50</v>
      </c>
      <c r="AC540" s="22" t="s">
        <v>43</v>
      </c>
      <c r="AD540" s="23" t="s">
        <v>44</v>
      </c>
      <c r="AE540" s="22" t="s">
        <v>45</v>
      </c>
      <c r="AF540" s="24" t="s">
        <v>46</v>
      </c>
      <c r="AG540" s="23" t="s">
        <v>52</v>
      </c>
      <c r="AH540" s="24" t="s">
        <v>43</v>
      </c>
      <c r="AI540" s="24" t="s">
        <v>44</v>
      </c>
      <c r="AJ540" s="25" t="s">
        <v>43</v>
      </c>
      <c r="AK540" s="3" t="s">
        <v>53</v>
      </c>
      <c r="AL540" s="3"/>
      <c r="AM540" s="11"/>
      <c r="AP540" s="13" t="s">
        <v>42</v>
      </c>
      <c r="AQ540" s="10" t="s">
        <v>43</v>
      </c>
      <c r="AR540" s="11" t="s">
        <v>44</v>
      </c>
      <c r="AS540" s="13" t="s">
        <v>43</v>
      </c>
      <c r="AT540" s="26" t="s">
        <v>44</v>
      </c>
      <c r="AU540" s="27"/>
      <c r="AV540" s="27"/>
      <c r="AW540" s="27"/>
      <c r="AX540" s="27"/>
      <c r="AY540" s="26"/>
      <c r="BB540" s="13" t="s">
        <v>42</v>
      </c>
      <c r="BC540" s="13" t="s">
        <v>43</v>
      </c>
      <c r="BD540" s="26" t="s">
        <v>44</v>
      </c>
      <c r="BE540" s="27" t="s">
        <v>45</v>
      </c>
      <c r="BF540" s="27" t="s">
        <v>46</v>
      </c>
      <c r="BG540" s="27" t="s">
        <v>52</v>
      </c>
      <c r="BH540" s="13" t="s">
        <v>43</v>
      </c>
      <c r="BI540" s="26" t="s">
        <v>44</v>
      </c>
      <c r="BJ540" s="27" t="s">
        <v>54</v>
      </c>
      <c r="BK540" s="27"/>
      <c r="BL540" s="26"/>
    </row>
    <row r="541" spans="1:65" ht="15" thickBot="1" x14ac:dyDescent="0.35">
      <c r="A541" s="6"/>
      <c r="B541" s="6"/>
      <c r="C541" s="7"/>
      <c r="D541" s="8"/>
      <c r="E541" s="8"/>
      <c r="F541" s="7"/>
      <c r="G541" s="8"/>
      <c r="H541" s="6" t="s">
        <v>396</v>
      </c>
      <c r="I541" s="8"/>
      <c r="J541" s="7"/>
      <c r="K541" s="28"/>
      <c r="L541" s="9"/>
      <c r="M541" s="8"/>
      <c r="N541" s="8"/>
      <c r="O541" s="6"/>
      <c r="P541" s="8"/>
      <c r="Q541" s="7"/>
      <c r="R541" s="8"/>
      <c r="S541" s="8"/>
      <c r="T541" s="6" t="s">
        <v>396</v>
      </c>
      <c r="U541" s="8"/>
      <c r="V541" s="7"/>
      <c r="W541" s="28"/>
      <c r="AB541" s="13"/>
      <c r="AC541" s="13"/>
      <c r="AD541" s="26"/>
      <c r="AE541" s="13"/>
      <c r="AF541" s="27"/>
      <c r="AG541" s="26"/>
      <c r="AH541" s="27"/>
      <c r="AI541" s="27"/>
      <c r="AJ541" s="17"/>
      <c r="AK541" s="27"/>
      <c r="AL541" s="27"/>
      <c r="AM541" s="26"/>
      <c r="AP541" s="6" t="s">
        <v>56</v>
      </c>
      <c r="AQ541" s="29">
        <v>767</v>
      </c>
      <c r="AR541" s="30">
        <v>703</v>
      </c>
      <c r="AU541" s="6"/>
      <c r="AV541" s="8"/>
      <c r="AW541" s="31" t="s">
        <v>57</v>
      </c>
      <c r="AX541" s="8"/>
      <c r="AY541" s="7"/>
      <c r="AZ541" s="28"/>
      <c r="BB541" s="32" t="s">
        <v>85</v>
      </c>
      <c r="BE541" s="33"/>
      <c r="BF541" s="34"/>
      <c r="BG541" s="34"/>
      <c r="BH541" s="33"/>
      <c r="BI541" s="35"/>
      <c r="BJ541" s="34" t="s">
        <v>58</v>
      </c>
      <c r="BK541" s="8"/>
      <c r="BL541" s="7"/>
    </row>
    <row r="542" spans="1:65" x14ac:dyDescent="0.3">
      <c r="A542" s="10" t="s">
        <v>59</v>
      </c>
      <c r="B542" s="36">
        <v>916</v>
      </c>
      <c r="C542" s="11">
        <v>1195</v>
      </c>
      <c r="D542" s="37"/>
      <c r="E542" s="38" t="s">
        <v>60</v>
      </c>
      <c r="F542" s="39"/>
      <c r="G542" s="37">
        <v>1386</v>
      </c>
      <c r="H542" s="36">
        <v>4</v>
      </c>
      <c r="I542" s="37" t="s">
        <v>61</v>
      </c>
      <c r="J542" s="40"/>
      <c r="K542" s="28"/>
      <c r="L542" s="41" t="s">
        <v>59</v>
      </c>
      <c r="M542" s="28">
        <v>22146</v>
      </c>
      <c r="N542" s="28">
        <v>21558</v>
      </c>
      <c r="O542" s="42">
        <v>0</v>
      </c>
      <c r="P542" s="43">
        <v>0</v>
      </c>
      <c r="Q542" s="40">
        <v>0</v>
      </c>
      <c r="R542" s="43">
        <v>0</v>
      </c>
      <c r="S542" s="43">
        <v>0</v>
      </c>
      <c r="T542" s="42"/>
      <c r="U542" s="28"/>
      <c r="V542" s="40"/>
      <c r="W542" s="28"/>
      <c r="AB542" s="9"/>
      <c r="AC542" s="8"/>
      <c r="AD542" s="8"/>
      <c r="AE542" s="6"/>
      <c r="AF542" s="8"/>
      <c r="AG542" s="7"/>
      <c r="AH542" s="8"/>
      <c r="AI542" s="8"/>
      <c r="AJ542" s="9"/>
      <c r="AK542" s="6" t="s">
        <v>62</v>
      </c>
      <c r="AL542" s="8"/>
      <c r="AM542" s="7"/>
      <c r="AP542" s="36" t="s">
        <v>63</v>
      </c>
      <c r="AQ542" s="36">
        <v>0</v>
      </c>
      <c r="AR542" s="39">
        <v>0</v>
      </c>
      <c r="AT542" s="18"/>
      <c r="AU542" s="10"/>
      <c r="AV542" s="18"/>
      <c r="AW542" s="18"/>
      <c r="AX542" s="18"/>
      <c r="AY542" s="11"/>
      <c r="AZ542" s="28"/>
      <c r="BB542" s="44" t="s">
        <v>64</v>
      </c>
      <c r="BC542" s="18">
        <v>117</v>
      </c>
      <c r="BD542" s="18">
        <v>146</v>
      </c>
      <c r="BE542" s="10">
        <v>0</v>
      </c>
      <c r="BF542" s="18">
        <v>0</v>
      </c>
      <c r="BG542" s="18">
        <v>0</v>
      </c>
      <c r="BH542" s="10">
        <v>0</v>
      </c>
      <c r="BI542" s="11">
        <v>0</v>
      </c>
      <c r="BJ542" s="45">
        <v>7</v>
      </c>
      <c r="BK542" s="28" t="s">
        <v>474</v>
      </c>
      <c r="BL542" s="11" t="s">
        <v>6</v>
      </c>
    </row>
    <row r="543" spans="1:65" ht="15" thickBot="1" x14ac:dyDescent="0.35">
      <c r="A543" s="36" t="s">
        <v>6</v>
      </c>
      <c r="B543" s="10"/>
      <c r="C543" s="11"/>
      <c r="D543" s="18"/>
      <c r="E543" s="18"/>
      <c r="F543" s="18"/>
      <c r="G543" s="36"/>
      <c r="H543" s="42">
        <v>2</v>
      </c>
      <c r="I543" s="28" t="s">
        <v>528</v>
      </c>
      <c r="J543" s="40">
        <f>SUM(H542+H543)</f>
        <v>6</v>
      </c>
      <c r="K543" s="28"/>
      <c r="L543" s="12"/>
      <c r="M543" s="37"/>
      <c r="N543" s="37"/>
      <c r="O543" s="10"/>
      <c r="P543" s="18"/>
      <c r="Q543" s="11"/>
      <c r="R543" s="18"/>
      <c r="S543" s="18"/>
      <c r="T543" s="10"/>
      <c r="U543" s="18"/>
      <c r="V543" s="11"/>
      <c r="W543" s="28"/>
      <c r="AB543" s="41"/>
      <c r="AE543" s="42"/>
      <c r="AF543" s="28"/>
      <c r="AG543" s="40"/>
      <c r="AJ543" s="41"/>
      <c r="AK543" s="42"/>
      <c r="AL543" s="28" t="s">
        <v>6</v>
      </c>
      <c r="AM543" s="40"/>
      <c r="AP543" s="36" t="s">
        <v>67</v>
      </c>
      <c r="AQ543" s="36">
        <v>316</v>
      </c>
      <c r="AR543" s="39">
        <v>305</v>
      </c>
      <c r="AT543" s="18"/>
      <c r="AU543" s="10"/>
      <c r="AV543" s="37">
        <v>107</v>
      </c>
      <c r="AW543" s="37" t="s">
        <v>68</v>
      </c>
      <c r="AX543" s="18"/>
      <c r="AY543" s="11"/>
      <c r="AZ543" s="28"/>
      <c r="BA543" s="28"/>
      <c r="BB543" s="46" t="s">
        <v>84</v>
      </c>
      <c r="BC543">
        <f>SUM(BC541:BC542)</f>
        <v>117</v>
      </c>
      <c r="BD543">
        <f>SUM(BD541:BD542)</f>
        <v>146</v>
      </c>
      <c r="BE543" s="47"/>
      <c r="BF543" s="48"/>
      <c r="BG543" s="48"/>
      <c r="BH543" s="47"/>
      <c r="BI543" s="49"/>
      <c r="BJ543" s="48">
        <v>1</v>
      </c>
      <c r="BK543" s="48" t="s">
        <v>69</v>
      </c>
      <c r="BL543" s="49">
        <f>SUM(BJ542:BJ543)</f>
        <v>8</v>
      </c>
    </row>
    <row r="544" spans="1:65" ht="15" thickBot="1" x14ac:dyDescent="0.35">
      <c r="A544" s="32"/>
      <c r="B544" s="34"/>
      <c r="C544" s="34"/>
      <c r="D544" s="33"/>
      <c r="E544" s="34"/>
      <c r="F544" s="35"/>
      <c r="G544" s="34"/>
      <c r="H544" s="6" t="s">
        <v>70</v>
      </c>
      <c r="I544" s="8"/>
      <c r="J544" s="7"/>
      <c r="K544" s="28"/>
      <c r="L544" s="17"/>
      <c r="M544" s="27"/>
      <c r="N544" s="27"/>
      <c r="O544" s="13"/>
      <c r="P544" s="27"/>
      <c r="Q544" s="26"/>
      <c r="R544" s="27"/>
      <c r="S544" s="27"/>
      <c r="T544" s="13"/>
      <c r="U544" s="27"/>
      <c r="V544" s="26"/>
      <c r="W544" s="28"/>
      <c r="AB544" s="44" t="s">
        <v>59</v>
      </c>
      <c r="AC544" s="37">
        <v>932</v>
      </c>
      <c r="AD544" s="37">
        <v>1050</v>
      </c>
      <c r="AE544" s="10">
        <v>0</v>
      </c>
      <c r="AF544" s="18">
        <v>0</v>
      </c>
      <c r="AG544" s="39">
        <v>0</v>
      </c>
      <c r="AH544" s="2">
        <v>2118</v>
      </c>
      <c r="AI544" s="2">
        <v>12608</v>
      </c>
      <c r="AJ544" s="12">
        <v>0</v>
      </c>
      <c r="AK544" s="36">
        <v>1</v>
      </c>
      <c r="AL544" s="37" t="s">
        <v>66</v>
      </c>
      <c r="AM544" s="11"/>
      <c r="AP544" s="36" t="s">
        <v>72</v>
      </c>
      <c r="AQ544" s="36">
        <v>0</v>
      </c>
      <c r="AR544" s="39">
        <v>0</v>
      </c>
      <c r="AT544" s="18"/>
      <c r="AU544" s="10"/>
      <c r="AV544" s="37">
        <v>2</v>
      </c>
      <c r="AW544" s="37" t="s">
        <v>73</v>
      </c>
      <c r="AX544" s="18"/>
      <c r="AY544" s="11"/>
      <c r="AZ544" s="28"/>
      <c r="BA544" s="28"/>
      <c r="BB544" s="33"/>
      <c r="BC544" s="33"/>
      <c r="BD544" s="35"/>
      <c r="BE544" s="34"/>
      <c r="BF544" s="34"/>
      <c r="BG544" s="34"/>
      <c r="BH544" s="33"/>
      <c r="BI544" s="35"/>
      <c r="BJ544" s="8" t="s">
        <v>6</v>
      </c>
      <c r="BK544" s="34"/>
      <c r="BL544" s="35"/>
    </row>
    <row r="545" spans="1:66" ht="15" thickBot="1" x14ac:dyDescent="0.35">
      <c r="A545" s="44" t="s">
        <v>74</v>
      </c>
      <c r="B545" s="37">
        <v>1441</v>
      </c>
      <c r="C545" s="18">
        <v>2815</v>
      </c>
      <c r="D545" s="36"/>
      <c r="E545" s="38" t="s">
        <v>60</v>
      </c>
      <c r="F545" s="39"/>
      <c r="G545" s="37">
        <v>4001</v>
      </c>
      <c r="H545" s="36">
        <v>1</v>
      </c>
      <c r="I545" s="28" t="s">
        <v>75</v>
      </c>
      <c r="J545" s="11"/>
      <c r="K545" s="28"/>
      <c r="L545" s="32"/>
      <c r="M545" s="34"/>
      <c r="N545" s="34"/>
      <c r="O545" s="33"/>
      <c r="P545" s="34"/>
      <c r="Q545" s="35"/>
      <c r="R545" s="34"/>
      <c r="S545" s="34"/>
      <c r="T545" s="33"/>
      <c r="U545" s="34"/>
      <c r="V545" s="35"/>
      <c r="W545" s="28"/>
      <c r="AB545" s="46"/>
      <c r="AE545" s="47"/>
      <c r="AF545" s="51"/>
      <c r="AG545" s="49"/>
      <c r="AH545" s="28"/>
      <c r="AI545" s="28"/>
      <c r="AJ545" s="62"/>
      <c r="AK545" s="47">
        <v>3</v>
      </c>
      <c r="AL545" s="48" t="s">
        <v>398</v>
      </c>
      <c r="AM545" s="49"/>
      <c r="AP545" s="36" t="s">
        <v>78</v>
      </c>
      <c r="AQ545" s="36">
        <v>0</v>
      </c>
      <c r="AR545" s="39">
        <v>0</v>
      </c>
      <c r="AT545" s="18"/>
      <c r="AU545" s="10"/>
      <c r="AV545" s="37"/>
      <c r="AW545" s="37"/>
      <c r="AX545" s="18" t="s">
        <v>6</v>
      </c>
      <c r="AY545" s="11"/>
      <c r="AZ545" s="28"/>
      <c r="BA545" s="28"/>
      <c r="BB545" s="47" t="s">
        <v>6</v>
      </c>
      <c r="BC545" s="47"/>
      <c r="BD545" s="49"/>
      <c r="BE545" s="48">
        <v>0</v>
      </c>
      <c r="BF545" s="48">
        <v>0</v>
      </c>
      <c r="BG545" s="48">
        <v>0</v>
      </c>
      <c r="BH545" s="47">
        <v>0</v>
      </c>
      <c r="BI545" s="49">
        <v>0</v>
      </c>
      <c r="BJ545" s="51"/>
      <c r="BK545" s="48" t="s">
        <v>6</v>
      </c>
      <c r="BL545" s="49">
        <f>SUM(BJ545)</f>
        <v>0</v>
      </c>
    </row>
    <row r="546" spans="1:66" x14ac:dyDescent="0.3">
      <c r="A546" s="41"/>
      <c r="D546" s="42"/>
      <c r="E546" s="28"/>
      <c r="F546" s="40"/>
      <c r="H546" s="42">
        <v>5</v>
      </c>
      <c r="I546" s="28" t="s">
        <v>79</v>
      </c>
      <c r="J546" s="40"/>
      <c r="K546" s="28"/>
      <c r="L546" s="41"/>
      <c r="M546" s="28"/>
      <c r="N546" s="28"/>
      <c r="O546" s="42"/>
      <c r="P546" s="28"/>
      <c r="Q546" s="40"/>
      <c r="R546" s="28"/>
      <c r="S546" s="28"/>
      <c r="T546" s="42" t="s">
        <v>80</v>
      </c>
      <c r="U546" s="28"/>
      <c r="V546" s="40"/>
      <c r="W546" s="28"/>
      <c r="AB546" s="50" t="s">
        <v>6</v>
      </c>
      <c r="AC546" s="8"/>
      <c r="AD546" s="8"/>
      <c r="AE546" s="6"/>
      <c r="AF546" s="8"/>
      <c r="AG546" s="7"/>
      <c r="AH546" s="6"/>
      <c r="AI546" s="7"/>
      <c r="AJ546" s="8"/>
      <c r="AK546" s="29" t="s">
        <v>71</v>
      </c>
      <c r="AL546" s="8"/>
      <c r="AM546" s="7"/>
      <c r="AP546" s="52" t="s">
        <v>81</v>
      </c>
      <c r="AQ546" s="36">
        <v>0</v>
      </c>
      <c r="AR546" s="39">
        <v>0</v>
      </c>
      <c r="AU546" s="42"/>
      <c r="AV546" s="28"/>
      <c r="AW546" s="28"/>
      <c r="AX546" s="28"/>
      <c r="AY546" s="40"/>
      <c r="AZ546" s="28"/>
      <c r="BA546" s="28"/>
      <c r="BB546" s="33"/>
      <c r="BC546" s="33"/>
      <c r="BD546" s="35"/>
      <c r="BE546" s="34"/>
      <c r="BF546" s="34"/>
      <c r="BG546" s="34"/>
      <c r="BH546" s="33"/>
      <c r="BI546" s="35"/>
      <c r="BJ546" s="53" t="s">
        <v>82</v>
      </c>
      <c r="BK546" s="34"/>
      <c r="BL546" s="35"/>
    </row>
    <row r="547" spans="1:66" ht="15" thickBot="1" x14ac:dyDescent="0.35">
      <c r="A547" s="46"/>
      <c r="B547" s="48"/>
      <c r="C547" s="48"/>
      <c r="D547" s="47"/>
      <c r="E547" s="48"/>
      <c r="F547" s="49"/>
      <c r="G547" s="48"/>
      <c r="H547" s="47">
        <v>20</v>
      </c>
      <c r="I547" s="28" t="s">
        <v>83</v>
      </c>
      <c r="J547" s="49">
        <f>SUM(H545:H547)</f>
        <v>26</v>
      </c>
      <c r="K547" s="28"/>
      <c r="L547" s="17" t="s">
        <v>74</v>
      </c>
      <c r="M547" s="27">
        <v>4884</v>
      </c>
      <c r="N547" s="27">
        <v>1276</v>
      </c>
      <c r="O547" s="13">
        <v>0</v>
      </c>
      <c r="P547" s="27">
        <v>0</v>
      </c>
      <c r="Q547" s="26">
        <v>0</v>
      </c>
      <c r="R547" s="27">
        <v>52</v>
      </c>
      <c r="S547" s="27">
        <v>0</v>
      </c>
      <c r="T547" s="13"/>
      <c r="U547" s="27"/>
      <c r="V547" s="26"/>
      <c r="W547" s="28"/>
      <c r="AB547" s="41" t="s">
        <v>76</v>
      </c>
      <c r="AC547">
        <v>438</v>
      </c>
      <c r="AD547">
        <v>0</v>
      </c>
      <c r="AE547" s="42">
        <v>0</v>
      </c>
      <c r="AF547" s="43">
        <v>0</v>
      </c>
      <c r="AG547" s="40">
        <v>0</v>
      </c>
      <c r="AH547" s="42">
        <v>0</v>
      </c>
      <c r="AI547" s="40">
        <v>0</v>
      </c>
      <c r="AJ547" s="43">
        <v>0</v>
      </c>
      <c r="AK547" s="42">
        <v>4</v>
      </c>
      <c r="AL547" s="28" t="s">
        <v>77</v>
      </c>
      <c r="AM547" s="40"/>
      <c r="AP547" s="52" t="s">
        <v>115</v>
      </c>
      <c r="AQ547" s="52">
        <v>0</v>
      </c>
      <c r="AR547" s="86">
        <v>0</v>
      </c>
      <c r="AU547" s="42"/>
      <c r="AV547" s="28"/>
      <c r="AW547" s="28"/>
      <c r="AX547" s="28"/>
      <c r="AY547" s="40"/>
      <c r="AZ547" s="28"/>
      <c r="BA547" s="28"/>
      <c r="BB547" s="47" t="s">
        <v>85</v>
      </c>
      <c r="BC547" s="47">
        <v>0</v>
      </c>
      <c r="BD547" s="49">
        <v>0</v>
      </c>
      <c r="BE547" s="48"/>
      <c r="BF547" s="48">
        <v>0</v>
      </c>
      <c r="BG547" s="48">
        <v>0</v>
      </c>
      <c r="BH547" s="47">
        <v>0</v>
      </c>
      <c r="BI547" s="49">
        <v>0</v>
      </c>
      <c r="BJ547" s="51"/>
      <c r="BK547" s="48" t="s">
        <v>86</v>
      </c>
      <c r="BL547" s="49">
        <f>SUM(BJ547)</f>
        <v>0</v>
      </c>
    </row>
    <row r="548" spans="1:66" ht="15" thickBot="1" x14ac:dyDescent="0.35">
      <c r="A548" s="33"/>
      <c r="B548" s="33"/>
      <c r="C548" s="35"/>
      <c r="D548" s="34"/>
      <c r="E548" s="34"/>
      <c r="F548" s="34"/>
      <c r="G548" s="32"/>
      <c r="H548" s="6" t="s">
        <v>87</v>
      </c>
      <c r="I548" s="34"/>
      <c r="J548" s="35"/>
      <c r="K548" s="28"/>
      <c r="L548" s="12" t="s">
        <v>88</v>
      </c>
      <c r="M548" s="37">
        <v>0</v>
      </c>
      <c r="N548" s="37">
        <v>0</v>
      </c>
      <c r="O548" s="10"/>
      <c r="P548" s="18"/>
      <c r="Q548" s="11"/>
      <c r="R548" s="18"/>
      <c r="S548" s="18"/>
      <c r="T548" s="33" t="s">
        <v>6</v>
      </c>
      <c r="U548" s="31"/>
      <c r="V548" s="7"/>
      <c r="W548" s="28"/>
      <c r="AB548" s="6" t="s">
        <v>89</v>
      </c>
      <c r="AC548" s="6">
        <v>41</v>
      </c>
      <c r="AD548" s="7">
        <v>40</v>
      </c>
      <c r="AE548" s="8"/>
      <c r="AF548" s="8"/>
      <c r="AG548" s="8"/>
      <c r="AH548" s="6"/>
      <c r="AI548" s="7"/>
      <c r="AJ548" s="9"/>
      <c r="AK548" s="31" t="s">
        <v>90</v>
      </c>
      <c r="AL548" s="8"/>
      <c r="AM548" s="7"/>
      <c r="AP548" s="13" t="s">
        <v>84</v>
      </c>
      <c r="AQ548" s="13">
        <f>SUM(AQ541:AQ547)</f>
        <v>1083</v>
      </c>
      <c r="AR548" s="26">
        <f>SUM(AR541:AR547)</f>
        <v>1008</v>
      </c>
      <c r="AT548" s="18"/>
      <c r="AU548" s="13"/>
      <c r="AV548" s="27"/>
      <c r="AW548" s="27"/>
      <c r="AX548" s="27"/>
      <c r="AY548" s="26">
        <f>SUM(AV543:AV544)</f>
        <v>109</v>
      </c>
      <c r="AZ548" s="28"/>
      <c r="BA548" s="28"/>
      <c r="BB548" s="50" t="s">
        <v>107</v>
      </c>
      <c r="BC548" s="31">
        <v>78</v>
      </c>
      <c r="BD548" s="31">
        <v>93</v>
      </c>
      <c r="BE548" s="29"/>
      <c r="BF548" s="31"/>
      <c r="BG548" s="30"/>
      <c r="BH548" s="55"/>
      <c r="BI548" s="8"/>
      <c r="BJ548" s="29"/>
      <c r="BK548" s="34" t="s">
        <v>92</v>
      </c>
      <c r="BL548" s="35"/>
    </row>
    <row r="549" spans="1:66" x14ac:dyDescent="0.3">
      <c r="A549" s="36" t="s">
        <v>93</v>
      </c>
      <c r="B549" s="36">
        <v>1610</v>
      </c>
      <c r="C549" s="11">
        <v>2270</v>
      </c>
      <c r="D549" s="37"/>
      <c r="E549" s="38" t="s">
        <v>60</v>
      </c>
      <c r="F549" s="37"/>
      <c r="G549" s="12">
        <v>2644</v>
      </c>
      <c r="H549" s="36">
        <v>18</v>
      </c>
      <c r="I549" s="37" t="s">
        <v>94</v>
      </c>
      <c r="J549" s="40"/>
      <c r="K549" s="28"/>
      <c r="L549" s="44" t="s">
        <v>95</v>
      </c>
      <c r="M549" s="37">
        <v>0</v>
      </c>
      <c r="N549" s="37">
        <v>0</v>
      </c>
      <c r="O549" s="10"/>
      <c r="P549" s="18"/>
      <c r="Q549" s="11"/>
      <c r="R549" s="18"/>
      <c r="S549" s="18"/>
      <c r="T549" s="10" t="s">
        <v>96</v>
      </c>
      <c r="U549" s="37"/>
      <c r="V549" s="11"/>
      <c r="W549" s="28"/>
      <c r="AB549" s="36" t="s">
        <v>97</v>
      </c>
      <c r="AC549" s="10">
        <v>0</v>
      </c>
      <c r="AD549" s="11">
        <v>0</v>
      </c>
      <c r="AE549" s="18">
        <v>0</v>
      </c>
      <c r="AF549" s="18">
        <v>0</v>
      </c>
      <c r="AG549" s="18">
        <v>0</v>
      </c>
      <c r="AH549" s="36">
        <v>0</v>
      </c>
      <c r="AI549" s="11">
        <v>0</v>
      </c>
      <c r="AJ549" s="12">
        <v>0</v>
      </c>
      <c r="AK549" s="37">
        <v>1</v>
      </c>
      <c r="AL549" s="37" t="s">
        <v>529</v>
      </c>
      <c r="AM549" s="11"/>
      <c r="AP549" s="32" t="s">
        <v>6</v>
      </c>
      <c r="AQ549" s="43"/>
      <c r="AR549" s="54"/>
      <c r="AS549" s="33"/>
      <c r="AT549" s="35"/>
      <c r="AU549" s="33"/>
      <c r="AV549" s="34" t="s">
        <v>91</v>
      </c>
      <c r="AW549" s="34"/>
      <c r="AX549" s="34"/>
      <c r="AY549" s="35"/>
      <c r="AZ549" s="28" t="s">
        <v>6</v>
      </c>
      <c r="BA549" s="28"/>
      <c r="BB549" s="41" t="s">
        <v>99</v>
      </c>
      <c r="BC549" s="45">
        <v>0</v>
      </c>
      <c r="BD549" s="45">
        <v>0</v>
      </c>
      <c r="BE549" s="42">
        <v>0</v>
      </c>
      <c r="BF549" s="45">
        <v>0</v>
      </c>
      <c r="BG549" s="40">
        <v>0</v>
      </c>
      <c r="BH549" s="45">
        <v>52914</v>
      </c>
      <c r="BI549" s="56">
        <v>17545</v>
      </c>
      <c r="BJ549" s="52">
        <v>27</v>
      </c>
      <c r="BK549" s="37" t="s">
        <v>100</v>
      </c>
      <c r="BL549" s="40"/>
    </row>
    <row r="550" spans="1:66" ht="15" thickBot="1" x14ac:dyDescent="0.35">
      <c r="A550" s="47"/>
      <c r="B550" s="47"/>
      <c r="C550" s="49"/>
      <c r="D550" s="48"/>
      <c r="E550" s="48"/>
      <c r="F550" s="48"/>
      <c r="G550" s="46"/>
      <c r="H550" s="47"/>
      <c r="I550" s="48" t="s">
        <v>101</v>
      </c>
      <c r="J550" s="49">
        <f>SUM(H549:H550)</f>
        <v>18</v>
      </c>
      <c r="K550" s="28"/>
      <c r="L550" s="12" t="s">
        <v>102</v>
      </c>
      <c r="M550" s="18">
        <v>0</v>
      </c>
      <c r="N550" s="18">
        <v>0</v>
      </c>
      <c r="O550" s="10"/>
      <c r="P550" s="18"/>
      <c r="Q550" s="11"/>
      <c r="R550" s="18"/>
      <c r="S550" s="18"/>
      <c r="T550" s="10"/>
      <c r="U550" s="18"/>
      <c r="V550" s="11"/>
      <c r="W550" s="28"/>
      <c r="AB550" s="47" t="s">
        <v>84</v>
      </c>
      <c r="AC550" s="13">
        <f>SUM(AC548:AC549)</f>
        <v>41</v>
      </c>
      <c r="AD550" s="26">
        <f>SUM(AD548:AD549)</f>
        <v>40</v>
      </c>
      <c r="AE550" s="27"/>
      <c r="AF550" s="27"/>
      <c r="AG550" s="27"/>
      <c r="AH550" s="13"/>
      <c r="AI550" s="26"/>
      <c r="AJ550" s="17"/>
      <c r="AK550" s="57"/>
      <c r="AL550" s="37" t="s">
        <v>141</v>
      </c>
      <c r="AM550" s="11"/>
      <c r="AP550" s="41" t="s">
        <v>56</v>
      </c>
      <c r="AQ550" s="43">
        <v>940</v>
      </c>
      <c r="AR550" s="54">
        <v>956</v>
      </c>
      <c r="AS550" s="42"/>
      <c r="AT550" s="40"/>
      <c r="AU550" s="42"/>
      <c r="AV550" s="28"/>
      <c r="AW550" s="28"/>
      <c r="AX550" s="28"/>
      <c r="AY550" s="40"/>
      <c r="AZ550" s="28"/>
      <c r="BA550" s="28"/>
      <c r="BB550" s="17" t="s">
        <v>84</v>
      </c>
      <c r="BC550" s="18">
        <f>SUM(BC548:BC549)</f>
        <v>78</v>
      </c>
      <c r="BD550" s="18">
        <f>SUM(BD548:BD549)</f>
        <v>93</v>
      </c>
      <c r="BE550" s="13"/>
      <c r="BF550" s="27"/>
      <c r="BG550" s="26"/>
      <c r="BH550" s="58"/>
      <c r="BI550" s="27"/>
      <c r="BJ550" s="59">
        <v>1</v>
      </c>
      <c r="BK550" s="48" t="s">
        <v>506</v>
      </c>
      <c r="BL550" s="60">
        <f>SUM(BJ549:BJ550)</f>
        <v>28</v>
      </c>
    </row>
    <row r="551" spans="1:66" ht="15" thickBot="1" x14ac:dyDescent="0.35">
      <c r="A551" s="29" t="s">
        <v>250</v>
      </c>
      <c r="B551" s="29">
        <v>0</v>
      </c>
      <c r="C551" s="7">
        <v>0</v>
      </c>
      <c r="D551" s="8"/>
      <c r="E551" s="8"/>
      <c r="F551" s="8"/>
      <c r="G551" s="9"/>
      <c r="H551" s="8" t="s">
        <v>104</v>
      </c>
      <c r="I551" s="8"/>
      <c r="J551" s="7"/>
      <c r="K551" s="28"/>
      <c r="L551" s="12" t="s">
        <v>84</v>
      </c>
      <c r="M551" s="18">
        <f>SUM(M548:M550)</f>
        <v>0</v>
      </c>
      <c r="N551" s="18">
        <f>SUM(N548:N550)</f>
        <v>0</v>
      </c>
      <c r="O551" s="10">
        <v>0</v>
      </c>
      <c r="P551" s="18">
        <v>0</v>
      </c>
      <c r="Q551" s="11">
        <v>0</v>
      </c>
      <c r="R551" s="18">
        <v>0</v>
      </c>
      <c r="S551" s="18">
        <v>0</v>
      </c>
      <c r="T551" s="13"/>
      <c r="U551" s="27"/>
      <c r="V551" s="26"/>
      <c r="W551" s="28"/>
      <c r="AB551" s="44"/>
      <c r="AC551" s="18"/>
      <c r="AD551" s="18"/>
      <c r="AE551" s="10"/>
      <c r="AF551" s="18"/>
      <c r="AG551" s="11"/>
      <c r="AH551" s="10"/>
      <c r="AI551" s="11"/>
      <c r="AJ551" s="6"/>
      <c r="AK551" s="33" t="s">
        <v>6</v>
      </c>
      <c r="AL551" s="61" t="s">
        <v>6</v>
      </c>
      <c r="AM551" s="7"/>
      <c r="AP551" s="62" t="s">
        <v>6</v>
      </c>
      <c r="AQ551" s="43"/>
      <c r="AR551" s="43"/>
      <c r="AS551" s="47"/>
      <c r="AT551" s="49"/>
      <c r="AU551" s="47"/>
      <c r="AV551" s="48">
        <v>84</v>
      </c>
      <c r="AW551" s="48" t="s">
        <v>73</v>
      </c>
      <c r="AX551" s="48"/>
      <c r="AY551" s="49">
        <f>SUM(AV551)</f>
        <v>84</v>
      </c>
      <c r="AZ551" s="28" t="s">
        <v>6</v>
      </c>
      <c r="BA551" s="28" t="s">
        <v>6</v>
      </c>
      <c r="BB551" s="32" t="s">
        <v>107</v>
      </c>
      <c r="BC551" s="63"/>
      <c r="BD551" s="64"/>
      <c r="BE551" s="33"/>
      <c r="BF551" s="8"/>
      <c r="BG551" s="35"/>
      <c r="BH551" s="65"/>
      <c r="BI551" s="66"/>
      <c r="BJ551" s="29"/>
      <c r="BK551" s="31" t="s">
        <v>57</v>
      </c>
      <c r="BL551" s="35"/>
    </row>
    <row r="552" spans="1:66" x14ac:dyDescent="0.3">
      <c r="A552" s="42" t="s">
        <v>105</v>
      </c>
      <c r="B552" s="42">
        <v>327</v>
      </c>
      <c r="C552" s="40">
        <v>526</v>
      </c>
      <c r="D552" s="28"/>
      <c r="E552" s="38" t="s">
        <v>60</v>
      </c>
      <c r="F552" s="28"/>
      <c r="G552" s="41">
        <f>9*72</f>
        <v>648</v>
      </c>
      <c r="H552" s="67">
        <v>9</v>
      </c>
      <c r="I552" s="43" t="s">
        <v>106</v>
      </c>
      <c r="J552" s="40">
        <f>SUM(H552)</f>
        <v>9</v>
      </c>
      <c r="K552" s="28"/>
      <c r="L552" s="32"/>
      <c r="M552" s="33"/>
      <c r="N552" s="35"/>
      <c r="O552" s="34"/>
      <c r="P552" s="34"/>
      <c r="Q552" s="35"/>
      <c r="R552" s="33"/>
      <c r="S552" s="35"/>
      <c r="T552" s="6" t="s">
        <v>104</v>
      </c>
      <c r="U552" s="34"/>
      <c r="V552" s="35"/>
      <c r="W552" s="28"/>
      <c r="AB552" s="41" t="s">
        <v>6</v>
      </c>
      <c r="AC552" s="18"/>
      <c r="AD552" s="18"/>
      <c r="AE552" s="10">
        <v>0</v>
      </c>
      <c r="AF552" s="18">
        <v>0</v>
      </c>
      <c r="AG552" s="11">
        <v>0</v>
      </c>
      <c r="AH552" s="10"/>
      <c r="AI552" s="11"/>
      <c r="AJ552" s="10">
        <v>0</v>
      </c>
      <c r="AK552" s="10"/>
      <c r="AL552" s="37" t="s">
        <v>6</v>
      </c>
      <c r="AM552" s="11"/>
      <c r="AP552" s="10"/>
      <c r="AQ552" s="29"/>
      <c r="AR552" s="31"/>
      <c r="AS552" s="33"/>
      <c r="AT552" s="7"/>
      <c r="AU552" s="8"/>
      <c r="AV552" s="8"/>
      <c r="AW552" s="8"/>
      <c r="AX552" s="8"/>
      <c r="AY552" s="7"/>
      <c r="AZ552" s="28"/>
      <c r="BA552" s="28" t="s">
        <v>6</v>
      </c>
      <c r="BB552" s="41" t="s">
        <v>113</v>
      </c>
      <c r="BC552" s="70">
        <v>331</v>
      </c>
      <c r="BD552" s="71">
        <v>363</v>
      </c>
      <c r="BE552" s="42"/>
      <c r="BF552" s="28"/>
      <c r="BG552" s="40"/>
      <c r="BH552" s="42"/>
      <c r="BI552" s="40"/>
      <c r="BJ552" s="42">
        <v>1</v>
      </c>
      <c r="BK552" s="54" t="s">
        <v>530</v>
      </c>
      <c r="BL552" s="40"/>
    </row>
    <row r="553" spans="1:66" ht="15" thickBot="1" x14ac:dyDescent="0.35">
      <c r="A553" s="67" t="s">
        <v>84</v>
      </c>
      <c r="B553" s="47">
        <f>SUM(B551:B552)</f>
        <v>327</v>
      </c>
      <c r="C553" s="49">
        <f>SUM(C551:C552)</f>
        <v>526</v>
      </c>
      <c r="G553" s="46"/>
      <c r="H553" s="48"/>
      <c r="I553" s="48"/>
      <c r="J553" s="49"/>
      <c r="K553" s="28"/>
      <c r="L553" s="69" t="s">
        <v>109</v>
      </c>
      <c r="M553" s="42">
        <v>0</v>
      </c>
      <c r="N553" s="40">
        <v>0</v>
      </c>
      <c r="O553" s="28">
        <v>0</v>
      </c>
      <c r="P553" s="43">
        <v>0</v>
      </c>
      <c r="Q553" s="40">
        <v>0</v>
      </c>
      <c r="R553" s="42">
        <v>0</v>
      </c>
      <c r="S553" s="40">
        <v>0</v>
      </c>
      <c r="T553" s="28"/>
      <c r="U553" s="28"/>
      <c r="V553" s="40"/>
      <c r="W553" s="28"/>
      <c r="AA553" s="28"/>
      <c r="AB553" s="44"/>
      <c r="AC553" s="45"/>
      <c r="AD553" s="45"/>
      <c r="AE553" s="10">
        <v>0</v>
      </c>
      <c r="AF553" s="18">
        <v>0</v>
      </c>
      <c r="AG553" s="11">
        <v>0</v>
      </c>
      <c r="AH553" s="10"/>
      <c r="AI553" s="11"/>
      <c r="AJ553" s="67"/>
      <c r="AK553" s="42"/>
      <c r="AL553" s="54"/>
      <c r="AM553" s="40"/>
      <c r="AN553" s="28"/>
      <c r="AP553" s="36" t="s">
        <v>63</v>
      </c>
      <c r="AQ553" s="10">
        <v>21</v>
      </c>
      <c r="AR553" s="18">
        <v>22</v>
      </c>
      <c r="AS553" s="42"/>
      <c r="AT553" s="11"/>
      <c r="AU553" s="18"/>
      <c r="AV553" s="18" t="s">
        <v>110</v>
      </c>
      <c r="AW553" s="18" t="s">
        <v>111</v>
      </c>
      <c r="AX553" s="18" t="s">
        <v>112</v>
      </c>
      <c r="AY553" s="11"/>
      <c r="AZ553" s="45"/>
      <c r="BA553" s="28"/>
      <c r="BB553" s="68" t="s">
        <v>84</v>
      </c>
      <c r="BC553">
        <f>SUM(BC551:BC552)</f>
        <v>331</v>
      </c>
      <c r="BD553">
        <f>SUM(BD551:BD552)</f>
        <v>363</v>
      </c>
      <c r="BE553" s="47">
        <v>0</v>
      </c>
      <c r="BF553" s="27">
        <v>0</v>
      </c>
      <c r="BG553" s="49">
        <v>0</v>
      </c>
      <c r="BH553" s="75">
        <v>0</v>
      </c>
      <c r="BI553" s="49">
        <v>0</v>
      </c>
      <c r="BJ553" s="47">
        <v>34</v>
      </c>
      <c r="BK553" s="51" t="s">
        <v>73</v>
      </c>
      <c r="BL553" s="49">
        <f>SUM(BJ552:BJ553)</f>
        <v>35</v>
      </c>
    </row>
    <row r="554" spans="1:66" ht="15" thickBot="1" x14ac:dyDescent="0.35">
      <c r="A554" s="29" t="s">
        <v>108</v>
      </c>
      <c r="B554" s="29">
        <v>0</v>
      </c>
      <c r="C554" s="7">
        <v>0</v>
      </c>
      <c r="D554" s="8"/>
      <c r="E554" s="8">
        <v>604</v>
      </c>
      <c r="F554" s="8"/>
      <c r="G554" s="50"/>
      <c r="H554" s="6" t="s">
        <v>104</v>
      </c>
      <c r="I554" s="31"/>
      <c r="J554" s="30"/>
      <c r="K554" s="28"/>
      <c r="L554" s="46"/>
      <c r="M554" s="47"/>
      <c r="N554" s="49"/>
      <c r="O554" s="48"/>
      <c r="P554" s="48"/>
      <c r="Q554" s="49"/>
      <c r="R554" s="72"/>
      <c r="S554" s="73"/>
      <c r="T554" s="48"/>
      <c r="U554" s="48"/>
      <c r="V554" s="49"/>
      <c r="W554" s="28"/>
      <c r="AA554" s="28"/>
      <c r="AB554" s="41"/>
      <c r="AE554" s="10">
        <v>0</v>
      </c>
      <c r="AF554" s="18">
        <v>0</v>
      </c>
      <c r="AG554" s="11">
        <v>0</v>
      </c>
      <c r="AH554" s="10"/>
      <c r="AI554" s="11"/>
      <c r="AJ554" s="47"/>
      <c r="AK554" s="72"/>
      <c r="AL554" s="74"/>
      <c r="AM554" s="49"/>
      <c r="AN554" s="28"/>
      <c r="AP554" s="10" t="s">
        <v>115</v>
      </c>
      <c r="AQ554" s="36">
        <v>38</v>
      </c>
      <c r="AR554" s="37">
        <v>39</v>
      </c>
      <c r="AS554" s="42"/>
      <c r="AT554" s="11"/>
      <c r="AU554" s="18"/>
      <c r="AV554" s="18"/>
      <c r="AW554" s="18"/>
      <c r="AX554" s="18"/>
      <c r="AY554" s="11"/>
      <c r="AZ554" s="28"/>
      <c r="BA554" s="28" t="s">
        <v>6</v>
      </c>
      <c r="BB554" s="33" t="s">
        <v>358</v>
      </c>
      <c r="BC554" s="78"/>
      <c r="BD554" s="79"/>
      <c r="BE554" s="34"/>
      <c r="BF554" s="8"/>
      <c r="BG554" s="35"/>
      <c r="BH554" s="80"/>
      <c r="BI554" s="34"/>
      <c r="BJ554" s="33"/>
      <c r="BK554" s="34" t="s">
        <v>91</v>
      </c>
      <c r="BL554" s="35"/>
    </row>
    <row r="555" spans="1:66" x14ac:dyDescent="0.3">
      <c r="A555" s="52" t="s">
        <v>109</v>
      </c>
      <c r="B555" s="36">
        <v>1113</v>
      </c>
      <c r="C555" s="11">
        <v>1992</v>
      </c>
      <c r="D555" s="45"/>
      <c r="E555" s="45">
        <v>0</v>
      </c>
      <c r="F555" s="45"/>
      <c r="G555" s="69"/>
      <c r="H555" s="45">
        <v>8</v>
      </c>
      <c r="I555" s="28" t="s">
        <v>114</v>
      </c>
      <c r="J555" s="40"/>
      <c r="K555" s="28"/>
      <c r="L555" s="50" t="s">
        <v>93</v>
      </c>
      <c r="M555" s="8">
        <v>0</v>
      </c>
      <c r="N555" s="8">
        <v>0</v>
      </c>
      <c r="O555" s="6"/>
      <c r="P555" s="8"/>
      <c r="Q555" s="7"/>
      <c r="R555" s="8"/>
      <c r="S555" s="8"/>
      <c r="T555" s="10" t="s">
        <v>116</v>
      </c>
      <c r="U555" s="8"/>
      <c r="V555" s="7"/>
      <c r="W555" s="28"/>
      <c r="AA555" s="28"/>
      <c r="AB555" s="32"/>
      <c r="AC555" s="6"/>
      <c r="AD555" s="7"/>
      <c r="AE555" s="8"/>
      <c r="AF555" s="8"/>
      <c r="AG555" s="8"/>
      <c r="AH555" s="6"/>
      <c r="AI555" s="7"/>
      <c r="AJ555" s="8"/>
      <c r="AK555" s="36"/>
      <c r="AL555" s="77" t="s">
        <v>117</v>
      </c>
      <c r="AM555" s="11"/>
      <c r="AN555" s="28"/>
      <c r="AP555" s="52" t="s">
        <v>72</v>
      </c>
      <c r="AQ555" s="52">
        <v>0</v>
      </c>
      <c r="AR555" s="54">
        <v>0</v>
      </c>
      <c r="AS555" s="42"/>
      <c r="AT555" s="40"/>
      <c r="AU555" s="28"/>
      <c r="AV555" s="28"/>
      <c r="AW555" s="28"/>
      <c r="AX555" s="28"/>
      <c r="AY555" s="40"/>
      <c r="AZ555" s="28"/>
      <c r="BA555" s="28"/>
      <c r="BB555" s="52" t="s">
        <v>531</v>
      </c>
      <c r="BC555" s="42"/>
      <c r="BD555" s="40"/>
      <c r="BE555" s="28"/>
      <c r="BF555" s="28"/>
      <c r="BG555" s="40"/>
      <c r="BJ555" s="42"/>
      <c r="BK555" s="28"/>
      <c r="BL555" s="40"/>
    </row>
    <row r="556" spans="1:66" ht="15" thickBot="1" x14ac:dyDescent="0.35">
      <c r="A556" s="76" t="s">
        <v>84</v>
      </c>
      <c r="B556" s="42">
        <f>SUM(B554:B555)</f>
        <v>1113</v>
      </c>
      <c r="C556" s="40">
        <f>SUM(C554:C555)</f>
        <v>1992</v>
      </c>
      <c r="D556" s="28"/>
      <c r="E556" s="28">
        <f>SUM(E554:E555)</f>
        <v>604</v>
      </c>
      <c r="F556" s="28"/>
      <c r="G556" s="46">
        <f>355*8</f>
        <v>2840</v>
      </c>
      <c r="H556" s="48"/>
      <c r="I556" s="48"/>
      <c r="J556" s="49">
        <f>SUM(H555)</f>
        <v>8</v>
      </c>
      <c r="K556" s="28"/>
      <c r="L556" s="12" t="s">
        <v>99</v>
      </c>
      <c r="M556" s="37">
        <v>92337</v>
      </c>
      <c r="N556" s="37">
        <v>10794</v>
      </c>
      <c r="O556" s="10"/>
      <c r="P556" s="18"/>
      <c r="Q556" s="11"/>
      <c r="R556" s="18">
        <v>4628</v>
      </c>
      <c r="S556" s="18">
        <v>187</v>
      </c>
      <c r="T556" s="10"/>
      <c r="U556" s="18"/>
      <c r="V556" s="11"/>
      <c r="W556" s="28"/>
      <c r="AA556" s="28"/>
      <c r="AB556" s="68"/>
      <c r="AC556" s="42"/>
      <c r="AD556" s="40"/>
      <c r="AH556" s="42"/>
      <c r="AI556" s="40"/>
      <c r="AK556" s="42">
        <v>1</v>
      </c>
      <c r="AL556" s="54" t="s">
        <v>401</v>
      </c>
      <c r="AM556" s="40"/>
      <c r="AN556" s="28"/>
      <c r="AP556" s="36" t="s">
        <v>78</v>
      </c>
      <c r="AQ556" s="36">
        <v>18</v>
      </c>
      <c r="AR556" s="37">
        <v>22</v>
      </c>
      <c r="AS556" s="42"/>
      <c r="AT556" s="11"/>
      <c r="AU556" s="18"/>
      <c r="AV556" s="37"/>
      <c r="AW556" s="18"/>
      <c r="AX556" s="37"/>
      <c r="AY556" s="11"/>
      <c r="AZ556" s="28"/>
      <c r="BA556" s="28"/>
      <c r="BB556" s="67" t="s">
        <v>113</v>
      </c>
      <c r="BC556" s="42">
        <v>387</v>
      </c>
      <c r="BD556" s="40">
        <v>405</v>
      </c>
      <c r="BE556" s="28"/>
      <c r="BF556" s="28"/>
      <c r="BG556" s="40"/>
      <c r="BH556" s="28"/>
      <c r="BI556" s="28"/>
      <c r="BJ556" s="67">
        <v>38</v>
      </c>
      <c r="BK556" s="43" t="s">
        <v>73</v>
      </c>
      <c r="BL556" s="40"/>
      <c r="BN556" t="s">
        <v>6</v>
      </c>
    </row>
    <row r="557" spans="1:66" ht="15" thickBot="1" x14ac:dyDescent="0.35">
      <c r="A557" s="32" t="s">
        <v>93</v>
      </c>
      <c r="B557" s="33">
        <v>3147</v>
      </c>
      <c r="C557" s="35">
        <v>3600</v>
      </c>
      <c r="D557" s="33"/>
      <c r="E557" s="34"/>
      <c r="F557" s="34"/>
      <c r="G557" s="32">
        <f>160*31</f>
        <v>4960</v>
      </c>
      <c r="H557" s="33" t="s">
        <v>118</v>
      </c>
      <c r="I557" s="34"/>
      <c r="J557" s="35"/>
      <c r="K557" s="28"/>
      <c r="L557" s="12" t="s">
        <v>120</v>
      </c>
      <c r="M557" s="37">
        <v>3812</v>
      </c>
      <c r="N557" s="37">
        <v>21917</v>
      </c>
      <c r="O557" s="10"/>
      <c r="P557" s="18"/>
      <c r="Q557" s="11"/>
      <c r="R557" s="18">
        <v>726</v>
      </c>
      <c r="S557" s="18">
        <v>0</v>
      </c>
      <c r="T557" s="10"/>
      <c r="U557" s="18"/>
      <c r="V557" s="11"/>
      <c r="W557" s="28"/>
      <c r="AA557" s="28"/>
      <c r="AB557" s="44"/>
      <c r="AC557" s="10"/>
      <c r="AD557" s="11"/>
      <c r="AE557" s="18"/>
      <c r="AF557" s="18"/>
      <c r="AG557" s="18"/>
      <c r="AH557" s="10"/>
      <c r="AI557" s="11"/>
      <c r="AJ557" s="18"/>
      <c r="AK557" s="10"/>
      <c r="AL557" s="37" t="s">
        <v>302</v>
      </c>
      <c r="AM557" s="11"/>
      <c r="AN557" s="28"/>
      <c r="AP557" s="10" t="s">
        <v>122</v>
      </c>
      <c r="AQ557" s="36">
        <v>15</v>
      </c>
      <c r="AR557" s="37">
        <v>25</v>
      </c>
      <c r="AS557" s="42"/>
      <c r="AT557" s="11"/>
      <c r="AU557" s="18"/>
      <c r="AV557" s="18">
        <v>31</v>
      </c>
      <c r="AW557" s="18" t="s">
        <v>123</v>
      </c>
      <c r="AX557" s="18"/>
      <c r="AY557" s="11"/>
      <c r="AZ557" s="28"/>
      <c r="BA557" s="28"/>
      <c r="BB557" s="47" t="s">
        <v>84</v>
      </c>
      <c r="BC557" s="47">
        <f>SUM(BC554:BC556)</f>
        <v>387</v>
      </c>
      <c r="BD557" s="49">
        <f>SUM(BD554:BD556)</f>
        <v>405</v>
      </c>
      <c r="BE557" s="81">
        <v>0</v>
      </c>
      <c r="BF557" s="27">
        <v>0</v>
      </c>
      <c r="BG557" s="82">
        <v>0</v>
      </c>
      <c r="BH557" s="74">
        <v>0</v>
      </c>
      <c r="BI557" s="74">
        <v>0</v>
      </c>
      <c r="BJ557" s="47"/>
      <c r="BK557" s="51"/>
      <c r="BL557" s="49">
        <f>SUM(BJ556)</f>
        <v>38</v>
      </c>
      <c r="BM557" t="s">
        <v>6</v>
      </c>
    </row>
    <row r="558" spans="1:66" ht="15" thickBot="1" x14ac:dyDescent="0.35">
      <c r="A558" s="41" t="s">
        <v>120</v>
      </c>
      <c r="B558" s="42">
        <v>3202</v>
      </c>
      <c r="C558" s="40">
        <v>3774</v>
      </c>
      <c r="D558" s="42"/>
      <c r="E558" s="28" t="s">
        <v>60</v>
      </c>
      <c r="F558" s="28"/>
      <c r="G558" s="41">
        <f>160*31</f>
        <v>4960</v>
      </c>
      <c r="H558" s="42">
        <v>62</v>
      </c>
      <c r="I558" s="28" t="s">
        <v>101</v>
      </c>
      <c r="J558" s="40"/>
      <c r="K558" s="28"/>
      <c r="L558" s="12" t="s">
        <v>84</v>
      </c>
      <c r="M558" s="18">
        <f>SUM(M555:M557)</f>
        <v>96149</v>
      </c>
      <c r="N558" s="18">
        <f>SUM(N555:N557)</f>
        <v>32711</v>
      </c>
      <c r="O558" s="10">
        <v>0</v>
      </c>
      <c r="P558" s="18">
        <v>0</v>
      </c>
      <c r="Q558" s="11">
        <v>0</v>
      </c>
      <c r="R558" s="18">
        <f>SUM(R555:R557)</f>
        <v>5354</v>
      </c>
      <c r="S558" s="18">
        <f>SUM(S555:S557)</f>
        <v>187</v>
      </c>
      <c r="T558" s="10"/>
      <c r="U558" s="18"/>
      <c r="V558" s="11"/>
      <c r="W558" s="28"/>
      <c r="AA558" s="28"/>
      <c r="AB558" s="46"/>
      <c r="AC558" s="47"/>
      <c r="AD558" s="49"/>
      <c r="AE558" s="48"/>
      <c r="AF558" s="48"/>
      <c r="AG558" s="48"/>
      <c r="AH558" s="47"/>
      <c r="AI558" s="49"/>
      <c r="AJ558" s="48"/>
      <c r="AK558" s="47"/>
      <c r="AL558" s="48" t="s">
        <v>124</v>
      </c>
      <c r="AM558" s="49"/>
      <c r="AN558" s="28"/>
      <c r="AP558" s="10" t="s">
        <v>125</v>
      </c>
      <c r="AQ558" s="36">
        <v>9</v>
      </c>
      <c r="AR558" s="37">
        <v>9</v>
      </c>
      <c r="AS558" s="42"/>
      <c r="AT558" s="11"/>
      <c r="AU558" s="18"/>
      <c r="AV558" s="18">
        <v>8</v>
      </c>
      <c r="AW558" s="18" t="s">
        <v>126</v>
      </c>
      <c r="AX558" s="18"/>
      <c r="AY558" s="11"/>
      <c r="AZ558" s="28"/>
      <c r="BA558" s="28"/>
      <c r="BB558" s="52" t="s">
        <v>113</v>
      </c>
      <c r="BC558" s="42">
        <v>638</v>
      </c>
      <c r="BD558" s="85">
        <v>542</v>
      </c>
      <c r="BE558" s="37"/>
      <c r="BF558" s="18"/>
      <c r="BG558" s="54"/>
      <c r="BH558" s="52"/>
      <c r="BI558" s="40"/>
      <c r="BJ558" s="67"/>
      <c r="BK558" s="34" t="s">
        <v>130</v>
      </c>
      <c r="BL558" s="40"/>
    </row>
    <row r="559" spans="1:66" ht="15" thickBot="1" x14ac:dyDescent="0.35">
      <c r="A559" s="46" t="s">
        <v>84</v>
      </c>
      <c r="B559" s="47">
        <f>SUM(B557:B558)</f>
        <v>6349</v>
      </c>
      <c r="C559" s="49">
        <f>SUM(C557:C558)</f>
        <v>7374</v>
      </c>
      <c r="D559" s="47"/>
      <c r="E559" s="48"/>
      <c r="F559" s="48"/>
      <c r="G559" s="46">
        <f>SUM(G557:G558)</f>
        <v>9920</v>
      </c>
      <c r="H559" s="47"/>
      <c r="I559" s="48"/>
      <c r="J559" s="49">
        <f>SUM(H558:H559)</f>
        <v>62</v>
      </c>
      <c r="K559" s="28"/>
      <c r="L559" s="17"/>
      <c r="M559" s="27"/>
      <c r="N559" s="27"/>
      <c r="O559" s="13"/>
      <c r="P559" s="27"/>
      <c r="Q559" s="26"/>
      <c r="R559" s="27"/>
      <c r="S559" s="27"/>
      <c r="T559" s="13"/>
      <c r="U559" s="27"/>
      <c r="V559" s="26"/>
      <c r="W559" s="28"/>
      <c r="AA559" s="28"/>
      <c r="AB559" s="32"/>
      <c r="AE559" s="33"/>
      <c r="AF559" s="34"/>
      <c r="AG559" s="34"/>
      <c r="AH559" s="33"/>
      <c r="AI559" s="35"/>
      <c r="AJ559" s="32"/>
      <c r="AK559" s="83"/>
      <c r="AL559" s="34"/>
      <c r="AM559" s="35"/>
      <c r="AN559" s="28"/>
      <c r="AP559" s="84" t="s">
        <v>128</v>
      </c>
      <c r="AQ559" s="52">
        <v>0</v>
      </c>
      <c r="AR559" s="37">
        <v>0</v>
      </c>
      <c r="AS559" s="42"/>
      <c r="AT559" s="40"/>
      <c r="AU559" s="28"/>
      <c r="AV559" s="28">
        <v>27</v>
      </c>
      <c r="AW559" s="28" t="s">
        <v>129</v>
      </c>
      <c r="AX559" s="28"/>
      <c r="AY559" s="40"/>
      <c r="BA559" s="28"/>
      <c r="BB559" s="42" t="s">
        <v>475</v>
      </c>
      <c r="BC559" s="67"/>
      <c r="BD559" s="85"/>
      <c r="BE559" s="28"/>
      <c r="BF559" s="18"/>
      <c r="BG559" s="28"/>
      <c r="BH559" s="52"/>
      <c r="BI559" s="86"/>
      <c r="BJ559" s="52">
        <v>52</v>
      </c>
      <c r="BK559" s="43" t="s">
        <v>73</v>
      </c>
      <c r="BL559" s="40"/>
    </row>
    <row r="560" spans="1:66" ht="15" thickBot="1" x14ac:dyDescent="0.35">
      <c r="A560" s="41" t="s">
        <v>88</v>
      </c>
      <c r="B560" s="42">
        <v>323</v>
      </c>
      <c r="C560" s="40">
        <v>300</v>
      </c>
      <c r="D560" s="28"/>
      <c r="E560" s="45">
        <v>0</v>
      </c>
      <c r="F560" s="40"/>
      <c r="G560" s="40"/>
      <c r="H560" s="28" t="s">
        <v>131</v>
      </c>
      <c r="J560" s="40"/>
      <c r="K560" s="28"/>
      <c r="L560" s="12" t="s">
        <v>105</v>
      </c>
      <c r="M560" s="34">
        <v>993</v>
      </c>
      <c r="N560" s="34">
        <v>3588</v>
      </c>
      <c r="O560" s="33" t="s">
        <v>6</v>
      </c>
      <c r="P560" s="34"/>
      <c r="Q560" s="35"/>
      <c r="R560" s="34">
        <v>2</v>
      </c>
      <c r="S560" s="34">
        <v>0</v>
      </c>
      <c r="T560" s="33"/>
      <c r="U560" s="34"/>
      <c r="V560" s="35"/>
      <c r="W560" s="28"/>
      <c r="AA560" s="28"/>
      <c r="AB560" s="46"/>
      <c r="AE560" s="47"/>
      <c r="AF560" s="48"/>
      <c r="AG560" s="48"/>
      <c r="AH560" s="47"/>
      <c r="AI560" s="49"/>
      <c r="AJ560" s="46"/>
      <c r="AK560" s="48"/>
      <c r="AL560" s="48"/>
      <c r="AM560" s="49"/>
      <c r="AN560" s="28"/>
      <c r="AP560" s="84" t="s">
        <v>132</v>
      </c>
      <c r="AQ560" s="42">
        <v>0</v>
      </c>
      <c r="AR560" s="37">
        <v>0</v>
      </c>
      <c r="AS560" s="42"/>
      <c r="AT560" s="40"/>
      <c r="AU560" s="28"/>
      <c r="AV560" s="28"/>
      <c r="AW560" s="28"/>
      <c r="AX560" s="28"/>
      <c r="AY560" s="40"/>
      <c r="AZ560" s="28"/>
      <c r="BA560" s="28"/>
      <c r="BB560" s="59" t="s">
        <v>84</v>
      </c>
      <c r="BC560" s="13">
        <f>SUM(BC558:BC559)</f>
        <v>638</v>
      </c>
      <c r="BD560" s="60">
        <f>SUM(BD558:BD559)</f>
        <v>542</v>
      </c>
      <c r="BE560" s="81">
        <v>0</v>
      </c>
      <c r="BF560" s="27">
        <v>0</v>
      </c>
      <c r="BG560" s="27">
        <v>0</v>
      </c>
      <c r="BH560" s="13">
        <v>0</v>
      </c>
      <c r="BI560" s="26">
        <v>0</v>
      </c>
      <c r="BJ560" s="13"/>
      <c r="BK560" s="43"/>
      <c r="BL560" s="26">
        <f>SUM(BJ558:BJ559)</f>
        <v>52</v>
      </c>
    </row>
    <row r="561" spans="1:64" x14ac:dyDescent="0.3">
      <c r="A561" s="41" t="s">
        <v>102</v>
      </c>
      <c r="B561" s="42">
        <v>493</v>
      </c>
      <c r="C561" s="85">
        <v>554</v>
      </c>
      <c r="D561" s="28"/>
      <c r="E561" s="45">
        <v>0</v>
      </c>
      <c r="F561" s="40"/>
      <c r="G561" s="40">
        <f>8*150</f>
        <v>1200</v>
      </c>
      <c r="H561" s="43">
        <v>8</v>
      </c>
      <c r="I561" s="28" t="s">
        <v>134</v>
      </c>
      <c r="J561" s="40"/>
      <c r="K561" s="28"/>
      <c r="L561" s="44" t="s">
        <v>99</v>
      </c>
      <c r="M561" s="18">
        <v>66</v>
      </c>
      <c r="N561" s="18">
        <v>0</v>
      </c>
      <c r="O561" s="10"/>
      <c r="P561" s="18"/>
      <c r="Q561" s="11"/>
      <c r="R561" s="18">
        <v>0</v>
      </c>
      <c r="S561" s="18">
        <v>0</v>
      </c>
      <c r="T561" s="10" t="s">
        <v>135</v>
      </c>
      <c r="U561" s="18"/>
      <c r="V561" s="11"/>
      <c r="W561" s="28"/>
      <c r="AA561" s="28"/>
      <c r="AB561" s="32" t="s">
        <v>89</v>
      </c>
      <c r="AC561" s="33">
        <v>327</v>
      </c>
      <c r="AD561" s="34">
        <v>240</v>
      </c>
      <c r="AE561" s="33"/>
      <c r="AF561" s="34"/>
      <c r="AG561" s="34"/>
      <c r="AH561" s="33"/>
      <c r="AI561" s="35"/>
      <c r="AJ561" s="35"/>
      <c r="AK561" s="34" t="s">
        <v>136</v>
      </c>
      <c r="AL561" s="34"/>
      <c r="AM561" s="35"/>
      <c r="AN561" s="28"/>
      <c r="AP561" s="84" t="s">
        <v>81</v>
      </c>
      <c r="AQ561" s="42">
        <v>8</v>
      </c>
      <c r="AR561" s="37">
        <v>10</v>
      </c>
      <c r="AS561" s="42"/>
      <c r="AT561" s="40"/>
      <c r="AU561" s="28"/>
      <c r="AV561" s="28"/>
      <c r="AW561" s="28"/>
      <c r="AX561" s="28"/>
      <c r="AY561" s="40"/>
      <c r="AZ561" s="28"/>
      <c r="BA561" s="28"/>
      <c r="BB561" s="88" t="s">
        <v>139</v>
      </c>
      <c r="BC561" s="33">
        <v>2</v>
      </c>
      <c r="BD561" s="35">
        <v>6</v>
      </c>
      <c r="BE561" s="89"/>
      <c r="BF561" s="89"/>
      <c r="BG561" s="80"/>
      <c r="BH561" s="6"/>
      <c r="BI561" s="35"/>
      <c r="BJ561" s="33" t="s">
        <v>140</v>
      </c>
      <c r="BK561" s="34"/>
      <c r="BL561" s="35"/>
    </row>
    <row r="562" spans="1:64" ht="15" thickBot="1" x14ac:dyDescent="0.35">
      <c r="A562" s="87" t="s">
        <v>84</v>
      </c>
      <c r="B562" s="59">
        <f>SUM(B560:B561)</f>
        <v>816</v>
      </c>
      <c r="C562" s="26">
        <f>SUM(C560:C561)</f>
        <v>854</v>
      </c>
      <c r="D562" s="27"/>
      <c r="E562" s="16">
        <f>SUM(E558:E561)</f>
        <v>0</v>
      </c>
      <c r="F562" s="26"/>
      <c r="G562" s="49"/>
      <c r="H562" s="48"/>
      <c r="I562" s="48"/>
      <c r="J562" s="49">
        <f>SUM(H560:H561)</f>
        <v>8</v>
      </c>
      <c r="K562" s="28"/>
      <c r="L562" s="12"/>
      <c r="M562" s="18"/>
      <c r="N562" s="18"/>
      <c r="O562" s="10"/>
      <c r="P562" s="18"/>
      <c r="Q562" s="11"/>
      <c r="R562" s="18"/>
      <c r="S562" s="18"/>
      <c r="T562" s="10"/>
      <c r="U562" s="18"/>
      <c r="V562" s="11"/>
      <c r="W562" s="28"/>
      <c r="AA562" s="28"/>
      <c r="AB562" s="44" t="s">
        <v>137</v>
      </c>
      <c r="AC562" s="10">
        <v>139</v>
      </c>
      <c r="AD562" s="18">
        <v>157</v>
      </c>
      <c r="AE562" s="10"/>
      <c r="AF562" s="18"/>
      <c r="AG562" s="18"/>
      <c r="AH562" s="52"/>
      <c r="AI562" s="85"/>
      <c r="AJ562" s="40"/>
      <c r="AK562" s="45"/>
      <c r="AL562" s="37"/>
      <c r="AM562" s="40"/>
      <c r="AN562" s="28"/>
      <c r="AP562" s="10" t="s">
        <v>138</v>
      </c>
      <c r="AQ562" s="36">
        <v>10</v>
      </c>
      <c r="AR562" s="37">
        <v>10</v>
      </c>
      <c r="AS562" s="42"/>
      <c r="AT562" s="11"/>
      <c r="AU562" s="18"/>
      <c r="AV562" s="18"/>
      <c r="AW562" s="18"/>
      <c r="AX562" s="18"/>
      <c r="AY562" s="11"/>
      <c r="AZ562" s="28"/>
      <c r="BA562" s="28"/>
      <c r="BB562" s="92" t="s">
        <v>113</v>
      </c>
      <c r="BC562" s="67">
        <f>9+36+6+3</f>
        <v>54</v>
      </c>
      <c r="BD562" s="56">
        <f>29+3</f>
        <v>32</v>
      </c>
      <c r="BE562" s="54"/>
      <c r="BF562" s="54"/>
      <c r="BG562" s="45"/>
      <c r="BH562" s="10"/>
      <c r="BI562" s="40"/>
      <c r="BJ562" s="10" t="s">
        <v>142</v>
      </c>
      <c r="BK562" s="18"/>
      <c r="BL562" s="39" t="s">
        <v>251</v>
      </c>
    </row>
    <row r="563" spans="1:64" x14ac:dyDescent="0.3">
      <c r="A563" s="36" t="s">
        <v>93</v>
      </c>
      <c r="B563" s="42">
        <v>7711</v>
      </c>
      <c r="C563" s="90">
        <v>8149</v>
      </c>
      <c r="D563" s="3"/>
      <c r="E563" s="91" t="s">
        <v>60</v>
      </c>
      <c r="F563" s="18"/>
      <c r="G563" s="44">
        <v>9656</v>
      </c>
      <c r="H563" s="10" t="s">
        <v>116</v>
      </c>
      <c r="I563" s="18"/>
      <c r="J563" s="11"/>
      <c r="K563" s="28"/>
      <c r="L563" s="12" t="s">
        <v>84</v>
      </c>
      <c r="M563" s="18">
        <f>SUM(M560:M562)</f>
        <v>1059</v>
      </c>
      <c r="N563" s="18">
        <f>SUM(N560:N562)</f>
        <v>3588</v>
      </c>
      <c r="O563" s="10">
        <v>0</v>
      </c>
      <c r="P563" s="18">
        <v>0</v>
      </c>
      <c r="Q563" s="11">
        <v>0</v>
      </c>
      <c r="R563" s="18">
        <f>SUM(R560:R562)</f>
        <v>2</v>
      </c>
      <c r="S563" s="18">
        <f>SUM(S560:S562)</f>
        <v>0</v>
      </c>
      <c r="T563" s="10"/>
      <c r="U563" s="18"/>
      <c r="V563" s="11"/>
      <c r="W563" s="28"/>
      <c r="AA563" s="28"/>
      <c r="AB563" s="41" t="s">
        <v>84</v>
      </c>
      <c r="AC563" s="42">
        <f>SUM(AC561:AC562)</f>
        <v>466</v>
      </c>
      <c r="AD563" s="28">
        <f>SUM(AD561:AD562)</f>
        <v>397</v>
      </c>
      <c r="AE563" s="42">
        <v>0</v>
      </c>
      <c r="AF563" s="28">
        <v>0</v>
      </c>
      <c r="AG563" s="28">
        <v>0</v>
      </c>
      <c r="AH563" s="42">
        <v>0</v>
      </c>
      <c r="AI563" s="40">
        <v>0</v>
      </c>
      <c r="AJ563" s="40">
        <v>0</v>
      </c>
      <c r="AK563" s="43">
        <v>3</v>
      </c>
      <c r="AL563" s="28" t="s">
        <v>141</v>
      </c>
      <c r="AM563" s="40"/>
      <c r="AN563" s="28"/>
      <c r="AP563" s="84" t="s">
        <v>56</v>
      </c>
      <c r="AQ563" s="42">
        <v>4</v>
      </c>
      <c r="AR563" s="54">
        <v>5</v>
      </c>
      <c r="AS563" s="42"/>
      <c r="AT563" s="40"/>
      <c r="AU563" s="28"/>
      <c r="AV563" s="28"/>
      <c r="AW563" s="28"/>
      <c r="AX563" s="28"/>
      <c r="AY563" s="40"/>
      <c r="AZ563" s="28"/>
      <c r="BA563" s="28"/>
      <c r="BB563" s="92" t="s">
        <v>384</v>
      </c>
      <c r="BC563" s="67">
        <v>2</v>
      </c>
      <c r="BD563" s="56">
        <v>1</v>
      </c>
      <c r="BE563" s="54"/>
      <c r="BF563" s="54"/>
      <c r="BG563" s="45"/>
      <c r="BH563" s="10"/>
      <c r="BI563" s="40"/>
      <c r="BJ563" s="93" t="s">
        <v>146</v>
      </c>
      <c r="BK563" s="28"/>
      <c r="BL563" s="94" t="s">
        <v>253</v>
      </c>
    </row>
    <row r="564" spans="1:64" ht="15" thickBot="1" x14ac:dyDescent="0.35">
      <c r="A564" s="10" t="s">
        <v>99</v>
      </c>
      <c r="B564" s="42">
        <v>12993</v>
      </c>
      <c r="C564" s="40">
        <v>14509</v>
      </c>
      <c r="D564" s="3"/>
      <c r="E564" s="91" t="s">
        <v>60</v>
      </c>
      <c r="F564" s="18"/>
      <c r="G564" s="12">
        <v>18060</v>
      </c>
      <c r="H564" s="10">
        <v>60</v>
      </c>
      <c r="I564" s="37" t="s">
        <v>144</v>
      </c>
      <c r="J564" s="11"/>
      <c r="K564" s="28"/>
      <c r="L564" s="12"/>
      <c r="M564" s="18"/>
      <c r="N564" s="18"/>
      <c r="O564" s="10"/>
      <c r="P564" s="18"/>
      <c r="Q564" s="11"/>
      <c r="R564" s="18"/>
      <c r="S564" s="18"/>
      <c r="T564" s="10"/>
      <c r="U564" s="18"/>
      <c r="V564" s="11"/>
      <c r="W564" s="28"/>
      <c r="AA564" s="28"/>
      <c r="AB564" s="46"/>
      <c r="AC564" s="47"/>
      <c r="AD564" s="48"/>
      <c r="AE564" s="47"/>
      <c r="AF564" s="48"/>
      <c r="AG564" s="48"/>
      <c r="AH564" s="47"/>
      <c r="AI564" s="49"/>
      <c r="AJ564" s="49"/>
      <c r="AK564" s="48">
        <v>11</v>
      </c>
      <c r="AL564" s="48" t="s">
        <v>145</v>
      </c>
      <c r="AM564" s="49"/>
      <c r="AN564" s="28"/>
      <c r="AP564" s="36" t="s">
        <v>67</v>
      </c>
      <c r="AQ564" s="10">
        <v>8</v>
      </c>
      <c r="AR564" s="18">
        <v>11</v>
      </c>
      <c r="AS564" s="42"/>
      <c r="AT564" s="11"/>
      <c r="AU564" s="18"/>
      <c r="AV564" s="18"/>
      <c r="AW564" s="18"/>
      <c r="AX564" s="18"/>
      <c r="AY564" s="11"/>
      <c r="AZ564" s="28"/>
      <c r="BA564" s="28" t="s">
        <v>6</v>
      </c>
      <c r="BB564" s="127" t="s">
        <v>200</v>
      </c>
      <c r="BC564" s="67">
        <v>4</v>
      </c>
      <c r="BD564" s="56">
        <v>0</v>
      </c>
      <c r="BH564" s="42"/>
      <c r="BI564" s="40"/>
      <c r="BJ564" s="42"/>
      <c r="BK564" s="28"/>
      <c r="BL564" s="40"/>
    </row>
    <row r="565" spans="1:64" ht="15" thickBot="1" x14ac:dyDescent="0.35">
      <c r="A565" s="10" t="s">
        <v>120</v>
      </c>
      <c r="B565" s="42">
        <v>4604</v>
      </c>
      <c r="C565" s="40">
        <v>4969</v>
      </c>
      <c r="D565" s="3"/>
      <c r="E565" s="91" t="s">
        <v>60</v>
      </c>
      <c r="F565" s="18"/>
      <c r="G565" s="12">
        <v>5789</v>
      </c>
      <c r="H565" s="84">
        <v>30</v>
      </c>
      <c r="I565" s="37" t="s">
        <v>148</v>
      </c>
      <c r="J565" s="11"/>
      <c r="K565" s="28"/>
      <c r="L565" s="12"/>
      <c r="M565" s="18"/>
      <c r="N565" s="18"/>
      <c r="O565" s="10"/>
      <c r="P565" s="18"/>
      <c r="Q565" s="11"/>
      <c r="R565" s="18"/>
      <c r="S565" s="18"/>
      <c r="T565" s="10"/>
      <c r="U565" s="18"/>
      <c r="V565" s="11"/>
      <c r="W565" s="28"/>
      <c r="AA565" s="28"/>
      <c r="AB565" s="42"/>
      <c r="AC565" s="42"/>
      <c r="AD565" s="40"/>
      <c r="AE565" s="28"/>
      <c r="AF565" s="28"/>
      <c r="AG565" s="28"/>
      <c r="AH565" s="42"/>
      <c r="AI565" s="28"/>
      <c r="AJ565" s="41"/>
      <c r="AK565" s="28" t="s">
        <v>149</v>
      </c>
      <c r="AL565" s="28"/>
      <c r="AM565" s="40"/>
      <c r="AN565" s="28" t="s">
        <v>6</v>
      </c>
      <c r="AO565" s="95"/>
      <c r="AP565" s="13" t="s">
        <v>84</v>
      </c>
      <c r="AQ565" s="13">
        <f>SUM(AQ553:AQ564)</f>
        <v>131</v>
      </c>
      <c r="AR565" s="27">
        <f>SUM(AR553:AR564)</f>
        <v>153</v>
      </c>
      <c r="AS565" s="47"/>
      <c r="AT565" s="26">
        <f>SUM(AT557:AT564)</f>
        <v>0</v>
      </c>
      <c r="AU565" s="27"/>
      <c r="AV565" s="27"/>
      <c r="AW565" s="27"/>
      <c r="AX565" s="27"/>
      <c r="AY565" s="26">
        <f>SUM(AV557:AV559)</f>
        <v>66</v>
      </c>
      <c r="AZ565" s="28"/>
      <c r="BA565" s="28"/>
      <c r="BB565" s="52" t="s">
        <v>133</v>
      </c>
      <c r="BC565" s="67">
        <f>21+10</f>
        <v>31</v>
      </c>
      <c r="BD565" s="56">
        <f>31+9+5</f>
        <v>45</v>
      </c>
      <c r="BE565" s="54" t="s">
        <v>150</v>
      </c>
      <c r="BF565" s="54"/>
      <c r="BG565" s="45"/>
      <c r="BH565" s="10"/>
      <c r="BI565" s="40"/>
      <c r="BJ565" s="42" t="s">
        <v>151</v>
      </c>
      <c r="BK565" s="28" t="s">
        <v>532</v>
      </c>
      <c r="BL565" s="96"/>
    </row>
    <row r="566" spans="1:64" ht="15" thickBot="1" x14ac:dyDescent="0.35">
      <c r="A566" s="10" t="s">
        <v>84</v>
      </c>
      <c r="B566" s="42">
        <f>SUM(B563:B565)</f>
        <v>25308</v>
      </c>
      <c r="C566" s="40">
        <f>SUM(C563:C565)</f>
        <v>27627</v>
      </c>
      <c r="D566" s="3"/>
      <c r="E566" s="91" t="s">
        <v>60</v>
      </c>
      <c r="F566" s="18"/>
      <c r="G566" s="12">
        <f>SUM(G563:G565)</f>
        <v>33505</v>
      </c>
      <c r="H566" s="42">
        <v>90</v>
      </c>
      <c r="I566" s="54" t="s">
        <v>152</v>
      </c>
      <c r="J566" s="40"/>
      <c r="K566" s="28"/>
      <c r="L566" s="44"/>
      <c r="M566" s="18"/>
      <c r="N566" s="18"/>
      <c r="O566" s="10"/>
      <c r="P566" s="18"/>
      <c r="Q566" s="11"/>
      <c r="R566" s="18"/>
      <c r="S566" s="18"/>
      <c r="T566" s="10"/>
      <c r="U566" s="18"/>
      <c r="V566" s="11"/>
      <c r="W566" s="28"/>
      <c r="Y566" t="s">
        <v>6</v>
      </c>
      <c r="AB566" s="36" t="s">
        <v>99</v>
      </c>
      <c r="AC566" s="10">
        <v>0</v>
      </c>
      <c r="AD566" s="11">
        <v>0</v>
      </c>
      <c r="AE566" s="18">
        <v>0</v>
      </c>
      <c r="AF566" s="18">
        <v>0</v>
      </c>
      <c r="AG566" s="18">
        <v>0</v>
      </c>
      <c r="AH566" s="52">
        <v>14445</v>
      </c>
      <c r="AI566" s="45">
        <v>9228</v>
      </c>
      <c r="AJ566" s="41">
        <v>0</v>
      </c>
      <c r="AK566" s="45">
        <v>4</v>
      </c>
      <c r="AL566" s="37" t="s">
        <v>153</v>
      </c>
      <c r="AM566" s="40"/>
      <c r="AP566" s="32"/>
      <c r="AQ566" s="53"/>
      <c r="AR566" s="97"/>
      <c r="AS566" s="33"/>
      <c r="AT566" s="7"/>
      <c r="AU566" s="6"/>
      <c r="AV566" s="8"/>
      <c r="AW566" s="31"/>
      <c r="AX566" s="8"/>
      <c r="AY566" s="7"/>
      <c r="AZ566" s="28"/>
      <c r="BA566" s="28"/>
      <c r="BB566" s="52" t="s">
        <v>85</v>
      </c>
      <c r="BC566" s="42">
        <f>6+5+8</f>
        <v>19</v>
      </c>
      <c r="BD566" s="56">
        <f>4+8+7</f>
        <v>19</v>
      </c>
      <c r="BE566" s="28"/>
      <c r="BF566" s="54"/>
      <c r="BG566" s="28"/>
      <c r="BH566" s="84"/>
      <c r="BI566" s="56"/>
      <c r="BJ566" s="42" t="s">
        <v>533</v>
      </c>
      <c r="BK566" s="28" t="s">
        <v>311</v>
      </c>
      <c r="BL566" s="40"/>
    </row>
    <row r="567" spans="1:64" ht="16.2" thickBot="1" x14ac:dyDescent="0.35">
      <c r="A567" s="13"/>
      <c r="B567" s="47"/>
      <c r="C567" s="49"/>
      <c r="D567" s="27"/>
      <c r="E567" s="27"/>
      <c r="F567" s="27"/>
      <c r="G567" s="17"/>
      <c r="H567" s="47"/>
      <c r="I567" s="27"/>
      <c r="J567" s="60">
        <f>SUM(H564:H566)</f>
        <v>180</v>
      </c>
      <c r="K567" s="28"/>
      <c r="L567" s="12"/>
      <c r="M567" s="18"/>
      <c r="N567" s="18"/>
      <c r="O567" s="10"/>
      <c r="P567" s="18"/>
      <c r="Q567" s="11"/>
      <c r="R567" s="18"/>
      <c r="S567" s="18"/>
      <c r="T567" s="10"/>
      <c r="U567" s="18"/>
      <c r="V567" s="11"/>
      <c r="W567" s="28"/>
      <c r="AB567" s="32"/>
      <c r="AC567" s="6"/>
      <c r="AD567" s="7"/>
      <c r="AE567" s="8"/>
      <c r="AF567" s="8"/>
      <c r="AG567" s="8"/>
      <c r="AH567" s="6"/>
      <c r="AI567" s="7"/>
      <c r="AJ567" s="8"/>
      <c r="AK567" s="29" t="s">
        <v>157</v>
      </c>
      <c r="AL567" s="8"/>
      <c r="AM567" s="7"/>
      <c r="AP567" s="62"/>
      <c r="AQ567" s="72"/>
      <c r="AR567" s="73"/>
      <c r="AS567" s="47"/>
      <c r="AT567" s="49"/>
      <c r="AU567" s="47"/>
      <c r="AV567" s="48"/>
      <c r="AW567" s="48"/>
      <c r="AX567" s="48"/>
      <c r="AY567" s="49"/>
      <c r="AZ567" s="28"/>
      <c r="BA567" s="28"/>
      <c r="BB567" s="151" t="s">
        <v>108</v>
      </c>
      <c r="BC567" s="36">
        <v>5</v>
      </c>
      <c r="BD567" s="39">
        <v>2</v>
      </c>
      <c r="BE567" s="18"/>
      <c r="BF567" s="18"/>
      <c r="BG567" s="18"/>
      <c r="BH567" s="10"/>
      <c r="BI567" s="11"/>
      <c r="BJ567" s="98" t="s">
        <v>172</v>
      </c>
      <c r="BK567" s="28" t="s">
        <v>534</v>
      </c>
      <c r="BL567" s="99"/>
    </row>
    <row r="568" spans="1:64" ht="16.2" thickBot="1" x14ac:dyDescent="0.35">
      <c r="A568" s="6" t="s">
        <v>105</v>
      </c>
      <c r="B568" s="6">
        <v>700</v>
      </c>
      <c r="C568" s="7">
        <v>1593</v>
      </c>
      <c r="D568" s="8"/>
      <c r="E568" s="80">
        <v>369</v>
      </c>
      <c r="F568" s="66"/>
      <c r="G568" s="8"/>
      <c r="H568" s="6" t="s">
        <v>162</v>
      </c>
      <c r="I568" s="8"/>
      <c r="J568" s="7"/>
      <c r="K568" s="28"/>
      <c r="L568" s="17"/>
      <c r="M568" s="27"/>
      <c r="N568" s="27"/>
      <c r="O568" s="13"/>
      <c r="P568" s="27"/>
      <c r="Q568" s="26"/>
      <c r="R568" s="27"/>
      <c r="S568" s="27"/>
      <c r="T568" s="13"/>
      <c r="U568" s="27"/>
      <c r="V568" s="26"/>
      <c r="W568" s="28"/>
      <c r="AB568" s="68" t="s">
        <v>99</v>
      </c>
      <c r="AC568" s="42">
        <v>0</v>
      </c>
      <c r="AD568" s="40">
        <v>0</v>
      </c>
      <c r="AE568">
        <v>0</v>
      </c>
      <c r="AF568">
        <v>0</v>
      </c>
      <c r="AG568">
        <v>0</v>
      </c>
      <c r="AH568" s="42">
        <v>198070</v>
      </c>
      <c r="AI568" s="40">
        <v>65472</v>
      </c>
      <c r="AJ568" s="43">
        <v>0</v>
      </c>
      <c r="AK568" s="42">
        <v>1</v>
      </c>
      <c r="AL568" s="54" t="s">
        <v>163</v>
      </c>
      <c r="AM568" s="40"/>
      <c r="AP568" s="67" t="s">
        <v>63</v>
      </c>
      <c r="AQ568" s="33">
        <v>1</v>
      </c>
      <c r="AR568" s="35">
        <v>1</v>
      </c>
      <c r="AU568" s="33"/>
      <c r="AV568" s="34"/>
      <c r="AW568" s="34"/>
      <c r="AX568" s="34"/>
      <c r="AY568" s="35"/>
      <c r="AZ568" s="28"/>
      <c r="BA568" s="28"/>
      <c r="BB568" s="92" t="s">
        <v>174</v>
      </c>
      <c r="BC568" s="42">
        <v>5</v>
      </c>
      <c r="BD568" s="40">
        <v>3</v>
      </c>
      <c r="BE568" s="18"/>
      <c r="BF568" s="18"/>
      <c r="BG568" s="18"/>
      <c r="BH568" s="10"/>
      <c r="BI568" s="11"/>
      <c r="BJ568" s="98" t="s">
        <v>379</v>
      </c>
      <c r="BK568" s="100" t="s">
        <v>535</v>
      </c>
      <c r="BL568" s="39"/>
    </row>
    <row r="569" spans="1:64" ht="15" thickBot="1" x14ac:dyDescent="0.35">
      <c r="A569" s="36" t="s">
        <v>99</v>
      </c>
      <c r="B569" s="10">
        <v>810</v>
      </c>
      <c r="C569" s="11">
        <v>875</v>
      </c>
      <c r="D569" s="18"/>
      <c r="E569" s="18">
        <v>299</v>
      </c>
      <c r="F569" s="85"/>
      <c r="G569" s="18"/>
      <c r="H569" s="42"/>
      <c r="I569" s="54"/>
      <c r="J569" s="11"/>
      <c r="L569" s="101" t="s">
        <v>84</v>
      </c>
      <c r="M569" s="102">
        <f>SUM(M563+M558+M553+M551+M547+M542)</f>
        <v>124238</v>
      </c>
      <c r="N569" s="102">
        <f>SUM(N563+N558+N553+N551+N547+N542)</f>
        <v>59133</v>
      </c>
      <c r="O569" s="103">
        <v>0</v>
      </c>
      <c r="P569" s="102">
        <v>0</v>
      </c>
      <c r="Q569" s="104">
        <v>0</v>
      </c>
      <c r="R569" s="102">
        <f>SUM(R563+R558+R553+R551+R542+R547)</f>
        <v>5408</v>
      </c>
      <c r="S569" s="102">
        <f>SUM(S563+S558+S551+S547+S542)</f>
        <v>187</v>
      </c>
      <c r="T569" s="105"/>
      <c r="U569" s="102"/>
      <c r="V569" s="106"/>
      <c r="AB569" s="44" t="s">
        <v>6</v>
      </c>
      <c r="AC569" s="10"/>
      <c r="AD569" s="11"/>
      <c r="AE569" s="18"/>
      <c r="AF569" s="18"/>
      <c r="AG569" s="18"/>
      <c r="AH569" s="10"/>
      <c r="AI569" s="11"/>
      <c r="AJ569" s="18"/>
      <c r="AK569" s="10">
        <v>12</v>
      </c>
      <c r="AL569" s="37" t="s">
        <v>153</v>
      </c>
      <c r="AM569" s="11"/>
      <c r="AP569" s="67" t="s">
        <v>536</v>
      </c>
      <c r="AQ569" s="42">
        <v>4</v>
      </c>
      <c r="AR569" s="40">
        <v>4</v>
      </c>
      <c r="AU569" s="42"/>
      <c r="AV569" s="28"/>
      <c r="AW569" s="28"/>
      <c r="AX569" s="28"/>
      <c r="AY569" s="40"/>
      <c r="AZ569" s="28"/>
      <c r="BA569" s="28"/>
      <c r="BB569" s="36" t="s">
        <v>169</v>
      </c>
      <c r="BC569" s="36">
        <v>0</v>
      </c>
      <c r="BD569" s="39">
        <v>2</v>
      </c>
      <c r="BE569" s="18"/>
      <c r="BF569" s="18"/>
      <c r="BG569" s="18"/>
      <c r="BH569" s="10"/>
      <c r="BI569" s="11"/>
      <c r="BJ569" s="98" t="s">
        <v>537</v>
      </c>
      <c r="BK569" s="37" t="s">
        <v>538</v>
      </c>
      <c r="BL569" s="39"/>
    </row>
    <row r="570" spans="1:64" ht="15" thickBot="1" x14ac:dyDescent="0.35">
      <c r="A570" s="10"/>
      <c r="B570" s="10"/>
      <c r="C570" s="39"/>
      <c r="D570" s="18"/>
      <c r="E570" s="18"/>
      <c r="F570" s="85"/>
      <c r="G570" s="18"/>
      <c r="H570" s="42">
        <v>30</v>
      </c>
      <c r="I570" s="37" t="s">
        <v>101</v>
      </c>
      <c r="J570" s="11"/>
      <c r="AB570" s="46" t="s">
        <v>6</v>
      </c>
      <c r="AC570" s="47"/>
      <c r="AD570" s="49"/>
      <c r="AE570" s="48"/>
      <c r="AF570" s="48"/>
      <c r="AG570" s="48"/>
      <c r="AH570" s="47"/>
      <c r="AI570" s="49"/>
      <c r="AJ570" s="48"/>
      <c r="AK570" s="47"/>
      <c r="AL570" s="48"/>
      <c r="AM570" s="49"/>
      <c r="AP570" s="52" t="s">
        <v>56</v>
      </c>
      <c r="AQ570" s="52">
        <v>1</v>
      </c>
      <c r="AR570" s="85">
        <v>1</v>
      </c>
      <c r="AS570" s="28"/>
      <c r="AT570" s="28"/>
      <c r="AU570" s="42"/>
      <c r="AV570" s="28" t="s">
        <v>173</v>
      </c>
      <c r="AW570" s="28"/>
      <c r="AX570" s="28"/>
      <c r="AY570" s="40"/>
      <c r="AZ570" s="28"/>
      <c r="BA570" s="28"/>
      <c r="BB570" s="36" t="s">
        <v>99</v>
      </c>
      <c r="BC570" s="36">
        <v>7</v>
      </c>
      <c r="BD570" s="39">
        <v>0</v>
      </c>
      <c r="BE570" s="18"/>
      <c r="BF570" s="18"/>
      <c r="BG570" s="18"/>
      <c r="BH570" s="10"/>
      <c r="BI570" s="11"/>
      <c r="BJ570" s="52" t="s">
        <v>539</v>
      </c>
      <c r="BK570" s="37" t="s">
        <v>540</v>
      </c>
      <c r="BL570" s="39"/>
    </row>
    <row r="571" spans="1:64" ht="15" thickBot="1" x14ac:dyDescent="0.35">
      <c r="A571" s="13" t="s">
        <v>84</v>
      </c>
      <c r="B571" s="13">
        <f>SUM(B568:B570)</f>
        <v>1510</v>
      </c>
      <c r="C571" s="26">
        <f>SUM(C568:C570)</f>
        <v>2468</v>
      </c>
      <c r="D571" s="27"/>
      <c r="E571" s="27">
        <f>SUM(E568:E570)</f>
        <v>668</v>
      </c>
      <c r="F571" s="26"/>
      <c r="G571" s="27">
        <f>30*158</f>
        <v>4740</v>
      </c>
      <c r="H571" s="13"/>
      <c r="I571" s="81"/>
      <c r="J571" s="26">
        <f>SUM(H569:H570)</f>
        <v>30</v>
      </c>
      <c r="L571" t="s">
        <v>6</v>
      </c>
      <c r="M571" s="115"/>
      <c r="AB571" s="6"/>
      <c r="AC571" s="6"/>
      <c r="AD571" s="7"/>
      <c r="AE571" s="8"/>
      <c r="AF571" s="8"/>
      <c r="AG571" s="8"/>
      <c r="AH571" s="6"/>
      <c r="AI571" s="7"/>
      <c r="AJ571" s="8"/>
      <c r="AK571" s="29"/>
      <c r="AL571" s="8"/>
      <c r="AM571" s="7"/>
      <c r="AN571" s="45"/>
      <c r="AP571" s="52" t="s">
        <v>67</v>
      </c>
      <c r="AQ571" s="52">
        <v>0</v>
      </c>
      <c r="AR571" s="56">
        <v>1</v>
      </c>
      <c r="AU571" s="42"/>
      <c r="AV571" s="28"/>
      <c r="AW571" s="28"/>
      <c r="AX571" s="28"/>
      <c r="AY571" s="40"/>
      <c r="AZ571" s="28"/>
      <c r="BA571" s="28"/>
      <c r="BB571" s="150" t="s">
        <v>328</v>
      </c>
      <c r="BC571" s="36">
        <v>0</v>
      </c>
      <c r="BD571" s="39">
        <v>1</v>
      </c>
      <c r="BE571" s="18"/>
      <c r="BF571" s="37"/>
      <c r="BG571" s="18"/>
      <c r="BH571" s="10"/>
      <c r="BI571" s="11"/>
      <c r="BJ571" s="150" t="s">
        <v>541</v>
      </c>
      <c r="BK571" s="54" t="s">
        <v>513</v>
      </c>
      <c r="BL571" s="39"/>
    </row>
    <row r="572" spans="1:64" ht="15" thickBot="1" x14ac:dyDescent="0.35">
      <c r="A572" s="42" t="s">
        <v>181</v>
      </c>
      <c r="B572" s="42">
        <v>616</v>
      </c>
      <c r="C572" s="40">
        <v>540</v>
      </c>
      <c r="D572" s="28"/>
      <c r="E572" s="107" t="s">
        <v>60</v>
      </c>
      <c r="F572" s="43"/>
      <c r="G572" s="41">
        <v>764</v>
      </c>
      <c r="H572" s="18" t="s">
        <v>182</v>
      </c>
      <c r="I572" s="28"/>
      <c r="J572" s="11"/>
      <c r="K572" s="43"/>
      <c r="M572" s="126"/>
      <c r="AB572" s="36"/>
      <c r="AC572" s="10"/>
      <c r="AD572" s="11"/>
      <c r="AE572" s="18"/>
      <c r="AF572" s="18"/>
      <c r="AG572" s="18"/>
      <c r="AH572" s="36"/>
      <c r="AI572" s="11"/>
      <c r="AJ572" s="18"/>
      <c r="AK572" s="36"/>
      <c r="AL572" s="37"/>
      <c r="AM572" s="11"/>
      <c r="AN572" s="45"/>
      <c r="AP572" s="10" t="s">
        <v>78</v>
      </c>
      <c r="AQ572" s="52">
        <v>0</v>
      </c>
      <c r="AR572" s="85">
        <v>0</v>
      </c>
      <c r="AS572" s="28"/>
      <c r="AT572" s="28"/>
      <c r="AU572" s="42"/>
      <c r="AV572" s="28">
        <v>5</v>
      </c>
      <c r="AW572" s="28" t="s">
        <v>183</v>
      </c>
      <c r="AX572" s="28"/>
      <c r="AY572" s="40"/>
      <c r="AZ572" s="37"/>
      <c r="BA572" s="37"/>
      <c r="BB572" s="36" t="s">
        <v>158</v>
      </c>
      <c r="BC572" s="36">
        <v>0</v>
      </c>
      <c r="BD572" s="39">
        <v>14</v>
      </c>
      <c r="BE572" s="18"/>
      <c r="BF572" s="18"/>
      <c r="BG572" s="18"/>
      <c r="BH572" s="10"/>
      <c r="BI572" s="11"/>
      <c r="BJ572" s="36" t="s">
        <v>542</v>
      </c>
      <c r="BK572" s="37" t="s">
        <v>514</v>
      </c>
      <c r="BL572" s="40"/>
    </row>
    <row r="573" spans="1:64" ht="15" thickBot="1" x14ac:dyDescent="0.35">
      <c r="A573" s="42" t="s">
        <v>120</v>
      </c>
      <c r="B573" s="42">
        <v>2846</v>
      </c>
      <c r="C573" s="40">
        <v>3433</v>
      </c>
      <c r="D573" s="28"/>
      <c r="E573" s="107" t="s">
        <v>60</v>
      </c>
      <c r="F573" s="43"/>
      <c r="G573" s="68">
        <v>4144</v>
      </c>
      <c r="H573" s="43">
        <v>30</v>
      </c>
      <c r="I573" s="28" t="s">
        <v>188</v>
      </c>
      <c r="J573" s="11"/>
      <c r="K573" s="28"/>
      <c r="M573" s="126"/>
      <c r="AA573" s="28"/>
      <c r="AB573" s="103" t="s">
        <v>84</v>
      </c>
      <c r="AC573" s="103">
        <f>SUM(AC572+AC568+AC566+AC563+AC560+AC558+AC554+AC550+AC547+AC544+AC545)</f>
        <v>1877</v>
      </c>
      <c r="AD573" s="104">
        <f>SUM(AD572+AD568+AD566+AD563+AD560+AD554+AD550+AD547+AD545+AD544)</f>
        <v>1487</v>
      </c>
      <c r="AE573" s="103">
        <v>0</v>
      </c>
      <c r="AF573" s="102">
        <v>0</v>
      </c>
      <c r="AG573" s="102">
        <v>0</v>
      </c>
      <c r="AH573" s="109">
        <f>SUM(AH572+AH568+AH566+AH563+AH560+AH558+AH554+AH550+AH547+AH545+AH544)</f>
        <v>214633</v>
      </c>
      <c r="AI573" s="110">
        <f>SUM(AI572+AI568+AI566+AI563+AI558+AI554+AI549+AI547+AI545+AI544)</f>
        <v>87308</v>
      </c>
      <c r="AJ573" s="110">
        <v>0</v>
      </c>
      <c r="AK573" s="111" t="s">
        <v>189</v>
      </c>
      <c r="AL573" s="111"/>
      <c r="AM573" s="104">
        <f>SUM(AK544:AK572)</f>
        <v>41</v>
      </c>
      <c r="AN573" s="45"/>
      <c r="AP573" s="52" t="s">
        <v>115</v>
      </c>
      <c r="AQ573" s="52">
        <v>0</v>
      </c>
      <c r="AR573" s="85">
        <v>0</v>
      </c>
      <c r="AS573" s="28"/>
      <c r="AT573" s="28"/>
      <c r="AU573" s="42"/>
      <c r="AV573" s="28" t="s">
        <v>6</v>
      </c>
      <c r="AW573" s="28"/>
      <c r="AX573" s="28"/>
      <c r="AY573" s="40"/>
      <c r="AZ573" s="28"/>
      <c r="BA573" s="28"/>
      <c r="BB573" s="150" t="s">
        <v>211</v>
      </c>
      <c r="BC573" s="36">
        <f>13+5</f>
        <v>18</v>
      </c>
      <c r="BD573" s="39">
        <v>1</v>
      </c>
      <c r="BE573" s="18"/>
      <c r="BF573" s="18"/>
      <c r="BG573" s="18"/>
      <c r="BH573" s="10"/>
      <c r="BI573" s="11"/>
      <c r="BJ573" s="112" t="s">
        <v>543</v>
      </c>
      <c r="BK573" s="37" t="s">
        <v>544</v>
      </c>
      <c r="BL573" s="39"/>
    </row>
    <row r="574" spans="1:64" x14ac:dyDescent="0.3">
      <c r="A574" s="42" t="s">
        <v>84</v>
      </c>
      <c r="B574" s="42">
        <f>SUM(B572:B573)</f>
        <v>3462</v>
      </c>
      <c r="C574" s="40">
        <f>SUM(C572:C573)</f>
        <v>3973</v>
      </c>
      <c r="D574" s="28"/>
      <c r="E574" s="107" t="s">
        <v>60</v>
      </c>
      <c r="F574" s="43"/>
      <c r="G574" s="41">
        <f>SUM(G572:G573)</f>
        <v>4908</v>
      </c>
      <c r="H574" s="28"/>
      <c r="I574" s="43" t="s">
        <v>101</v>
      </c>
      <c r="J574" s="40"/>
      <c r="K574" s="28"/>
      <c r="L574" s="28"/>
      <c r="N574" s="113"/>
      <c r="AA574" s="28"/>
      <c r="AB574" s="52" t="s">
        <v>193</v>
      </c>
      <c r="AC574" s="28"/>
      <c r="AD574" s="28"/>
      <c r="AE574" s="28"/>
      <c r="AF574" s="28"/>
      <c r="AG574" s="28"/>
      <c r="AH574" s="28"/>
      <c r="AI574" s="28"/>
      <c r="AM574" t="s">
        <v>6</v>
      </c>
      <c r="AN574" s="45"/>
      <c r="AP574" s="52" t="s">
        <v>72</v>
      </c>
      <c r="AQ574" s="52">
        <v>0</v>
      </c>
      <c r="AR574" s="85">
        <v>0</v>
      </c>
      <c r="AU574" s="42"/>
      <c r="AV574" s="28"/>
      <c r="AW574" s="28"/>
      <c r="AX574" s="28"/>
      <c r="AY574" s="40"/>
      <c r="AZ574" s="28"/>
      <c r="BB574" s="150" t="s">
        <v>470</v>
      </c>
      <c r="BC574" s="36">
        <v>0</v>
      </c>
      <c r="BD574" s="39">
        <v>2</v>
      </c>
      <c r="BE574" s="18"/>
      <c r="BF574" s="18"/>
      <c r="BG574" s="18"/>
      <c r="BH574" s="10"/>
      <c r="BI574" s="11"/>
      <c r="BJ574" s="36" t="s">
        <v>409</v>
      </c>
      <c r="BK574" s="37" t="s">
        <v>500</v>
      </c>
      <c r="BL574" s="114"/>
    </row>
    <row r="575" spans="1:64" ht="15" thickBot="1" x14ac:dyDescent="0.35">
      <c r="A575" s="13"/>
      <c r="B575" s="10"/>
      <c r="C575" s="11"/>
      <c r="D575" s="27"/>
      <c r="E575" s="27"/>
      <c r="F575" s="27"/>
      <c r="G575" s="17"/>
      <c r="H575" s="48"/>
      <c r="I575" s="48" t="s">
        <v>284</v>
      </c>
      <c r="J575" s="49">
        <f>SUM(H573:H575)</f>
        <v>30</v>
      </c>
      <c r="L575" s="108"/>
      <c r="M575" s="115"/>
      <c r="O575" s="116"/>
      <c r="AA575" s="28"/>
      <c r="AN575" s="45"/>
      <c r="AP575" s="52" t="s">
        <v>84</v>
      </c>
      <c r="AQ575" s="47">
        <f>SUM(AQ568:AQ574)</f>
        <v>6</v>
      </c>
      <c r="AR575" s="49">
        <f>SUM(AR568:AR574)</f>
        <v>7</v>
      </c>
      <c r="AS575" s="28"/>
      <c r="AT575" s="28"/>
      <c r="AU575" s="47"/>
      <c r="AV575" s="48"/>
      <c r="AW575" s="48"/>
      <c r="AX575" s="48"/>
      <c r="AY575" s="49">
        <f>SUM(AV572)</f>
        <v>5</v>
      </c>
      <c r="AZ575" s="28"/>
      <c r="BB575" s="36" t="s">
        <v>214</v>
      </c>
      <c r="BC575" s="36">
        <v>4</v>
      </c>
      <c r="BD575" s="39">
        <v>1</v>
      </c>
      <c r="BE575" s="18"/>
      <c r="BF575" s="18"/>
      <c r="BG575" s="18"/>
      <c r="BH575" s="10"/>
      <c r="BI575" s="11"/>
      <c r="BJ575" s="36" t="s">
        <v>317</v>
      </c>
      <c r="BK575" s="37" t="s">
        <v>415</v>
      </c>
      <c r="BL575" s="39"/>
    </row>
    <row r="576" spans="1:64" ht="16.2" thickBot="1" x14ac:dyDescent="0.35">
      <c r="A576" s="117" t="s">
        <v>84</v>
      </c>
      <c r="B576" s="118">
        <f>SUM(B574+B571+B566+B562+B559+B556+B553+B549+B545+B542)</f>
        <v>42852</v>
      </c>
      <c r="C576" s="120">
        <f>SUM(C574+C571+C566+C562+C559+C556+C553+C549+C545+C542)</f>
        <v>51094</v>
      </c>
      <c r="D576" s="119"/>
      <c r="E576" s="119">
        <f>SUM(E571+E556)</f>
        <v>1272</v>
      </c>
      <c r="F576" s="120"/>
      <c r="G576" s="121">
        <f>SUM(G574+G571+G566+G561+G559+G552+G549+G545+G542+G556)</f>
        <v>65792</v>
      </c>
      <c r="H576" s="13" t="s">
        <v>199</v>
      </c>
      <c r="I576" s="81"/>
      <c r="J576" s="26">
        <f>SUM(J543:J575)</f>
        <v>377</v>
      </c>
      <c r="O576" s="122"/>
      <c r="AN576" s="45"/>
      <c r="AP576" s="32" t="s">
        <v>63</v>
      </c>
      <c r="AQ576" s="123">
        <v>4</v>
      </c>
      <c r="AR576" s="123">
        <v>8</v>
      </c>
      <c r="AS576" s="33"/>
      <c r="AT576" s="7"/>
      <c r="AU576" s="6"/>
      <c r="AV576" s="34" t="s">
        <v>140</v>
      </c>
      <c r="AW576" s="8"/>
      <c r="AX576" s="8"/>
      <c r="AY576" s="7"/>
      <c r="AZ576" s="28"/>
      <c r="BB576" s="36" t="s">
        <v>523</v>
      </c>
      <c r="BC576" s="10">
        <v>0</v>
      </c>
      <c r="BD576" s="39">
        <v>0</v>
      </c>
      <c r="BE576" s="18"/>
      <c r="BF576" s="18"/>
      <c r="BG576" s="37"/>
      <c r="BH576" s="10"/>
      <c r="BI576" s="11"/>
      <c r="BJ576" s="124" t="s">
        <v>510</v>
      </c>
      <c r="BK576" s="37" t="s">
        <v>545</v>
      </c>
      <c r="BL576" s="39"/>
    </row>
    <row r="577" spans="1:65" x14ac:dyDescent="0.3">
      <c r="AN577" s="45"/>
      <c r="AP577" s="44" t="s">
        <v>78</v>
      </c>
      <c r="AQ577" s="37">
        <v>12</v>
      </c>
      <c r="AR577" s="37">
        <v>10</v>
      </c>
      <c r="AS577" s="42"/>
      <c r="AT577" s="11"/>
      <c r="AU577" s="10"/>
      <c r="AV577" s="37">
        <f>4+4+4+7</f>
        <v>19</v>
      </c>
      <c r="AW577" s="37" t="s">
        <v>204</v>
      </c>
      <c r="AX577" s="18"/>
      <c r="AY577" s="11"/>
      <c r="AZ577" s="28"/>
      <c r="BB577" s="93" t="s">
        <v>93</v>
      </c>
      <c r="BC577" s="10">
        <v>6</v>
      </c>
      <c r="BD577" s="39">
        <v>6</v>
      </c>
      <c r="BE577" s="18"/>
      <c r="BF577" s="18"/>
      <c r="BG577" s="18"/>
      <c r="BH577" s="10"/>
      <c r="BI577" s="11"/>
      <c r="BJ577" s="52" t="s">
        <v>292</v>
      </c>
      <c r="BK577" s="37" t="s">
        <v>166</v>
      </c>
      <c r="BL577" s="39"/>
    </row>
    <row r="578" spans="1:65" x14ac:dyDescent="0.3">
      <c r="AN578" s="45"/>
      <c r="AP578" s="125" t="s">
        <v>209</v>
      </c>
      <c r="AQ578" s="54">
        <v>0</v>
      </c>
      <c r="AR578" s="54">
        <v>0</v>
      </c>
      <c r="AS578" s="42"/>
      <c r="AT578" s="40"/>
      <c r="AU578" s="42"/>
      <c r="AV578" s="28">
        <v>5</v>
      </c>
      <c r="AW578" s="28" t="s">
        <v>210</v>
      </c>
      <c r="AX578" s="28"/>
      <c r="AY578" s="40"/>
      <c r="AZ578" s="28"/>
      <c r="BB578" s="92" t="s">
        <v>64</v>
      </c>
      <c r="BC578" s="84">
        <v>2</v>
      </c>
      <c r="BD578" s="86">
        <v>0</v>
      </c>
      <c r="BE578" s="45"/>
      <c r="BF578" s="45"/>
      <c r="BG578" s="45"/>
      <c r="BH578" s="10"/>
      <c r="BI578" s="11"/>
      <c r="BJ578" s="112" t="s">
        <v>378</v>
      </c>
      <c r="BK578" s="54" t="s">
        <v>546</v>
      </c>
      <c r="BL578" s="86"/>
    </row>
    <row r="579" spans="1:65" x14ac:dyDescent="0.3">
      <c r="B579" s="126"/>
      <c r="C579" s="126"/>
      <c r="AN579" s="45"/>
      <c r="AP579" s="44" t="s">
        <v>168</v>
      </c>
      <c r="AQ579" s="54">
        <v>0</v>
      </c>
      <c r="AR579" s="54">
        <v>0</v>
      </c>
      <c r="AS579" s="42"/>
      <c r="AT579" s="11"/>
      <c r="AU579" s="10"/>
      <c r="AV579" s="37">
        <f>3+12+1+6+10+1</f>
        <v>33</v>
      </c>
      <c r="AW579" s="37" t="s">
        <v>213</v>
      </c>
      <c r="AX579" s="18"/>
      <c r="AY579" s="11"/>
      <c r="BB579" s="127" t="s">
        <v>220</v>
      </c>
      <c r="BC579" s="84">
        <v>2</v>
      </c>
      <c r="BD579" s="86">
        <v>2</v>
      </c>
      <c r="BE579" s="45"/>
      <c r="BF579" s="45"/>
      <c r="BG579" s="45"/>
      <c r="BH579" s="84"/>
      <c r="BI579" s="85"/>
      <c r="BJ579" s="52" t="s">
        <v>547</v>
      </c>
      <c r="BK579" s="54" t="s">
        <v>548</v>
      </c>
      <c r="BL579" s="40"/>
    </row>
    <row r="580" spans="1:65" x14ac:dyDescent="0.3">
      <c r="AN580" s="45"/>
      <c r="AP580" s="125" t="s">
        <v>81</v>
      </c>
      <c r="AQ580" s="54">
        <v>0</v>
      </c>
      <c r="AR580" s="54">
        <v>2</v>
      </c>
      <c r="AS580" s="42"/>
      <c r="AT580" s="40"/>
      <c r="AU580" s="42"/>
      <c r="AV580" s="54">
        <v>2</v>
      </c>
      <c r="AW580" s="128" t="s">
        <v>235</v>
      </c>
      <c r="AX580" s="28"/>
      <c r="AY580" s="40" t="s">
        <v>6</v>
      </c>
      <c r="BB580" s="127" t="s">
        <v>549</v>
      </c>
      <c r="BC580" s="84">
        <v>2</v>
      </c>
      <c r="BD580" s="86">
        <v>0</v>
      </c>
      <c r="BE580" s="45"/>
      <c r="BF580" s="45"/>
      <c r="BG580" s="45"/>
      <c r="BH580" s="84"/>
      <c r="BI580" s="85"/>
      <c r="BJ580" s="52" t="s">
        <v>550</v>
      </c>
      <c r="BK580" s="54"/>
      <c r="BL580" s="40"/>
    </row>
    <row r="581" spans="1:65" x14ac:dyDescent="0.3">
      <c r="AP581" s="125" t="s">
        <v>72</v>
      </c>
      <c r="AQ581" s="54">
        <f>10+2+12</f>
        <v>24</v>
      </c>
      <c r="AR581" s="45">
        <f>24+5+11+3</f>
        <v>43</v>
      </c>
      <c r="AS581" s="42"/>
      <c r="AT581" s="40"/>
      <c r="AU581" s="42"/>
      <c r="AV581" s="54">
        <v>9</v>
      </c>
      <c r="AW581" s="54" t="s">
        <v>216</v>
      </c>
      <c r="AX581" s="45"/>
      <c r="AY581" s="40"/>
      <c r="BB581" s="127" t="s">
        <v>107</v>
      </c>
      <c r="BC581" s="84">
        <v>3</v>
      </c>
      <c r="BD581" s="86">
        <v>3</v>
      </c>
      <c r="BE581" s="28"/>
      <c r="BF581" s="45"/>
      <c r="BG581" s="28"/>
      <c r="BH581" s="84"/>
      <c r="BI581" s="85"/>
      <c r="BJ581" s="98" t="s">
        <v>478</v>
      </c>
      <c r="BK581" s="54"/>
      <c r="BL581" s="86"/>
    </row>
    <row r="582" spans="1:65" x14ac:dyDescent="0.3">
      <c r="AP582" s="125" t="s">
        <v>115</v>
      </c>
      <c r="AQ582" s="54">
        <v>6</v>
      </c>
      <c r="AR582" s="45">
        <v>13</v>
      </c>
      <c r="AS582" s="42"/>
      <c r="AT582" s="40"/>
      <c r="AU582" s="42"/>
      <c r="AV582" s="54">
        <v>5</v>
      </c>
      <c r="AW582" s="54" t="s">
        <v>217</v>
      </c>
      <c r="AX582" s="28"/>
      <c r="AY582" s="40"/>
      <c r="BB582" s="127" t="s">
        <v>218</v>
      </c>
      <c r="BC582" s="84">
        <v>0</v>
      </c>
      <c r="BD582" s="86">
        <v>9</v>
      </c>
      <c r="BE582" s="28"/>
      <c r="BF582" s="45">
        <v>7</v>
      </c>
      <c r="BG582" s="28"/>
      <c r="BH582" s="84"/>
      <c r="BI582" s="85"/>
      <c r="BJ582" s="52" t="s">
        <v>551</v>
      </c>
      <c r="BK582" s="54"/>
      <c r="BL582" s="40"/>
    </row>
    <row r="583" spans="1:65" x14ac:dyDescent="0.3">
      <c r="AP583" s="125" t="s">
        <v>56</v>
      </c>
      <c r="AQ583" s="54">
        <v>9</v>
      </c>
      <c r="AR583" s="45">
        <v>14</v>
      </c>
      <c r="AS583" s="42"/>
      <c r="AT583" s="40"/>
      <c r="AU583" s="42"/>
      <c r="AV583" s="54">
        <v>1</v>
      </c>
      <c r="AW583" s="54" t="s">
        <v>552</v>
      </c>
      <c r="AX583" s="28"/>
      <c r="AY583" s="40"/>
      <c r="BB583" s="98" t="s">
        <v>526</v>
      </c>
      <c r="BC583" s="10">
        <v>0</v>
      </c>
      <c r="BD583" s="11">
        <v>0</v>
      </c>
      <c r="BE583" s="18"/>
      <c r="BF583" s="18"/>
      <c r="BG583" s="18"/>
      <c r="BH583" s="10"/>
      <c r="BI583" s="11"/>
      <c r="BJ583" s="52"/>
      <c r="BK583" s="37"/>
      <c r="BL583" s="129"/>
    </row>
    <row r="584" spans="1:65" ht="15" thickBot="1" x14ac:dyDescent="0.35">
      <c r="H584" t="s">
        <v>6</v>
      </c>
      <c r="AP584" s="125" t="s">
        <v>138</v>
      </c>
      <c r="AQ584" s="54">
        <v>0</v>
      </c>
      <c r="AR584" s="45">
        <v>0</v>
      </c>
      <c r="AS584" s="42"/>
      <c r="AT584" s="40"/>
      <c r="AU584" s="42"/>
      <c r="AV584" s="54">
        <v>16</v>
      </c>
      <c r="AW584" s="54" t="s">
        <v>221</v>
      </c>
      <c r="AX584" s="28"/>
      <c r="AY584" s="40"/>
      <c r="BB584" s="13" t="s">
        <v>84</v>
      </c>
      <c r="BC584" s="13">
        <f>SUM(BC561:BC583)</f>
        <v>166</v>
      </c>
      <c r="BD584" s="26">
        <f>SUM(BD561:BD583)</f>
        <v>149</v>
      </c>
      <c r="BE584" s="27">
        <v>0</v>
      </c>
      <c r="BF584" s="27">
        <f>SUM(BF561:BF583)</f>
        <v>7</v>
      </c>
      <c r="BG584" s="27">
        <v>0</v>
      </c>
      <c r="BH584" s="130">
        <v>0</v>
      </c>
      <c r="BI584" s="26">
        <v>0</v>
      </c>
      <c r="BJ584" s="59"/>
      <c r="BK584" s="27"/>
      <c r="BL584" s="26">
        <f>8+8+5+4+4+2+3+4+6+4+4+4+4+2+4+9+3</f>
        <v>78</v>
      </c>
    </row>
    <row r="585" spans="1:65" ht="15" thickBot="1" x14ac:dyDescent="0.35">
      <c r="H585" t="s">
        <v>6</v>
      </c>
      <c r="AP585" s="125" t="s">
        <v>67</v>
      </c>
      <c r="AQ585" s="54">
        <v>12</v>
      </c>
      <c r="AR585" s="45">
        <v>15</v>
      </c>
      <c r="AS585" s="42"/>
      <c r="AT585" s="40"/>
      <c r="AU585" s="42"/>
      <c r="AV585" s="54">
        <v>1</v>
      </c>
      <c r="AW585" s="54" t="s">
        <v>553</v>
      </c>
      <c r="AX585" s="28"/>
      <c r="AY585" s="40"/>
      <c r="BB585" s="13" t="s">
        <v>223</v>
      </c>
      <c r="BC585" s="13">
        <f>SUM(BC584+BC560+BC557+BC553+BC550+BC547+BC545+BC543)</f>
        <v>1717</v>
      </c>
      <c r="BD585" s="26">
        <f>SUM(BD584+BD560+BD557+BD553+BD550+BD547+BD545+BD543)</f>
        <v>1698</v>
      </c>
      <c r="BE585" s="27">
        <f>SUM(BE584+BE560+BE553+BE549+BE547+BE545+BE542)</f>
        <v>0</v>
      </c>
      <c r="BF585" s="27">
        <f>SUM(BF561:BF583)</f>
        <v>7</v>
      </c>
      <c r="BG585" s="27">
        <f>SUM(BG584+BG560+BG553+BG549+BG547+BG545+BG542)</f>
        <v>0</v>
      </c>
      <c r="BH585" s="13">
        <f>SUM(BH584+BH560+BH553+BH549+BH547+BH545+BH542)</f>
        <v>52914</v>
      </c>
      <c r="BI585" s="26">
        <f>SUM(BI584+BI560+BI553+BI549+BI547+BI545+BI542)</f>
        <v>17545</v>
      </c>
      <c r="BJ585" s="81"/>
      <c r="BK585" s="27" t="s">
        <v>189</v>
      </c>
      <c r="BL585" s="26">
        <f>SUM(BL542:BL583)</f>
        <v>161</v>
      </c>
    </row>
    <row r="586" spans="1:65" x14ac:dyDescent="0.3">
      <c r="K586" s="28"/>
      <c r="AP586" s="125" t="s">
        <v>122</v>
      </c>
      <c r="AQ586" s="54">
        <v>1</v>
      </c>
      <c r="AR586" s="45">
        <v>3</v>
      </c>
      <c r="AS586" s="42"/>
      <c r="AT586" s="40"/>
      <c r="AU586" s="42"/>
      <c r="AV586" s="54">
        <v>1</v>
      </c>
      <c r="AW586" s="54" t="s">
        <v>471</v>
      </c>
      <c r="AX586" s="28"/>
      <c r="AY586" s="40"/>
      <c r="BB586" s="131" t="s">
        <v>225</v>
      </c>
      <c r="BD586">
        <f>SUM(BL584)</f>
        <v>78</v>
      </c>
      <c r="BG586" s="132"/>
    </row>
    <row r="587" spans="1:65" x14ac:dyDescent="0.3">
      <c r="K587" s="28"/>
      <c r="AP587" s="125" t="s">
        <v>227</v>
      </c>
      <c r="AQ587" s="54">
        <v>0</v>
      </c>
      <c r="AR587" s="45">
        <v>0</v>
      </c>
      <c r="AS587" s="42"/>
      <c r="AT587" s="40"/>
      <c r="AU587" s="42"/>
      <c r="AV587" s="54">
        <v>2</v>
      </c>
      <c r="AW587" s="54" t="s">
        <v>391</v>
      </c>
      <c r="AX587" s="28"/>
      <c r="AY587" s="40"/>
      <c r="BB587" t="s">
        <v>229</v>
      </c>
      <c r="BD587">
        <f>4+3+1+1+1+10</f>
        <v>20</v>
      </c>
    </row>
    <row r="588" spans="1:65" x14ac:dyDescent="0.3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AP588" s="41" t="s">
        <v>230</v>
      </c>
      <c r="AQ588" s="54">
        <v>9</v>
      </c>
      <c r="AR588" s="45">
        <f>3+2+4</f>
        <v>9</v>
      </c>
      <c r="AS588" s="42"/>
      <c r="AT588" s="40"/>
      <c r="AU588" s="42"/>
      <c r="AV588" s="54">
        <v>0</v>
      </c>
      <c r="AW588" s="54" t="s">
        <v>352</v>
      </c>
      <c r="AX588" s="28"/>
      <c r="AY588" s="40"/>
      <c r="BB588" t="s">
        <v>232</v>
      </c>
      <c r="BD588" t="s">
        <v>233</v>
      </c>
      <c r="BF588">
        <f>SUM(AQ593)</f>
        <v>2244</v>
      </c>
      <c r="BH588" t="s">
        <v>234</v>
      </c>
      <c r="BJ588" t="s">
        <v>233</v>
      </c>
      <c r="BL588">
        <f>SUM(BC585)</f>
        <v>1717</v>
      </c>
    </row>
    <row r="589" spans="1:65" ht="18" x14ac:dyDescent="0.35">
      <c r="B589" s="133"/>
      <c r="AP589" s="68" t="s">
        <v>125</v>
      </c>
      <c r="AQ589" s="54">
        <v>0</v>
      </c>
      <c r="AR589" s="45">
        <v>0</v>
      </c>
      <c r="AS589" s="42"/>
      <c r="AT589" s="40"/>
      <c r="AU589" s="42"/>
      <c r="AV589" s="54">
        <v>4</v>
      </c>
      <c r="AW589" s="54" t="s">
        <v>228</v>
      </c>
      <c r="AX589" s="28"/>
      <c r="AY589" s="40"/>
      <c r="BA589" t="s">
        <v>6</v>
      </c>
      <c r="BD589" t="s">
        <v>236</v>
      </c>
      <c r="BF589">
        <f>SUM(AR593)</f>
        <v>2251</v>
      </c>
      <c r="BJ589" t="s">
        <v>236</v>
      </c>
      <c r="BL589">
        <f>SUM(BD585)</f>
        <v>1698</v>
      </c>
    </row>
    <row r="590" spans="1:65" x14ac:dyDescent="0.3">
      <c r="AP590" s="68" t="s">
        <v>132</v>
      </c>
      <c r="AQ590" s="54">
        <v>7</v>
      </c>
      <c r="AR590" s="45">
        <v>10</v>
      </c>
      <c r="AS590" s="42"/>
      <c r="AT590" s="40"/>
      <c r="AU590" s="42"/>
      <c r="AV590" s="54">
        <v>1</v>
      </c>
      <c r="AW590" s="54" t="s">
        <v>554</v>
      </c>
      <c r="AX590" s="28"/>
      <c r="AY590" s="40"/>
      <c r="BB590" s="134" t="s">
        <v>238</v>
      </c>
      <c r="BC590" s="135" t="s">
        <v>239</v>
      </c>
      <c r="BD590" s="136"/>
      <c r="BE590" s="134" t="s">
        <v>240</v>
      </c>
      <c r="BF590" s="135" t="s">
        <v>241</v>
      </c>
      <c r="BG590" s="136"/>
      <c r="BH590" s="134"/>
      <c r="BI590" s="135" t="s">
        <v>242</v>
      </c>
      <c r="BJ590" s="137" t="s">
        <v>243</v>
      </c>
      <c r="BK590" s="135"/>
      <c r="BL590" s="135"/>
      <c r="BM590" s="136"/>
    </row>
    <row r="591" spans="1:65" x14ac:dyDescent="0.3">
      <c r="AP591" s="41" t="s">
        <v>6</v>
      </c>
      <c r="AS591" s="42"/>
      <c r="AT591" s="40"/>
      <c r="AU591" s="42"/>
      <c r="AV591" s="54">
        <v>3</v>
      </c>
      <c r="AW591" s="54" t="s">
        <v>555</v>
      </c>
      <c r="AX591" s="28"/>
      <c r="AY591" s="40"/>
      <c r="BB591" s="138" t="s">
        <v>233</v>
      </c>
      <c r="BC591" s="28"/>
      <c r="BD591" s="139">
        <f>SUM(B576)</f>
        <v>42852</v>
      </c>
      <c r="BE591" s="138" t="s">
        <v>233</v>
      </c>
      <c r="BF591" s="28"/>
      <c r="BG591" s="139">
        <f>SUM(AC573)</f>
        <v>1877</v>
      </c>
      <c r="BH591" s="138" t="s">
        <v>233</v>
      </c>
      <c r="BI591" s="28"/>
      <c r="BJ591" s="140">
        <f>SUM(BL588+BG591)</f>
        <v>3594</v>
      </c>
      <c r="BK591" s="28" t="s">
        <v>245</v>
      </c>
      <c r="BL591" s="28">
        <f>SUM(BJ591+BD591)</f>
        <v>46446</v>
      </c>
      <c r="BM591" s="141"/>
    </row>
    <row r="592" spans="1:65" ht="18.600000000000001" thickBot="1" x14ac:dyDescent="0.4">
      <c r="B592" s="133"/>
      <c r="AP592" s="46" t="s">
        <v>84</v>
      </c>
      <c r="AQ592" s="48">
        <f>SUM(AQ576:AQ591)</f>
        <v>84</v>
      </c>
      <c r="AR592" s="48">
        <f>SUM(AR576:AR591)</f>
        <v>127</v>
      </c>
      <c r="AS592" s="47"/>
      <c r="AT592" s="49"/>
      <c r="AU592" s="47"/>
      <c r="AV592" s="48">
        <v>2</v>
      </c>
      <c r="AW592" s="48" t="s">
        <v>244</v>
      </c>
      <c r="AX592" s="48"/>
      <c r="AY592" s="49">
        <f>SUM(AV577:AV592)</f>
        <v>104</v>
      </c>
      <c r="BB592" s="142" t="s">
        <v>236</v>
      </c>
      <c r="BC592" s="143"/>
      <c r="BD592" s="144">
        <f>SUM(C576)</f>
        <v>51094</v>
      </c>
      <c r="BE592" s="142" t="s">
        <v>236</v>
      </c>
      <c r="BF592" s="143"/>
      <c r="BG592" s="144">
        <f>SUM(AD573)</f>
        <v>1487</v>
      </c>
      <c r="BH592" s="142" t="s">
        <v>236</v>
      </c>
      <c r="BI592" s="143"/>
      <c r="BJ592" s="145">
        <f>SUM(BL589+BG592)</f>
        <v>3185</v>
      </c>
      <c r="BK592" s="143"/>
      <c r="BL592" s="143">
        <f>SUM(BJ592+BD592)</f>
        <v>54279</v>
      </c>
      <c r="BM592" s="146"/>
    </row>
    <row r="593" spans="1:64" ht="18.600000000000001" thickBot="1" x14ac:dyDescent="0.4">
      <c r="B593" s="133"/>
      <c r="AP593" s="147" t="s">
        <v>84</v>
      </c>
      <c r="AQ593" s="147">
        <f>SUM(+AQ592+AQ575+AQ565+AQ550+AQ548)</f>
        <v>2244</v>
      </c>
      <c r="AR593" s="148">
        <f>SUM(AR592+AR575+AR565+AR550+AR548)</f>
        <v>2251</v>
      </c>
      <c r="AS593" s="147"/>
      <c r="AT593" s="148"/>
      <c r="AU593" s="149" t="s">
        <v>247</v>
      </c>
      <c r="AV593" s="149"/>
      <c r="AW593" s="149"/>
      <c r="AX593" s="149"/>
      <c r="AY593" s="148">
        <f>SUM(AY548:AY592)</f>
        <v>368</v>
      </c>
    </row>
    <row r="594" spans="1:64" ht="15" thickTop="1" x14ac:dyDescent="0.3"/>
    <row r="596" spans="1:64" ht="15.6" x14ac:dyDescent="0.3">
      <c r="C596" s="1" t="s">
        <v>0</v>
      </c>
      <c r="P596" s="1" t="s">
        <v>1</v>
      </c>
    </row>
    <row r="597" spans="1:64" ht="15.6" x14ac:dyDescent="0.3">
      <c r="D597" t="s">
        <v>2</v>
      </c>
      <c r="Q597" t="s">
        <v>3</v>
      </c>
      <c r="AE597" s="2"/>
      <c r="AF597" s="1" t="s">
        <v>0</v>
      </c>
      <c r="AG597" s="1"/>
      <c r="AI597" s="1"/>
      <c r="AJ597" s="1"/>
      <c r="AS597" s="1" t="s">
        <v>4</v>
      </c>
      <c r="BE597" s="1"/>
      <c r="BF597" s="1" t="s">
        <v>5</v>
      </c>
      <c r="BG597" s="1"/>
      <c r="BH597" s="1"/>
      <c r="BI597" s="1"/>
      <c r="BJ597" s="1"/>
    </row>
    <row r="598" spans="1:64" ht="15.6" x14ac:dyDescent="0.3">
      <c r="A598" t="s">
        <v>6</v>
      </c>
      <c r="C598" t="s">
        <v>7</v>
      </c>
      <c r="O598" t="s">
        <v>8</v>
      </c>
      <c r="AE598" s="3"/>
      <c r="AF598" s="2" t="s">
        <v>9</v>
      </c>
      <c r="AG598" s="1"/>
      <c r="AI598" s="1"/>
      <c r="AJ598" s="1"/>
      <c r="AT598" t="s">
        <v>2</v>
      </c>
      <c r="BG598" t="s">
        <v>2</v>
      </c>
    </row>
    <row r="599" spans="1:64" ht="15.6" x14ac:dyDescent="0.3">
      <c r="D599" t="s">
        <v>556</v>
      </c>
      <c r="Q599" t="s">
        <v>556</v>
      </c>
      <c r="AF599" s="3" t="s">
        <v>11</v>
      </c>
      <c r="AG599" s="1"/>
      <c r="AI599" s="1"/>
      <c r="AJ599" s="1"/>
      <c r="AR599" t="s">
        <v>12</v>
      </c>
      <c r="AZ599" t="s">
        <v>6</v>
      </c>
      <c r="BE599" t="s">
        <v>13</v>
      </c>
    </row>
    <row r="600" spans="1:64" ht="15" thickBot="1" x14ac:dyDescent="0.35">
      <c r="I600" s="4" t="s">
        <v>14</v>
      </c>
      <c r="U600" s="5" t="s">
        <v>15</v>
      </c>
      <c r="AG600" t="s">
        <v>556</v>
      </c>
      <c r="AT600" t="s">
        <v>556</v>
      </c>
      <c r="AY600" s="5"/>
      <c r="BG600" t="s">
        <v>556</v>
      </c>
      <c r="BK600" s="5" t="s">
        <v>16</v>
      </c>
    </row>
    <row r="601" spans="1:64" ht="15" thickBot="1" x14ac:dyDescent="0.35">
      <c r="A601" s="6" t="s">
        <v>17</v>
      </c>
      <c r="B601" s="6" t="s">
        <v>18</v>
      </c>
      <c r="C601" s="7"/>
      <c r="D601" s="8" t="s">
        <v>19</v>
      </c>
      <c r="E601" s="8"/>
      <c r="F601" s="8"/>
      <c r="G601" s="9" t="s">
        <v>20</v>
      </c>
      <c r="H601" s="8" t="s">
        <v>21</v>
      </c>
      <c r="I601" s="8"/>
      <c r="J601" s="7"/>
      <c r="L601" s="6" t="s">
        <v>17</v>
      </c>
      <c r="M601" s="6" t="s">
        <v>22</v>
      </c>
      <c r="N601" s="7"/>
      <c r="O601" s="8" t="s">
        <v>23</v>
      </c>
      <c r="P601" s="8"/>
      <c r="Q601" s="8"/>
      <c r="R601" s="6" t="s">
        <v>24</v>
      </c>
      <c r="S601" s="7"/>
      <c r="T601" s="8" t="s">
        <v>21</v>
      </c>
      <c r="U601" s="8"/>
      <c r="V601" s="7"/>
      <c r="AL601" s="5" t="s">
        <v>25</v>
      </c>
      <c r="AX601" s="5" t="s">
        <v>26</v>
      </c>
      <c r="BB601" s="6" t="s">
        <v>17</v>
      </c>
      <c r="BC601" s="6" t="s">
        <v>27</v>
      </c>
      <c r="BD601" s="7"/>
      <c r="BE601" s="8" t="s">
        <v>28</v>
      </c>
      <c r="BF601" s="8"/>
      <c r="BG601" s="8"/>
      <c r="BH601" s="6" t="s">
        <v>29</v>
      </c>
      <c r="BI601" s="7" t="s">
        <v>30</v>
      </c>
      <c r="BJ601" s="8" t="s">
        <v>31</v>
      </c>
      <c r="BK601" s="8"/>
      <c r="BL601" s="7"/>
    </row>
    <row r="602" spans="1:64" x14ac:dyDescent="0.3">
      <c r="A602" s="10" t="s">
        <v>32</v>
      </c>
      <c r="B602" s="10"/>
      <c r="C602" s="11"/>
      <c r="D602" s="3"/>
      <c r="E602" s="3"/>
      <c r="F602" s="3"/>
      <c r="G602" s="12"/>
      <c r="H602" s="3" t="s">
        <v>33</v>
      </c>
      <c r="I602" s="3"/>
      <c r="J602" s="11"/>
      <c r="L602" s="10"/>
      <c r="M602" s="10"/>
      <c r="N602" s="11"/>
      <c r="O602" s="3"/>
      <c r="P602" s="3"/>
      <c r="Q602" s="3"/>
      <c r="R602" s="10"/>
      <c r="S602" s="11"/>
      <c r="T602" s="3" t="s">
        <v>33</v>
      </c>
      <c r="U602" s="3"/>
      <c r="V602" s="11"/>
      <c r="AB602" s="6" t="s">
        <v>34</v>
      </c>
      <c r="AC602" s="6" t="s">
        <v>35</v>
      </c>
      <c r="AD602" s="7"/>
      <c r="AE602" s="6" t="s">
        <v>36</v>
      </c>
      <c r="AF602" s="8"/>
      <c r="AG602" s="7"/>
      <c r="AH602" s="8" t="s">
        <v>37</v>
      </c>
      <c r="AI602" s="8"/>
      <c r="AJ602" s="9" t="s">
        <v>30</v>
      </c>
      <c r="AK602" s="8" t="s">
        <v>38</v>
      </c>
      <c r="AL602" s="8"/>
      <c r="AM602" s="7"/>
      <c r="AP602" s="6" t="s">
        <v>17</v>
      </c>
      <c r="AQ602" s="6" t="s">
        <v>39</v>
      </c>
      <c r="AR602" s="7"/>
      <c r="AS602" s="6" t="s">
        <v>29</v>
      </c>
      <c r="AT602" s="7" t="s">
        <v>30</v>
      </c>
      <c r="AU602" s="8" t="s">
        <v>40</v>
      </c>
      <c r="AV602" s="8"/>
      <c r="AW602" s="8"/>
      <c r="AX602" s="8"/>
      <c r="AY602" s="7"/>
      <c r="BB602" s="10"/>
      <c r="BC602" s="10"/>
      <c r="BD602" s="11"/>
      <c r="BE602" s="3"/>
      <c r="BF602" s="3"/>
      <c r="BG602" s="3"/>
      <c r="BH602" s="10"/>
      <c r="BI602" s="11" t="s">
        <v>6</v>
      </c>
      <c r="BJ602" s="3" t="s">
        <v>41</v>
      </c>
      <c r="BK602" s="3"/>
      <c r="BL602" s="11"/>
    </row>
    <row r="603" spans="1:64" ht="15" thickBot="1" x14ac:dyDescent="0.35">
      <c r="A603" s="13" t="s">
        <v>42</v>
      </c>
      <c r="B603" s="14" t="s">
        <v>43</v>
      </c>
      <c r="C603" s="15" t="s">
        <v>44</v>
      </c>
      <c r="D603" s="16" t="s">
        <v>45</v>
      </c>
      <c r="E603" s="16" t="s">
        <v>46</v>
      </c>
      <c r="F603" s="16" t="s">
        <v>47</v>
      </c>
      <c r="G603" s="17" t="s">
        <v>48</v>
      </c>
      <c r="H603" s="18" t="s">
        <v>49</v>
      </c>
      <c r="I603" s="18"/>
      <c r="J603" s="11"/>
      <c r="L603" s="10" t="s">
        <v>50</v>
      </c>
      <c r="M603" s="19" t="s">
        <v>43</v>
      </c>
      <c r="N603" s="20" t="s">
        <v>44</v>
      </c>
      <c r="O603" s="21" t="s">
        <v>43</v>
      </c>
      <c r="P603" s="18" t="s">
        <v>51</v>
      </c>
      <c r="Q603" s="21" t="s">
        <v>44</v>
      </c>
      <c r="R603" s="22" t="s">
        <v>43</v>
      </c>
      <c r="S603" s="23" t="s">
        <v>44</v>
      </c>
      <c r="T603" s="18" t="s">
        <v>49</v>
      </c>
      <c r="U603" s="18"/>
      <c r="V603" s="11"/>
      <c r="AB603" s="10" t="s">
        <v>50</v>
      </c>
      <c r="AC603" s="22" t="s">
        <v>43</v>
      </c>
      <c r="AD603" s="23" t="s">
        <v>44</v>
      </c>
      <c r="AE603" s="22" t="s">
        <v>45</v>
      </c>
      <c r="AF603" s="24" t="s">
        <v>46</v>
      </c>
      <c r="AG603" s="23" t="s">
        <v>52</v>
      </c>
      <c r="AH603" s="24" t="s">
        <v>43</v>
      </c>
      <c r="AI603" s="24" t="s">
        <v>44</v>
      </c>
      <c r="AJ603" s="25" t="s">
        <v>43</v>
      </c>
      <c r="AK603" s="3" t="s">
        <v>53</v>
      </c>
      <c r="AL603" s="3"/>
      <c r="AM603" s="11"/>
      <c r="AP603" s="13" t="s">
        <v>42</v>
      </c>
      <c r="AQ603" s="10" t="s">
        <v>43</v>
      </c>
      <c r="AR603" s="11" t="s">
        <v>44</v>
      </c>
      <c r="AS603" s="13" t="s">
        <v>43</v>
      </c>
      <c r="AT603" s="26" t="s">
        <v>44</v>
      </c>
      <c r="AU603" s="27"/>
      <c r="AV603" s="27"/>
      <c r="AW603" s="27"/>
      <c r="AX603" s="27"/>
      <c r="AY603" s="26"/>
      <c r="BB603" s="13" t="s">
        <v>42</v>
      </c>
      <c r="BC603" s="13" t="s">
        <v>43</v>
      </c>
      <c r="BD603" s="26" t="s">
        <v>44</v>
      </c>
      <c r="BE603" s="27" t="s">
        <v>45</v>
      </c>
      <c r="BF603" s="27" t="s">
        <v>46</v>
      </c>
      <c r="BG603" s="27" t="s">
        <v>52</v>
      </c>
      <c r="BH603" s="13" t="s">
        <v>43</v>
      </c>
      <c r="BI603" s="26" t="s">
        <v>44</v>
      </c>
      <c r="BJ603" s="27" t="s">
        <v>54</v>
      </c>
      <c r="BK603" s="27"/>
      <c r="BL603" s="26"/>
    </row>
    <row r="604" spans="1:64" ht="15" thickBot="1" x14ac:dyDescent="0.35">
      <c r="A604" s="6"/>
      <c r="B604" s="6"/>
      <c r="C604" s="7"/>
      <c r="D604" s="8"/>
      <c r="E604" s="8"/>
      <c r="F604" s="7"/>
      <c r="G604" s="8"/>
      <c r="H604" s="6" t="s">
        <v>396</v>
      </c>
      <c r="I604" s="8"/>
      <c r="J604" s="7"/>
      <c r="K604" s="28"/>
      <c r="L604" s="9"/>
      <c r="M604" s="8"/>
      <c r="N604" s="8"/>
      <c r="O604" s="6"/>
      <c r="P604" s="8"/>
      <c r="Q604" s="7"/>
      <c r="R604" s="8"/>
      <c r="S604" s="8"/>
      <c r="T604" s="6" t="s">
        <v>396</v>
      </c>
      <c r="U604" s="8"/>
      <c r="V604" s="7"/>
      <c r="W604" s="28"/>
      <c r="AB604" s="13"/>
      <c r="AC604" s="13"/>
      <c r="AD604" s="26"/>
      <c r="AE604" s="13"/>
      <c r="AF604" s="27"/>
      <c r="AG604" s="26"/>
      <c r="AH604" s="27"/>
      <c r="AI604" s="27"/>
      <c r="AJ604" s="17"/>
      <c r="AK604" s="27"/>
      <c r="AL604" s="27"/>
      <c r="AM604" s="26"/>
      <c r="AP604" s="6" t="s">
        <v>56</v>
      </c>
      <c r="AQ604" s="29">
        <v>572</v>
      </c>
      <c r="AR604" s="30">
        <v>640</v>
      </c>
      <c r="AU604" s="6"/>
      <c r="AV604" s="8"/>
      <c r="AW604" s="31" t="s">
        <v>57</v>
      </c>
      <c r="AX604" s="8"/>
      <c r="AY604" s="7"/>
      <c r="AZ604" s="28"/>
      <c r="BB604" s="32" t="s">
        <v>85</v>
      </c>
      <c r="BC604">
        <v>29</v>
      </c>
      <c r="BD604">
        <v>29</v>
      </c>
      <c r="BE604" s="33"/>
      <c r="BF604" s="34"/>
      <c r="BG604" s="34"/>
      <c r="BH604" s="33"/>
      <c r="BI604" s="35"/>
      <c r="BJ604" s="34" t="s">
        <v>58</v>
      </c>
      <c r="BK604" s="8"/>
      <c r="BL604" s="7"/>
    </row>
    <row r="605" spans="1:64" x14ac:dyDescent="0.3">
      <c r="A605" s="10" t="s">
        <v>59</v>
      </c>
      <c r="B605" s="36">
        <v>798</v>
      </c>
      <c r="C605" s="11">
        <v>779</v>
      </c>
      <c r="D605" s="37"/>
      <c r="E605" s="38" t="s">
        <v>60</v>
      </c>
      <c r="F605" s="39"/>
      <c r="G605" s="37">
        <f>264*4</f>
        <v>1056</v>
      </c>
      <c r="H605" s="36">
        <v>4</v>
      </c>
      <c r="I605" s="37" t="s">
        <v>61</v>
      </c>
      <c r="J605" s="40"/>
      <c r="K605" s="28"/>
      <c r="L605" s="41" t="s">
        <v>59</v>
      </c>
      <c r="M605" s="28">
        <v>5881</v>
      </c>
      <c r="N605" s="28">
        <v>16648</v>
      </c>
      <c r="O605" s="42">
        <v>0</v>
      </c>
      <c r="P605" s="43">
        <v>0</v>
      </c>
      <c r="Q605" s="40">
        <v>0</v>
      </c>
      <c r="R605" s="43">
        <v>0</v>
      </c>
      <c r="S605" s="43">
        <v>0</v>
      </c>
      <c r="T605" s="42"/>
      <c r="U605" s="28"/>
      <c r="V605" s="40"/>
      <c r="W605" s="28"/>
      <c r="AB605" s="9"/>
      <c r="AC605" s="8"/>
      <c r="AD605" s="8"/>
      <c r="AE605" s="6"/>
      <c r="AF605" s="8"/>
      <c r="AG605" s="7"/>
      <c r="AH605" s="8"/>
      <c r="AI605" s="8"/>
      <c r="AJ605" s="9"/>
      <c r="AK605" s="6" t="s">
        <v>62</v>
      </c>
      <c r="AL605" s="8"/>
      <c r="AM605" s="7"/>
      <c r="AP605" s="36" t="s">
        <v>63</v>
      </c>
      <c r="AQ605" s="36">
        <v>0</v>
      </c>
      <c r="AR605" s="39">
        <v>0</v>
      </c>
      <c r="AT605" s="18"/>
      <c r="AU605" s="10"/>
      <c r="AV605" s="18"/>
      <c r="AW605" s="18"/>
      <c r="AX605" s="18"/>
      <c r="AY605" s="11"/>
      <c r="AZ605" s="28"/>
      <c r="BB605" s="44" t="s">
        <v>64</v>
      </c>
      <c r="BC605" s="18">
        <v>135</v>
      </c>
      <c r="BD605" s="18">
        <v>117</v>
      </c>
      <c r="BE605" s="10">
        <v>0</v>
      </c>
      <c r="BF605" s="18">
        <v>0</v>
      </c>
      <c r="BG605" s="18">
        <v>0</v>
      </c>
      <c r="BH605" s="10">
        <v>0</v>
      </c>
      <c r="BI605" s="11">
        <v>0</v>
      </c>
      <c r="BJ605" s="45">
        <v>9</v>
      </c>
      <c r="BK605" s="28" t="s">
        <v>474</v>
      </c>
      <c r="BL605" s="11" t="s">
        <v>6</v>
      </c>
    </row>
    <row r="606" spans="1:64" ht="15" thickBot="1" x14ac:dyDescent="0.35">
      <c r="A606" s="36" t="s">
        <v>6</v>
      </c>
      <c r="B606" s="10"/>
      <c r="C606" s="11"/>
      <c r="D606" s="18"/>
      <c r="E606" s="18"/>
      <c r="F606" s="18"/>
      <c r="G606" s="36"/>
      <c r="H606" s="42"/>
      <c r="I606" s="28" t="s">
        <v>528</v>
      </c>
      <c r="J606" s="40">
        <f>SUM(H605+H606)</f>
        <v>4</v>
      </c>
      <c r="K606" s="28"/>
      <c r="L606" s="12"/>
      <c r="M606" s="37"/>
      <c r="N606" s="37"/>
      <c r="O606" s="10"/>
      <c r="P606" s="18"/>
      <c r="Q606" s="11"/>
      <c r="R606" s="18"/>
      <c r="S606" s="18"/>
      <c r="T606" s="10"/>
      <c r="U606" s="18"/>
      <c r="V606" s="11"/>
      <c r="W606" s="28"/>
      <c r="AB606" s="41"/>
      <c r="AE606" s="42"/>
      <c r="AF606" s="28"/>
      <c r="AG606" s="40"/>
      <c r="AJ606" s="41"/>
      <c r="AK606" s="42"/>
      <c r="AL606" s="28" t="s">
        <v>6</v>
      </c>
      <c r="AM606" s="40"/>
      <c r="AP606" s="36" t="s">
        <v>67</v>
      </c>
      <c r="AQ606" s="36">
        <v>110</v>
      </c>
      <c r="AR606" s="39">
        <v>138</v>
      </c>
      <c r="AT606" s="18"/>
      <c r="AU606" s="10"/>
      <c r="AV606" s="37">
        <v>10</v>
      </c>
      <c r="AW606" s="37" t="s">
        <v>68</v>
      </c>
      <c r="AX606" s="18"/>
      <c r="AY606" s="11"/>
      <c r="AZ606" s="28"/>
      <c r="BA606" s="28"/>
      <c r="BB606" s="46" t="s">
        <v>84</v>
      </c>
      <c r="BC606">
        <f>SUM(BC604:BC605)</f>
        <v>164</v>
      </c>
      <c r="BD606">
        <f>SUM(BD604:BD605)</f>
        <v>146</v>
      </c>
      <c r="BE606" s="47"/>
      <c r="BF606" s="48"/>
      <c r="BG606" s="48"/>
      <c r="BH606" s="47"/>
      <c r="BI606" s="49"/>
      <c r="BJ606" s="48">
        <v>2</v>
      </c>
      <c r="BK606" s="48" t="s">
        <v>69</v>
      </c>
      <c r="BL606" s="49">
        <f>SUM(BJ605:BJ606)</f>
        <v>11</v>
      </c>
    </row>
    <row r="607" spans="1:64" ht="15" thickBot="1" x14ac:dyDescent="0.35">
      <c r="A607" s="32"/>
      <c r="B607" s="34"/>
      <c r="C607" s="34"/>
      <c r="D607" s="33"/>
      <c r="E607" s="34"/>
      <c r="F607" s="35"/>
      <c r="G607" s="34"/>
      <c r="H607" s="6" t="s">
        <v>70</v>
      </c>
      <c r="I607" s="8"/>
      <c r="J607" s="7"/>
      <c r="K607" s="28"/>
      <c r="L607" s="17"/>
      <c r="M607" s="27"/>
      <c r="N607" s="27"/>
      <c r="O607" s="13"/>
      <c r="P607" s="27"/>
      <c r="Q607" s="26"/>
      <c r="R607" s="27"/>
      <c r="S607" s="27"/>
      <c r="T607" s="13"/>
      <c r="U607" s="27"/>
      <c r="V607" s="26"/>
      <c r="W607" s="28"/>
      <c r="AB607" s="44" t="s">
        <v>59</v>
      </c>
      <c r="AC607" s="37">
        <v>1042</v>
      </c>
      <c r="AD607" s="37">
        <v>1005</v>
      </c>
      <c r="AE607" s="10">
        <v>0</v>
      </c>
      <c r="AF607" s="18">
        <v>0</v>
      </c>
      <c r="AG607" s="39">
        <v>0</v>
      </c>
      <c r="AH607" s="2">
        <v>3217</v>
      </c>
      <c r="AI607" s="2">
        <v>15953</v>
      </c>
      <c r="AJ607" s="12">
        <v>0</v>
      </c>
      <c r="AK607" s="36">
        <v>0</v>
      </c>
      <c r="AL607" s="37" t="s">
        <v>66</v>
      </c>
      <c r="AM607" s="11"/>
      <c r="AP607" s="36" t="s">
        <v>72</v>
      </c>
      <c r="AQ607" s="36">
        <v>0</v>
      </c>
      <c r="AR607" s="39">
        <v>0</v>
      </c>
      <c r="AT607" s="18"/>
      <c r="AU607" s="10"/>
      <c r="AV607" s="37">
        <v>69</v>
      </c>
      <c r="AW607" s="37" t="s">
        <v>73</v>
      </c>
      <c r="AX607" s="18"/>
      <c r="AY607" s="11"/>
      <c r="AZ607" s="28"/>
      <c r="BA607" s="28"/>
      <c r="BB607" s="33"/>
      <c r="BC607" s="33"/>
      <c r="BD607" s="35"/>
      <c r="BE607" s="34"/>
      <c r="BF607" s="34"/>
      <c r="BG607" s="34"/>
      <c r="BH607" s="33"/>
      <c r="BI607" s="35"/>
      <c r="BJ607" s="53" t="s">
        <v>82</v>
      </c>
      <c r="BK607" s="34"/>
      <c r="BL607" s="35"/>
    </row>
    <row r="608" spans="1:64" ht="15" thickBot="1" x14ac:dyDescent="0.35">
      <c r="A608" s="44" t="s">
        <v>74</v>
      </c>
      <c r="B608" s="37">
        <v>1495</v>
      </c>
      <c r="C608" s="18">
        <v>2669</v>
      </c>
      <c r="D608" s="36"/>
      <c r="E608" s="38" t="s">
        <v>60</v>
      </c>
      <c r="F608" s="39"/>
      <c r="G608" s="37">
        <v>3004</v>
      </c>
      <c r="H608" s="36">
        <v>4</v>
      </c>
      <c r="I608" s="28" t="s">
        <v>75</v>
      </c>
      <c r="J608" s="11"/>
      <c r="K608" s="28"/>
      <c r="L608" s="32"/>
      <c r="M608" s="34"/>
      <c r="N608" s="34"/>
      <c r="O608" s="33"/>
      <c r="P608" s="34"/>
      <c r="Q608" s="35"/>
      <c r="R608" s="34"/>
      <c r="S608" s="34"/>
      <c r="T608" s="33"/>
      <c r="U608" s="34"/>
      <c r="V608" s="35"/>
      <c r="W608" s="28"/>
      <c r="AB608" s="46"/>
      <c r="AE608" s="47"/>
      <c r="AF608" s="51"/>
      <c r="AG608" s="49"/>
      <c r="AH608" s="28"/>
      <c r="AI608" s="28"/>
      <c r="AJ608" s="62"/>
      <c r="AK608" s="47">
        <v>5</v>
      </c>
      <c r="AL608" s="48" t="s">
        <v>398</v>
      </c>
      <c r="AM608" s="49"/>
      <c r="AP608" s="36" t="s">
        <v>78</v>
      </c>
      <c r="AQ608" s="36">
        <v>0</v>
      </c>
      <c r="AR608" s="39">
        <v>0</v>
      </c>
      <c r="AT608" s="18"/>
      <c r="AU608" s="10"/>
      <c r="AV608" s="37"/>
      <c r="AW608" s="37"/>
      <c r="AX608" s="18" t="s">
        <v>6</v>
      </c>
      <c r="AY608" s="11"/>
      <c r="AZ608" s="28"/>
      <c r="BA608" s="28"/>
      <c r="BB608" s="47" t="s">
        <v>85</v>
      </c>
      <c r="BC608" s="47">
        <v>0</v>
      </c>
      <c r="BD608" s="49">
        <v>0</v>
      </c>
      <c r="BE608" s="48"/>
      <c r="BF608" s="48">
        <v>0</v>
      </c>
      <c r="BG608" s="48">
        <v>0</v>
      </c>
      <c r="BH608" s="47">
        <v>0</v>
      </c>
      <c r="BI608" s="49">
        <v>0</v>
      </c>
      <c r="BJ608" s="51"/>
      <c r="BK608" s="48" t="s">
        <v>86</v>
      </c>
      <c r="BL608" s="49">
        <f>SUM(BJ608)</f>
        <v>0</v>
      </c>
    </row>
    <row r="609" spans="1:65" x14ac:dyDescent="0.3">
      <c r="A609" s="41"/>
      <c r="D609" s="42"/>
      <c r="E609" s="28"/>
      <c r="F609" s="40"/>
      <c r="H609" s="42">
        <v>7</v>
      </c>
      <c r="I609" s="28" t="s">
        <v>79</v>
      </c>
      <c r="J609" s="40"/>
      <c r="K609" s="28"/>
      <c r="L609" s="41"/>
      <c r="M609" s="28"/>
      <c r="N609" s="28"/>
      <c r="O609" s="42"/>
      <c r="P609" s="28"/>
      <c r="Q609" s="40"/>
      <c r="R609" s="28"/>
      <c r="S609" s="28"/>
      <c r="T609" s="42" t="s">
        <v>80</v>
      </c>
      <c r="U609" s="28"/>
      <c r="V609" s="40"/>
      <c r="W609" s="28"/>
      <c r="AB609" s="50" t="s">
        <v>6</v>
      </c>
      <c r="AC609" s="8"/>
      <c r="AD609" s="8"/>
      <c r="AE609" s="6"/>
      <c r="AF609" s="8"/>
      <c r="AG609" s="7"/>
      <c r="AH609" s="6"/>
      <c r="AI609" s="7"/>
      <c r="AJ609" s="8"/>
      <c r="AK609" s="29" t="s">
        <v>71</v>
      </c>
      <c r="AL609" s="8"/>
      <c r="AM609" s="7"/>
      <c r="AP609" s="52" t="s">
        <v>81</v>
      </c>
      <c r="AQ609" s="36">
        <v>0</v>
      </c>
      <c r="AR609" s="39">
        <v>0</v>
      </c>
      <c r="AU609" s="42"/>
      <c r="AV609" s="28"/>
      <c r="AW609" s="28"/>
      <c r="AX609" s="28"/>
      <c r="AY609" s="40"/>
      <c r="AZ609" s="28"/>
      <c r="BA609" s="28"/>
      <c r="BB609" s="50" t="s">
        <v>107</v>
      </c>
      <c r="BC609" s="31">
        <v>49</v>
      </c>
      <c r="BD609" s="31">
        <v>85</v>
      </c>
      <c r="BE609" s="29"/>
      <c r="BF609" s="31"/>
      <c r="BG609" s="30"/>
      <c r="BH609" s="55"/>
      <c r="BI609" s="8"/>
      <c r="BJ609" s="29"/>
      <c r="BK609" s="34" t="s">
        <v>92</v>
      </c>
      <c r="BL609" s="35"/>
    </row>
    <row r="610" spans="1:65" ht="15" thickBot="1" x14ac:dyDescent="0.35">
      <c r="A610" s="46"/>
      <c r="B610" s="48"/>
      <c r="C610" s="48"/>
      <c r="D610" s="47"/>
      <c r="E610" s="48"/>
      <c r="F610" s="49"/>
      <c r="G610" s="48"/>
      <c r="H610" s="47">
        <v>11</v>
      </c>
      <c r="I610" s="28" t="s">
        <v>83</v>
      </c>
      <c r="J610" s="49">
        <f>SUM(H608:H610)</f>
        <v>22</v>
      </c>
      <c r="K610" s="28"/>
      <c r="L610" s="17" t="s">
        <v>74</v>
      </c>
      <c r="M610" s="27">
        <v>4549</v>
      </c>
      <c r="N610" s="27">
        <v>132</v>
      </c>
      <c r="O610" s="13">
        <v>0</v>
      </c>
      <c r="P610" s="27">
        <v>0</v>
      </c>
      <c r="Q610" s="26">
        <v>0</v>
      </c>
      <c r="R610" s="27">
        <v>52</v>
      </c>
      <c r="S610" s="27">
        <v>0</v>
      </c>
      <c r="T610" s="13"/>
      <c r="U610" s="27"/>
      <c r="V610" s="26"/>
      <c r="W610" s="28"/>
      <c r="AB610" s="41" t="s">
        <v>76</v>
      </c>
      <c r="AC610">
        <v>227</v>
      </c>
      <c r="AD610">
        <v>0</v>
      </c>
      <c r="AE610" s="42">
        <v>0</v>
      </c>
      <c r="AF610" s="43">
        <v>0</v>
      </c>
      <c r="AG610" s="40">
        <v>0</v>
      </c>
      <c r="AH610" s="42">
        <v>0</v>
      </c>
      <c r="AI610" s="40">
        <v>0</v>
      </c>
      <c r="AJ610" s="43">
        <v>0</v>
      </c>
      <c r="AK610" s="42">
        <v>2</v>
      </c>
      <c r="AL610" s="28" t="s">
        <v>77</v>
      </c>
      <c r="AM610" s="40"/>
      <c r="AP610" s="52" t="s">
        <v>115</v>
      </c>
      <c r="AQ610" s="52">
        <v>0</v>
      </c>
      <c r="AR610" s="86">
        <v>0</v>
      </c>
      <c r="AU610" s="42"/>
      <c r="AV610" s="28"/>
      <c r="AW610" s="28"/>
      <c r="AX610" s="28"/>
      <c r="AY610" s="40"/>
      <c r="AZ610" s="28"/>
      <c r="BA610" s="28"/>
      <c r="BB610" s="41" t="s">
        <v>99</v>
      </c>
      <c r="BC610" s="45">
        <v>0</v>
      </c>
      <c r="BD610" s="45">
        <v>0</v>
      </c>
      <c r="BE610" s="42">
        <v>0</v>
      </c>
      <c r="BF610" s="45">
        <v>0</v>
      </c>
      <c r="BG610" s="40">
        <v>0</v>
      </c>
      <c r="BH610" s="45">
        <v>58719</v>
      </c>
      <c r="BI610" s="56">
        <v>21131</v>
      </c>
      <c r="BJ610" s="52">
        <v>29</v>
      </c>
      <c r="BK610" s="37" t="s">
        <v>100</v>
      </c>
      <c r="BL610" s="40"/>
    </row>
    <row r="611" spans="1:65" ht="15" thickBot="1" x14ac:dyDescent="0.35">
      <c r="A611" s="33"/>
      <c r="B611" s="33"/>
      <c r="C611" s="35"/>
      <c r="D611" s="34"/>
      <c r="E611" s="34"/>
      <c r="F611" s="34"/>
      <c r="G611" s="32"/>
      <c r="H611" s="6" t="s">
        <v>87</v>
      </c>
      <c r="I611" s="34"/>
      <c r="J611" s="35"/>
      <c r="K611" s="28"/>
      <c r="L611" s="12" t="s">
        <v>88</v>
      </c>
      <c r="M611" s="37">
        <v>0</v>
      </c>
      <c r="N611" s="37">
        <v>0</v>
      </c>
      <c r="O611" s="10"/>
      <c r="P611" s="18"/>
      <c r="Q611" s="11"/>
      <c r="R611" s="18"/>
      <c r="S611" s="18"/>
      <c r="T611" s="33" t="s">
        <v>6</v>
      </c>
      <c r="U611" s="31"/>
      <c r="V611" s="7"/>
      <c r="W611" s="28"/>
      <c r="AB611" s="6" t="s">
        <v>89</v>
      </c>
      <c r="AC611" s="6">
        <v>39</v>
      </c>
      <c r="AD611" s="7">
        <v>26</v>
      </c>
      <c r="AE611" s="8"/>
      <c r="AF611" s="8"/>
      <c r="AG611" s="8"/>
      <c r="AH611" s="6"/>
      <c r="AI611" s="7"/>
      <c r="AJ611" s="9"/>
      <c r="AK611" s="31" t="s">
        <v>90</v>
      </c>
      <c r="AL611" s="8"/>
      <c r="AM611" s="7"/>
      <c r="AP611" s="13" t="s">
        <v>84</v>
      </c>
      <c r="AQ611" s="13">
        <f>SUM(AQ604:AQ610)</f>
        <v>682</v>
      </c>
      <c r="AR611" s="26">
        <f>SUM(AR604:AR610)</f>
        <v>778</v>
      </c>
      <c r="AT611" s="18"/>
      <c r="AU611" s="13"/>
      <c r="AV611" s="27"/>
      <c r="AW611" s="27"/>
      <c r="AX611" s="27"/>
      <c r="AY611" s="26">
        <f>SUM(AV606:AV607)</f>
        <v>79</v>
      </c>
      <c r="AZ611" s="28"/>
      <c r="BA611" s="28"/>
      <c r="BB611" s="17" t="s">
        <v>84</v>
      </c>
      <c r="BC611" s="18">
        <f>SUM(BC609:BC610)</f>
        <v>49</v>
      </c>
      <c r="BD611" s="18">
        <f>SUM(BD609:BD610)</f>
        <v>85</v>
      </c>
      <c r="BE611" s="13"/>
      <c r="BF611" s="27"/>
      <c r="BG611" s="26"/>
      <c r="BH611" s="58"/>
      <c r="BI611" s="27"/>
      <c r="BJ611" s="59"/>
      <c r="BK611" s="48" t="s">
        <v>506</v>
      </c>
      <c r="BL611" s="60">
        <f>SUM(BJ610:BJ611)</f>
        <v>29</v>
      </c>
    </row>
    <row r="612" spans="1:65" x14ac:dyDescent="0.3">
      <c r="A612" s="36" t="s">
        <v>93</v>
      </c>
      <c r="B612" s="36">
        <v>1483</v>
      </c>
      <c r="C612" s="11">
        <v>2071</v>
      </c>
      <c r="D612" s="37"/>
      <c r="E612" s="38" t="s">
        <v>60</v>
      </c>
      <c r="F612" s="37"/>
      <c r="G612" s="12">
        <f>18*145</f>
        <v>2610</v>
      </c>
      <c r="H612" s="36">
        <v>18</v>
      </c>
      <c r="I612" s="37" t="s">
        <v>94</v>
      </c>
      <c r="J612" s="40"/>
      <c r="K612" s="28"/>
      <c r="L612" s="44" t="s">
        <v>95</v>
      </c>
      <c r="M612" s="37">
        <v>0</v>
      </c>
      <c r="N612" s="37">
        <v>0</v>
      </c>
      <c r="O612" s="10"/>
      <c r="P612" s="18"/>
      <c r="Q612" s="11"/>
      <c r="R612" s="18"/>
      <c r="S612" s="18"/>
      <c r="T612" s="10" t="s">
        <v>96</v>
      </c>
      <c r="U612" s="37"/>
      <c r="V612" s="11"/>
      <c r="W612" s="28"/>
      <c r="AB612" s="36" t="s">
        <v>97</v>
      </c>
      <c r="AC612" s="10">
        <v>0</v>
      </c>
      <c r="AD612" s="11">
        <v>0</v>
      </c>
      <c r="AE612" s="18">
        <v>0</v>
      </c>
      <c r="AF612" s="18">
        <v>0</v>
      </c>
      <c r="AG612" s="18">
        <v>0</v>
      </c>
      <c r="AH612" s="36">
        <v>0</v>
      </c>
      <c r="AI612" s="11">
        <v>0</v>
      </c>
      <c r="AJ612" s="12">
        <v>0</v>
      </c>
      <c r="AK612" s="37"/>
      <c r="AL612" s="37" t="s">
        <v>529</v>
      </c>
      <c r="AM612" s="11"/>
      <c r="AP612" s="32" t="s">
        <v>6</v>
      </c>
      <c r="AQ612" s="43"/>
      <c r="AR612" s="54"/>
      <c r="AS612" s="33"/>
      <c r="AT612" s="35"/>
      <c r="AU612" s="33"/>
      <c r="AV612" s="34" t="s">
        <v>91</v>
      </c>
      <c r="AW612" s="34"/>
      <c r="AX612" s="34"/>
      <c r="AY612" s="35"/>
      <c r="AZ612" s="28" t="s">
        <v>6</v>
      </c>
      <c r="BA612" s="28"/>
      <c r="BB612" s="32" t="s">
        <v>107</v>
      </c>
      <c r="BC612" s="63">
        <v>0</v>
      </c>
      <c r="BD612" s="64">
        <v>0</v>
      </c>
      <c r="BE612" s="33"/>
      <c r="BF612" s="8"/>
      <c r="BG612" s="35"/>
      <c r="BH612" s="65"/>
      <c r="BI612" s="66"/>
      <c r="BJ612" s="29"/>
      <c r="BK612" s="31" t="s">
        <v>57</v>
      </c>
      <c r="BL612" s="35"/>
    </row>
    <row r="613" spans="1:65" ht="15" thickBot="1" x14ac:dyDescent="0.35">
      <c r="A613" s="47"/>
      <c r="B613" s="47"/>
      <c r="C613" s="49"/>
      <c r="D613" s="48"/>
      <c r="E613" s="48"/>
      <c r="F613" s="48"/>
      <c r="G613" s="46"/>
      <c r="H613" s="47"/>
      <c r="I613" s="48" t="s">
        <v>101</v>
      </c>
      <c r="J613" s="49">
        <f>SUM(H612:H613)</f>
        <v>18</v>
      </c>
      <c r="K613" s="28"/>
      <c r="L613" s="12" t="s">
        <v>102</v>
      </c>
      <c r="M613" s="18">
        <v>2584</v>
      </c>
      <c r="N613" s="18">
        <v>0</v>
      </c>
      <c r="O613" s="10"/>
      <c r="P613" s="18"/>
      <c r="Q613" s="11"/>
      <c r="R613" s="18"/>
      <c r="S613" s="18"/>
      <c r="T613" s="10"/>
      <c r="U613" s="18"/>
      <c r="V613" s="11"/>
      <c r="W613" s="28"/>
      <c r="AB613" s="47" t="s">
        <v>84</v>
      </c>
      <c r="AC613" s="13">
        <f>SUM(AC611:AC612)</f>
        <v>39</v>
      </c>
      <c r="AD613" s="26">
        <f>SUM(AD611:AD612)</f>
        <v>26</v>
      </c>
      <c r="AE613" s="27"/>
      <c r="AF613" s="27"/>
      <c r="AG613" s="27"/>
      <c r="AH613" s="13"/>
      <c r="AI613" s="26"/>
      <c r="AJ613" s="17"/>
      <c r="AK613" s="57">
        <v>1</v>
      </c>
      <c r="AL613" s="37" t="s">
        <v>145</v>
      </c>
      <c r="AM613" s="11"/>
      <c r="AP613" s="41" t="s">
        <v>56</v>
      </c>
      <c r="AQ613" s="43">
        <v>1036</v>
      </c>
      <c r="AR613" s="54">
        <v>1074</v>
      </c>
      <c r="AS613" s="42"/>
      <c r="AT613" s="40"/>
      <c r="AU613" s="42"/>
      <c r="AV613" s="28"/>
      <c r="AW613" s="28"/>
      <c r="AX613" s="28"/>
      <c r="AY613" s="40"/>
      <c r="AZ613" s="28"/>
      <c r="BA613" s="28"/>
      <c r="BB613" s="41" t="s">
        <v>113</v>
      </c>
      <c r="BC613" s="70">
        <v>0</v>
      </c>
      <c r="BD613" s="71">
        <v>0</v>
      </c>
      <c r="BE613" s="42"/>
      <c r="BF613" s="28"/>
      <c r="BG613" s="40"/>
      <c r="BH613" s="42"/>
      <c r="BI613" s="40"/>
      <c r="BJ613" s="42"/>
      <c r="BK613" s="54" t="s">
        <v>530</v>
      </c>
      <c r="BL613" s="40"/>
    </row>
    <row r="614" spans="1:65" ht="15" thickBot="1" x14ac:dyDescent="0.35">
      <c r="A614" s="29" t="s">
        <v>250</v>
      </c>
      <c r="B614" s="29">
        <v>0</v>
      </c>
      <c r="C614" s="7">
        <v>0</v>
      </c>
      <c r="D614" s="8"/>
      <c r="E614" s="8"/>
      <c r="F614" s="8"/>
      <c r="G614" s="9"/>
      <c r="H614" s="8" t="s">
        <v>104</v>
      </c>
      <c r="I614" s="8"/>
      <c r="J614" s="7"/>
      <c r="K614" s="28"/>
      <c r="L614" s="12" t="s">
        <v>84</v>
      </c>
      <c r="M614" s="18">
        <f>SUM(M611:M613)</f>
        <v>2584</v>
      </c>
      <c r="N614" s="18">
        <f>SUM(N611:N613)</f>
        <v>0</v>
      </c>
      <c r="O614" s="10">
        <v>0</v>
      </c>
      <c r="P614" s="18">
        <v>0</v>
      </c>
      <c r="Q614" s="11">
        <v>0</v>
      </c>
      <c r="R614" s="18">
        <v>0</v>
      </c>
      <c r="S614" s="18">
        <v>0</v>
      </c>
      <c r="T614" s="13"/>
      <c r="U614" s="27"/>
      <c r="V614" s="26"/>
      <c r="W614" s="28"/>
      <c r="AB614" s="44"/>
      <c r="AC614" s="18"/>
      <c r="AD614" s="18"/>
      <c r="AE614" s="10"/>
      <c r="AF614" s="18"/>
      <c r="AG614" s="11"/>
      <c r="AH614" s="10"/>
      <c r="AI614" s="11"/>
      <c r="AJ614" s="6"/>
      <c r="AK614" s="33" t="s">
        <v>6</v>
      </c>
      <c r="AL614" s="61" t="s">
        <v>6</v>
      </c>
      <c r="AM614" s="7"/>
      <c r="AP614" s="62" t="s">
        <v>6</v>
      </c>
      <c r="AQ614" s="43"/>
      <c r="AR614" s="43"/>
      <c r="AS614" s="47"/>
      <c r="AT614" s="49"/>
      <c r="AU614" s="47"/>
      <c r="AV614" s="48">
        <v>89</v>
      </c>
      <c r="AW614" s="48" t="s">
        <v>73</v>
      </c>
      <c r="AX614" s="48"/>
      <c r="AY614" s="49">
        <f>SUM(AV614)</f>
        <v>89</v>
      </c>
      <c r="AZ614" s="28" t="s">
        <v>6</v>
      </c>
      <c r="BA614" s="28" t="s">
        <v>6</v>
      </c>
      <c r="BB614" s="68" t="s">
        <v>84</v>
      </c>
      <c r="BC614">
        <f>SUM(BC612:BC613)</f>
        <v>0</v>
      </c>
      <c r="BD614">
        <f>SUM(BD612:BD613)</f>
        <v>0</v>
      </c>
      <c r="BE614" s="47">
        <v>0</v>
      </c>
      <c r="BF614" s="27">
        <v>0</v>
      </c>
      <c r="BG614" s="49">
        <v>0</v>
      </c>
      <c r="BH614" s="75">
        <v>0</v>
      </c>
      <c r="BI614" s="49">
        <v>0</v>
      </c>
      <c r="BJ614" s="47"/>
      <c r="BK614" s="51" t="s">
        <v>73</v>
      </c>
      <c r="BL614" s="49">
        <f>SUM(BJ613:BJ614)</f>
        <v>0</v>
      </c>
    </row>
    <row r="615" spans="1:65" x14ac:dyDescent="0.3">
      <c r="A615" s="42" t="s">
        <v>105</v>
      </c>
      <c r="B615" s="42">
        <v>254</v>
      </c>
      <c r="C615" s="40">
        <v>390</v>
      </c>
      <c r="D615" s="28"/>
      <c r="E615" s="38" t="s">
        <v>60</v>
      </c>
      <c r="F615" s="28"/>
      <c r="G615" s="41">
        <f>8*72</f>
        <v>576</v>
      </c>
      <c r="H615" s="67">
        <v>8</v>
      </c>
      <c r="I615" s="43" t="s">
        <v>106</v>
      </c>
      <c r="J615" s="40">
        <f>SUM(H615)</f>
        <v>8</v>
      </c>
      <c r="K615" s="28"/>
      <c r="L615" s="32"/>
      <c r="M615" s="33"/>
      <c r="N615" s="35"/>
      <c r="O615" s="34"/>
      <c r="P615" s="34"/>
      <c r="Q615" s="35"/>
      <c r="R615" s="33"/>
      <c r="S615" s="35"/>
      <c r="T615" s="6" t="s">
        <v>104</v>
      </c>
      <c r="U615" s="34"/>
      <c r="V615" s="35"/>
      <c r="W615" s="28"/>
      <c r="AB615" s="41" t="s">
        <v>6</v>
      </c>
      <c r="AC615" s="18"/>
      <c r="AD615" s="18"/>
      <c r="AE615" s="10">
        <v>0</v>
      </c>
      <c r="AF615" s="18">
        <v>0</v>
      </c>
      <c r="AG615" s="11">
        <v>0</v>
      </c>
      <c r="AH615" s="10"/>
      <c r="AI615" s="11"/>
      <c r="AJ615" s="10">
        <v>0</v>
      </c>
      <c r="AK615" s="10"/>
      <c r="AL615" s="37" t="s">
        <v>6</v>
      </c>
      <c r="AM615" s="11"/>
      <c r="AP615" s="10"/>
      <c r="AQ615" s="29"/>
      <c r="AR615" s="31"/>
      <c r="AS615" s="33"/>
      <c r="AT615" s="7"/>
      <c r="AU615" s="8"/>
      <c r="AV615" s="8"/>
      <c r="AW615" s="8"/>
      <c r="AX615" s="8"/>
      <c r="AY615" s="7"/>
      <c r="AZ615" s="28"/>
      <c r="BA615" s="28" t="s">
        <v>6</v>
      </c>
      <c r="BB615" s="33" t="s">
        <v>557</v>
      </c>
      <c r="BC615" s="78">
        <v>3</v>
      </c>
      <c r="BD615" s="79">
        <v>18</v>
      </c>
      <c r="BE615" s="34"/>
      <c r="BF615" s="8"/>
      <c r="BG615" s="35">
        <v>18</v>
      </c>
      <c r="BH615" s="80"/>
      <c r="BI615" s="34"/>
      <c r="BJ615" s="33"/>
      <c r="BK615" s="34" t="s">
        <v>91</v>
      </c>
      <c r="BL615" s="35"/>
    </row>
    <row r="616" spans="1:65" ht="15" thickBot="1" x14ac:dyDescent="0.35">
      <c r="A616" s="67" t="s">
        <v>84</v>
      </c>
      <c r="B616" s="47">
        <f>SUM(B614:B615)</f>
        <v>254</v>
      </c>
      <c r="C616" s="49">
        <f>SUM(C614:C615)</f>
        <v>390</v>
      </c>
      <c r="G616" s="46"/>
      <c r="H616" s="48"/>
      <c r="I616" s="48"/>
      <c r="J616" s="49"/>
      <c r="K616" s="28"/>
      <c r="L616" s="69" t="s">
        <v>109</v>
      </c>
      <c r="M616" s="42">
        <v>0</v>
      </c>
      <c r="N616" s="40">
        <v>0</v>
      </c>
      <c r="O616" s="28">
        <v>0</v>
      </c>
      <c r="P616" s="43">
        <v>0</v>
      </c>
      <c r="Q616" s="40">
        <v>0</v>
      </c>
      <c r="R616" s="42">
        <v>0</v>
      </c>
      <c r="S616" s="40">
        <v>0</v>
      </c>
      <c r="T616" s="28"/>
      <c r="U616" s="28"/>
      <c r="V616" s="40"/>
      <c r="W616" s="28"/>
      <c r="AA616" s="28"/>
      <c r="AB616" s="44"/>
      <c r="AC616" s="45"/>
      <c r="AD616" s="45"/>
      <c r="AE616" s="10">
        <v>0</v>
      </c>
      <c r="AF616" s="18">
        <v>0</v>
      </c>
      <c r="AG616" s="11">
        <v>0</v>
      </c>
      <c r="AH616" s="10"/>
      <c r="AI616" s="11"/>
      <c r="AJ616" s="67"/>
      <c r="AK616" s="42"/>
      <c r="AL616" s="54"/>
      <c r="AM616" s="40"/>
      <c r="AN616" s="28"/>
      <c r="AP616" s="36" t="s">
        <v>63</v>
      </c>
      <c r="AQ616" s="10">
        <v>64</v>
      </c>
      <c r="AR616" s="18">
        <f>64+8</f>
        <v>72</v>
      </c>
      <c r="AS616" s="42"/>
      <c r="AT616" s="11"/>
      <c r="AU616" s="18"/>
      <c r="AV616" s="18" t="s">
        <v>110</v>
      </c>
      <c r="AW616" s="18" t="s">
        <v>111</v>
      </c>
      <c r="AX616" s="18" t="s">
        <v>112</v>
      </c>
      <c r="AY616" s="11"/>
      <c r="AZ616" s="45"/>
      <c r="BA616" s="28"/>
      <c r="BB616" s="52" t="s">
        <v>531</v>
      </c>
      <c r="BC616" s="42">
        <v>0</v>
      </c>
      <c r="BD616" s="40">
        <v>0</v>
      </c>
      <c r="BE616" s="28"/>
      <c r="BF616" s="28"/>
      <c r="BG616" s="40"/>
      <c r="BJ616" s="42"/>
      <c r="BK616" s="28"/>
      <c r="BL616" s="40"/>
    </row>
    <row r="617" spans="1:65" ht="15" thickBot="1" x14ac:dyDescent="0.35">
      <c r="A617" s="29" t="s">
        <v>108</v>
      </c>
      <c r="B617" s="29">
        <v>0</v>
      </c>
      <c r="C617" s="7">
        <v>0</v>
      </c>
      <c r="D617" s="8"/>
      <c r="E617" s="8">
        <v>866</v>
      </c>
      <c r="F617" s="8"/>
      <c r="G617" s="50"/>
      <c r="H617" s="6" t="s">
        <v>104</v>
      </c>
      <c r="I617" s="31"/>
      <c r="J617" s="30"/>
      <c r="K617" s="28"/>
      <c r="L617" s="46"/>
      <c r="M617" s="47"/>
      <c r="N617" s="49"/>
      <c r="O617" s="48"/>
      <c r="P617" s="48"/>
      <c r="Q617" s="49"/>
      <c r="R617" s="72"/>
      <c r="S617" s="73"/>
      <c r="T617" s="48"/>
      <c r="U617" s="48"/>
      <c r="V617" s="49"/>
      <c r="W617" s="28"/>
      <c r="AA617" s="28"/>
      <c r="AB617" s="41"/>
      <c r="AE617" s="10">
        <v>0</v>
      </c>
      <c r="AF617" s="18">
        <v>0</v>
      </c>
      <c r="AG617" s="11">
        <v>0</v>
      </c>
      <c r="AH617" s="10"/>
      <c r="AI617" s="11"/>
      <c r="AJ617" s="47"/>
      <c r="AK617" s="72"/>
      <c r="AL617" s="74"/>
      <c r="AM617" s="49"/>
      <c r="AN617" s="28"/>
      <c r="AP617" s="10" t="s">
        <v>115</v>
      </c>
      <c r="AQ617" s="36">
        <v>51</v>
      </c>
      <c r="AR617" s="37">
        <v>28</v>
      </c>
      <c r="AS617" s="42"/>
      <c r="AT617" s="11"/>
      <c r="AU617" s="18"/>
      <c r="AV617" s="18"/>
      <c r="AW617" s="18"/>
      <c r="AX617" s="18"/>
      <c r="AY617" s="11"/>
      <c r="AZ617" s="28"/>
      <c r="BA617" s="28" t="s">
        <v>6</v>
      </c>
      <c r="BB617" s="67" t="s">
        <v>113</v>
      </c>
      <c r="BC617" s="42">
        <v>619</v>
      </c>
      <c r="BD617" s="40">
        <v>694</v>
      </c>
      <c r="BE617" s="28"/>
      <c r="BF617" s="28"/>
      <c r="BG617" s="40"/>
      <c r="BH617" s="28"/>
      <c r="BI617" s="28"/>
      <c r="BJ617" s="67">
        <v>51</v>
      </c>
      <c r="BK617" s="43" t="s">
        <v>73</v>
      </c>
      <c r="BL617" s="40"/>
    </row>
    <row r="618" spans="1:65" ht="15" thickBot="1" x14ac:dyDescent="0.35">
      <c r="A618" s="52" t="s">
        <v>109</v>
      </c>
      <c r="B618" s="36">
        <v>759</v>
      </c>
      <c r="C618" s="11">
        <v>752</v>
      </c>
      <c r="D618" s="45"/>
      <c r="E618" s="45">
        <v>0</v>
      </c>
      <c r="F618" s="45"/>
      <c r="G618" s="69"/>
      <c r="H618" s="45">
        <v>6</v>
      </c>
      <c r="I618" s="28" t="s">
        <v>114</v>
      </c>
      <c r="J618" s="40"/>
      <c r="K618" s="28"/>
      <c r="L618" s="50" t="s">
        <v>93</v>
      </c>
      <c r="M618" s="8">
        <v>0</v>
      </c>
      <c r="N618" s="8">
        <v>0</v>
      </c>
      <c r="O618" s="6"/>
      <c r="P618" s="8"/>
      <c r="Q618" s="7"/>
      <c r="R618" s="8"/>
      <c r="S618" s="8"/>
      <c r="T618" s="10" t="s">
        <v>116</v>
      </c>
      <c r="U618" s="8"/>
      <c r="V618" s="7"/>
      <c r="W618" s="28"/>
      <c r="AA618" s="28"/>
      <c r="AB618" s="32"/>
      <c r="AC618" s="6"/>
      <c r="AD618" s="7"/>
      <c r="AE618" s="8"/>
      <c r="AF618" s="8"/>
      <c r="AG618" s="8"/>
      <c r="AH618" s="6"/>
      <c r="AI618" s="7"/>
      <c r="AJ618" s="8"/>
      <c r="AK618" s="36"/>
      <c r="AL618" s="77" t="s">
        <v>117</v>
      </c>
      <c r="AM618" s="11"/>
      <c r="AN618" s="28"/>
      <c r="AP618" s="52" t="s">
        <v>72</v>
      </c>
      <c r="AQ618" s="52">
        <v>5</v>
      </c>
      <c r="AR618" s="54">
        <v>12</v>
      </c>
      <c r="AS618" s="42"/>
      <c r="AT618" s="40"/>
      <c r="AU618" s="28"/>
      <c r="AV618" s="28"/>
      <c r="AW618" s="28"/>
      <c r="AX618" s="28"/>
      <c r="AY618" s="40"/>
      <c r="AZ618" s="28"/>
      <c r="BA618" s="28"/>
      <c r="BB618" s="47" t="s">
        <v>84</v>
      </c>
      <c r="BC618" s="47">
        <f>SUM(BC615:BC617)</f>
        <v>622</v>
      </c>
      <c r="BD618" s="49">
        <f>SUM(BD615:BD617)</f>
        <v>712</v>
      </c>
      <c r="BE618" s="81">
        <v>0</v>
      </c>
      <c r="BF618" s="27">
        <v>0</v>
      </c>
      <c r="BG618" s="82">
        <f>+BG615</f>
        <v>18</v>
      </c>
      <c r="BH618" s="74">
        <v>0</v>
      </c>
      <c r="BI618" s="74">
        <v>0</v>
      </c>
      <c r="BJ618" s="47"/>
      <c r="BK618" s="51"/>
      <c r="BL618" s="49">
        <f>SUM(BJ617)</f>
        <v>51</v>
      </c>
    </row>
    <row r="619" spans="1:65" ht="15" thickBot="1" x14ac:dyDescent="0.35">
      <c r="A619" s="76" t="s">
        <v>84</v>
      </c>
      <c r="B619" s="42">
        <f>SUM(B617:B618)</f>
        <v>759</v>
      </c>
      <c r="C619" s="40">
        <f>SUM(C617:C618)</f>
        <v>752</v>
      </c>
      <c r="D619" s="28"/>
      <c r="E619" s="28">
        <f>SUM(E617:E618)</f>
        <v>866</v>
      </c>
      <c r="F619" s="28"/>
      <c r="G619" s="46">
        <f>355*6</f>
        <v>2130</v>
      </c>
      <c r="H619" s="48"/>
      <c r="I619" s="48"/>
      <c r="J619" s="49">
        <f>SUM(H618)</f>
        <v>6</v>
      </c>
      <c r="K619" s="28"/>
      <c r="L619" s="12" t="s">
        <v>99</v>
      </c>
      <c r="M619" s="37">
        <v>72706</v>
      </c>
      <c r="N619" s="37">
        <v>16084</v>
      </c>
      <c r="O619" s="10"/>
      <c r="P619" s="18"/>
      <c r="Q619" s="11"/>
      <c r="R619" s="18">
        <v>4905</v>
      </c>
      <c r="S619" s="18">
        <v>249</v>
      </c>
      <c r="T619" s="10"/>
      <c r="U619" s="18"/>
      <c r="V619" s="11"/>
      <c r="W619" s="28"/>
      <c r="AA619" s="28"/>
      <c r="AB619" s="68"/>
      <c r="AC619" s="42"/>
      <c r="AD619" s="40"/>
      <c r="AH619" s="42"/>
      <c r="AI619" s="40"/>
      <c r="AK619" s="42">
        <v>7</v>
      </c>
      <c r="AL619" s="54" t="s">
        <v>558</v>
      </c>
      <c r="AM619" s="40"/>
      <c r="AN619" s="28"/>
      <c r="AP619" s="36" t="s">
        <v>78</v>
      </c>
      <c r="AQ619" s="36">
        <v>54</v>
      </c>
      <c r="AR619" s="37">
        <v>63</v>
      </c>
      <c r="AS619" s="42"/>
      <c r="AT619" s="11"/>
      <c r="AU619" s="18"/>
      <c r="AV619" s="37"/>
      <c r="AW619" s="18"/>
      <c r="AX619" s="37"/>
      <c r="AY619" s="11"/>
      <c r="AZ619" s="28"/>
      <c r="BA619" s="28"/>
      <c r="BB619" s="52" t="s">
        <v>113</v>
      </c>
      <c r="BC619" s="42">
        <v>703</v>
      </c>
      <c r="BD619" s="85">
        <v>713</v>
      </c>
      <c r="BE619" s="37"/>
      <c r="BF619" s="18"/>
      <c r="BG619" s="54"/>
      <c r="BH619" s="52"/>
      <c r="BI619" s="40"/>
      <c r="BJ619" s="67"/>
      <c r="BK619" s="34" t="s">
        <v>130</v>
      </c>
      <c r="BL619" s="40"/>
    </row>
    <row r="620" spans="1:65" x14ac:dyDescent="0.3">
      <c r="A620" s="32" t="s">
        <v>93</v>
      </c>
      <c r="B620" s="33">
        <v>2650</v>
      </c>
      <c r="C620" s="35">
        <v>3448</v>
      </c>
      <c r="D620" s="33"/>
      <c r="E620" s="34"/>
      <c r="F620" s="34"/>
      <c r="G620" s="32">
        <f>160*31</f>
        <v>4960</v>
      </c>
      <c r="H620" s="33" t="s">
        <v>118</v>
      </c>
      <c r="I620" s="34"/>
      <c r="J620" s="35"/>
      <c r="K620" s="28"/>
      <c r="L620" s="12" t="s">
        <v>120</v>
      </c>
      <c r="M620" s="37">
        <v>13012</v>
      </c>
      <c r="N620" s="37">
        <v>68329</v>
      </c>
      <c r="O620" s="10"/>
      <c r="P620" s="18"/>
      <c r="Q620" s="11"/>
      <c r="R620" s="18">
        <v>1223</v>
      </c>
      <c r="S620" s="18">
        <v>0</v>
      </c>
      <c r="T620" s="10"/>
      <c r="U620" s="18"/>
      <c r="V620" s="11"/>
      <c r="W620" s="28"/>
      <c r="AA620" s="28"/>
      <c r="AB620" s="44"/>
      <c r="AC620" s="10"/>
      <c r="AD620" s="11"/>
      <c r="AE620" s="18"/>
      <c r="AF620" s="18"/>
      <c r="AG620" s="18"/>
      <c r="AH620" s="10"/>
      <c r="AI620" s="11"/>
      <c r="AJ620" s="18"/>
      <c r="AK620" s="10"/>
      <c r="AL620" s="37" t="s">
        <v>302</v>
      </c>
      <c r="AM620" s="11"/>
      <c r="AN620" s="28"/>
      <c r="AP620" s="10" t="s">
        <v>122</v>
      </c>
      <c r="AQ620" s="36">
        <v>74</v>
      </c>
      <c r="AR620" s="37">
        <v>65</v>
      </c>
      <c r="AS620" s="42"/>
      <c r="AT620" s="11"/>
      <c r="AU620" s="18"/>
      <c r="AV620" s="18">
        <v>33</v>
      </c>
      <c r="AW620" s="18" t="s">
        <v>123</v>
      </c>
      <c r="AX620" s="18"/>
      <c r="AY620" s="11"/>
      <c r="AZ620" s="28"/>
      <c r="BA620" s="28"/>
      <c r="BB620" s="42" t="s">
        <v>475</v>
      </c>
      <c r="BC620" s="67">
        <v>0</v>
      </c>
      <c r="BD620" s="85">
        <v>0</v>
      </c>
      <c r="BE620" s="28"/>
      <c r="BF620" s="18"/>
      <c r="BG620" s="28"/>
      <c r="BH620" s="52"/>
      <c r="BI620" s="86"/>
      <c r="BJ620" s="52">
        <v>53</v>
      </c>
      <c r="BK620" s="43" t="s">
        <v>73</v>
      </c>
      <c r="BL620" s="40"/>
      <c r="BM620" t="s">
        <v>6</v>
      </c>
    </row>
    <row r="621" spans="1:65" ht="15" thickBot="1" x14ac:dyDescent="0.35">
      <c r="A621" s="41" t="s">
        <v>120</v>
      </c>
      <c r="B621" s="42">
        <v>2933</v>
      </c>
      <c r="C621" s="40">
        <v>3099</v>
      </c>
      <c r="D621" s="42"/>
      <c r="E621" s="28" t="s">
        <v>60</v>
      </c>
      <c r="F621" s="28"/>
      <c r="G621" s="41">
        <f>160*31</f>
        <v>4960</v>
      </c>
      <c r="H621" s="42">
        <v>62</v>
      </c>
      <c r="I621" s="28" t="s">
        <v>101</v>
      </c>
      <c r="J621" s="40"/>
      <c r="K621" s="28"/>
      <c r="L621" s="12" t="s">
        <v>84</v>
      </c>
      <c r="M621" s="18">
        <f>SUM(M618:M620)</f>
        <v>85718</v>
      </c>
      <c r="N621" s="18">
        <f>SUM(N618:N620)</f>
        <v>84413</v>
      </c>
      <c r="O621" s="10">
        <v>0</v>
      </c>
      <c r="P621" s="18">
        <v>0</v>
      </c>
      <c r="Q621" s="11">
        <v>0</v>
      </c>
      <c r="R621" s="18">
        <f>SUM(R618:R620)</f>
        <v>6128</v>
      </c>
      <c r="S621" s="18">
        <f>SUM(S618:S620)</f>
        <v>249</v>
      </c>
      <c r="T621" s="10"/>
      <c r="U621" s="18"/>
      <c r="V621" s="11"/>
      <c r="W621" s="28"/>
      <c r="AA621" s="28"/>
      <c r="AB621" s="46"/>
      <c r="AC621" s="47"/>
      <c r="AD621" s="49"/>
      <c r="AE621" s="48"/>
      <c r="AF621" s="48"/>
      <c r="AG621" s="48"/>
      <c r="AH621" s="47"/>
      <c r="AI621" s="49"/>
      <c r="AJ621" s="48"/>
      <c r="AK621" s="47"/>
      <c r="AL621" s="48" t="s">
        <v>124</v>
      </c>
      <c r="AM621" s="49"/>
      <c r="AN621" s="28"/>
      <c r="AP621" s="10" t="s">
        <v>125</v>
      </c>
      <c r="AQ621" s="36">
        <v>4</v>
      </c>
      <c r="AR621" s="37">
        <v>6</v>
      </c>
      <c r="AS621" s="42"/>
      <c r="AT621" s="11"/>
      <c r="AU621" s="18"/>
      <c r="AV621" s="18">
        <v>35</v>
      </c>
      <c r="AW621" s="18" t="s">
        <v>126</v>
      </c>
      <c r="AX621" s="18"/>
      <c r="AY621" s="11"/>
      <c r="AZ621" s="28"/>
      <c r="BA621" s="28"/>
      <c r="BB621" s="59" t="s">
        <v>84</v>
      </c>
      <c r="BC621" s="13">
        <f>SUM(BC619:BC620)</f>
        <v>703</v>
      </c>
      <c r="BD621" s="60">
        <f>SUM(BD619:BD620)</f>
        <v>713</v>
      </c>
      <c r="BE621" s="81">
        <v>0</v>
      </c>
      <c r="BF621" s="27">
        <v>0</v>
      </c>
      <c r="BG621" s="27">
        <v>0</v>
      </c>
      <c r="BH621" s="13">
        <v>0</v>
      </c>
      <c r="BI621" s="26">
        <v>0</v>
      </c>
      <c r="BJ621" s="13"/>
      <c r="BK621" s="43"/>
      <c r="BL621" s="26">
        <f>SUM(BJ619:BJ620)</f>
        <v>53</v>
      </c>
    </row>
    <row r="622" spans="1:65" ht="15" thickBot="1" x14ac:dyDescent="0.35">
      <c r="A622" s="46" t="s">
        <v>84</v>
      </c>
      <c r="B622" s="47">
        <f>SUM(B620:B621)</f>
        <v>5583</v>
      </c>
      <c r="C622" s="49">
        <f>SUM(C620:C621)</f>
        <v>6547</v>
      </c>
      <c r="D622" s="47"/>
      <c r="E622" s="48"/>
      <c r="F622" s="48"/>
      <c r="G622" s="46">
        <f>SUM(G620:G621)</f>
        <v>9920</v>
      </c>
      <c r="H622" s="47"/>
      <c r="I622" s="48"/>
      <c r="J622" s="49">
        <f>SUM(H621:H622)</f>
        <v>62</v>
      </c>
      <c r="K622" s="28"/>
      <c r="L622" s="17"/>
      <c r="M622" s="27"/>
      <c r="N622" s="27"/>
      <c r="O622" s="13"/>
      <c r="P622" s="27"/>
      <c r="Q622" s="26"/>
      <c r="R622" s="27"/>
      <c r="S622" s="27"/>
      <c r="T622" s="13"/>
      <c r="U622" s="27"/>
      <c r="V622" s="26"/>
      <c r="W622" s="28"/>
      <c r="AA622" s="28"/>
      <c r="AB622" s="32"/>
      <c r="AE622" s="33"/>
      <c r="AF622" s="34"/>
      <c r="AG622" s="34"/>
      <c r="AH622" s="33"/>
      <c r="AI622" s="35"/>
      <c r="AJ622" s="32"/>
      <c r="AK622" s="83"/>
      <c r="AL622" s="34"/>
      <c r="AM622" s="35"/>
      <c r="AN622" s="28"/>
      <c r="AP622" s="84" t="s">
        <v>128</v>
      </c>
      <c r="AQ622" s="52">
        <v>0</v>
      </c>
      <c r="AR622" s="37">
        <v>0</v>
      </c>
      <c r="AS622" s="42"/>
      <c r="AT622" s="40"/>
      <c r="AU622" s="28"/>
      <c r="AV622" s="28">
        <v>37</v>
      </c>
      <c r="AW622" s="28" t="s">
        <v>129</v>
      </c>
      <c r="AX622" s="28"/>
      <c r="AY622" s="40"/>
      <c r="BA622" s="28"/>
      <c r="BB622" s="88" t="s">
        <v>139</v>
      </c>
      <c r="BC622" s="33">
        <v>13</v>
      </c>
      <c r="BD622" s="34">
        <v>13</v>
      </c>
      <c r="BE622" s="152"/>
      <c r="BF622" s="89"/>
      <c r="BG622" s="66"/>
      <c r="BH622" s="8"/>
      <c r="BI622" s="35"/>
      <c r="BJ622" s="34" t="s">
        <v>140</v>
      </c>
      <c r="BK622" s="34"/>
      <c r="BL622" s="35"/>
    </row>
    <row r="623" spans="1:65" ht="15" thickBot="1" x14ac:dyDescent="0.35">
      <c r="A623" s="41" t="s">
        <v>88</v>
      </c>
      <c r="B623" s="42">
        <v>327</v>
      </c>
      <c r="C623" s="40">
        <v>344</v>
      </c>
      <c r="D623" s="28"/>
      <c r="E623" s="45">
        <v>0</v>
      </c>
      <c r="F623" s="40"/>
      <c r="G623" s="40"/>
      <c r="H623" s="28" t="s">
        <v>131</v>
      </c>
      <c r="J623" s="40"/>
      <c r="K623" s="28"/>
      <c r="L623" s="12" t="s">
        <v>105</v>
      </c>
      <c r="M623" s="34">
        <v>2039</v>
      </c>
      <c r="N623" s="34">
        <v>8550</v>
      </c>
      <c r="O623" s="33" t="s">
        <v>6</v>
      </c>
      <c r="P623" s="34"/>
      <c r="Q623" s="35"/>
      <c r="R623" s="34">
        <v>0</v>
      </c>
      <c r="S623" s="34">
        <v>0</v>
      </c>
      <c r="T623" s="33"/>
      <c r="U623" s="34"/>
      <c r="V623" s="35"/>
      <c r="W623" s="28"/>
      <c r="AA623" s="28"/>
      <c r="AB623" s="46"/>
      <c r="AE623" s="47"/>
      <c r="AF623" s="48"/>
      <c r="AG623" s="48"/>
      <c r="AH623" s="47"/>
      <c r="AI623" s="49"/>
      <c r="AJ623" s="46"/>
      <c r="AK623" s="48"/>
      <c r="AL623" s="48"/>
      <c r="AM623" s="49"/>
      <c r="AN623" s="28"/>
      <c r="AP623" s="84" t="s">
        <v>132</v>
      </c>
      <c r="AQ623" s="42">
        <v>0</v>
      </c>
      <c r="AR623" s="37">
        <v>0</v>
      </c>
      <c r="AS623" s="42"/>
      <c r="AT623" s="40"/>
      <c r="AU623" s="28"/>
      <c r="AV623" s="28"/>
      <c r="AW623" s="28"/>
      <c r="AX623" s="28"/>
      <c r="AY623" s="40"/>
      <c r="AZ623" s="28"/>
      <c r="BA623" s="28"/>
      <c r="BB623" s="42" t="s">
        <v>158</v>
      </c>
      <c r="BC623" s="42">
        <f>12+15</f>
        <v>27</v>
      </c>
      <c r="BD623" s="28">
        <v>15</v>
      </c>
      <c r="BE623" s="42"/>
      <c r="BF623" s="28"/>
      <c r="BG623" s="40"/>
      <c r="BH623" s="28"/>
      <c r="BI623" s="40"/>
      <c r="BJ623" s="28"/>
      <c r="BK623" s="28"/>
      <c r="BL623" s="40"/>
    </row>
    <row r="624" spans="1:65" x14ac:dyDescent="0.3">
      <c r="A624" s="41" t="s">
        <v>102</v>
      </c>
      <c r="B624" s="42">
        <v>418</v>
      </c>
      <c r="C624" s="85">
        <v>613</v>
      </c>
      <c r="D624" s="28"/>
      <c r="E624" s="45">
        <v>0</v>
      </c>
      <c r="F624" s="40"/>
      <c r="G624" s="40">
        <f>9*150</f>
        <v>1350</v>
      </c>
      <c r="H624" s="43">
        <v>9</v>
      </c>
      <c r="I624" s="28" t="s">
        <v>134</v>
      </c>
      <c r="J624" s="40"/>
      <c r="K624" s="28"/>
      <c r="L624" s="44" t="s">
        <v>99</v>
      </c>
      <c r="M624" s="18">
        <v>13</v>
      </c>
      <c r="N624" s="18">
        <v>0</v>
      </c>
      <c r="O624" s="10"/>
      <c r="P624" s="18"/>
      <c r="Q624" s="11"/>
      <c r="R624" s="18">
        <v>0</v>
      </c>
      <c r="S624" s="18">
        <v>0</v>
      </c>
      <c r="T624" s="10" t="s">
        <v>135</v>
      </c>
      <c r="U624" s="18"/>
      <c r="V624" s="11"/>
      <c r="W624" s="28"/>
      <c r="AA624" s="28"/>
      <c r="AB624" s="32" t="s">
        <v>89</v>
      </c>
      <c r="AC624" s="33">
        <v>352</v>
      </c>
      <c r="AD624" s="34">
        <v>322</v>
      </c>
      <c r="AE624" s="33"/>
      <c r="AF624" s="34"/>
      <c r="AG624" s="34"/>
      <c r="AH624" s="33"/>
      <c r="AI624" s="35"/>
      <c r="AJ624" s="35"/>
      <c r="AK624" s="34" t="s">
        <v>136</v>
      </c>
      <c r="AL624" s="34"/>
      <c r="AM624" s="35"/>
      <c r="AN624" s="28"/>
      <c r="AP624" s="84" t="s">
        <v>81</v>
      </c>
      <c r="AQ624" s="42">
        <v>4</v>
      </c>
      <c r="AR624" s="37">
        <v>5</v>
      </c>
      <c r="AS624" s="42"/>
      <c r="AT624" s="40"/>
      <c r="AU624" s="28"/>
      <c r="AV624" s="28"/>
      <c r="AW624" s="28"/>
      <c r="AX624" s="28"/>
      <c r="AY624" s="40"/>
      <c r="AZ624" s="28"/>
      <c r="BA624" s="28"/>
      <c r="BB624" s="153" t="s">
        <v>559</v>
      </c>
      <c r="BC624" s="42">
        <v>1</v>
      </c>
      <c r="BD624" s="28">
        <v>4</v>
      </c>
      <c r="BE624" s="42"/>
      <c r="BF624" s="28"/>
      <c r="BG624" s="40"/>
      <c r="BH624" s="28"/>
      <c r="BI624" s="40"/>
      <c r="BJ624" s="28"/>
      <c r="BK624" s="28"/>
      <c r="BL624" s="40"/>
    </row>
    <row r="625" spans="1:64" ht="15" thickBot="1" x14ac:dyDescent="0.35">
      <c r="A625" s="87" t="s">
        <v>84</v>
      </c>
      <c r="B625" s="59">
        <f>SUM(B623:B624)</f>
        <v>745</v>
      </c>
      <c r="C625" s="26">
        <f>SUM(C623:C624)</f>
        <v>957</v>
      </c>
      <c r="D625" s="27"/>
      <c r="E625" s="16">
        <f>SUM(E621:E624)</f>
        <v>0</v>
      </c>
      <c r="F625" s="26"/>
      <c r="G625" s="49"/>
      <c r="H625" s="48"/>
      <c r="I625" s="48"/>
      <c r="J625" s="49">
        <f>SUM(H623:H624)</f>
        <v>9</v>
      </c>
      <c r="K625" s="28"/>
      <c r="L625" s="12"/>
      <c r="M625" s="18"/>
      <c r="N625" s="18"/>
      <c r="O625" s="10"/>
      <c r="P625" s="18"/>
      <c r="Q625" s="11"/>
      <c r="R625" s="18"/>
      <c r="S625" s="18"/>
      <c r="T625" s="10"/>
      <c r="U625" s="18"/>
      <c r="V625" s="11"/>
      <c r="W625" s="28"/>
      <c r="AA625" s="28"/>
      <c r="AB625" s="44" t="s">
        <v>137</v>
      </c>
      <c r="AC625" s="10">
        <v>200</v>
      </c>
      <c r="AD625" s="18">
        <v>171</v>
      </c>
      <c r="AE625" s="10"/>
      <c r="AF625" s="18"/>
      <c r="AG625" s="18"/>
      <c r="AH625" s="52"/>
      <c r="AI625" s="85"/>
      <c r="AJ625" s="40"/>
      <c r="AK625" s="45"/>
      <c r="AL625" s="37"/>
      <c r="AM625" s="40"/>
      <c r="AN625" s="28"/>
      <c r="AP625" s="10" t="s">
        <v>138</v>
      </c>
      <c r="AQ625" s="36">
        <v>9</v>
      </c>
      <c r="AR625" s="37">
        <v>9</v>
      </c>
      <c r="AS625" s="42"/>
      <c r="AT625" s="11"/>
      <c r="AU625" s="18"/>
      <c r="AV625" s="18"/>
      <c r="AW625" s="18"/>
      <c r="AX625" s="18"/>
      <c r="AY625" s="11"/>
      <c r="AZ625" s="28"/>
      <c r="BA625" s="28"/>
      <c r="BB625" s="92" t="s">
        <v>113</v>
      </c>
      <c r="BC625" s="67">
        <f>92+16+10+6+9+4</f>
        <v>137</v>
      </c>
      <c r="BD625" s="43">
        <f>16+81+10+4+9</f>
        <v>120</v>
      </c>
      <c r="BE625" s="52"/>
      <c r="BF625" s="54"/>
      <c r="BG625" s="85"/>
      <c r="BH625" s="18"/>
      <c r="BI625" s="40"/>
      <c r="BJ625" s="18" t="s">
        <v>142</v>
      </c>
      <c r="BK625" s="18"/>
      <c r="BL625" s="39" t="s">
        <v>438</v>
      </c>
    </row>
    <row r="626" spans="1:64" x14ac:dyDescent="0.3">
      <c r="A626" s="36" t="s">
        <v>93</v>
      </c>
      <c r="B626" s="42">
        <v>7503</v>
      </c>
      <c r="C626" s="90">
        <v>8336</v>
      </c>
      <c r="D626" s="3"/>
      <c r="E626" s="91" t="s">
        <v>60</v>
      </c>
      <c r="F626" s="18"/>
      <c r="G626" s="44">
        <v>10072</v>
      </c>
      <c r="H626" s="10" t="s">
        <v>116</v>
      </c>
      <c r="I626" s="18"/>
      <c r="J626" s="11"/>
      <c r="K626" s="28"/>
      <c r="L626" s="12" t="s">
        <v>84</v>
      </c>
      <c r="M626" s="18">
        <f>SUM(M623:M625)</f>
        <v>2052</v>
      </c>
      <c r="N626" s="18">
        <f>SUM(N623:N625)</f>
        <v>8550</v>
      </c>
      <c r="O626" s="10">
        <v>0</v>
      </c>
      <c r="P626" s="18">
        <v>0</v>
      </c>
      <c r="Q626" s="11">
        <v>0</v>
      </c>
      <c r="R626" s="18">
        <f>SUM(R623:R625)</f>
        <v>0</v>
      </c>
      <c r="S626" s="18">
        <f>SUM(S623:S625)</f>
        <v>0</v>
      </c>
      <c r="T626" s="10"/>
      <c r="U626" s="18"/>
      <c r="V626" s="11"/>
      <c r="W626" s="28"/>
      <c r="AA626" s="28"/>
      <c r="AB626" s="41" t="s">
        <v>84</v>
      </c>
      <c r="AC626" s="42">
        <f>SUM(AC624:AC625)</f>
        <v>552</v>
      </c>
      <c r="AD626" s="28">
        <f>SUM(AD624:AD625)</f>
        <v>493</v>
      </c>
      <c r="AE626" s="42">
        <v>0</v>
      </c>
      <c r="AF626" s="28">
        <v>0</v>
      </c>
      <c r="AG626" s="28">
        <v>0</v>
      </c>
      <c r="AH626" s="42">
        <v>0</v>
      </c>
      <c r="AI626" s="40">
        <v>0</v>
      </c>
      <c r="AJ626" s="40">
        <v>0</v>
      </c>
      <c r="AK626" s="43">
        <v>7</v>
      </c>
      <c r="AL626" s="28" t="s">
        <v>141</v>
      </c>
      <c r="AM626" s="40"/>
      <c r="AN626" s="28"/>
      <c r="AP626" s="84" t="s">
        <v>56</v>
      </c>
      <c r="AQ626" s="42">
        <v>0</v>
      </c>
      <c r="AR626" s="54">
        <v>6</v>
      </c>
      <c r="AS626" s="42"/>
      <c r="AT626" s="40"/>
      <c r="AU626" s="28"/>
      <c r="AV626" s="28"/>
      <c r="AW626" s="28"/>
      <c r="AX626" s="28"/>
      <c r="AY626" s="40"/>
      <c r="AZ626" s="28"/>
      <c r="BA626" s="28"/>
      <c r="BB626" s="92" t="s">
        <v>384</v>
      </c>
      <c r="BC626" s="67">
        <v>7</v>
      </c>
      <c r="BD626" s="43">
        <v>0</v>
      </c>
      <c r="BE626" s="52"/>
      <c r="BF626" s="54"/>
      <c r="BG626" s="85"/>
      <c r="BH626" s="18"/>
      <c r="BI626" s="40"/>
      <c r="BJ626" s="154" t="s">
        <v>146</v>
      </c>
      <c r="BK626" s="28"/>
      <c r="BL626" s="94" t="s">
        <v>560</v>
      </c>
    </row>
    <row r="627" spans="1:64" ht="15" thickBot="1" x14ac:dyDescent="0.35">
      <c r="A627" s="10" t="s">
        <v>99</v>
      </c>
      <c r="B627" s="42">
        <v>10733</v>
      </c>
      <c r="C627" s="40">
        <v>11433</v>
      </c>
      <c r="D627" s="3"/>
      <c r="E627" s="91" t="s">
        <v>60</v>
      </c>
      <c r="F627" s="18"/>
      <c r="G627" s="12">
        <v>13008</v>
      </c>
      <c r="H627" s="10">
        <v>62</v>
      </c>
      <c r="I627" s="37" t="s">
        <v>144</v>
      </c>
      <c r="J627" s="11"/>
      <c r="K627" s="28"/>
      <c r="L627" s="12"/>
      <c r="M627" s="18"/>
      <c r="N627" s="18"/>
      <c r="O627" s="10"/>
      <c r="P627" s="18"/>
      <c r="Q627" s="11"/>
      <c r="R627" s="18"/>
      <c r="S627" s="18"/>
      <c r="T627" s="10"/>
      <c r="U627" s="18"/>
      <c r="V627" s="11"/>
      <c r="W627" s="28"/>
      <c r="AA627" s="28"/>
      <c r="AB627" s="46"/>
      <c r="AC627" s="47"/>
      <c r="AD627" s="48"/>
      <c r="AE627" s="47"/>
      <c r="AF627" s="48"/>
      <c r="AG627" s="48"/>
      <c r="AH627" s="47"/>
      <c r="AI627" s="49"/>
      <c r="AJ627" s="49"/>
      <c r="AK627" s="48">
        <v>6</v>
      </c>
      <c r="AL627" s="48" t="s">
        <v>145</v>
      </c>
      <c r="AM627" s="49"/>
      <c r="AN627" s="28"/>
      <c r="AP627" s="36" t="s">
        <v>67</v>
      </c>
      <c r="AQ627" s="10">
        <v>31</v>
      </c>
      <c r="AR627" s="18">
        <v>51</v>
      </c>
      <c r="AS627" s="42"/>
      <c r="AT627" s="11"/>
      <c r="AU627" s="18"/>
      <c r="AV627" s="18"/>
      <c r="AW627" s="18"/>
      <c r="AX627" s="18"/>
      <c r="AY627" s="11"/>
      <c r="AZ627" s="28"/>
      <c r="BA627" s="28" t="s">
        <v>6</v>
      </c>
      <c r="BB627" s="127" t="s">
        <v>200</v>
      </c>
      <c r="BC627" s="67">
        <v>3</v>
      </c>
      <c r="BD627" s="43">
        <v>0</v>
      </c>
      <c r="BE627" s="42"/>
      <c r="BF627" s="28"/>
      <c r="BG627" s="40"/>
      <c r="BH627" s="28"/>
      <c r="BI627" s="40"/>
      <c r="BJ627" s="28"/>
      <c r="BK627" s="28"/>
      <c r="BL627" s="40"/>
    </row>
    <row r="628" spans="1:64" ht="15" thickBot="1" x14ac:dyDescent="0.35">
      <c r="A628" s="10" t="s">
        <v>120</v>
      </c>
      <c r="B628" s="42">
        <v>5449</v>
      </c>
      <c r="C628" s="40">
        <v>5280</v>
      </c>
      <c r="D628" s="3"/>
      <c r="E628" s="91" t="s">
        <v>60</v>
      </c>
      <c r="F628" s="18"/>
      <c r="G628" s="12">
        <v>6940</v>
      </c>
      <c r="H628" s="84">
        <v>60</v>
      </c>
      <c r="I628" s="37" t="s">
        <v>148</v>
      </c>
      <c r="J628" s="11"/>
      <c r="K628" s="28"/>
      <c r="L628" s="12"/>
      <c r="M628" s="18"/>
      <c r="N628" s="18"/>
      <c r="O628" s="10"/>
      <c r="P628" s="18"/>
      <c r="Q628" s="11"/>
      <c r="R628" s="18"/>
      <c r="S628" s="18"/>
      <c r="T628" s="10"/>
      <c r="U628" s="18"/>
      <c r="V628" s="11"/>
      <c r="W628" s="28"/>
      <c r="AA628" s="28"/>
      <c r="AB628" s="42"/>
      <c r="AC628" s="42"/>
      <c r="AD628" s="40"/>
      <c r="AE628" s="28"/>
      <c r="AF628" s="28"/>
      <c r="AG628" s="28"/>
      <c r="AH628" s="42"/>
      <c r="AI628" s="28"/>
      <c r="AJ628" s="41"/>
      <c r="AK628" s="28" t="s">
        <v>149</v>
      </c>
      <c r="AL628" s="28"/>
      <c r="AM628" s="40"/>
      <c r="AN628" s="28" t="s">
        <v>6</v>
      </c>
      <c r="AO628" s="95"/>
      <c r="AP628" s="13" t="s">
        <v>84</v>
      </c>
      <c r="AQ628" s="13">
        <f>SUM(AQ616:AQ627)</f>
        <v>296</v>
      </c>
      <c r="AR628" s="27">
        <f>SUM(AR616:AR627)</f>
        <v>317</v>
      </c>
      <c r="AS628" s="47"/>
      <c r="AT628" s="26">
        <f>SUM(AT620:AT627)</f>
        <v>0</v>
      </c>
      <c r="AU628" s="27"/>
      <c r="AV628" s="27"/>
      <c r="AW628" s="27"/>
      <c r="AX628" s="27"/>
      <c r="AY628" s="26">
        <f>SUM(AV620:AV622)</f>
        <v>105</v>
      </c>
      <c r="AZ628" s="28"/>
      <c r="BA628" s="28"/>
      <c r="BB628" s="52" t="s">
        <v>133</v>
      </c>
      <c r="BC628" s="67">
        <v>5</v>
      </c>
      <c r="BD628" s="43">
        <v>7</v>
      </c>
      <c r="BE628" s="52" t="s">
        <v>150</v>
      </c>
      <c r="BF628" s="54"/>
      <c r="BG628" s="85"/>
      <c r="BH628" s="18"/>
      <c r="BI628" s="40"/>
      <c r="BJ628" s="28" t="s">
        <v>151</v>
      </c>
      <c r="BK628" s="28"/>
      <c r="BL628" s="96"/>
    </row>
    <row r="629" spans="1:64" ht="15" thickBot="1" x14ac:dyDescent="0.35">
      <c r="A629" s="10" t="s">
        <v>84</v>
      </c>
      <c r="B629" s="42">
        <f>SUM(B626:B628)</f>
        <v>23685</v>
      </c>
      <c r="C629" s="40">
        <f>SUM(C626:C628)</f>
        <v>25049</v>
      </c>
      <c r="D629" s="3"/>
      <c r="E629" s="91" t="s">
        <v>60</v>
      </c>
      <c r="F629" s="18"/>
      <c r="G629" s="12">
        <f>SUM(G626:G628)</f>
        <v>30020</v>
      </c>
      <c r="H629" s="42">
        <v>34</v>
      </c>
      <c r="I629" s="54" t="s">
        <v>152</v>
      </c>
      <c r="J629" s="40"/>
      <c r="K629" s="28"/>
      <c r="L629" s="44"/>
      <c r="M629" s="18"/>
      <c r="N629" s="18"/>
      <c r="O629" s="10"/>
      <c r="P629" s="18"/>
      <c r="Q629" s="11"/>
      <c r="R629" s="18"/>
      <c r="S629" s="18"/>
      <c r="T629" s="10"/>
      <c r="U629" s="18"/>
      <c r="V629" s="11"/>
      <c r="W629" s="28"/>
      <c r="Y629" t="s">
        <v>6</v>
      </c>
      <c r="AB629" s="36" t="s">
        <v>99</v>
      </c>
      <c r="AC629" s="10">
        <v>0</v>
      </c>
      <c r="AD629" s="11">
        <v>0</v>
      </c>
      <c r="AE629" s="18">
        <v>0</v>
      </c>
      <c r="AF629" s="18">
        <v>0</v>
      </c>
      <c r="AG629" s="18">
        <v>0</v>
      </c>
      <c r="AH629" s="52">
        <v>60356</v>
      </c>
      <c r="AI629" s="45">
        <v>5219</v>
      </c>
      <c r="AJ629" s="41">
        <v>0</v>
      </c>
      <c r="AK629" s="45">
        <v>4</v>
      </c>
      <c r="AL629" s="37" t="s">
        <v>153</v>
      </c>
      <c r="AM629" s="40"/>
      <c r="AP629" s="32"/>
      <c r="AQ629" s="53"/>
      <c r="AR629" s="97"/>
      <c r="AS629" s="33"/>
      <c r="AT629" s="7"/>
      <c r="AU629" s="6"/>
      <c r="AV629" s="8"/>
      <c r="AW629" s="31"/>
      <c r="AX629" s="8"/>
      <c r="AY629" s="7"/>
      <c r="AZ629" s="28"/>
      <c r="BA629" s="28"/>
      <c r="BB629" s="52" t="s">
        <v>85</v>
      </c>
      <c r="BC629" s="42">
        <f>8+12</f>
        <v>20</v>
      </c>
      <c r="BD629" s="43">
        <v>7</v>
      </c>
      <c r="BE629" s="42"/>
      <c r="BF629" s="54"/>
      <c r="BG629" s="40"/>
      <c r="BH629" s="45"/>
      <c r="BI629" s="56"/>
      <c r="BJ629" s="43" t="s">
        <v>561</v>
      </c>
      <c r="BK629" s="28" t="s">
        <v>562</v>
      </c>
      <c r="BL629" s="40" t="s">
        <v>563</v>
      </c>
    </row>
    <row r="630" spans="1:64" ht="16.2" thickBot="1" x14ac:dyDescent="0.35">
      <c r="A630" s="13"/>
      <c r="B630" s="47"/>
      <c r="C630" s="49"/>
      <c r="D630" s="27"/>
      <c r="E630" s="27"/>
      <c r="F630" s="27"/>
      <c r="G630" s="17"/>
      <c r="H630" s="47"/>
      <c r="I630" s="27"/>
      <c r="J630" s="60">
        <f>SUM(H627:H629)</f>
        <v>156</v>
      </c>
      <c r="K630" s="28"/>
      <c r="L630" s="12"/>
      <c r="M630" s="18"/>
      <c r="N630" s="18"/>
      <c r="O630" s="10"/>
      <c r="P630" s="18"/>
      <c r="Q630" s="11"/>
      <c r="R630" s="18"/>
      <c r="S630" s="18"/>
      <c r="T630" s="10"/>
      <c r="U630" s="18"/>
      <c r="V630" s="11"/>
      <c r="W630" s="28"/>
      <c r="AB630" s="32"/>
      <c r="AC630" s="6"/>
      <c r="AD630" s="7"/>
      <c r="AE630" s="8"/>
      <c r="AF630" s="8"/>
      <c r="AG630" s="8"/>
      <c r="AH630" s="6"/>
      <c r="AI630" s="7"/>
      <c r="AJ630" s="8"/>
      <c r="AK630" s="29" t="s">
        <v>157</v>
      </c>
      <c r="AL630" s="8"/>
      <c r="AM630" s="7"/>
      <c r="AP630" s="62"/>
      <c r="AQ630" s="72"/>
      <c r="AR630" s="73"/>
      <c r="AS630" s="47"/>
      <c r="AT630" s="49"/>
      <c r="AU630" s="47"/>
      <c r="AV630" s="48"/>
      <c r="AW630" s="48"/>
      <c r="AX630" s="48"/>
      <c r="AY630" s="49"/>
      <c r="AZ630" s="28"/>
      <c r="BA630" s="28"/>
      <c r="BB630" s="151" t="s">
        <v>564</v>
      </c>
      <c r="BC630" s="36">
        <v>16</v>
      </c>
      <c r="BD630" s="37">
        <v>5</v>
      </c>
      <c r="BE630" s="10"/>
      <c r="BF630" s="18"/>
      <c r="BG630" s="11"/>
      <c r="BH630" s="18"/>
      <c r="BI630" s="11"/>
      <c r="BJ630" s="155" t="s">
        <v>382</v>
      </c>
      <c r="BK630" s="28" t="s">
        <v>325</v>
      </c>
      <c r="BL630" s="99" t="s">
        <v>415</v>
      </c>
    </row>
    <row r="631" spans="1:64" ht="16.2" thickBot="1" x14ac:dyDescent="0.35">
      <c r="A631" s="6" t="s">
        <v>105</v>
      </c>
      <c r="B631" s="6">
        <v>1421</v>
      </c>
      <c r="C631" s="7">
        <v>1222</v>
      </c>
      <c r="D631" s="8"/>
      <c r="E631" s="80">
        <v>819</v>
      </c>
      <c r="F631" s="66"/>
      <c r="G631" s="8"/>
      <c r="H631" s="6" t="s">
        <v>162</v>
      </c>
      <c r="I631" s="8"/>
      <c r="J631" s="7"/>
      <c r="K631" s="28"/>
      <c r="L631" s="17"/>
      <c r="M631" s="27"/>
      <c r="N631" s="27"/>
      <c r="O631" s="13"/>
      <c r="P631" s="27"/>
      <c r="Q631" s="26"/>
      <c r="R631" s="27"/>
      <c r="S631" s="27"/>
      <c r="T631" s="13"/>
      <c r="U631" s="27"/>
      <c r="V631" s="26"/>
      <c r="W631" s="28"/>
      <c r="AB631" s="68" t="s">
        <v>99</v>
      </c>
      <c r="AC631" s="42">
        <v>0</v>
      </c>
      <c r="AD631" s="40">
        <v>0</v>
      </c>
      <c r="AE631">
        <v>0</v>
      </c>
      <c r="AF631">
        <v>0</v>
      </c>
      <c r="AG631">
        <v>0</v>
      </c>
      <c r="AH631" s="42">
        <v>255126</v>
      </c>
      <c r="AI631" s="40">
        <v>90613</v>
      </c>
      <c r="AJ631" s="43">
        <v>0</v>
      </c>
      <c r="AK631" s="42">
        <v>4</v>
      </c>
      <c r="AL631" s="54" t="s">
        <v>163</v>
      </c>
      <c r="AM631" s="40"/>
      <c r="AP631" s="67" t="s">
        <v>63</v>
      </c>
      <c r="AQ631" s="33">
        <v>0</v>
      </c>
      <c r="AR631" s="35">
        <v>0</v>
      </c>
      <c r="AU631" s="33"/>
      <c r="AV631" s="34"/>
      <c r="AW631" s="34"/>
      <c r="AX631" s="34"/>
      <c r="AY631" s="35"/>
      <c r="AZ631" s="28"/>
      <c r="BA631" s="28"/>
      <c r="BB631" s="92" t="s">
        <v>174</v>
      </c>
      <c r="BC631" s="42">
        <v>31</v>
      </c>
      <c r="BD631" s="28">
        <v>0</v>
      </c>
      <c r="BE631" s="10"/>
      <c r="BF631" s="18"/>
      <c r="BG631" s="11"/>
      <c r="BH631" s="18"/>
      <c r="BI631" s="11"/>
      <c r="BJ631" s="154" t="s">
        <v>565</v>
      </c>
      <c r="BK631" s="100" t="s">
        <v>566</v>
      </c>
      <c r="BL631" s="39" t="s">
        <v>567</v>
      </c>
    </row>
    <row r="632" spans="1:64" ht="15" thickBot="1" x14ac:dyDescent="0.35">
      <c r="A632" s="36" t="s">
        <v>99</v>
      </c>
      <c r="B632" s="10">
        <v>993</v>
      </c>
      <c r="C632" s="11">
        <v>1284</v>
      </c>
      <c r="D632" s="18"/>
      <c r="E632" s="18">
        <v>1313</v>
      </c>
      <c r="F632" s="85"/>
      <c r="G632" s="18"/>
      <c r="H632" s="42"/>
      <c r="I632" s="54"/>
      <c r="J632" s="11"/>
      <c r="L632" s="101" t="s">
        <v>84</v>
      </c>
      <c r="M632" s="102">
        <f>SUM(M626+M621+M616+M614+M610+M605)</f>
        <v>100784</v>
      </c>
      <c r="N632" s="102">
        <f>SUM(N626+N621+N616+N614+N610+N605)</f>
        <v>109743</v>
      </c>
      <c r="O632" s="103">
        <v>0</v>
      </c>
      <c r="P632" s="102">
        <v>0</v>
      </c>
      <c r="Q632" s="104">
        <v>0</v>
      </c>
      <c r="R632" s="102">
        <f>SUM(R626+R621+R616+R614+R605+R610)</f>
        <v>6180</v>
      </c>
      <c r="S632" s="102">
        <f>SUM(S626+S621+S614+S610+S605)</f>
        <v>249</v>
      </c>
      <c r="T632" s="105"/>
      <c r="U632" s="102"/>
      <c r="V632" s="106"/>
      <c r="AB632" s="44" t="s">
        <v>6</v>
      </c>
      <c r="AC632" s="10"/>
      <c r="AD632" s="11"/>
      <c r="AE632" s="18"/>
      <c r="AF632" s="18"/>
      <c r="AG632" s="18"/>
      <c r="AH632" s="10"/>
      <c r="AI632" s="11"/>
      <c r="AJ632" s="18"/>
      <c r="AK632" s="10">
        <v>14</v>
      </c>
      <c r="AL632" s="37" t="s">
        <v>153</v>
      </c>
      <c r="AM632" s="11"/>
      <c r="AP632" s="67" t="s">
        <v>536</v>
      </c>
      <c r="AQ632" s="42">
        <v>0</v>
      </c>
      <c r="AR632" s="40">
        <v>0</v>
      </c>
      <c r="AU632" s="42"/>
      <c r="AV632" s="28"/>
      <c r="AW632" s="28"/>
      <c r="AX632" s="28"/>
      <c r="AY632" s="40"/>
      <c r="AZ632" s="28"/>
      <c r="BA632" s="28"/>
      <c r="BB632" s="36" t="s">
        <v>169</v>
      </c>
      <c r="BC632" s="36">
        <v>9</v>
      </c>
      <c r="BD632" s="37">
        <v>9</v>
      </c>
      <c r="BE632" s="10"/>
      <c r="BF632" s="18"/>
      <c r="BG632" s="11"/>
      <c r="BH632" s="18"/>
      <c r="BI632" s="11"/>
      <c r="BJ632" s="155" t="s">
        <v>154</v>
      </c>
      <c r="BK632" s="37" t="s">
        <v>568</v>
      </c>
      <c r="BL632" s="39" t="s">
        <v>569</v>
      </c>
    </row>
    <row r="633" spans="1:64" ht="15" thickBot="1" x14ac:dyDescent="0.35">
      <c r="A633" s="10"/>
      <c r="B633" s="10"/>
      <c r="C633" s="39"/>
      <c r="D633" s="18"/>
      <c r="E633" s="18"/>
      <c r="F633" s="85"/>
      <c r="G633" s="18"/>
      <c r="H633" s="42">
        <v>49</v>
      </c>
      <c r="I633" s="37" t="s">
        <v>101</v>
      </c>
      <c r="J633" s="11"/>
      <c r="AB633" s="46" t="s">
        <v>6</v>
      </c>
      <c r="AC633" s="47"/>
      <c r="AD633" s="49"/>
      <c r="AE633" s="48"/>
      <c r="AF633" s="48"/>
      <c r="AG633" s="48"/>
      <c r="AH633" s="47"/>
      <c r="AI633" s="49"/>
      <c r="AJ633" s="48"/>
      <c r="AK633" s="47"/>
      <c r="AL633" s="48"/>
      <c r="AM633" s="49"/>
      <c r="AP633" s="52" t="s">
        <v>56</v>
      </c>
      <c r="AQ633" s="52">
        <v>0</v>
      </c>
      <c r="AR633" s="85">
        <v>0</v>
      </c>
      <c r="AS633" s="28"/>
      <c r="AT633" s="28"/>
      <c r="AU633" s="42"/>
      <c r="AV633" s="28" t="s">
        <v>173</v>
      </c>
      <c r="AW633" s="28"/>
      <c r="AX633" s="28"/>
      <c r="AY633" s="40"/>
      <c r="AZ633" s="28"/>
      <c r="BA633" s="28"/>
      <c r="BB633" s="36" t="s">
        <v>99</v>
      </c>
      <c r="BC633" s="36">
        <v>0</v>
      </c>
      <c r="BD633" s="37">
        <v>9</v>
      </c>
      <c r="BE633" s="10"/>
      <c r="BF633" s="18"/>
      <c r="BG633" s="11"/>
      <c r="BH633" s="18"/>
      <c r="BI633" s="11"/>
      <c r="BJ633" s="156" t="s">
        <v>305</v>
      </c>
      <c r="BK633" s="157" t="s">
        <v>517</v>
      </c>
      <c r="BL633" s="94" t="s">
        <v>570</v>
      </c>
    </row>
    <row r="634" spans="1:64" ht="15" thickBot="1" x14ac:dyDescent="0.35">
      <c r="A634" s="13" t="s">
        <v>84</v>
      </c>
      <c r="B634" s="13">
        <f>SUM(B631:B633)</f>
        <v>2414</v>
      </c>
      <c r="C634" s="26">
        <f>SUM(C631:C633)</f>
        <v>2506</v>
      </c>
      <c r="D634" s="27"/>
      <c r="E634" s="27">
        <f>SUM(E631:E633)</f>
        <v>2132</v>
      </c>
      <c r="F634" s="26"/>
      <c r="G634" s="27">
        <f>49*158</f>
        <v>7742</v>
      </c>
      <c r="H634" s="13"/>
      <c r="I634" s="81"/>
      <c r="J634" s="26">
        <f>SUM(H632:H633)</f>
        <v>49</v>
      </c>
      <c r="L634" t="s">
        <v>6</v>
      </c>
      <c r="M634" s="115"/>
      <c r="AB634" s="6"/>
      <c r="AC634" s="6"/>
      <c r="AD634" s="7"/>
      <c r="AE634" s="8"/>
      <c r="AF634" s="8"/>
      <c r="AG634" s="8"/>
      <c r="AH634" s="6"/>
      <c r="AI634" s="7"/>
      <c r="AJ634" s="8"/>
      <c r="AK634" s="29"/>
      <c r="AL634" s="8"/>
      <c r="AM634" s="7"/>
      <c r="AN634" s="45"/>
      <c r="AP634" s="52" t="s">
        <v>67</v>
      </c>
      <c r="AQ634" s="52">
        <v>1</v>
      </c>
      <c r="AR634" s="56">
        <v>6</v>
      </c>
      <c r="AU634" s="42"/>
      <c r="AV634" s="28"/>
      <c r="AW634" s="28"/>
      <c r="AX634" s="28"/>
      <c r="AY634" s="40"/>
      <c r="AZ634" s="28"/>
      <c r="BA634" s="28"/>
      <c r="BB634" s="150" t="s">
        <v>358</v>
      </c>
      <c r="BC634" s="36">
        <v>9</v>
      </c>
      <c r="BD634" s="37">
        <v>9</v>
      </c>
      <c r="BE634" s="10"/>
      <c r="BF634" s="37"/>
      <c r="BG634" s="11"/>
      <c r="BH634" s="18"/>
      <c r="BI634" s="11"/>
      <c r="BJ634" s="158" t="s">
        <v>571</v>
      </c>
      <c r="BK634" s="54" t="s">
        <v>572</v>
      </c>
      <c r="BL634" s="39" t="s">
        <v>573</v>
      </c>
    </row>
    <row r="635" spans="1:64" ht="15" thickBot="1" x14ac:dyDescent="0.35">
      <c r="A635" s="42" t="s">
        <v>181</v>
      </c>
      <c r="B635" s="42">
        <v>553</v>
      </c>
      <c r="C635" s="40">
        <v>553</v>
      </c>
      <c r="D635" s="28"/>
      <c r="E635" s="107" t="s">
        <v>60</v>
      </c>
      <c r="F635" s="43"/>
      <c r="G635" s="41">
        <v>764</v>
      </c>
      <c r="H635" s="18" t="s">
        <v>182</v>
      </c>
      <c r="I635" s="28"/>
      <c r="J635" s="11"/>
      <c r="K635" s="43"/>
      <c r="M635" s="126"/>
      <c r="AB635" s="36"/>
      <c r="AC635" s="10"/>
      <c r="AD635" s="11"/>
      <c r="AE635" s="18"/>
      <c r="AF635" s="18"/>
      <c r="AG635" s="18"/>
      <c r="AH635" s="36"/>
      <c r="AI635" s="11"/>
      <c r="AJ635" s="18"/>
      <c r="AK635" s="36"/>
      <c r="AL635" s="37"/>
      <c r="AM635" s="11"/>
      <c r="AN635" s="45"/>
      <c r="AP635" s="10" t="s">
        <v>78</v>
      </c>
      <c r="AQ635" s="52">
        <v>0</v>
      </c>
      <c r="AR635" s="85">
        <v>0</v>
      </c>
      <c r="AS635" s="28"/>
      <c r="AT635" s="28"/>
      <c r="AU635" s="42"/>
      <c r="AV635" s="28">
        <v>2</v>
      </c>
      <c r="AW635" s="28" t="s">
        <v>183</v>
      </c>
      <c r="AX635" s="28"/>
      <c r="AY635" s="40"/>
      <c r="AZ635" s="37"/>
      <c r="BA635" s="37"/>
      <c r="BB635" s="36" t="s">
        <v>574</v>
      </c>
      <c r="BC635" s="36">
        <v>1</v>
      </c>
      <c r="BD635" s="37">
        <v>7</v>
      </c>
      <c r="BE635" s="10"/>
      <c r="BF635" s="18"/>
      <c r="BG635" s="11"/>
      <c r="BH635" s="18"/>
      <c r="BI635" s="11"/>
      <c r="BJ635" s="37" t="s">
        <v>575</v>
      </c>
      <c r="BK635" s="37" t="s">
        <v>576</v>
      </c>
      <c r="BL635" s="40" t="s">
        <v>577</v>
      </c>
    </row>
    <row r="636" spans="1:64" ht="15" thickBot="1" x14ac:dyDescent="0.35">
      <c r="A636" s="42" t="s">
        <v>120</v>
      </c>
      <c r="B636" s="42">
        <v>2732</v>
      </c>
      <c r="C636" s="40">
        <v>2719</v>
      </c>
      <c r="D636" s="28"/>
      <c r="E636" s="107" t="s">
        <v>60</v>
      </c>
      <c r="F636" s="43"/>
      <c r="G636" s="68">
        <v>4144</v>
      </c>
      <c r="H636" s="43">
        <v>27</v>
      </c>
      <c r="I636" s="28" t="s">
        <v>188</v>
      </c>
      <c r="J636" s="11"/>
      <c r="K636" s="28"/>
      <c r="M636" s="126"/>
      <c r="AA636" s="28"/>
      <c r="AB636" s="103" t="s">
        <v>84</v>
      </c>
      <c r="AC636" s="103">
        <f>SUM(AC635+AC631+AC629+AC626+AC623+AC621+AC617+AC613+AC610+AC607+AC608)</f>
        <v>1860</v>
      </c>
      <c r="AD636" s="104">
        <f>SUM(AD635+AD631+AD629+AD626+AD623+AD617+AD613+AD610+AD608+AD607)</f>
        <v>1524</v>
      </c>
      <c r="AE636" s="103">
        <v>0</v>
      </c>
      <c r="AF636" s="102">
        <v>0</v>
      </c>
      <c r="AG636" s="102">
        <v>0</v>
      </c>
      <c r="AH636" s="109">
        <f>SUM(AH635+AH631+AH629+AH626+AH623+AH621+AH617+AH613+AH610+AH608+AH607)</f>
        <v>318699</v>
      </c>
      <c r="AI636" s="110">
        <f>SUM(AI635+AI631+AI629+AI626+AI621+AI617+AI612+AI610+AI608+AI607)</f>
        <v>111785</v>
      </c>
      <c r="AJ636" s="110">
        <v>0</v>
      </c>
      <c r="AK636" s="111" t="s">
        <v>189</v>
      </c>
      <c r="AL636" s="111"/>
      <c r="AM636" s="104">
        <f>SUM(AK607:AK635)</f>
        <v>50</v>
      </c>
      <c r="AN636" s="45"/>
      <c r="AP636" s="52" t="s">
        <v>115</v>
      </c>
      <c r="AQ636" s="52">
        <v>0</v>
      </c>
      <c r="AR636" s="85">
        <v>0</v>
      </c>
      <c r="AS636" s="28"/>
      <c r="AT636" s="28"/>
      <c r="AU636" s="42"/>
      <c r="AV636" s="28" t="s">
        <v>6</v>
      </c>
      <c r="AW636" s="28"/>
      <c r="AX636" s="28"/>
      <c r="AY636" s="40"/>
      <c r="AZ636" s="28"/>
      <c r="BA636" s="28"/>
      <c r="BB636" s="150" t="s">
        <v>211</v>
      </c>
      <c r="BC636" s="36">
        <v>11</v>
      </c>
      <c r="BD636" s="37">
        <v>3</v>
      </c>
      <c r="BE636" s="10"/>
      <c r="BF636" s="18"/>
      <c r="BG636" s="11"/>
      <c r="BH636" s="18"/>
      <c r="BI636" s="11"/>
      <c r="BJ636" s="159" t="s">
        <v>578</v>
      </c>
      <c r="BK636" s="37" t="s">
        <v>551</v>
      </c>
      <c r="BL636" s="39" t="s">
        <v>579</v>
      </c>
    </row>
    <row r="637" spans="1:64" x14ac:dyDescent="0.3">
      <c r="A637" s="42" t="s">
        <v>84</v>
      </c>
      <c r="B637" s="42">
        <f>SUM(B635:B636)</f>
        <v>3285</v>
      </c>
      <c r="C637" s="40">
        <f>SUM(C635:C636)</f>
        <v>3272</v>
      </c>
      <c r="D637" s="28"/>
      <c r="E637" s="107" t="s">
        <v>60</v>
      </c>
      <c r="F637" s="43"/>
      <c r="G637" s="41">
        <f>SUM(G635:G636)</f>
        <v>4908</v>
      </c>
      <c r="H637" s="28">
        <v>4</v>
      </c>
      <c r="I637" s="43" t="s">
        <v>101</v>
      </c>
      <c r="J637" s="40"/>
      <c r="K637" s="28"/>
      <c r="L637" s="28"/>
      <c r="N637" s="113"/>
      <c r="AA637" s="28"/>
      <c r="AB637" s="52" t="s">
        <v>193</v>
      </c>
      <c r="AC637" s="28"/>
      <c r="AD637" s="28"/>
      <c r="AE637" s="28"/>
      <c r="AF637" s="28"/>
      <c r="AG637" s="28"/>
      <c r="AH637" s="28"/>
      <c r="AI637" s="28"/>
      <c r="AM637" t="s">
        <v>6</v>
      </c>
      <c r="AN637" s="45"/>
      <c r="AP637" s="52" t="s">
        <v>72</v>
      </c>
      <c r="AQ637" s="52">
        <v>0</v>
      </c>
      <c r="AR637" s="85">
        <v>0</v>
      </c>
      <c r="AU637" s="42"/>
      <c r="AV637" s="28"/>
      <c r="AW637" s="28"/>
      <c r="AX637" s="28"/>
      <c r="AY637" s="40"/>
      <c r="AZ637" s="28"/>
      <c r="BB637" s="150" t="s">
        <v>74</v>
      </c>
      <c r="BC637" s="36">
        <v>1</v>
      </c>
      <c r="BD637" s="37">
        <v>1</v>
      </c>
      <c r="BE637" s="10"/>
      <c r="BF637" s="18"/>
      <c r="BG637" s="11"/>
      <c r="BH637" s="18"/>
      <c r="BI637" s="11"/>
      <c r="BJ637" s="37" t="s">
        <v>580</v>
      </c>
      <c r="BK637" s="37" t="s">
        <v>581</v>
      </c>
      <c r="BL637" s="114" t="s">
        <v>546</v>
      </c>
    </row>
    <row r="638" spans="1:64" ht="15" thickBot="1" x14ac:dyDescent="0.35">
      <c r="A638" s="13"/>
      <c r="B638" s="10"/>
      <c r="C638" s="11"/>
      <c r="D638" s="27"/>
      <c r="E638" s="27"/>
      <c r="F638" s="27"/>
      <c r="G638" s="17"/>
      <c r="H638" s="48"/>
      <c r="I638" s="48" t="s">
        <v>284</v>
      </c>
      <c r="J638" s="49">
        <f>SUM(H636:H638)</f>
        <v>31</v>
      </c>
      <c r="L638" s="108"/>
      <c r="M638" s="115"/>
      <c r="O638" s="116"/>
      <c r="AA638" s="28"/>
      <c r="AN638" s="45"/>
      <c r="AP638" s="52" t="s">
        <v>84</v>
      </c>
      <c r="AQ638" s="47">
        <f>SUM(AQ631:AQ637)</f>
        <v>1</v>
      </c>
      <c r="AR638" s="49">
        <f>SUM(AR631:AR637)</f>
        <v>6</v>
      </c>
      <c r="AS638" s="28"/>
      <c r="AT638" s="28"/>
      <c r="AU638" s="47"/>
      <c r="AV638" s="48"/>
      <c r="AW638" s="48"/>
      <c r="AX638" s="48"/>
      <c r="AY638" s="49">
        <f>SUM(AV635)</f>
        <v>2</v>
      </c>
      <c r="AZ638" s="28"/>
      <c r="BB638" s="36" t="s">
        <v>214</v>
      </c>
      <c r="BC638" s="36">
        <v>2</v>
      </c>
      <c r="BD638" s="37">
        <v>2</v>
      </c>
      <c r="BE638" s="10"/>
      <c r="BF638" s="18"/>
      <c r="BG638" s="11"/>
      <c r="BH638" s="18"/>
      <c r="BI638" s="11"/>
      <c r="BJ638" s="37" t="s">
        <v>507</v>
      </c>
      <c r="BK638" s="37" t="s">
        <v>165</v>
      </c>
      <c r="BL638" s="39" t="s">
        <v>582</v>
      </c>
    </row>
    <row r="639" spans="1:64" ht="16.2" thickBot="1" x14ac:dyDescent="0.35">
      <c r="A639" s="117" t="s">
        <v>84</v>
      </c>
      <c r="B639" s="118">
        <f>SUM(B637+B634+B629+B625+B622+B619+B616+B612+B608+B605)</f>
        <v>40501</v>
      </c>
      <c r="C639" s="120">
        <f>SUM(C637+C634+C629+C625+C622+C619+C616+C612+C608+C605)</f>
        <v>44992</v>
      </c>
      <c r="D639" s="119"/>
      <c r="E639" s="119">
        <f>SUM(E634+E619)</f>
        <v>2998</v>
      </c>
      <c r="F639" s="120"/>
      <c r="G639" s="121">
        <f>SUM(G637+G634+G629+G624+G622+G615+G612+G608+G605+G619)</f>
        <v>63316</v>
      </c>
      <c r="H639" s="13" t="s">
        <v>199</v>
      </c>
      <c r="I639" s="81"/>
      <c r="J639" s="26">
        <f>SUM(J606:J638)</f>
        <v>365</v>
      </c>
      <c r="O639" s="122"/>
      <c r="AN639" s="45"/>
      <c r="AP639" s="32" t="s">
        <v>63</v>
      </c>
      <c r="AQ639" s="123">
        <f>7+2+1+1</f>
        <v>11</v>
      </c>
      <c r="AR639" s="123">
        <f>8+2+1</f>
        <v>11</v>
      </c>
      <c r="AS639" s="33"/>
      <c r="AT639" s="7"/>
      <c r="AU639" s="6"/>
      <c r="AV639" s="34" t="s">
        <v>140</v>
      </c>
      <c r="AW639" s="8"/>
      <c r="AX639" s="8"/>
      <c r="AY639" s="7"/>
      <c r="AZ639" s="28"/>
      <c r="BB639" s="36" t="s">
        <v>583</v>
      </c>
      <c r="BC639" s="10">
        <v>0</v>
      </c>
      <c r="BD639" s="37">
        <v>4</v>
      </c>
      <c r="BE639" s="10"/>
      <c r="BF639" s="18"/>
      <c r="BG639" s="39"/>
      <c r="BH639" s="18"/>
      <c r="BI639" s="11"/>
      <c r="BJ639" s="159" t="s">
        <v>584</v>
      </c>
      <c r="BK639" s="37" t="s">
        <v>449</v>
      </c>
      <c r="BL639" s="39" t="s">
        <v>585</v>
      </c>
    </row>
    <row r="640" spans="1:64" x14ac:dyDescent="0.3">
      <c r="AN640" s="45"/>
      <c r="AP640" s="44" t="s">
        <v>78</v>
      </c>
      <c r="AQ640" s="37">
        <f>17+1+1</f>
        <v>19</v>
      </c>
      <c r="AR640" s="37">
        <f>37+1+2</f>
        <v>40</v>
      </c>
      <c r="AS640" s="42"/>
      <c r="AT640" s="11"/>
      <c r="AU640" s="10"/>
      <c r="AV640" s="37">
        <v>33</v>
      </c>
      <c r="AW640" s="37" t="s">
        <v>204</v>
      </c>
      <c r="AX640" s="18"/>
      <c r="AY640" s="11"/>
      <c r="AZ640" s="28"/>
      <c r="BB640" s="93" t="s">
        <v>181</v>
      </c>
      <c r="BC640" s="10">
        <v>0</v>
      </c>
      <c r="BD640" s="37">
        <v>2</v>
      </c>
      <c r="BE640" s="10"/>
      <c r="BF640" s="18"/>
      <c r="BG640" s="11"/>
      <c r="BH640" s="18"/>
      <c r="BI640" s="11"/>
      <c r="BJ640" s="54" t="s">
        <v>586</v>
      </c>
      <c r="BK640" s="37" t="s">
        <v>587</v>
      </c>
      <c r="BL640" s="39" t="s">
        <v>588</v>
      </c>
    </row>
    <row r="641" spans="1:65" x14ac:dyDescent="0.3">
      <c r="AN641" s="45"/>
      <c r="AP641" s="125" t="s">
        <v>209</v>
      </c>
      <c r="AQ641" s="54">
        <v>0</v>
      </c>
      <c r="AR641" s="54">
        <v>0</v>
      </c>
      <c r="AS641" s="42"/>
      <c r="AT641" s="40"/>
      <c r="AU641" s="42"/>
      <c r="AV641" s="28">
        <v>5</v>
      </c>
      <c r="AW641" s="28" t="s">
        <v>210</v>
      </c>
      <c r="AX641" s="28"/>
      <c r="AY641" s="40"/>
      <c r="AZ641" s="28"/>
      <c r="BB641" s="92" t="s">
        <v>64</v>
      </c>
      <c r="BC641" s="84">
        <v>1</v>
      </c>
      <c r="BD641" s="54">
        <v>4</v>
      </c>
      <c r="BE641" s="84"/>
      <c r="BF641" s="45"/>
      <c r="BG641" s="85"/>
      <c r="BH641" s="18"/>
      <c r="BI641" s="11"/>
      <c r="BK641" s="54" t="s">
        <v>589</v>
      </c>
      <c r="BL641" s="86"/>
    </row>
    <row r="642" spans="1:65" x14ac:dyDescent="0.3">
      <c r="B642" s="126"/>
      <c r="C642" s="126"/>
      <c r="AN642" s="45"/>
      <c r="AP642" s="44" t="s">
        <v>168</v>
      </c>
      <c r="AQ642" s="54">
        <v>0</v>
      </c>
      <c r="AR642" s="54">
        <v>0</v>
      </c>
      <c r="AS642" s="42"/>
      <c r="AT642" s="11"/>
      <c r="AU642" s="10"/>
      <c r="AV642" s="37">
        <v>21</v>
      </c>
      <c r="AW642" s="37" t="s">
        <v>213</v>
      </c>
      <c r="AX642" s="18"/>
      <c r="AY642" s="11"/>
      <c r="BB642" s="127" t="s">
        <v>220</v>
      </c>
      <c r="BC642" s="84">
        <v>2</v>
      </c>
      <c r="BD642" s="54">
        <v>0</v>
      </c>
      <c r="BE642" s="84"/>
      <c r="BF642" s="45"/>
      <c r="BG642" s="85"/>
      <c r="BH642" s="45"/>
      <c r="BI642" s="85"/>
      <c r="BJ642" s="54"/>
      <c r="BK642" s="54"/>
      <c r="BL642" s="40"/>
    </row>
    <row r="643" spans="1:65" x14ac:dyDescent="0.3">
      <c r="AN643" s="45"/>
      <c r="AP643" s="125" t="s">
        <v>81</v>
      </c>
      <c r="AQ643" s="54">
        <v>5</v>
      </c>
      <c r="AR643" s="54">
        <v>3</v>
      </c>
      <c r="AS643" s="42"/>
      <c r="AT643" s="40"/>
      <c r="AU643" s="42"/>
      <c r="AV643" s="54">
        <v>4</v>
      </c>
      <c r="AW643" s="128" t="s">
        <v>222</v>
      </c>
      <c r="AX643" s="28"/>
      <c r="AY643" s="40" t="s">
        <v>6</v>
      </c>
      <c r="BB643" s="127" t="s">
        <v>495</v>
      </c>
      <c r="BC643" s="84">
        <v>0</v>
      </c>
      <c r="BD643" s="54">
        <v>2</v>
      </c>
      <c r="BE643" s="84"/>
      <c r="BF643" s="45"/>
      <c r="BG643" s="85"/>
      <c r="BH643" s="45"/>
      <c r="BI643" s="85"/>
      <c r="BJ643" s="54"/>
      <c r="BK643" s="54"/>
      <c r="BL643" s="40"/>
    </row>
    <row r="644" spans="1:65" x14ac:dyDescent="0.3">
      <c r="AP644" s="125" t="s">
        <v>72</v>
      </c>
      <c r="AQ644" s="54">
        <f>37+5+8+30</f>
        <v>80</v>
      </c>
      <c r="AR644" s="45">
        <f>9+5+2+10+1+39</f>
        <v>66</v>
      </c>
      <c r="AS644" s="42"/>
      <c r="AT644" s="40"/>
      <c r="AU644" s="42"/>
      <c r="AV644" s="54">
        <v>10</v>
      </c>
      <c r="AW644" s="54" t="s">
        <v>216</v>
      </c>
      <c r="AX644" s="45"/>
      <c r="AY644" s="40"/>
      <c r="BB644" s="127" t="s">
        <v>107</v>
      </c>
      <c r="BC644" s="84">
        <v>4</v>
      </c>
      <c r="BD644" s="54">
        <v>0</v>
      </c>
      <c r="BE644" s="42"/>
      <c r="BF644" s="45"/>
      <c r="BG644" s="40"/>
      <c r="BH644" s="45"/>
      <c r="BI644" s="85"/>
      <c r="BJ644" s="155"/>
      <c r="BK644" s="54"/>
      <c r="BL644" s="86"/>
    </row>
    <row r="645" spans="1:65" x14ac:dyDescent="0.3">
      <c r="AP645" s="125" t="s">
        <v>115</v>
      </c>
      <c r="AQ645" s="54">
        <v>2</v>
      </c>
      <c r="AR645" s="45">
        <f>2+9</f>
        <v>11</v>
      </c>
      <c r="AS645" s="42"/>
      <c r="AT645" s="40"/>
      <c r="AU645" s="42"/>
      <c r="AV645" s="54">
        <v>14</v>
      </c>
      <c r="AW645" s="54" t="s">
        <v>217</v>
      </c>
      <c r="AX645" s="28"/>
      <c r="AY645" s="40"/>
      <c r="BB645" s="127" t="s">
        <v>218</v>
      </c>
      <c r="BC645" s="84">
        <v>2</v>
      </c>
      <c r="BD645" s="54">
        <v>5</v>
      </c>
      <c r="BE645" s="42"/>
      <c r="BF645" s="45"/>
      <c r="BG645" s="40"/>
      <c r="BH645" s="45"/>
      <c r="BI645" s="85"/>
      <c r="BJ645" s="54"/>
      <c r="BK645" s="54"/>
      <c r="BL645" s="40"/>
    </row>
    <row r="646" spans="1:65" x14ac:dyDescent="0.3">
      <c r="AP646" s="125" t="s">
        <v>56</v>
      </c>
      <c r="AQ646" s="54">
        <f>3+3+5</f>
        <v>11</v>
      </c>
      <c r="AR646" s="45">
        <f>4+3+9</f>
        <v>16</v>
      </c>
      <c r="AS646" s="42"/>
      <c r="AT646" s="40"/>
      <c r="AU646" s="42"/>
      <c r="AV646" s="54">
        <v>1</v>
      </c>
      <c r="AW646" s="54" t="s">
        <v>472</v>
      </c>
      <c r="AX646" s="28"/>
      <c r="AY646" s="40"/>
      <c r="BB646" s="98" t="s">
        <v>526</v>
      </c>
      <c r="BC646" s="10">
        <v>0</v>
      </c>
      <c r="BD646" s="18">
        <v>0</v>
      </c>
      <c r="BE646" s="10"/>
      <c r="BF646" s="18"/>
      <c r="BG646" s="11"/>
      <c r="BH646" s="18"/>
      <c r="BI646" s="11"/>
      <c r="BJ646" s="54"/>
      <c r="BK646" s="37"/>
      <c r="BL646" s="129"/>
    </row>
    <row r="647" spans="1:65" ht="15" thickBot="1" x14ac:dyDescent="0.35">
      <c r="H647" t="s">
        <v>6</v>
      </c>
      <c r="AP647" s="125" t="s">
        <v>138</v>
      </c>
      <c r="AQ647" s="54">
        <v>0</v>
      </c>
      <c r="AR647" s="45">
        <v>0</v>
      </c>
      <c r="AS647" s="42"/>
      <c r="AT647" s="40"/>
      <c r="AU647" s="42"/>
      <c r="AV647" s="54">
        <v>20</v>
      </c>
      <c r="AW647" s="54" t="s">
        <v>221</v>
      </c>
      <c r="AX647" s="28"/>
      <c r="AY647" s="40"/>
      <c r="BB647" s="13" t="s">
        <v>84</v>
      </c>
      <c r="BC647" s="13">
        <f>SUM(BC622:BC646)</f>
        <v>302</v>
      </c>
      <c r="BD647" s="27">
        <f>SUM(BD622:BD646)</f>
        <v>228</v>
      </c>
      <c r="BE647" s="13">
        <v>0</v>
      </c>
      <c r="BF647" s="27">
        <f>SUM(BF622:BF646)</f>
        <v>0</v>
      </c>
      <c r="BG647" s="26">
        <v>0</v>
      </c>
      <c r="BH647" s="58">
        <v>0</v>
      </c>
      <c r="BI647" s="26">
        <v>0</v>
      </c>
      <c r="BJ647" s="81"/>
      <c r="BK647" s="27"/>
      <c r="BL647" s="26">
        <f>11+5+6+19+14+3+17+13+5+5+6+7+5+4+2</f>
        <v>122</v>
      </c>
    </row>
    <row r="648" spans="1:65" ht="15" thickBot="1" x14ac:dyDescent="0.35">
      <c r="H648" t="s">
        <v>6</v>
      </c>
      <c r="AP648" s="125" t="s">
        <v>67</v>
      </c>
      <c r="AQ648" s="54">
        <f>6+12+2</f>
        <v>20</v>
      </c>
      <c r="AR648" s="45">
        <f>16+14+4</f>
        <v>34</v>
      </c>
      <c r="AS648" s="42"/>
      <c r="AT648" s="40"/>
      <c r="AU648" s="42"/>
      <c r="AV648" s="54">
        <v>0</v>
      </c>
      <c r="AW648" s="54" t="s">
        <v>553</v>
      </c>
      <c r="AX648" s="28"/>
      <c r="AY648" s="40"/>
      <c r="BB648" s="13" t="s">
        <v>223</v>
      </c>
      <c r="BC648" s="13">
        <f>SUM(BC647+BC621+BC618+BC614+BC611+BC608+BC606)</f>
        <v>1840</v>
      </c>
      <c r="BD648" s="26">
        <f>SUM(BD647+BD621+BD618+BD614+BD611+BD608+BD606)</f>
        <v>1884</v>
      </c>
      <c r="BE648" s="26">
        <f>SUM(BE647+BE621+BE618+BE614+BE611+BE608+BE606)</f>
        <v>0</v>
      </c>
      <c r="BF648" s="26">
        <f>SUM(BF647+BF621+BF618+BF614+BF611+BF608+BF606)</f>
        <v>0</v>
      </c>
      <c r="BG648" s="26">
        <f>SUM(BG647+BG621+BG618+BG614+BG611+BG608+BG606)</f>
        <v>18</v>
      </c>
      <c r="BH648" s="160">
        <f>SUM(BH647+BH621+BH618+BH614+BH610+BH608+BH606)</f>
        <v>58719</v>
      </c>
      <c r="BI648" s="26">
        <f>SUM(BI647+BI621+BI618+BI614+BI610+BI608+BI606)</f>
        <v>21131</v>
      </c>
      <c r="BJ648" s="81"/>
      <c r="BK648" s="27" t="s">
        <v>247</v>
      </c>
      <c r="BL648" s="26">
        <f>SUM(BL605:BL646)</f>
        <v>144</v>
      </c>
    </row>
    <row r="649" spans="1:65" x14ac:dyDescent="0.3">
      <c r="K649" s="28"/>
      <c r="AP649" s="125" t="s">
        <v>122</v>
      </c>
      <c r="AQ649" s="54">
        <v>0</v>
      </c>
      <c r="AR649" s="45">
        <v>9</v>
      </c>
      <c r="AS649" s="42"/>
      <c r="AT649" s="40"/>
      <c r="AU649" s="42"/>
      <c r="AV649" s="54">
        <v>2</v>
      </c>
      <c r="AW649" s="54" t="s">
        <v>471</v>
      </c>
      <c r="AX649" s="28"/>
      <c r="AY649" s="40"/>
      <c r="BB649" s="131" t="s">
        <v>225</v>
      </c>
      <c r="BD649">
        <f>SUM(BL647)</f>
        <v>122</v>
      </c>
      <c r="BG649" s="132"/>
    </row>
    <row r="650" spans="1:65" x14ac:dyDescent="0.3">
      <c r="K650" s="28"/>
      <c r="AP650" s="125" t="s">
        <v>227</v>
      </c>
      <c r="AQ650" s="54">
        <v>0</v>
      </c>
      <c r="AR650" s="45">
        <v>0</v>
      </c>
      <c r="AS650" s="42"/>
      <c r="AT650" s="40"/>
      <c r="AU650" s="42"/>
      <c r="AV650" s="54">
        <v>10</v>
      </c>
      <c r="AW650" s="54" t="s">
        <v>391</v>
      </c>
      <c r="AX650" s="28"/>
      <c r="AY650" s="40"/>
      <c r="BB650" t="s">
        <v>229</v>
      </c>
      <c r="BD650">
        <v>26</v>
      </c>
    </row>
    <row r="651" spans="1:65" x14ac:dyDescent="0.3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AP651" s="41" t="s">
        <v>230</v>
      </c>
      <c r="AQ651" s="54">
        <f>20+9+8</f>
        <v>37</v>
      </c>
      <c r="AR651" s="45">
        <f>8+9+20</f>
        <v>37</v>
      </c>
      <c r="AS651" s="42"/>
      <c r="AT651" s="40"/>
      <c r="AU651" s="42"/>
      <c r="AV651" s="54">
        <v>1</v>
      </c>
      <c r="AW651" s="54" t="s">
        <v>352</v>
      </c>
      <c r="AX651" s="28"/>
      <c r="AY651" s="40"/>
      <c r="BB651" t="s">
        <v>232</v>
      </c>
      <c r="BD651" t="s">
        <v>233</v>
      </c>
      <c r="BF651">
        <f>SUM(AQ656)</f>
        <v>2200</v>
      </c>
      <c r="BH651" t="s">
        <v>234</v>
      </c>
      <c r="BJ651" t="s">
        <v>233</v>
      </c>
      <c r="BL651">
        <f>SUM(BC648)</f>
        <v>1840</v>
      </c>
    </row>
    <row r="652" spans="1:65" ht="18" x14ac:dyDescent="0.35">
      <c r="B652" s="133"/>
      <c r="AP652" s="68" t="s">
        <v>125</v>
      </c>
      <c r="AQ652" s="54">
        <v>0</v>
      </c>
      <c r="AR652" s="45">
        <v>0</v>
      </c>
      <c r="AS652" s="42"/>
      <c r="AT652" s="40"/>
      <c r="AU652" s="42"/>
      <c r="AV652" s="54">
        <v>3</v>
      </c>
      <c r="AW652" s="54" t="s">
        <v>351</v>
      </c>
      <c r="AX652" s="28"/>
      <c r="AY652" s="40"/>
      <c r="BA652" t="s">
        <v>6</v>
      </c>
      <c r="BD652" t="s">
        <v>236</v>
      </c>
      <c r="BF652">
        <f>SUM(AR656)</f>
        <v>2402</v>
      </c>
      <c r="BJ652" t="s">
        <v>236</v>
      </c>
      <c r="BL652">
        <f>SUM(BD648)</f>
        <v>1884</v>
      </c>
    </row>
    <row r="653" spans="1:65" x14ac:dyDescent="0.3">
      <c r="AP653" s="68" t="s">
        <v>132</v>
      </c>
      <c r="AQ653" s="54">
        <v>0</v>
      </c>
      <c r="AR653" s="45">
        <v>0</v>
      </c>
      <c r="AS653" s="42"/>
      <c r="AT653" s="40"/>
      <c r="AU653" s="42"/>
      <c r="AV653" s="54">
        <v>17</v>
      </c>
      <c r="AW653" s="54" t="s">
        <v>237</v>
      </c>
      <c r="AX653" s="28"/>
      <c r="AY653" s="40"/>
      <c r="BB653" s="134" t="s">
        <v>238</v>
      </c>
      <c r="BC653" s="135" t="s">
        <v>239</v>
      </c>
      <c r="BD653" s="136"/>
      <c r="BE653" s="134" t="s">
        <v>240</v>
      </c>
      <c r="BF653" s="135" t="s">
        <v>241</v>
      </c>
      <c r="BG653" s="136"/>
      <c r="BH653" s="134"/>
      <c r="BI653" s="135" t="s">
        <v>242</v>
      </c>
      <c r="BJ653" s="137" t="s">
        <v>243</v>
      </c>
      <c r="BK653" s="135"/>
      <c r="BL653" s="135"/>
      <c r="BM653" s="136"/>
    </row>
    <row r="654" spans="1:65" x14ac:dyDescent="0.3">
      <c r="AP654" s="41" t="s">
        <v>6</v>
      </c>
      <c r="AS654" s="42"/>
      <c r="AT654" s="40"/>
      <c r="AU654" s="42"/>
      <c r="AV654" s="54">
        <v>5</v>
      </c>
      <c r="AW654" s="54" t="s">
        <v>555</v>
      </c>
      <c r="AX654" s="28"/>
      <c r="AY654" s="40"/>
      <c r="BB654" s="138" t="s">
        <v>233</v>
      </c>
      <c r="BC654" s="28"/>
      <c r="BD654" s="139">
        <f>SUM(B639)</f>
        <v>40501</v>
      </c>
      <c r="BE654" s="138" t="s">
        <v>233</v>
      </c>
      <c r="BF654" s="28"/>
      <c r="BG654" s="139">
        <f>SUM(AC636)</f>
        <v>1860</v>
      </c>
      <c r="BH654" s="138" t="s">
        <v>233</v>
      </c>
      <c r="BI654" s="28"/>
      <c r="BJ654" s="140">
        <f>SUM(BL651+BG654)</f>
        <v>3700</v>
      </c>
      <c r="BK654" s="28" t="s">
        <v>245</v>
      </c>
      <c r="BL654" s="28">
        <f>SUM(BJ654+BD654)</f>
        <v>44201</v>
      </c>
      <c r="BM654" s="141"/>
    </row>
    <row r="655" spans="1:65" ht="18.600000000000001" thickBot="1" x14ac:dyDescent="0.4">
      <c r="B655" s="133"/>
      <c r="AP655" s="46" t="s">
        <v>84</v>
      </c>
      <c r="AQ655" s="48">
        <f>SUM(AQ639:AQ654)</f>
        <v>185</v>
      </c>
      <c r="AR655" s="48">
        <f>SUM(AR639:AR654)</f>
        <v>227</v>
      </c>
      <c r="AS655" s="47"/>
      <c r="AT655" s="49"/>
      <c r="AU655" s="47"/>
      <c r="AV655" s="48">
        <v>0</v>
      </c>
      <c r="AW655" s="48" t="s">
        <v>244</v>
      </c>
      <c r="AX655" s="48"/>
      <c r="AY655" s="49">
        <f>SUM(AV640:AV655)</f>
        <v>146</v>
      </c>
      <c r="BB655" s="142" t="s">
        <v>236</v>
      </c>
      <c r="BC655" s="143"/>
      <c r="BD655" s="144">
        <f>SUM(C639)</f>
        <v>44992</v>
      </c>
      <c r="BE655" s="142" t="s">
        <v>236</v>
      </c>
      <c r="BF655" s="143"/>
      <c r="BG655" s="144">
        <f>SUM(AD636)</f>
        <v>1524</v>
      </c>
      <c r="BH655" s="142" t="s">
        <v>236</v>
      </c>
      <c r="BI655" s="143"/>
      <c r="BJ655" s="145">
        <f>SUM(BL652+BG655)</f>
        <v>3408</v>
      </c>
      <c r="BK655" s="143"/>
      <c r="BL655" s="143">
        <f>SUM(BJ655+BD655)</f>
        <v>48400</v>
      </c>
      <c r="BM655" s="146"/>
    </row>
    <row r="656" spans="1:65" ht="18.600000000000001" thickBot="1" x14ac:dyDescent="0.4">
      <c r="B656" s="133"/>
      <c r="AP656" s="147" t="s">
        <v>84</v>
      </c>
      <c r="AQ656" s="147">
        <f>SUM(+AQ655+AQ638+AQ628+AQ613+AQ611)</f>
        <v>2200</v>
      </c>
      <c r="AR656" s="148">
        <f>SUM(AR655+AR638+AR628+AR613+AR611)</f>
        <v>2402</v>
      </c>
      <c r="AS656" s="147"/>
      <c r="AT656" s="148"/>
      <c r="AU656" s="149" t="s">
        <v>247</v>
      </c>
      <c r="AV656" s="149"/>
      <c r="AW656" s="149"/>
      <c r="AX656" s="149"/>
      <c r="AY656" s="148">
        <f>SUM(AY611:AY655)</f>
        <v>421</v>
      </c>
    </row>
    <row r="657" spans="1:64" ht="15" thickTop="1" x14ac:dyDescent="0.3"/>
    <row r="660" spans="1:64" ht="15.6" x14ac:dyDescent="0.3">
      <c r="C660" s="1" t="s">
        <v>0</v>
      </c>
      <c r="P660" s="1" t="s">
        <v>1</v>
      </c>
    </row>
    <row r="661" spans="1:64" ht="15.6" x14ac:dyDescent="0.3">
      <c r="D661" t="s">
        <v>2</v>
      </c>
      <c r="Q661" t="s">
        <v>3</v>
      </c>
      <c r="AE661" s="2"/>
      <c r="AF661" s="1" t="s">
        <v>0</v>
      </c>
      <c r="AG661" s="1"/>
      <c r="AI661" s="1"/>
      <c r="AJ661" s="1"/>
      <c r="AS661" s="1" t="s">
        <v>4</v>
      </c>
      <c r="BE661" s="1"/>
      <c r="BF661" s="1" t="s">
        <v>5</v>
      </c>
      <c r="BG661" s="1"/>
      <c r="BH661" s="1"/>
      <c r="BI661" s="1"/>
      <c r="BJ661" s="1"/>
    </row>
    <row r="662" spans="1:64" ht="15.6" x14ac:dyDescent="0.3">
      <c r="A662" t="s">
        <v>6</v>
      </c>
      <c r="C662" t="s">
        <v>7</v>
      </c>
      <c r="O662" t="s">
        <v>8</v>
      </c>
      <c r="AE662" s="3"/>
      <c r="AF662" s="2" t="s">
        <v>9</v>
      </c>
      <c r="AG662" s="1"/>
      <c r="AI662" s="1"/>
      <c r="AJ662" s="1"/>
      <c r="AT662" t="s">
        <v>2</v>
      </c>
      <c r="BG662" t="s">
        <v>2</v>
      </c>
    </row>
    <row r="663" spans="1:64" ht="15.6" x14ac:dyDescent="0.3">
      <c r="D663" t="s">
        <v>590</v>
      </c>
      <c r="Q663" t="s">
        <v>590</v>
      </c>
      <c r="AF663" s="3" t="s">
        <v>11</v>
      </c>
      <c r="AG663" s="1"/>
      <c r="AI663" s="1"/>
      <c r="AJ663" s="1"/>
      <c r="AR663" t="s">
        <v>12</v>
      </c>
      <c r="AZ663" t="s">
        <v>6</v>
      </c>
      <c r="BE663" t="s">
        <v>13</v>
      </c>
    </row>
    <row r="664" spans="1:64" ht="15" thickBot="1" x14ac:dyDescent="0.35">
      <c r="I664" s="4" t="s">
        <v>14</v>
      </c>
      <c r="U664" s="5" t="s">
        <v>15</v>
      </c>
      <c r="AG664" t="s">
        <v>590</v>
      </c>
      <c r="AT664" t="s">
        <v>590</v>
      </c>
      <c r="AY664" s="5"/>
      <c r="BG664" t="s">
        <v>590</v>
      </c>
      <c r="BK664" s="5" t="s">
        <v>16</v>
      </c>
    </row>
    <row r="665" spans="1:64" ht="15" thickBot="1" x14ac:dyDescent="0.35">
      <c r="A665" s="6" t="s">
        <v>17</v>
      </c>
      <c r="B665" s="6" t="s">
        <v>18</v>
      </c>
      <c r="C665" s="7"/>
      <c r="D665" s="8" t="s">
        <v>19</v>
      </c>
      <c r="E665" s="8"/>
      <c r="F665" s="8"/>
      <c r="G665" s="9" t="s">
        <v>20</v>
      </c>
      <c r="H665" s="8" t="s">
        <v>21</v>
      </c>
      <c r="I665" s="8"/>
      <c r="J665" s="7"/>
      <c r="L665" s="6" t="s">
        <v>17</v>
      </c>
      <c r="M665" s="6" t="s">
        <v>22</v>
      </c>
      <c r="N665" s="7"/>
      <c r="O665" s="8" t="s">
        <v>23</v>
      </c>
      <c r="P665" s="8"/>
      <c r="Q665" s="8"/>
      <c r="R665" s="6" t="s">
        <v>24</v>
      </c>
      <c r="S665" s="7"/>
      <c r="T665" s="8" t="s">
        <v>21</v>
      </c>
      <c r="U665" s="8"/>
      <c r="V665" s="7"/>
      <c r="AL665" s="5" t="s">
        <v>25</v>
      </c>
      <c r="AX665" s="5" t="s">
        <v>26</v>
      </c>
      <c r="BB665" s="6" t="s">
        <v>17</v>
      </c>
      <c r="BC665" s="6" t="s">
        <v>27</v>
      </c>
      <c r="BD665" s="7"/>
      <c r="BE665" s="8" t="s">
        <v>28</v>
      </c>
      <c r="BF665" s="8"/>
      <c r="BG665" s="8"/>
      <c r="BH665" s="6" t="s">
        <v>29</v>
      </c>
      <c r="BI665" s="7" t="s">
        <v>30</v>
      </c>
      <c r="BJ665" s="8" t="s">
        <v>31</v>
      </c>
      <c r="BK665" s="8"/>
      <c r="BL665" s="7"/>
    </row>
    <row r="666" spans="1:64" x14ac:dyDescent="0.3">
      <c r="A666" s="10" t="s">
        <v>32</v>
      </c>
      <c r="B666" s="10"/>
      <c r="C666" s="11"/>
      <c r="D666" s="3"/>
      <c r="E666" s="3"/>
      <c r="F666" s="3"/>
      <c r="G666" s="12"/>
      <c r="H666" s="3" t="s">
        <v>33</v>
      </c>
      <c r="I666" s="3"/>
      <c r="J666" s="11"/>
      <c r="L666" s="10"/>
      <c r="M666" s="10"/>
      <c r="N666" s="11"/>
      <c r="O666" s="3"/>
      <c r="P666" s="3"/>
      <c r="Q666" s="3"/>
      <c r="R666" s="10"/>
      <c r="S666" s="11"/>
      <c r="T666" s="3" t="s">
        <v>33</v>
      </c>
      <c r="U666" s="3"/>
      <c r="V666" s="11"/>
      <c r="AB666" s="6" t="s">
        <v>34</v>
      </c>
      <c r="AC666" s="6" t="s">
        <v>35</v>
      </c>
      <c r="AD666" s="7"/>
      <c r="AE666" s="6" t="s">
        <v>36</v>
      </c>
      <c r="AF666" s="8"/>
      <c r="AG666" s="7"/>
      <c r="AH666" s="8" t="s">
        <v>37</v>
      </c>
      <c r="AI666" s="8"/>
      <c r="AJ666" s="9" t="s">
        <v>30</v>
      </c>
      <c r="AK666" s="8" t="s">
        <v>38</v>
      </c>
      <c r="AL666" s="8"/>
      <c r="AM666" s="7"/>
      <c r="AP666" s="6" t="s">
        <v>17</v>
      </c>
      <c r="AQ666" s="6" t="s">
        <v>39</v>
      </c>
      <c r="AR666" s="7"/>
      <c r="AS666" s="6" t="s">
        <v>29</v>
      </c>
      <c r="AT666" s="7" t="s">
        <v>30</v>
      </c>
      <c r="AU666" s="8" t="s">
        <v>40</v>
      </c>
      <c r="AV666" s="8"/>
      <c r="AW666" s="8"/>
      <c r="AX666" s="8"/>
      <c r="AY666" s="7"/>
      <c r="BB666" s="10"/>
      <c r="BC666" s="10"/>
      <c r="BD666" s="11"/>
      <c r="BE666" s="3"/>
      <c r="BF666" s="3"/>
      <c r="BG666" s="3"/>
      <c r="BH666" s="10"/>
      <c r="BI666" s="11" t="s">
        <v>6</v>
      </c>
      <c r="BJ666" s="3" t="s">
        <v>41</v>
      </c>
      <c r="BK666" s="3"/>
      <c r="BL666" s="11"/>
    </row>
    <row r="667" spans="1:64" ht="15" thickBot="1" x14ac:dyDescent="0.35">
      <c r="A667" s="13" t="s">
        <v>42</v>
      </c>
      <c r="B667" s="14" t="s">
        <v>43</v>
      </c>
      <c r="C667" s="15" t="s">
        <v>44</v>
      </c>
      <c r="D667" s="16" t="s">
        <v>45</v>
      </c>
      <c r="E667" s="16" t="s">
        <v>46</v>
      </c>
      <c r="F667" s="16" t="s">
        <v>47</v>
      </c>
      <c r="G667" s="17" t="s">
        <v>48</v>
      </c>
      <c r="H667" s="18" t="s">
        <v>49</v>
      </c>
      <c r="I667" s="18"/>
      <c r="J667" s="11"/>
      <c r="L667" s="10" t="s">
        <v>50</v>
      </c>
      <c r="M667" s="19" t="s">
        <v>43</v>
      </c>
      <c r="N667" s="20" t="s">
        <v>44</v>
      </c>
      <c r="O667" s="21" t="s">
        <v>43</v>
      </c>
      <c r="P667" s="18" t="s">
        <v>51</v>
      </c>
      <c r="Q667" s="21" t="s">
        <v>44</v>
      </c>
      <c r="R667" s="22" t="s">
        <v>43</v>
      </c>
      <c r="S667" s="23" t="s">
        <v>44</v>
      </c>
      <c r="T667" s="18" t="s">
        <v>49</v>
      </c>
      <c r="U667" s="18"/>
      <c r="V667" s="11"/>
      <c r="AB667" s="10" t="s">
        <v>50</v>
      </c>
      <c r="AC667" s="22" t="s">
        <v>43</v>
      </c>
      <c r="AD667" s="23" t="s">
        <v>44</v>
      </c>
      <c r="AE667" s="22" t="s">
        <v>45</v>
      </c>
      <c r="AF667" s="24" t="s">
        <v>46</v>
      </c>
      <c r="AG667" s="23" t="s">
        <v>52</v>
      </c>
      <c r="AH667" s="24" t="s">
        <v>43</v>
      </c>
      <c r="AI667" s="24" t="s">
        <v>44</v>
      </c>
      <c r="AJ667" s="25" t="s">
        <v>43</v>
      </c>
      <c r="AK667" s="3" t="s">
        <v>53</v>
      </c>
      <c r="AL667" s="3"/>
      <c r="AM667" s="11"/>
      <c r="AP667" s="13" t="s">
        <v>42</v>
      </c>
      <c r="AQ667" s="10" t="s">
        <v>43</v>
      </c>
      <c r="AR667" s="11" t="s">
        <v>44</v>
      </c>
      <c r="AS667" s="13" t="s">
        <v>43</v>
      </c>
      <c r="AT667" s="26" t="s">
        <v>44</v>
      </c>
      <c r="AU667" s="27"/>
      <c r="AV667" s="27"/>
      <c r="AW667" s="27"/>
      <c r="AX667" s="27"/>
      <c r="AY667" s="26"/>
      <c r="BB667" s="13" t="s">
        <v>42</v>
      </c>
      <c r="BC667" s="13" t="s">
        <v>43</v>
      </c>
      <c r="BD667" s="26" t="s">
        <v>44</v>
      </c>
      <c r="BE667" s="27" t="s">
        <v>45</v>
      </c>
      <c r="BF667" s="27" t="s">
        <v>46</v>
      </c>
      <c r="BG667" s="27" t="s">
        <v>52</v>
      </c>
      <c r="BH667" s="13" t="s">
        <v>43</v>
      </c>
      <c r="BI667" s="26" t="s">
        <v>44</v>
      </c>
      <c r="BJ667" s="27" t="s">
        <v>54</v>
      </c>
      <c r="BK667" s="27"/>
      <c r="BL667" s="26"/>
    </row>
    <row r="668" spans="1:64" ht="15" thickBot="1" x14ac:dyDescent="0.35">
      <c r="A668" s="6"/>
      <c r="B668" s="6"/>
      <c r="C668" s="7"/>
      <c r="D668" s="8"/>
      <c r="E668" s="8"/>
      <c r="F668" s="7"/>
      <c r="G668" s="8"/>
      <c r="H668" s="6" t="s">
        <v>396</v>
      </c>
      <c r="I668" s="8"/>
      <c r="J668" s="7"/>
      <c r="K668" s="28"/>
      <c r="L668" s="9"/>
      <c r="M668" s="8"/>
      <c r="N668" s="8"/>
      <c r="O668" s="6"/>
      <c r="P668" s="8"/>
      <c r="Q668" s="7"/>
      <c r="R668" s="8"/>
      <c r="S668" s="8"/>
      <c r="T668" s="6" t="s">
        <v>396</v>
      </c>
      <c r="U668" s="8"/>
      <c r="V668" s="7"/>
      <c r="W668" s="28"/>
      <c r="AB668" s="13"/>
      <c r="AC668" s="13"/>
      <c r="AD668" s="26"/>
      <c r="AE668" s="13"/>
      <c r="AF668" s="27"/>
      <c r="AG668" s="26"/>
      <c r="AH668" s="27"/>
      <c r="AI668" s="27"/>
      <c r="AJ668" s="17"/>
      <c r="AK668" s="27"/>
      <c r="AL668" s="27"/>
      <c r="AM668" s="26"/>
      <c r="AP668" s="6" t="s">
        <v>56</v>
      </c>
      <c r="AQ668" s="29">
        <v>524</v>
      </c>
      <c r="AR668" s="30">
        <v>514</v>
      </c>
      <c r="AU668" s="6"/>
      <c r="AV668" s="8"/>
      <c r="AW668" s="31" t="s">
        <v>57</v>
      </c>
      <c r="AX668" s="8"/>
      <c r="AY668" s="7"/>
      <c r="AZ668" s="28"/>
      <c r="BB668" s="32" t="s">
        <v>85</v>
      </c>
      <c r="BC668">
        <v>0</v>
      </c>
      <c r="BD668">
        <v>0</v>
      </c>
      <c r="BE668" s="33"/>
      <c r="BF668" s="34"/>
      <c r="BG668" s="34"/>
      <c r="BH668" s="33"/>
      <c r="BI668" s="35"/>
      <c r="BJ668" s="34" t="s">
        <v>58</v>
      </c>
      <c r="BK668" s="8"/>
      <c r="BL668" s="7"/>
    </row>
    <row r="669" spans="1:64" x14ac:dyDescent="0.3">
      <c r="A669" s="10" t="s">
        <v>59</v>
      </c>
      <c r="B669" s="36">
        <v>1099</v>
      </c>
      <c r="C669" s="11">
        <v>717</v>
      </c>
      <c r="D669" s="37"/>
      <c r="E669" s="38" t="s">
        <v>60</v>
      </c>
      <c r="F669" s="39"/>
      <c r="G669" s="37">
        <f>4*264</f>
        <v>1056</v>
      </c>
      <c r="H669" s="36">
        <v>4</v>
      </c>
      <c r="I669" s="37" t="s">
        <v>61</v>
      </c>
      <c r="J669" s="40"/>
      <c r="K669" s="28"/>
      <c r="L669" s="41" t="s">
        <v>59</v>
      </c>
      <c r="M669" s="28">
        <v>7075</v>
      </c>
      <c r="N669" s="28">
        <v>25933</v>
      </c>
      <c r="O669" s="42">
        <v>0</v>
      </c>
      <c r="P669" s="43">
        <v>0</v>
      </c>
      <c r="Q669" s="40">
        <v>0</v>
      </c>
      <c r="R669" s="43">
        <v>0</v>
      </c>
      <c r="S669" s="43">
        <v>0</v>
      </c>
      <c r="T669" s="42"/>
      <c r="U669" s="28"/>
      <c r="V669" s="40"/>
      <c r="W669" s="28"/>
      <c r="AB669" s="9"/>
      <c r="AC669" s="8"/>
      <c r="AD669" s="8"/>
      <c r="AE669" s="6"/>
      <c r="AF669" s="8"/>
      <c r="AG669" s="7"/>
      <c r="AH669" s="8"/>
      <c r="AI669" s="8"/>
      <c r="AJ669" s="9"/>
      <c r="AK669" s="6" t="s">
        <v>62</v>
      </c>
      <c r="AL669" s="8"/>
      <c r="AM669" s="7"/>
      <c r="AP669" s="36" t="s">
        <v>63</v>
      </c>
      <c r="AQ669" s="36">
        <v>17</v>
      </c>
      <c r="AR669" s="39">
        <v>0</v>
      </c>
      <c r="AT669" s="18"/>
      <c r="AU669" s="10"/>
      <c r="AV669" s="18"/>
      <c r="AW669" s="18"/>
      <c r="AX669" s="18"/>
      <c r="AY669" s="11"/>
      <c r="AZ669" s="28"/>
      <c r="BB669" s="44" t="s">
        <v>64</v>
      </c>
      <c r="BC669" s="18">
        <v>123</v>
      </c>
      <c r="BD669" s="18">
        <v>119</v>
      </c>
      <c r="BE669" s="10">
        <v>0</v>
      </c>
      <c r="BF669" s="18">
        <v>0</v>
      </c>
      <c r="BG669" s="18">
        <v>0</v>
      </c>
      <c r="BH669" s="10">
        <v>0</v>
      </c>
      <c r="BI669" s="11">
        <v>0</v>
      </c>
      <c r="BJ669" s="45">
        <v>6</v>
      </c>
      <c r="BK669" s="28" t="s">
        <v>474</v>
      </c>
      <c r="BL669" s="11" t="s">
        <v>6</v>
      </c>
    </row>
    <row r="670" spans="1:64" ht="15" thickBot="1" x14ac:dyDescent="0.35">
      <c r="A670" s="36" t="s">
        <v>6</v>
      </c>
      <c r="B670" s="10"/>
      <c r="C670" s="11"/>
      <c r="D670" s="18"/>
      <c r="E670" s="18"/>
      <c r="F670" s="18"/>
      <c r="G670" s="36"/>
      <c r="H670" s="42"/>
      <c r="I670" s="28" t="s">
        <v>528</v>
      </c>
      <c r="J670" s="40">
        <f>SUM(H669+H670)</f>
        <v>4</v>
      </c>
      <c r="K670" s="28"/>
      <c r="L670" s="12"/>
      <c r="M670" s="37"/>
      <c r="N670" s="37"/>
      <c r="O670" s="10"/>
      <c r="P670" s="18"/>
      <c r="Q670" s="11"/>
      <c r="R670" s="18"/>
      <c r="S670" s="18"/>
      <c r="T670" s="10"/>
      <c r="U670" s="18"/>
      <c r="V670" s="11"/>
      <c r="W670" s="28"/>
      <c r="AB670" s="41"/>
      <c r="AE670" s="42"/>
      <c r="AF670" s="28"/>
      <c r="AG670" s="40"/>
      <c r="AJ670" s="41"/>
      <c r="AK670" s="42"/>
      <c r="AL670" s="28" t="s">
        <v>6</v>
      </c>
      <c r="AM670" s="40"/>
      <c r="AP670" s="36" t="s">
        <v>67</v>
      </c>
      <c r="AQ670" s="36">
        <v>245</v>
      </c>
      <c r="AR670" s="39">
        <v>232</v>
      </c>
      <c r="AT670" s="18"/>
      <c r="AU670" s="10"/>
      <c r="AV670" s="37">
        <v>43</v>
      </c>
      <c r="AW670" s="37" t="s">
        <v>68</v>
      </c>
      <c r="AX670" s="18"/>
      <c r="AY670" s="11"/>
      <c r="AZ670" s="28"/>
      <c r="BA670" s="28"/>
      <c r="BB670" s="46" t="s">
        <v>84</v>
      </c>
      <c r="BC670">
        <f>SUM(BC668:BC669)</f>
        <v>123</v>
      </c>
      <c r="BD670">
        <f>SUM(BD668:BD669)</f>
        <v>119</v>
      </c>
      <c r="BE670" s="47"/>
      <c r="BF670" s="48"/>
      <c r="BG670" s="48"/>
      <c r="BH670" s="47"/>
      <c r="BI670" s="49"/>
      <c r="BJ670" s="48">
        <v>3</v>
      </c>
      <c r="BK670" s="48" t="s">
        <v>69</v>
      </c>
      <c r="BL670" s="49">
        <f>SUM(BJ669:BJ670)</f>
        <v>9</v>
      </c>
    </row>
    <row r="671" spans="1:64" ht="15" thickBot="1" x14ac:dyDescent="0.35">
      <c r="A671" s="32"/>
      <c r="B671" s="34"/>
      <c r="C671" s="34"/>
      <c r="D671" s="33"/>
      <c r="E671" s="34"/>
      <c r="F671" s="35"/>
      <c r="G671" s="34"/>
      <c r="H671" s="6" t="s">
        <v>70</v>
      </c>
      <c r="I671" s="8"/>
      <c r="J671" s="7"/>
      <c r="K671" s="28"/>
      <c r="L671" s="17"/>
      <c r="M671" s="27"/>
      <c r="N671" s="27"/>
      <c r="O671" s="13"/>
      <c r="P671" s="27"/>
      <c r="Q671" s="26"/>
      <c r="R671" s="27"/>
      <c r="S671" s="27"/>
      <c r="T671" s="13"/>
      <c r="U671" s="27"/>
      <c r="V671" s="26"/>
      <c r="W671" s="28"/>
      <c r="AB671" s="44" t="s">
        <v>59</v>
      </c>
      <c r="AC671" s="37">
        <v>1102</v>
      </c>
      <c r="AD671" s="37">
        <v>826</v>
      </c>
      <c r="AE671" s="10">
        <v>0</v>
      </c>
      <c r="AF671" s="18">
        <v>0</v>
      </c>
      <c r="AG671" s="39">
        <v>0</v>
      </c>
      <c r="AH671" s="2">
        <v>0</v>
      </c>
      <c r="AI671" s="2">
        <v>0</v>
      </c>
      <c r="AJ671" s="12">
        <v>0</v>
      </c>
      <c r="AK671" s="36">
        <v>3</v>
      </c>
      <c r="AL671" s="37" t="s">
        <v>66</v>
      </c>
      <c r="AM671" s="11"/>
      <c r="AP671" s="36" t="s">
        <v>72</v>
      </c>
      <c r="AQ671" s="36">
        <v>0</v>
      </c>
      <c r="AR671" s="39">
        <v>0</v>
      </c>
      <c r="AT671" s="18"/>
      <c r="AU671" s="10"/>
      <c r="AV671" s="37">
        <v>52</v>
      </c>
      <c r="AW671" s="37" t="s">
        <v>73</v>
      </c>
      <c r="AX671" s="18"/>
      <c r="AY671" s="11"/>
      <c r="AZ671" s="28"/>
      <c r="BA671" s="28"/>
      <c r="BB671" s="33"/>
      <c r="BC671" s="33"/>
      <c r="BD671" s="35"/>
      <c r="BE671" s="34"/>
      <c r="BF671" s="34"/>
      <c r="BG671" s="34"/>
      <c r="BH671" s="33"/>
      <c r="BI671" s="35"/>
      <c r="BJ671" s="53" t="s">
        <v>82</v>
      </c>
      <c r="BK671" s="34"/>
      <c r="BL671" s="35"/>
    </row>
    <row r="672" spans="1:64" ht="15" thickBot="1" x14ac:dyDescent="0.35">
      <c r="A672" s="44" t="s">
        <v>74</v>
      </c>
      <c r="B672" s="37">
        <v>1447</v>
      </c>
      <c r="C672" s="18">
        <v>2635</v>
      </c>
      <c r="D672" s="36"/>
      <c r="E672" s="38" t="s">
        <v>60</v>
      </c>
      <c r="F672" s="39"/>
      <c r="G672" s="37">
        <v>2740</v>
      </c>
      <c r="H672" s="36">
        <v>8</v>
      </c>
      <c r="I672" s="28" t="s">
        <v>75</v>
      </c>
      <c r="J672" s="11"/>
      <c r="K672" s="28"/>
      <c r="L672" s="32"/>
      <c r="M672" s="34"/>
      <c r="N672" s="34"/>
      <c r="O672" s="33"/>
      <c r="P672" s="34"/>
      <c r="Q672" s="35"/>
      <c r="R672" s="34"/>
      <c r="S672" s="34"/>
      <c r="T672" s="33"/>
      <c r="U672" s="34"/>
      <c r="V672" s="35"/>
      <c r="W672" s="28"/>
      <c r="AB672" s="46"/>
      <c r="AE672" s="47"/>
      <c r="AF672" s="51"/>
      <c r="AG672" s="49"/>
      <c r="AH672" s="28"/>
      <c r="AI672" s="28"/>
      <c r="AJ672" s="62"/>
      <c r="AK672" s="47">
        <v>1</v>
      </c>
      <c r="AL672" s="48" t="s">
        <v>398</v>
      </c>
      <c r="AM672" s="49"/>
      <c r="AP672" s="36" t="s">
        <v>78</v>
      </c>
      <c r="AQ672" s="36">
        <v>19</v>
      </c>
      <c r="AR672" s="39">
        <v>0</v>
      </c>
      <c r="AT672" s="18"/>
      <c r="AU672" s="10"/>
      <c r="AV672" s="37"/>
      <c r="AW672" s="37"/>
      <c r="AX672" s="18" t="s">
        <v>6</v>
      </c>
      <c r="AY672" s="11"/>
      <c r="AZ672" s="28"/>
      <c r="BA672" s="28"/>
      <c r="BB672" s="47" t="s">
        <v>85</v>
      </c>
      <c r="BC672" s="47">
        <v>0</v>
      </c>
      <c r="BD672" s="49">
        <v>0</v>
      </c>
      <c r="BE672" s="48"/>
      <c r="BF672" s="48">
        <v>0</v>
      </c>
      <c r="BG672" s="48">
        <v>0</v>
      </c>
      <c r="BH672" s="47">
        <v>0</v>
      </c>
      <c r="BI672" s="49">
        <v>0</v>
      </c>
      <c r="BJ672" s="51"/>
      <c r="BK672" s="48" t="s">
        <v>86</v>
      </c>
      <c r="BL672" s="49">
        <f>SUM(BJ672)</f>
        <v>0</v>
      </c>
    </row>
    <row r="673" spans="1:65" x14ac:dyDescent="0.3">
      <c r="A673" s="41"/>
      <c r="D673" s="42"/>
      <c r="E673" s="28"/>
      <c r="F673" s="40"/>
      <c r="H673" s="42">
        <v>7</v>
      </c>
      <c r="I673" s="28" t="s">
        <v>79</v>
      </c>
      <c r="J673" s="40"/>
      <c r="K673" s="28"/>
      <c r="L673" s="41"/>
      <c r="M673" s="28"/>
      <c r="N673" s="28"/>
      <c r="O673" s="42"/>
      <c r="P673" s="28"/>
      <c r="Q673" s="40"/>
      <c r="R673" s="28"/>
      <c r="S673" s="28"/>
      <c r="T673" s="42" t="s">
        <v>80</v>
      </c>
      <c r="U673" s="28"/>
      <c r="V673" s="40"/>
      <c r="W673" s="28"/>
      <c r="AB673" s="50" t="s">
        <v>6</v>
      </c>
      <c r="AC673" s="8"/>
      <c r="AD673" s="8"/>
      <c r="AE673" s="6"/>
      <c r="AF673" s="8"/>
      <c r="AG673" s="7"/>
      <c r="AH673" s="6"/>
      <c r="AI673" s="7"/>
      <c r="AJ673" s="8"/>
      <c r="AK673" s="29" t="s">
        <v>71</v>
      </c>
      <c r="AL673" s="8"/>
      <c r="AM673" s="7"/>
      <c r="AP673" s="52" t="s">
        <v>81</v>
      </c>
      <c r="AQ673" s="36">
        <v>0</v>
      </c>
      <c r="AR673" s="39">
        <v>0</v>
      </c>
      <c r="AU673" s="42"/>
      <c r="AV673" s="28"/>
      <c r="AW673" s="28"/>
      <c r="AX673" s="28"/>
      <c r="AY673" s="40"/>
      <c r="AZ673" s="28"/>
      <c r="BA673" s="28"/>
      <c r="BB673" s="50" t="s">
        <v>107</v>
      </c>
      <c r="BC673" s="31">
        <v>60</v>
      </c>
      <c r="BD673" s="31">
        <v>61</v>
      </c>
      <c r="BE673" s="29"/>
      <c r="BF673" s="31"/>
      <c r="BG673" s="30"/>
      <c r="BH673" s="55"/>
      <c r="BI673" s="8"/>
      <c r="BJ673" s="29"/>
      <c r="BK673" s="34" t="s">
        <v>92</v>
      </c>
      <c r="BL673" s="35"/>
    </row>
    <row r="674" spans="1:65" ht="15" thickBot="1" x14ac:dyDescent="0.35">
      <c r="A674" s="46"/>
      <c r="B674" s="48"/>
      <c r="C674" s="48"/>
      <c r="D674" s="47"/>
      <c r="E674" s="48"/>
      <c r="F674" s="49"/>
      <c r="G674" s="48"/>
      <c r="H674" s="47">
        <v>7</v>
      </c>
      <c r="I674" s="28" t="s">
        <v>83</v>
      </c>
      <c r="J674" s="49">
        <f>SUM(H672:H674)</f>
        <v>22</v>
      </c>
      <c r="K674" s="28"/>
      <c r="L674" s="17" t="s">
        <v>74</v>
      </c>
      <c r="M674" s="27">
        <v>4297</v>
      </c>
      <c r="N674" s="27">
        <v>687</v>
      </c>
      <c r="O674" s="13">
        <v>0</v>
      </c>
      <c r="P674" s="27">
        <v>0</v>
      </c>
      <c r="Q674" s="26">
        <v>0</v>
      </c>
      <c r="R674" s="27">
        <v>36</v>
      </c>
      <c r="S674" s="27">
        <v>0</v>
      </c>
      <c r="T674" s="13"/>
      <c r="U674" s="27"/>
      <c r="V674" s="26"/>
      <c r="W674" s="28"/>
      <c r="AB674" s="41" t="s">
        <v>76</v>
      </c>
      <c r="AC674">
        <v>456</v>
      </c>
      <c r="AD674">
        <v>0</v>
      </c>
      <c r="AE674" s="42">
        <v>0</v>
      </c>
      <c r="AF674" s="43">
        <v>0</v>
      </c>
      <c r="AG674" s="40">
        <v>0</v>
      </c>
      <c r="AH674" s="42">
        <v>0</v>
      </c>
      <c r="AI674" s="40">
        <v>0</v>
      </c>
      <c r="AJ674" s="43">
        <v>0</v>
      </c>
      <c r="AK674" s="42">
        <v>4</v>
      </c>
      <c r="AL674" s="28" t="s">
        <v>77</v>
      </c>
      <c r="AM674" s="40"/>
      <c r="AP674" s="52" t="s">
        <v>115</v>
      </c>
      <c r="AQ674" s="52">
        <v>0</v>
      </c>
      <c r="AR674" s="86">
        <v>0</v>
      </c>
      <c r="AU674" s="42"/>
      <c r="AV674" s="28"/>
      <c r="AW674" s="28"/>
      <c r="AX674" s="28"/>
      <c r="AY674" s="40"/>
      <c r="AZ674" s="28"/>
      <c r="BA674" s="28"/>
      <c r="BB674" s="41" t="s">
        <v>99</v>
      </c>
      <c r="BC674" s="45">
        <v>0</v>
      </c>
      <c r="BD674" s="45">
        <v>0</v>
      </c>
      <c r="BE674" s="42">
        <v>0</v>
      </c>
      <c r="BF674" s="45">
        <v>0</v>
      </c>
      <c r="BG674" s="40">
        <v>0</v>
      </c>
      <c r="BH674" s="45">
        <v>43499</v>
      </c>
      <c r="BI674" s="56">
        <v>12223</v>
      </c>
      <c r="BJ674" s="52">
        <v>24</v>
      </c>
      <c r="BK674" s="37" t="s">
        <v>100</v>
      </c>
      <c r="BL674" s="40"/>
    </row>
    <row r="675" spans="1:65" ht="15" thickBot="1" x14ac:dyDescent="0.35">
      <c r="A675" s="33"/>
      <c r="B675" s="33"/>
      <c r="C675" s="35"/>
      <c r="D675" s="34"/>
      <c r="E675" s="34"/>
      <c r="F675" s="34"/>
      <c r="G675" s="32"/>
      <c r="H675" s="6" t="s">
        <v>87</v>
      </c>
      <c r="I675" s="34"/>
      <c r="J675" s="35"/>
      <c r="K675" s="28"/>
      <c r="L675" s="12" t="s">
        <v>88</v>
      </c>
      <c r="M675" s="37">
        <v>300</v>
      </c>
      <c r="N675" s="37">
        <v>0</v>
      </c>
      <c r="O675" s="10"/>
      <c r="P675" s="18"/>
      <c r="Q675" s="11"/>
      <c r="R675" s="18"/>
      <c r="S675" s="18"/>
      <c r="T675" s="33" t="s">
        <v>6</v>
      </c>
      <c r="U675" s="31"/>
      <c r="V675" s="7"/>
      <c r="W675" s="28"/>
      <c r="AB675" s="6" t="s">
        <v>89</v>
      </c>
      <c r="AC675" s="6">
        <v>35</v>
      </c>
      <c r="AD675" s="7">
        <v>30</v>
      </c>
      <c r="AE675" s="8"/>
      <c r="AF675" s="8"/>
      <c r="AG675" s="8"/>
      <c r="AH675" s="6"/>
      <c r="AI675" s="7"/>
      <c r="AJ675" s="9"/>
      <c r="AK675" s="31" t="s">
        <v>90</v>
      </c>
      <c r="AL675" s="8"/>
      <c r="AM675" s="7"/>
      <c r="AP675" s="13" t="s">
        <v>84</v>
      </c>
      <c r="AQ675" s="13">
        <f>SUM(AQ668:AQ674)</f>
        <v>805</v>
      </c>
      <c r="AR675" s="26">
        <f>SUM(AR668:AR674)</f>
        <v>746</v>
      </c>
      <c r="AT675" s="18"/>
      <c r="AU675" s="13"/>
      <c r="AV675" s="27"/>
      <c r="AW675" s="27"/>
      <c r="AX675" s="27"/>
      <c r="AY675" s="26">
        <f>SUM(AV670:AV671)</f>
        <v>95</v>
      </c>
      <c r="AZ675" s="28"/>
      <c r="BA675" s="28"/>
      <c r="BB675" s="17" t="s">
        <v>84</v>
      </c>
      <c r="BC675" s="18">
        <f>SUM(BC673:BC674)</f>
        <v>60</v>
      </c>
      <c r="BD675" s="18">
        <f>SUM(BD673:BD674)</f>
        <v>61</v>
      </c>
      <c r="BE675" s="13"/>
      <c r="BF675" s="27"/>
      <c r="BG675" s="26"/>
      <c r="BH675" s="58"/>
      <c r="BI675" s="27"/>
      <c r="BJ675" s="59"/>
      <c r="BK675" s="48" t="s">
        <v>506</v>
      </c>
      <c r="BL675" s="60">
        <f>SUM(BJ674:BJ675)</f>
        <v>24</v>
      </c>
    </row>
    <row r="676" spans="1:65" x14ac:dyDescent="0.3">
      <c r="A676" s="36" t="s">
        <v>93</v>
      </c>
      <c r="B676" s="36">
        <v>1956</v>
      </c>
      <c r="C676" s="11">
        <v>2625</v>
      </c>
      <c r="D676" s="37"/>
      <c r="E676" s="38" t="s">
        <v>60</v>
      </c>
      <c r="F676" s="37"/>
      <c r="G676" s="12">
        <v>4381</v>
      </c>
      <c r="H676" s="36">
        <v>29</v>
      </c>
      <c r="I676" s="37" t="s">
        <v>94</v>
      </c>
      <c r="J676" s="40"/>
      <c r="K676" s="28"/>
      <c r="L676" s="44" t="s">
        <v>95</v>
      </c>
      <c r="M676" s="37">
        <v>0</v>
      </c>
      <c r="N676" s="37">
        <v>0</v>
      </c>
      <c r="O676" s="10"/>
      <c r="P676" s="18"/>
      <c r="Q676" s="11"/>
      <c r="R676" s="18"/>
      <c r="S676" s="18"/>
      <c r="T676" s="10" t="s">
        <v>96</v>
      </c>
      <c r="U676" s="37"/>
      <c r="V676" s="11"/>
      <c r="W676" s="28"/>
      <c r="AB676" s="36" t="s">
        <v>97</v>
      </c>
      <c r="AC676" s="10">
        <v>0</v>
      </c>
      <c r="AD676" s="11">
        <v>0</v>
      </c>
      <c r="AE676" s="18">
        <v>0</v>
      </c>
      <c r="AF676" s="18">
        <v>0</v>
      </c>
      <c r="AG676" s="18">
        <v>0</v>
      </c>
      <c r="AH676" s="36">
        <v>0</v>
      </c>
      <c r="AI676" s="11">
        <v>0</v>
      </c>
      <c r="AJ676" s="12">
        <v>0</v>
      </c>
      <c r="AK676" s="37">
        <v>1</v>
      </c>
      <c r="AL676" s="37" t="s">
        <v>529</v>
      </c>
      <c r="AM676" s="11"/>
      <c r="AP676" s="32" t="s">
        <v>6</v>
      </c>
      <c r="AQ676" s="43"/>
      <c r="AR676" s="54"/>
      <c r="AS676" s="33"/>
      <c r="AT676" s="35"/>
      <c r="AU676" s="33"/>
      <c r="AV676" s="34" t="s">
        <v>91</v>
      </c>
      <c r="AW676" s="34"/>
      <c r="AX676" s="34"/>
      <c r="AY676" s="35"/>
      <c r="AZ676" s="28" t="s">
        <v>6</v>
      </c>
      <c r="BA676" s="28"/>
      <c r="BB676" s="32" t="s">
        <v>107</v>
      </c>
      <c r="BC676" s="63">
        <v>0</v>
      </c>
      <c r="BD676" s="64">
        <v>0</v>
      </c>
      <c r="BE676" s="33"/>
      <c r="BF676" s="8"/>
      <c r="BG676" s="35"/>
      <c r="BH676" s="65"/>
      <c r="BI676" s="66"/>
      <c r="BJ676" s="29"/>
      <c r="BK676" s="31" t="s">
        <v>57</v>
      </c>
      <c r="BL676" s="35"/>
    </row>
    <row r="677" spans="1:65" ht="15" thickBot="1" x14ac:dyDescent="0.35">
      <c r="A677" s="47"/>
      <c r="B677" s="47"/>
      <c r="C677" s="49"/>
      <c r="D677" s="48"/>
      <c r="E677" s="48"/>
      <c r="F677" s="48"/>
      <c r="G677" s="46"/>
      <c r="H677" s="47">
        <v>1</v>
      </c>
      <c r="I677" s="48" t="s">
        <v>101</v>
      </c>
      <c r="J677" s="49">
        <f>SUM(H676:H677)</f>
        <v>30</v>
      </c>
      <c r="K677" s="28"/>
      <c r="L677" s="12" t="s">
        <v>102</v>
      </c>
      <c r="M677" s="18">
        <v>0</v>
      </c>
      <c r="N677" s="18">
        <v>0</v>
      </c>
      <c r="O677" s="10"/>
      <c r="P677" s="18"/>
      <c r="Q677" s="11"/>
      <c r="R677" s="18"/>
      <c r="S677" s="18"/>
      <c r="T677" s="10"/>
      <c r="U677" s="18"/>
      <c r="V677" s="11"/>
      <c r="W677" s="28"/>
      <c r="AB677" s="47" t="s">
        <v>84</v>
      </c>
      <c r="AC677" s="13">
        <f>SUM(AC675:AC676)</f>
        <v>35</v>
      </c>
      <c r="AD677" s="26">
        <f>SUM(AD675:AD676)</f>
        <v>30</v>
      </c>
      <c r="AE677" s="27"/>
      <c r="AF677" s="27"/>
      <c r="AG677" s="27"/>
      <c r="AH677" s="13"/>
      <c r="AI677" s="26"/>
      <c r="AJ677" s="17"/>
      <c r="AK677" s="57"/>
      <c r="AL677" s="37" t="s">
        <v>145</v>
      </c>
      <c r="AM677" s="11"/>
      <c r="AP677" s="41" t="s">
        <v>56</v>
      </c>
      <c r="AQ677" s="43">
        <v>938</v>
      </c>
      <c r="AR677" s="54">
        <v>933</v>
      </c>
      <c r="AS677" s="42"/>
      <c r="AT677" s="40"/>
      <c r="AU677" s="42"/>
      <c r="AV677" s="28"/>
      <c r="AW677" s="28"/>
      <c r="AX677" s="28"/>
      <c r="AY677" s="40"/>
      <c r="AZ677" s="28"/>
      <c r="BA677" s="28"/>
      <c r="BB677" s="41" t="s">
        <v>113</v>
      </c>
      <c r="BC677" s="70">
        <v>0</v>
      </c>
      <c r="BD677" s="71">
        <v>0</v>
      </c>
      <c r="BE677" s="42"/>
      <c r="BF677" s="28"/>
      <c r="BG677" s="40"/>
      <c r="BH677" s="42"/>
      <c r="BI677" s="40"/>
      <c r="BJ677" s="42"/>
      <c r="BK677" s="54" t="s">
        <v>530</v>
      </c>
      <c r="BL677" s="40"/>
    </row>
    <row r="678" spans="1:65" ht="15" thickBot="1" x14ac:dyDescent="0.35">
      <c r="A678" s="29" t="s">
        <v>250</v>
      </c>
      <c r="B678" s="29">
        <v>0</v>
      </c>
      <c r="C678" s="7">
        <v>0</v>
      </c>
      <c r="D678" s="8"/>
      <c r="E678" s="8"/>
      <c r="F678" s="8"/>
      <c r="G678" s="9"/>
      <c r="H678" s="8" t="s">
        <v>104</v>
      </c>
      <c r="I678" s="8"/>
      <c r="J678" s="7"/>
      <c r="K678" s="28"/>
      <c r="L678" s="12" t="s">
        <v>84</v>
      </c>
      <c r="M678" s="18">
        <f>SUM(M675:M677)</f>
        <v>300</v>
      </c>
      <c r="N678" s="18">
        <f>SUM(N675:N677)</f>
        <v>0</v>
      </c>
      <c r="O678" s="10">
        <v>0</v>
      </c>
      <c r="P678" s="18">
        <v>0</v>
      </c>
      <c r="Q678" s="11">
        <v>0</v>
      </c>
      <c r="R678" s="18">
        <v>0</v>
      </c>
      <c r="S678" s="18">
        <v>0</v>
      </c>
      <c r="T678" s="13"/>
      <c r="U678" s="27"/>
      <c r="V678" s="26"/>
      <c r="W678" s="28"/>
      <c r="AB678" s="44"/>
      <c r="AC678" s="18"/>
      <c r="AD678" s="18"/>
      <c r="AE678" s="10"/>
      <c r="AF678" s="18"/>
      <c r="AG678" s="11"/>
      <c r="AH678" s="10"/>
      <c r="AI678" s="11"/>
      <c r="AJ678" s="6"/>
      <c r="AK678" s="33" t="s">
        <v>6</v>
      </c>
      <c r="AL678" s="61" t="s">
        <v>6</v>
      </c>
      <c r="AM678" s="7"/>
      <c r="AP678" s="62" t="s">
        <v>6</v>
      </c>
      <c r="AQ678" s="43"/>
      <c r="AR678" s="43"/>
      <c r="AS678" s="47"/>
      <c r="AT678" s="49"/>
      <c r="AU678" s="47"/>
      <c r="AV678" s="48">
        <v>82</v>
      </c>
      <c r="AW678" s="48" t="s">
        <v>73</v>
      </c>
      <c r="AX678" s="48"/>
      <c r="AY678" s="49">
        <f>SUM(AV678)</f>
        <v>82</v>
      </c>
      <c r="AZ678" s="28" t="s">
        <v>6</v>
      </c>
      <c r="BA678" s="28" t="s">
        <v>6</v>
      </c>
      <c r="BB678" s="68" t="s">
        <v>84</v>
      </c>
      <c r="BC678">
        <f>SUM(BC676:BC677)</f>
        <v>0</v>
      </c>
      <c r="BD678">
        <f>SUM(BD676:BD677)</f>
        <v>0</v>
      </c>
      <c r="BE678" s="47">
        <v>0</v>
      </c>
      <c r="BF678" s="27">
        <v>0</v>
      </c>
      <c r="BG678" s="49">
        <v>0</v>
      </c>
      <c r="BH678" s="75">
        <v>0</v>
      </c>
      <c r="BI678" s="49">
        <v>0</v>
      </c>
      <c r="BJ678" s="47"/>
      <c r="BK678" s="51" t="s">
        <v>73</v>
      </c>
      <c r="BL678" s="49">
        <f>SUM(BJ677:BJ678)</f>
        <v>0</v>
      </c>
    </row>
    <row r="679" spans="1:65" x14ac:dyDescent="0.3">
      <c r="A679" s="42" t="s">
        <v>105</v>
      </c>
      <c r="B679" s="42">
        <v>262</v>
      </c>
      <c r="C679" s="40">
        <v>339</v>
      </c>
      <c r="D679" s="28"/>
      <c r="E679" s="38" t="s">
        <v>60</v>
      </c>
      <c r="F679" s="28"/>
      <c r="G679" s="41">
        <f>9*72</f>
        <v>648</v>
      </c>
      <c r="H679" s="67">
        <v>9</v>
      </c>
      <c r="I679" s="43" t="s">
        <v>106</v>
      </c>
      <c r="J679" s="40">
        <f>SUM(H679)</f>
        <v>9</v>
      </c>
      <c r="K679" s="28"/>
      <c r="L679" s="32"/>
      <c r="M679" s="33"/>
      <c r="N679" s="35"/>
      <c r="O679" s="34"/>
      <c r="P679" s="34"/>
      <c r="Q679" s="35"/>
      <c r="R679" s="33"/>
      <c r="S679" s="35"/>
      <c r="T679" s="6" t="s">
        <v>104</v>
      </c>
      <c r="U679" s="34"/>
      <c r="V679" s="35"/>
      <c r="W679" s="28"/>
      <c r="AB679" s="41" t="s">
        <v>6</v>
      </c>
      <c r="AC679" s="18"/>
      <c r="AD679" s="18"/>
      <c r="AE679" s="10">
        <v>0</v>
      </c>
      <c r="AF679" s="18">
        <v>0</v>
      </c>
      <c r="AG679" s="11">
        <v>0</v>
      </c>
      <c r="AH679" s="10"/>
      <c r="AI679" s="11"/>
      <c r="AJ679" s="10">
        <v>0</v>
      </c>
      <c r="AK679" s="10"/>
      <c r="AL679" s="37" t="s">
        <v>6</v>
      </c>
      <c r="AM679" s="11"/>
      <c r="AP679" s="10"/>
      <c r="AQ679" s="29"/>
      <c r="AR679" s="31"/>
      <c r="AS679" s="33"/>
      <c r="AT679" s="7"/>
      <c r="AU679" s="8"/>
      <c r="AV679" s="8"/>
      <c r="AW679" s="8"/>
      <c r="AX679" s="8"/>
      <c r="AY679" s="7"/>
      <c r="AZ679" s="28"/>
      <c r="BA679" s="28" t="s">
        <v>6</v>
      </c>
      <c r="BB679" s="33" t="s">
        <v>557</v>
      </c>
      <c r="BC679" s="78">
        <v>77</v>
      </c>
      <c r="BD679" s="79">
        <v>127</v>
      </c>
      <c r="BE679" s="34"/>
      <c r="BF679" s="8"/>
      <c r="BG679" s="35">
        <v>18</v>
      </c>
      <c r="BH679" s="80"/>
      <c r="BI679" s="34"/>
      <c r="BJ679" s="33"/>
      <c r="BK679" s="34" t="s">
        <v>91</v>
      </c>
      <c r="BL679" s="35"/>
    </row>
    <row r="680" spans="1:65" ht="15" thickBot="1" x14ac:dyDescent="0.35">
      <c r="A680" s="67" t="s">
        <v>84</v>
      </c>
      <c r="B680" s="47">
        <f>SUM(B678:B679)</f>
        <v>262</v>
      </c>
      <c r="C680" s="49">
        <f>SUM(C678:C679)</f>
        <v>339</v>
      </c>
      <c r="G680" s="46"/>
      <c r="H680" s="48"/>
      <c r="I680" s="48"/>
      <c r="J680" s="49"/>
      <c r="K680" s="28"/>
      <c r="L680" s="69" t="s">
        <v>109</v>
      </c>
      <c r="M680" s="42">
        <v>0</v>
      </c>
      <c r="N680" s="40">
        <v>0</v>
      </c>
      <c r="O680" s="28">
        <v>0</v>
      </c>
      <c r="P680" s="43">
        <v>0</v>
      </c>
      <c r="Q680" s="40">
        <v>0</v>
      </c>
      <c r="R680" s="42">
        <v>0</v>
      </c>
      <c r="S680" s="40">
        <v>0</v>
      </c>
      <c r="T680" s="28"/>
      <c r="U680" s="28"/>
      <c r="V680" s="40"/>
      <c r="W680" s="28"/>
      <c r="AA680" s="28"/>
      <c r="AB680" s="44"/>
      <c r="AC680" s="45"/>
      <c r="AD680" s="45"/>
      <c r="AE680" s="10">
        <v>0</v>
      </c>
      <c r="AF680" s="18">
        <v>0</v>
      </c>
      <c r="AG680" s="11">
        <v>0</v>
      </c>
      <c r="AH680" s="10"/>
      <c r="AI680" s="11"/>
      <c r="AJ680" s="67"/>
      <c r="AK680" s="42"/>
      <c r="AL680" s="54"/>
      <c r="AM680" s="40"/>
      <c r="AN680" s="28"/>
      <c r="AP680" s="36" t="s">
        <v>63</v>
      </c>
      <c r="AQ680" s="10">
        <v>65</v>
      </c>
      <c r="AR680" s="18">
        <v>59</v>
      </c>
      <c r="AS680" s="42"/>
      <c r="AT680" s="11"/>
      <c r="AU680" s="18"/>
      <c r="AV680" s="18" t="s">
        <v>110</v>
      </c>
      <c r="AW680" s="18" t="s">
        <v>111</v>
      </c>
      <c r="AX680" s="18" t="s">
        <v>112</v>
      </c>
      <c r="AY680" s="11"/>
      <c r="AZ680" s="45"/>
      <c r="BA680" s="28"/>
      <c r="BB680" s="52" t="s">
        <v>531</v>
      </c>
      <c r="BC680" s="42">
        <v>0</v>
      </c>
      <c r="BD680" s="40">
        <v>0</v>
      </c>
      <c r="BE680" s="28"/>
      <c r="BF680" s="28"/>
      <c r="BG680" s="40"/>
      <c r="BJ680" s="42"/>
      <c r="BK680" s="28"/>
      <c r="BL680" s="40"/>
    </row>
    <row r="681" spans="1:65" ht="15" thickBot="1" x14ac:dyDescent="0.35">
      <c r="A681" s="29" t="s">
        <v>108</v>
      </c>
      <c r="B681" s="29">
        <v>0</v>
      </c>
      <c r="C681" s="7">
        <v>0</v>
      </c>
      <c r="D681" s="8"/>
      <c r="E681" s="8">
        <v>1639</v>
      </c>
      <c r="F681" s="8"/>
      <c r="G681" s="50"/>
      <c r="H681" s="6" t="s">
        <v>104</v>
      </c>
      <c r="I681" s="31"/>
      <c r="J681" s="30"/>
      <c r="K681" s="28"/>
      <c r="L681" s="46"/>
      <c r="M681" s="47"/>
      <c r="N681" s="49"/>
      <c r="O681" s="48"/>
      <c r="P681" s="48"/>
      <c r="Q681" s="49"/>
      <c r="R681" s="72"/>
      <c r="S681" s="73"/>
      <c r="T681" s="48"/>
      <c r="U681" s="48"/>
      <c r="V681" s="49"/>
      <c r="W681" s="28"/>
      <c r="AA681" s="28"/>
      <c r="AB681" s="41"/>
      <c r="AE681" s="10">
        <v>0</v>
      </c>
      <c r="AF681" s="18">
        <v>0</v>
      </c>
      <c r="AG681" s="11">
        <v>0</v>
      </c>
      <c r="AH681" s="10"/>
      <c r="AI681" s="11"/>
      <c r="AJ681" s="47"/>
      <c r="AK681" s="72"/>
      <c r="AL681" s="74"/>
      <c r="AM681" s="49"/>
      <c r="AN681" s="28"/>
      <c r="AP681" s="10" t="s">
        <v>115</v>
      </c>
      <c r="AQ681" s="36">
        <v>65</v>
      </c>
      <c r="AR681" s="37">
        <v>42</v>
      </c>
      <c r="AS681" s="42"/>
      <c r="AT681" s="11"/>
      <c r="AU681" s="18"/>
      <c r="AV681" s="18"/>
      <c r="AW681" s="18"/>
      <c r="AX681" s="18"/>
      <c r="AY681" s="11"/>
      <c r="AZ681" s="28"/>
      <c r="BA681" s="28" t="s">
        <v>6</v>
      </c>
      <c r="BB681" s="67" t="s">
        <v>113</v>
      </c>
      <c r="BC681" s="42">
        <v>610</v>
      </c>
      <c r="BD681" s="40">
        <v>607</v>
      </c>
      <c r="BE681" s="28"/>
      <c r="BF681" s="28"/>
      <c r="BG681" s="40"/>
      <c r="BH681" s="28"/>
      <c r="BI681" s="28"/>
      <c r="BJ681" s="67">
        <v>51</v>
      </c>
      <c r="BK681" s="43" t="s">
        <v>73</v>
      </c>
      <c r="BL681" s="40"/>
    </row>
    <row r="682" spans="1:65" ht="15" thickBot="1" x14ac:dyDescent="0.35">
      <c r="A682" s="52" t="s">
        <v>109</v>
      </c>
      <c r="B682" s="36">
        <v>1118</v>
      </c>
      <c r="C682" s="11">
        <v>717</v>
      </c>
      <c r="D682" s="45"/>
      <c r="E682" s="45">
        <v>0</v>
      </c>
      <c r="F682" s="45"/>
      <c r="G682" s="69"/>
      <c r="H682" s="45">
        <v>9</v>
      </c>
      <c r="I682" s="28" t="s">
        <v>114</v>
      </c>
      <c r="J682" s="40"/>
      <c r="K682" s="28"/>
      <c r="L682" s="50" t="s">
        <v>93</v>
      </c>
      <c r="M682" s="8">
        <v>426</v>
      </c>
      <c r="N682" s="8">
        <v>0</v>
      </c>
      <c r="O682" s="6"/>
      <c r="P682" s="8"/>
      <c r="Q682" s="7"/>
      <c r="R682" s="8">
        <v>0</v>
      </c>
      <c r="S682" s="8">
        <v>0</v>
      </c>
      <c r="T682" s="10" t="s">
        <v>116</v>
      </c>
      <c r="U682" s="8"/>
      <c r="V682" s="7"/>
      <c r="W682" s="28"/>
      <c r="AA682" s="28"/>
      <c r="AB682" s="32"/>
      <c r="AC682" s="6"/>
      <c r="AD682" s="7"/>
      <c r="AE682" s="8"/>
      <c r="AF682" s="8"/>
      <c r="AG682" s="8"/>
      <c r="AH682" s="6"/>
      <c r="AI682" s="7"/>
      <c r="AJ682" s="8"/>
      <c r="AK682" s="36"/>
      <c r="AL682" s="77" t="s">
        <v>117</v>
      </c>
      <c r="AM682" s="11"/>
      <c r="AN682" s="28"/>
      <c r="AP682" s="52" t="s">
        <v>72</v>
      </c>
      <c r="AQ682" s="52">
        <v>0</v>
      </c>
      <c r="AR682" s="54">
        <v>3</v>
      </c>
      <c r="AS682" s="42"/>
      <c r="AT682" s="40"/>
      <c r="AU682" s="28"/>
      <c r="AV682" s="28"/>
      <c r="AW682" s="28"/>
      <c r="AX682" s="28"/>
      <c r="AY682" s="40"/>
      <c r="AZ682" s="28"/>
      <c r="BA682" s="28"/>
      <c r="BB682" s="47" t="s">
        <v>84</v>
      </c>
      <c r="BC682" s="47">
        <f>SUM(BC679:BC681)</f>
        <v>687</v>
      </c>
      <c r="BD682" s="49">
        <f>SUM(BD679:BD681)</f>
        <v>734</v>
      </c>
      <c r="BE682" s="81">
        <v>0</v>
      </c>
      <c r="BF682" s="27">
        <v>0</v>
      </c>
      <c r="BG682" s="82">
        <f>+BG679</f>
        <v>18</v>
      </c>
      <c r="BH682" s="74">
        <v>0</v>
      </c>
      <c r="BI682" s="74">
        <v>0</v>
      </c>
      <c r="BJ682" s="47"/>
      <c r="BK682" s="51"/>
      <c r="BL682" s="49">
        <f>SUM(BJ681)</f>
        <v>51</v>
      </c>
    </row>
    <row r="683" spans="1:65" ht="15" thickBot="1" x14ac:dyDescent="0.35">
      <c r="A683" s="76" t="s">
        <v>84</v>
      </c>
      <c r="B683" s="42">
        <f>SUM(B681:B682)</f>
        <v>1118</v>
      </c>
      <c r="C683" s="40">
        <f>SUM(C681:C682)</f>
        <v>717</v>
      </c>
      <c r="D683" s="28"/>
      <c r="E683" s="28">
        <f>SUM(E681:E682)</f>
        <v>1639</v>
      </c>
      <c r="F683" s="28"/>
      <c r="G683" s="46">
        <f>355*9</f>
        <v>3195</v>
      </c>
      <c r="H683" s="48"/>
      <c r="I683" s="48"/>
      <c r="J683" s="49">
        <f>SUM(H682)</f>
        <v>9</v>
      </c>
      <c r="K683" s="28"/>
      <c r="L683" s="12" t="s">
        <v>99</v>
      </c>
      <c r="M683" s="37">
        <v>49612</v>
      </c>
      <c r="N683" s="37">
        <v>12460</v>
      </c>
      <c r="O683" s="10"/>
      <c r="P683" s="18"/>
      <c r="Q683" s="11"/>
      <c r="R683" s="18">
        <v>6947</v>
      </c>
      <c r="S683" s="18">
        <v>238</v>
      </c>
      <c r="T683" s="10"/>
      <c r="U683" s="18"/>
      <c r="V683" s="11"/>
      <c r="W683" s="28"/>
      <c r="AA683" s="28"/>
      <c r="AB683" s="68"/>
      <c r="AC683" s="42"/>
      <c r="AD683" s="40"/>
      <c r="AH683" s="42"/>
      <c r="AI683" s="40"/>
      <c r="AK683" s="42"/>
      <c r="AL683" s="54" t="s">
        <v>558</v>
      </c>
      <c r="AM683" s="40"/>
      <c r="AN683" s="28"/>
      <c r="AP683" s="36" t="s">
        <v>78</v>
      </c>
      <c r="AQ683" s="36">
        <v>50</v>
      </c>
      <c r="AR683" s="37">
        <v>57</v>
      </c>
      <c r="AS683" s="42"/>
      <c r="AT683" s="11"/>
      <c r="AU683" s="18"/>
      <c r="AV683" s="37"/>
      <c r="AW683" s="18"/>
      <c r="AX683" s="37"/>
      <c r="AY683" s="11"/>
      <c r="AZ683" s="28"/>
      <c r="BA683" s="28"/>
      <c r="BB683" s="52" t="s">
        <v>113</v>
      </c>
      <c r="BC683" s="42">
        <v>731</v>
      </c>
      <c r="BD683" s="85">
        <v>679</v>
      </c>
      <c r="BE683" s="37"/>
      <c r="BF683" s="18"/>
      <c r="BG683" s="54"/>
      <c r="BH683" s="52"/>
      <c r="BI683" s="40"/>
      <c r="BJ683" s="67"/>
      <c r="BK683" s="34" t="s">
        <v>130</v>
      </c>
      <c r="BL683" s="40"/>
    </row>
    <row r="684" spans="1:65" x14ac:dyDescent="0.3">
      <c r="A684" s="32" t="s">
        <v>93</v>
      </c>
      <c r="B684" s="33">
        <v>3436</v>
      </c>
      <c r="C684" s="35">
        <v>3746</v>
      </c>
      <c r="D684" s="33"/>
      <c r="E684" s="34"/>
      <c r="F684" s="34"/>
      <c r="G684" s="32"/>
      <c r="H684" s="33" t="s">
        <v>118</v>
      </c>
      <c r="I684" s="34"/>
      <c r="J684" s="35"/>
      <c r="K684" s="28"/>
      <c r="L684" s="12" t="s">
        <v>120</v>
      </c>
      <c r="M684" s="37">
        <v>17313</v>
      </c>
      <c r="N684" s="37">
        <v>92679</v>
      </c>
      <c r="O684" s="10"/>
      <c r="P684" s="18"/>
      <c r="Q684" s="11"/>
      <c r="R684" s="18">
        <v>774</v>
      </c>
      <c r="S684" s="18">
        <v>0</v>
      </c>
      <c r="T684" s="10"/>
      <c r="U684" s="18"/>
      <c r="V684" s="11"/>
      <c r="W684" s="28"/>
      <c r="AA684" s="28"/>
      <c r="AB684" s="44"/>
      <c r="AC684" s="10"/>
      <c r="AD684" s="11"/>
      <c r="AE684" s="18"/>
      <c r="AF684" s="18"/>
      <c r="AG684" s="18"/>
      <c r="AH684" s="10"/>
      <c r="AI684" s="11"/>
      <c r="AJ684" s="18"/>
      <c r="AK684" s="10"/>
      <c r="AL684" s="37" t="s">
        <v>302</v>
      </c>
      <c r="AM684" s="11"/>
      <c r="AN684" s="28"/>
      <c r="AP684" s="10" t="s">
        <v>122</v>
      </c>
      <c r="AQ684" s="36">
        <v>21</v>
      </c>
      <c r="AR684" s="37">
        <v>17</v>
      </c>
      <c r="AS684" s="42"/>
      <c r="AT684" s="11"/>
      <c r="AU684" s="18"/>
      <c r="AV684" s="18">
        <v>12</v>
      </c>
      <c r="AW684" s="18" t="s">
        <v>123</v>
      </c>
      <c r="AX684" s="18"/>
      <c r="AY684" s="11"/>
      <c r="AZ684" s="28"/>
      <c r="BA684" s="28"/>
      <c r="BB684" s="42" t="s">
        <v>475</v>
      </c>
      <c r="BC684" s="67">
        <v>0</v>
      </c>
      <c r="BD684" s="85">
        <v>0</v>
      </c>
      <c r="BE684" s="28"/>
      <c r="BF684" s="18"/>
      <c r="BG684" s="28"/>
      <c r="BH684" s="52"/>
      <c r="BI684" s="86"/>
      <c r="BJ684" s="52">
        <v>50</v>
      </c>
      <c r="BK684" s="43" t="s">
        <v>73</v>
      </c>
      <c r="BL684" s="40"/>
      <c r="BM684" t="s">
        <v>6</v>
      </c>
    </row>
    <row r="685" spans="1:65" ht="15" thickBot="1" x14ac:dyDescent="0.35">
      <c r="A685" s="41" t="s">
        <v>120</v>
      </c>
      <c r="B685" s="42">
        <v>3150</v>
      </c>
      <c r="C685" s="40">
        <v>3064</v>
      </c>
      <c r="D685" s="42"/>
      <c r="E685" s="28" t="s">
        <v>60</v>
      </c>
      <c r="F685" s="28"/>
      <c r="G685" s="41"/>
      <c r="H685" s="42">
        <v>49</v>
      </c>
      <c r="I685" s="28" t="s">
        <v>101</v>
      </c>
      <c r="J685" s="40"/>
      <c r="K685" s="28"/>
      <c r="L685" s="12" t="s">
        <v>84</v>
      </c>
      <c r="M685" s="18">
        <f>SUM(M682:M684)</f>
        <v>67351</v>
      </c>
      <c r="N685" s="18">
        <f>SUM(N682:N684)</f>
        <v>105139</v>
      </c>
      <c r="O685" s="10">
        <v>0</v>
      </c>
      <c r="P685" s="18">
        <v>0</v>
      </c>
      <c r="Q685" s="11">
        <v>0</v>
      </c>
      <c r="R685" s="18">
        <f>SUM(R682:R684)</f>
        <v>7721</v>
      </c>
      <c r="S685" s="18">
        <f>SUM(S682:S684)</f>
        <v>238</v>
      </c>
      <c r="T685" s="10"/>
      <c r="U685" s="18"/>
      <c r="V685" s="11"/>
      <c r="W685" s="28"/>
      <c r="AA685" s="28"/>
      <c r="AB685" s="46"/>
      <c r="AC685" s="47"/>
      <c r="AD685" s="49"/>
      <c r="AE685" s="48"/>
      <c r="AF685" s="48"/>
      <c r="AG685" s="48"/>
      <c r="AH685" s="47"/>
      <c r="AI685" s="49"/>
      <c r="AJ685" s="48"/>
      <c r="AK685" s="47">
        <v>2</v>
      </c>
      <c r="AL685" s="48" t="s">
        <v>124</v>
      </c>
      <c r="AM685" s="49"/>
      <c r="AN685" s="28"/>
      <c r="AP685" s="10" t="s">
        <v>125</v>
      </c>
      <c r="AQ685" s="36">
        <v>0</v>
      </c>
      <c r="AR685" s="37">
        <v>1</v>
      </c>
      <c r="AS685" s="42"/>
      <c r="AT685" s="11"/>
      <c r="AU685" s="18"/>
      <c r="AV685" s="18">
        <v>28</v>
      </c>
      <c r="AW685" s="18" t="s">
        <v>126</v>
      </c>
      <c r="AX685" s="18"/>
      <c r="AY685" s="11"/>
      <c r="AZ685" s="28"/>
      <c r="BA685" s="28"/>
      <c r="BB685" s="59" t="s">
        <v>84</v>
      </c>
      <c r="BC685" s="13">
        <f>SUM(BC683:BC684)</f>
        <v>731</v>
      </c>
      <c r="BD685" s="60">
        <f>SUM(BD683:BD684)</f>
        <v>679</v>
      </c>
      <c r="BE685" s="81">
        <v>0</v>
      </c>
      <c r="BF685" s="27">
        <v>0</v>
      </c>
      <c r="BG685" s="27">
        <v>0</v>
      </c>
      <c r="BH685" s="13">
        <v>0</v>
      </c>
      <c r="BI685" s="26">
        <v>0</v>
      </c>
      <c r="BJ685" s="13"/>
      <c r="BK685" s="43"/>
      <c r="BL685" s="26">
        <f>SUM(BJ683:BJ684)</f>
        <v>50</v>
      </c>
    </row>
    <row r="686" spans="1:65" ht="15" thickBot="1" x14ac:dyDescent="0.35">
      <c r="A686" s="46" t="s">
        <v>84</v>
      </c>
      <c r="B686" s="47">
        <f>SUM(B684:B685)</f>
        <v>6586</v>
      </c>
      <c r="C686" s="49">
        <f>SUM(C684:C685)</f>
        <v>6810</v>
      </c>
      <c r="D686" s="47"/>
      <c r="E686" s="48"/>
      <c r="F686" s="48"/>
      <c r="G686" s="46">
        <v>9650</v>
      </c>
      <c r="H686" s="47">
        <v>23</v>
      </c>
      <c r="I686" s="48" t="s">
        <v>127</v>
      </c>
      <c r="J686" s="49">
        <f>SUM(H685:H686)</f>
        <v>72</v>
      </c>
      <c r="K686" s="28"/>
      <c r="L686" s="17"/>
      <c r="M686" s="27"/>
      <c r="N686" s="27"/>
      <c r="O686" s="13"/>
      <c r="P686" s="27"/>
      <c r="Q686" s="26"/>
      <c r="R686" s="27"/>
      <c r="S686" s="27"/>
      <c r="T686" s="13"/>
      <c r="U686" s="27"/>
      <c r="V686" s="26"/>
      <c r="W686" s="28"/>
      <c r="AA686" s="28"/>
      <c r="AB686" s="32"/>
      <c r="AE686" s="33"/>
      <c r="AF686" s="34"/>
      <c r="AG686" s="34"/>
      <c r="AH686" s="33"/>
      <c r="AI686" s="35"/>
      <c r="AJ686" s="32"/>
      <c r="AK686" s="83"/>
      <c r="AL686" s="34"/>
      <c r="AM686" s="35"/>
      <c r="AN686" s="28"/>
      <c r="AP686" s="84" t="s">
        <v>128</v>
      </c>
      <c r="AQ686" s="52">
        <v>0</v>
      </c>
      <c r="AR686" s="37">
        <v>0</v>
      </c>
      <c r="AS686" s="42"/>
      <c r="AT686" s="40"/>
      <c r="AU686" s="28"/>
      <c r="AV686" s="28">
        <v>37</v>
      </c>
      <c r="AW686" s="28" t="s">
        <v>129</v>
      </c>
      <c r="AX686" s="28"/>
      <c r="AY686" s="40"/>
      <c r="BA686" s="28"/>
      <c r="BB686" s="88" t="s">
        <v>139</v>
      </c>
      <c r="BC686" s="33">
        <v>1</v>
      </c>
      <c r="BD686" s="34">
        <v>1</v>
      </c>
      <c r="BE686" s="152"/>
      <c r="BF686" s="89"/>
      <c r="BG686" s="66"/>
      <c r="BH686" s="8"/>
      <c r="BI686" s="35"/>
      <c r="BJ686" s="34" t="s">
        <v>140</v>
      </c>
      <c r="BK686" s="34"/>
      <c r="BL686" s="35"/>
    </row>
    <row r="687" spans="1:65" ht="15" thickBot="1" x14ac:dyDescent="0.35">
      <c r="A687" s="41" t="s">
        <v>88</v>
      </c>
      <c r="B687" s="42">
        <v>291</v>
      </c>
      <c r="C687" s="40">
        <v>429</v>
      </c>
      <c r="D687" s="28"/>
      <c r="E687" s="45">
        <v>0</v>
      </c>
      <c r="F687" s="40"/>
      <c r="G687" s="40"/>
      <c r="H687" s="28" t="s">
        <v>131</v>
      </c>
      <c r="J687" s="40"/>
      <c r="K687" s="28"/>
      <c r="L687" s="12" t="s">
        <v>105</v>
      </c>
      <c r="M687" s="34">
        <v>1924</v>
      </c>
      <c r="N687" s="34">
        <v>2847</v>
      </c>
      <c r="O687" s="33" t="s">
        <v>6</v>
      </c>
      <c r="P687" s="34"/>
      <c r="Q687" s="35"/>
      <c r="R687" s="34">
        <v>0</v>
      </c>
      <c r="S687" s="34">
        <v>0</v>
      </c>
      <c r="T687" s="33"/>
      <c r="U687" s="34"/>
      <c r="V687" s="35"/>
      <c r="W687" s="28"/>
      <c r="AA687" s="28"/>
      <c r="AB687" s="46"/>
      <c r="AE687" s="47"/>
      <c r="AF687" s="48"/>
      <c r="AG687" s="48"/>
      <c r="AH687" s="47"/>
      <c r="AI687" s="49"/>
      <c r="AJ687" s="46"/>
      <c r="AK687" s="48"/>
      <c r="AL687" s="48"/>
      <c r="AM687" s="49"/>
      <c r="AN687" s="28"/>
      <c r="AP687" s="84" t="s">
        <v>132</v>
      </c>
      <c r="AQ687" s="42">
        <v>0</v>
      </c>
      <c r="AR687" s="37">
        <v>0</v>
      </c>
      <c r="AS687" s="42"/>
      <c r="AT687" s="40"/>
      <c r="AU687" s="28"/>
      <c r="AV687" s="28"/>
      <c r="AW687" s="28"/>
      <c r="AX687" s="28"/>
      <c r="AY687" s="40"/>
      <c r="AZ687" s="28"/>
      <c r="BA687" s="28"/>
      <c r="BB687" s="42" t="s">
        <v>158</v>
      </c>
      <c r="BC687" s="42">
        <v>0</v>
      </c>
      <c r="BD687" s="28">
        <v>10</v>
      </c>
      <c r="BE687" s="42"/>
      <c r="BF687" s="28"/>
      <c r="BG687" s="40"/>
      <c r="BH687" s="28"/>
      <c r="BI687" s="40"/>
      <c r="BJ687" s="28"/>
      <c r="BK687" s="28"/>
      <c r="BL687" s="40"/>
    </row>
    <row r="688" spans="1:65" x14ac:dyDescent="0.3">
      <c r="A688" s="41" t="s">
        <v>102</v>
      </c>
      <c r="B688" s="42">
        <v>289</v>
      </c>
      <c r="C688" s="85">
        <v>543</v>
      </c>
      <c r="D688" s="28"/>
      <c r="E688" s="45">
        <v>0</v>
      </c>
      <c r="F688" s="40"/>
      <c r="G688" s="40">
        <f>9*150</f>
        <v>1350</v>
      </c>
      <c r="H688" s="43">
        <v>9</v>
      </c>
      <c r="I688" s="28" t="s">
        <v>134</v>
      </c>
      <c r="J688" s="40"/>
      <c r="K688" s="28"/>
      <c r="L688" s="44" t="s">
        <v>99</v>
      </c>
      <c r="M688" s="18">
        <v>193</v>
      </c>
      <c r="N688" s="18">
        <v>0</v>
      </c>
      <c r="O688" s="10"/>
      <c r="P688" s="18"/>
      <c r="Q688" s="11"/>
      <c r="R688" s="18">
        <v>0</v>
      </c>
      <c r="S688" s="18">
        <v>0</v>
      </c>
      <c r="T688" s="10" t="s">
        <v>135</v>
      </c>
      <c r="U688" s="18"/>
      <c r="V688" s="11"/>
      <c r="W688" s="28"/>
      <c r="AA688" s="28"/>
      <c r="AB688" s="32" t="s">
        <v>89</v>
      </c>
      <c r="AC688" s="33">
        <v>338</v>
      </c>
      <c r="AD688" s="34">
        <v>359</v>
      </c>
      <c r="AE688" s="33"/>
      <c r="AF688" s="34"/>
      <c r="AG688" s="34"/>
      <c r="AH688" s="33"/>
      <c r="AI688" s="35"/>
      <c r="AJ688" s="35"/>
      <c r="AK688" s="34" t="s">
        <v>136</v>
      </c>
      <c r="AL688" s="34"/>
      <c r="AM688" s="35"/>
      <c r="AN688" s="28"/>
      <c r="AP688" s="84" t="s">
        <v>81</v>
      </c>
      <c r="AQ688" s="42">
        <v>7</v>
      </c>
      <c r="AR688" s="37">
        <v>7</v>
      </c>
      <c r="AS688" s="42"/>
      <c r="AT688" s="40"/>
      <c r="AU688" s="28"/>
      <c r="AV688" s="28"/>
      <c r="AW688" s="28"/>
      <c r="AX688" s="28"/>
      <c r="AY688" s="40"/>
      <c r="AZ688" s="28"/>
      <c r="BA688" s="28"/>
      <c r="BB688" s="153" t="s">
        <v>108</v>
      </c>
      <c r="BC688" s="42">
        <v>19</v>
      </c>
      <c r="BD688" s="43">
        <v>13</v>
      </c>
      <c r="BE688" s="42"/>
      <c r="BF688" s="28"/>
      <c r="BG688" s="40"/>
      <c r="BH688" s="28"/>
      <c r="BI688" s="40"/>
      <c r="BJ688" s="28"/>
      <c r="BK688" s="28"/>
      <c r="BL688" s="40"/>
    </row>
    <row r="689" spans="1:64" ht="15" thickBot="1" x14ac:dyDescent="0.35">
      <c r="A689" s="87" t="s">
        <v>84</v>
      </c>
      <c r="B689" s="59">
        <f>SUM(B687:B688)</f>
        <v>580</v>
      </c>
      <c r="C689" s="26">
        <f>SUM(C687:C688)</f>
        <v>972</v>
      </c>
      <c r="D689" s="27"/>
      <c r="E689" s="16">
        <f>SUM(E685:E688)</f>
        <v>0</v>
      </c>
      <c r="F689" s="26"/>
      <c r="G689" s="49"/>
      <c r="H689" s="48"/>
      <c r="I689" s="48"/>
      <c r="J689" s="49">
        <f>SUM(H687:H688)</f>
        <v>9</v>
      </c>
      <c r="K689" s="28"/>
      <c r="L689" s="12"/>
      <c r="M689" s="18"/>
      <c r="N689" s="18"/>
      <c r="O689" s="10"/>
      <c r="P689" s="18"/>
      <c r="Q689" s="11"/>
      <c r="R689" s="18"/>
      <c r="S689" s="18"/>
      <c r="T689" s="10"/>
      <c r="U689" s="18"/>
      <c r="V689" s="11"/>
      <c r="W689" s="28"/>
      <c r="AA689" s="28"/>
      <c r="AB689" s="44" t="s">
        <v>137</v>
      </c>
      <c r="AC689" s="10">
        <v>178</v>
      </c>
      <c r="AD689" s="18">
        <v>206</v>
      </c>
      <c r="AE689" s="10"/>
      <c r="AF689" s="18"/>
      <c r="AG689" s="18"/>
      <c r="AH689" s="52"/>
      <c r="AI689" s="85"/>
      <c r="AJ689" s="40"/>
      <c r="AK689" s="45"/>
      <c r="AL689" s="37"/>
      <c r="AM689" s="40"/>
      <c r="AN689" s="28"/>
      <c r="AP689" s="10" t="s">
        <v>138</v>
      </c>
      <c r="AQ689" s="36">
        <v>0</v>
      </c>
      <c r="AR689" s="37">
        <v>0</v>
      </c>
      <c r="AS689" s="42"/>
      <c r="AT689" s="11"/>
      <c r="AU689" s="18"/>
      <c r="AV689" s="18"/>
      <c r="AW689" s="18"/>
      <c r="AX689" s="18"/>
      <c r="AY689" s="11"/>
      <c r="AZ689" s="28"/>
      <c r="BA689" s="28"/>
      <c r="BB689" s="92" t="s">
        <v>113</v>
      </c>
      <c r="BC689" s="67">
        <f>1+4+15+1+64+3+2+8</f>
        <v>98</v>
      </c>
      <c r="BD689" s="43">
        <f>14+1+3+61+5+2</f>
        <v>86</v>
      </c>
      <c r="BE689" s="52"/>
      <c r="BF689" s="54"/>
      <c r="BG689" s="85"/>
      <c r="BH689" s="18"/>
      <c r="BI689" s="40"/>
      <c r="BJ689" s="18" t="s">
        <v>142</v>
      </c>
      <c r="BK689" s="18"/>
      <c r="BL689" s="39" t="s">
        <v>251</v>
      </c>
    </row>
    <row r="690" spans="1:64" x14ac:dyDescent="0.3">
      <c r="A690" s="36" t="s">
        <v>93</v>
      </c>
      <c r="B690" s="42">
        <v>7107</v>
      </c>
      <c r="C690" s="90">
        <v>7288</v>
      </c>
      <c r="D690" s="3"/>
      <c r="E690" s="91" t="s">
        <v>60</v>
      </c>
      <c r="F690" s="18"/>
      <c r="G690" s="44">
        <f>60*160</f>
        <v>9600</v>
      </c>
      <c r="H690" s="10" t="s">
        <v>116</v>
      </c>
      <c r="I690" s="18"/>
      <c r="J690" s="11"/>
      <c r="K690" s="28"/>
      <c r="L690" s="12" t="s">
        <v>84</v>
      </c>
      <c r="M690" s="18">
        <f>SUM(M687:M689)</f>
        <v>2117</v>
      </c>
      <c r="N690" s="18">
        <f>SUM(N687:N689)</f>
        <v>2847</v>
      </c>
      <c r="O690" s="10">
        <v>0</v>
      </c>
      <c r="P690" s="18">
        <v>0</v>
      </c>
      <c r="Q690" s="11">
        <v>0</v>
      </c>
      <c r="R690" s="18">
        <f>SUM(R687:R689)</f>
        <v>0</v>
      </c>
      <c r="S690" s="18">
        <f>SUM(S687:S689)</f>
        <v>0</v>
      </c>
      <c r="T690" s="10"/>
      <c r="U690" s="18"/>
      <c r="V690" s="11"/>
      <c r="W690" s="28"/>
      <c r="AA690" s="28"/>
      <c r="AB690" s="41" t="s">
        <v>84</v>
      </c>
      <c r="AC690" s="42">
        <f>SUM(AC688:AC689)</f>
        <v>516</v>
      </c>
      <c r="AD690" s="28">
        <f>SUM(AD688:AD689)</f>
        <v>565</v>
      </c>
      <c r="AE690" s="42">
        <v>0</v>
      </c>
      <c r="AF690" s="28">
        <v>0</v>
      </c>
      <c r="AG690" s="28">
        <v>0</v>
      </c>
      <c r="AH690" s="42">
        <v>0</v>
      </c>
      <c r="AI690" s="40">
        <v>0</v>
      </c>
      <c r="AJ690" s="40">
        <v>0</v>
      </c>
      <c r="AK690" s="43">
        <v>19</v>
      </c>
      <c r="AL690" s="28" t="s">
        <v>141</v>
      </c>
      <c r="AM690" s="40"/>
      <c r="AN690" s="28"/>
      <c r="AP690" s="84" t="s">
        <v>56</v>
      </c>
      <c r="AQ690" s="42">
        <v>0</v>
      </c>
      <c r="AR690" s="54">
        <v>0</v>
      </c>
      <c r="AS690" s="42"/>
      <c r="AT690" s="40"/>
      <c r="AU690" s="28"/>
      <c r="AV690" s="28"/>
      <c r="AW690" s="28"/>
      <c r="AX690" s="28"/>
      <c r="AY690" s="40"/>
      <c r="AZ690" s="28"/>
      <c r="BA690" s="28"/>
      <c r="BB690" s="42" t="s">
        <v>214</v>
      </c>
      <c r="BC690" s="67">
        <v>8</v>
      </c>
      <c r="BD690" s="43">
        <v>12</v>
      </c>
      <c r="BE690" s="52"/>
      <c r="BF690" s="54"/>
      <c r="BG690" s="85"/>
      <c r="BH690" s="18"/>
      <c r="BI690" s="40"/>
      <c r="BJ690" s="154" t="s">
        <v>146</v>
      </c>
      <c r="BK690" s="28"/>
      <c r="BL690" s="94" t="s">
        <v>591</v>
      </c>
    </row>
    <row r="691" spans="1:64" ht="15" thickBot="1" x14ac:dyDescent="0.35">
      <c r="A691" s="10" t="s">
        <v>99</v>
      </c>
      <c r="B691" s="42">
        <v>10685</v>
      </c>
      <c r="C691" s="40">
        <v>11270</v>
      </c>
      <c r="D691" s="3"/>
      <c r="E691" s="91" t="s">
        <v>60</v>
      </c>
      <c r="F691" s="18"/>
      <c r="G691" s="12">
        <v>12210</v>
      </c>
      <c r="H691" s="10">
        <v>60</v>
      </c>
      <c r="I691" s="37" t="s">
        <v>144</v>
      </c>
      <c r="J691" s="11"/>
      <c r="K691" s="28"/>
      <c r="L691" s="12"/>
      <c r="M691" s="18"/>
      <c r="N691" s="18"/>
      <c r="O691" s="10"/>
      <c r="P691" s="18"/>
      <c r="Q691" s="11"/>
      <c r="R691" s="18"/>
      <c r="S691" s="18"/>
      <c r="T691" s="10"/>
      <c r="U691" s="18"/>
      <c r="V691" s="11"/>
      <c r="W691" s="28"/>
      <c r="AA691" s="28"/>
      <c r="AB691" s="46"/>
      <c r="AC691" s="47"/>
      <c r="AD691" s="48"/>
      <c r="AE691" s="47"/>
      <c r="AF691" s="48"/>
      <c r="AG691" s="48"/>
      <c r="AH691" s="47"/>
      <c r="AI691" s="49"/>
      <c r="AJ691" s="49"/>
      <c r="AK691" s="48"/>
      <c r="AL691" s="48" t="s">
        <v>145</v>
      </c>
      <c r="AM691" s="49"/>
      <c r="AN691" s="28"/>
      <c r="AP691" s="36" t="s">
        <v>67</v>
      </c>
      <c r="AQ691" s="10">
        <v>32</v>
      </c>
      <c r="AR691" s="18">
        <v>36</v>
      </c>
      <c r="AS691" s="42"/>
      <c r="AT691" s="11"/>
      <c r="AU691" s="18"/>
      <c r="AV691" s="18"/>
      <c r="AW691" s="18"/>
      <c r="AX691" s="18"/>
      <c r="AY691" s="11"/>
      <c r="AZ691" s="28"/>
      <c r="BA691" s="28" t="s">
        <v>6</v>
      </c>
      <c r="BB691" s="127" t="s">
        <v>200</v>
      </c>
      <c r="BC691" s="67">
        <f>12+5</f>
        <v>17</v>
      </c>
      <c r="BD691" s="43">
        <v>11</v>
      </c>
      <c r="BE691" s="42"/>
      <c r="BF691" s="28"/>
      <c r="BG691" s="40"/>
      <c r="BH691" s="28"/>
      <c r="BI691" s="40"/>
      <c r="BJ691" s="28"/>
      <c r="BK691" s="28"/>
      <c r="BL691" s="40"/>
    </row>
    <row r="692" spans="1:64" ht="15" thickBot="1" x14ac:dyDescent="0.35">
      <c r="A692" s="10" t="s">
        <v>120</v>
      </c>
      <c r="B692" s="42">
        <v>5333</v>
      </c>
      <c r="C692" s="40">
        <v>5052</v>
      </c>
      <c r="D692" s="3"/>
      <c r="E692" s="91" t="s">
        <v>60</v>
      </c>
      <c r="F692" s="18"/>
      <c r="G692" s="12">
        <f>30*218</f>
        <v>6540</v>
      </c>
      <c r="H692" s="84">
        <v>61</v>
      </c>
      <c r="I692" s="37" t="s">
        <v>148</v>
      </c>
      <c r="J692" s="11"/>
      <c r="K692" s="28"/>
      <c r="L692" s="12"/>
      <c r="M692" s="18"/>
      <c r="N692" s="18"/>
      <c r="O692" s="10"/>
      <c r="P692" s="18"/>
      <c r="Q692" s="11"/>
      <c r="R692" s="18"/>
      <c r="S692" s="18"/>
      <c r="T692" s="10"/>
      <c r="U692" s="18"/>
      <c r="V692" s="11"/>
      <c r="W692" s="28"/>
      <c r="AA692" s="28"/>
      <c r="AB692" s="42"/>
      <c r="AC692" s="42"/>
      <c r="AD692" s="40"/>
      <c r="AE692" s="28"/>
      <c r="AF692" s="28"/>
      <c r="AG692" s="28"/>
      <c r="AH692" s="42"/>
      <c r="AI692" s="28"/>
      <c r="AJ692" s="41"/>
      <c r="AK692" s="28" t="s">
        <v>149</v>
      </c>
      <c r="AL692" s="28"/>
      <c r="AM692" s="40"/>
      <c r="AN692" s="28" t="s">
        <v>6</v>
      </c>
      <c r="AO692" s="95"/>
      <c r="AP692" s="13" t="s">
        <v>84</v>
      </c>
      <c r="AQ692" s="13">
        <f>SUM(AQ680:AQ691)</f>
        <v>240</v>
      </c>
      <c r="AR692" s="27">
        <f>SUM(AR680:AR691)</f>
        <v>222</v>
      </c>
      <c r="AS692" s="47"/>
      <c r="AT692" s="26">
        <f>SUM(AT684:AT691)</f>
        <v>0</v>
      </c>
      <c r="AU692" s="27"/>
      <c r="AV692" s="27"/>
      <c r="AW692" s="27"/>
      <c r="AX692" s="27"/>
      <c r="AY692" s="26">
        <f>SUM(AV684:AV686)</f>
        <v>77</v>
      </c>
      <c r="AZ692" s="28"/>
      <c r="BA692" s="28"/>
      <c r="BB692" s="52" t="s">
        <v>133</v>
      </c>
      <c r="BC692" s="67">
        <f>30+4</f>
        <v>34</v>
      </c>
      <c r="BD692" s="43">
        <f>24+6+1</f>
        <v>31</v>
      </c>
      <c r="BE692" s="52" t="s">
        <v>150</v>
      </c>
      <c r="BF692" s="54"/>
      <c r="BG692" s="85"/>
      <c r="BH692" s="18"/>
      <c r="BI692" s="40"/>
      <c r="BJ692" s="28" t="s">
        <v>151</v>
      </c>
      <c r="BK692" s="28"/>
      <c r="BL692" s="96"/>
    </row>
    <row r="693" spans="1:64" ht="15" thickBot="1" x14ac:dyDescent="0.35">
      <c r="A693" s="10" t="s">
        <v>84</v>
      </c>
      <c r="B693" s="42">
        <f>SUM(B690:B692)</f>
        <v>23125</v>
      </c>
      <c r="C693" s="40">
        <f>SUM(C690:C692)</f>
        <v>23610</v>
      </c>
      <c r="D693" s="3"/>
      <c r="E693" s="91" t="s">
        <v>60</v>
      </c>
      <c r="F693" s="18"/>
      <c r="G693" s="12">
        <f>SUM(G690:G692)</f>
        <v>28350</v>
      </c>
      <c r="H693" s="42">
        <v>29</v>
      </c>
      <c r="I693" s="54" t="s">
        <v>152</v>
      </c>
      <c r="J693" s="40"/>
      <c r="K693" s="28"/>
      <c r="L693" s="44"/>
      <c r="M693" s="18"/>
      <c r="N693" s="18"/>
      <c r="O693" s="10"/>
      <c r="P693" s="18"/>
      <c r="Q693" s="11"/>
      <c r="R693" s="18"/>
      <c r="S693" s="18"/>
      <c r="T693" s="10"/>
      <c r="U693" s="18"/>
      <c r="V693" s="11"/>
      <c r="W693" s="28"/>
      <c r="Y693" t="s">
        <v>6</v>
      </c>
      <c r="AB693" s="36" t="s">
        <v>99</v>
      </c>
      <c r="AC693" s="10">
        <v>0</v>
      </c>
      <c r="AD693" s="11">
        <v>0</v>
      </c>
      <c r="AE693" s="18">
        <v>0</v>
      </c>
      <c r="AF693" s="18">
        <v>0</v>
      </c>
      <c r="AG693" s="18">
        <v>0</v>
      </c>
      <c r="AH693" s="52">
        <v>94957</v>
      </c>
      <c r="AI693" s="45">
        <v>15245</v>
      </c>
      <c r="AJ693" s="41">
        <v>0</v>
      </c>
      <c r="AK693" s="45">
        <v>5</v>
      </c>
      <c r="AL693" s="37" t="s">
        <v>153</v>
      </c>
      <c r="AM693" s="40"/>
      <c r="AP693" s="32"/>
      <c r="AQ693" s="53"/>
      <c r="AR693" s="97"/>
      <c r="AS693" s="33"/>
      <c r="AT693" s="7"/>
      <c r="AU693" s="6"/>
      <c r="AV693" s="8"/>
      <c r="AW693" s="31"/>
      <c r="AX693" s="8"/>
      <c r="AY693" s="7"/>
      <c r="AZ693" s="28"/>
      <c r="BA693" s="28"/>
      <c r="BB693" s="52" t="s">
        <v>85</v>
      </c>
      <c r="BC693" s="42">
        <v>6</v>
      </c>
      <c r="BD693" s="43">
        <v>0</v>
      </c>
      <c r="BE693" s="42"/>
      <c r="BF693" s="54"/>
      <c r="BG693" s="40"/>
      <c r="BH693" s="45"/>
      <c r="BI693" s="56"/>
      <c r="BJ693" s="43" t="s">
        <v>592</v>
      </c>
      <c r="BK693" s="28" t="s">
        <v>593</v>
      </c>
      <c r="BL693" s="40" t="s">
        <v>594</v>
      </c>
    </row>
    <row r="694" spans="1:64" ht="16.2" thickBot="1" x14ac:dyDescent="0.35">
      <c r="A694" s="13"/>
      <c r="B694" s="47"/>
      <c r="C694" s="49"/>
      <c r="D694" s="27"/>
      <c r="E694" s="27"/>
      <c r="F694" s="27"/>
      <c r="G694" s="17"/>
      <c r="H694" s="47"/>
      <c r="I694" s="27"/>
      <c r="J694" s="60">
        <f>SUM(H691:H693)</f>
        <v>150</v>
      </c>
      <c r="K694" s="28"/>
      <c r="L694" s="12"/>
      <c r="M694" s="18"/>
      <c r="N694" s="18"/>
      <c r="O694" s="10"/>
      <c r="P694" s="18"/>
      <c r="Q694" s="11"/>
      <c r="R694" s="18"/>
      <c r="S694" s="18"/>
      <c r="T694" s="10"/>
      <c r="U694" s="18"/>
      <c r="V694" s="11"/>
      <c r="W694" s="28"/>
      <c r="AB694" s="32"/>
      <c r="AC694" s="6"/>
      <c r="AD694" s="7"/>
      <c r="AE694" s="8"/>
      <c r="AF694" s="8"/>
      <c r="AG694" s="8"/>
      <c r="AH694" s="6"/>
      <c r="AI694" s="7"/>
      <c r="AJ694" s="8"/>
      <c r="AK694" s="29" t="s">
        <v>157</v>
      </c>
      <c r="AL694" s="8"/>
      <c r="AM694" s="7"/>
      <c r="AP694" s="62"/>
      <c r="AQ694" s="72"/>
      <c r="AR694" s="73"/>
      <c r="AS694" s="47"/>
      <c r="AT694" s="49"/>
      <c r="AU694" s="47"/>
      <c r="AV694" s="48"/>
      <c r="AW694" s="48"/>
      <c r="AX694" s="48"/>
      <c r="AY694" s="49"/>
      <c r="AZ694" s="28"/>
      <c r="BA694" s="28"/>
      <c r="BB694" s="151" t="s">
        <v>102</v>
      </c>
      <c r="BC694" s="36">
        <v>0</v>
      </c>
      <c r="BD694" s="37">
        <v>4</v>
      </c>
      <c r="BE694" s="10"/>
      <c r="BF694" s="18"/>
      <c r="BG694" s="11"/>
      <c r="BH694" s="18"/>
      <c r="BI694" s="11"/>
      <c r="BJ694" s="155" t="s">
        <v>571</v>
      </c>
      <c r="BK694" s="28" t="s">
        <v>309</v>
      </c>
      <c r="BL694" s="99" t="s">
        <v>595</v>
      </c>
    </row>
    <row r="695" spans="1:64" ht="16.2" thickBot="1" x14ac:dyDescent="0.35">
      <c r="A695" s="6" t="s">
        <v>105</v>
      </c>
      <c r="B695" s="6">
        <v>587</v>
      </c>
      <c r="C695" s="7">
        <v>561</v>
      </c>
      <c r="D695" s="8"/>
      <c r="E695" s="80">
        <v>477</v>
      </c>
      <c r="F695" s="66"/>
      <c r="G695" s="8"/>
      <c r="H695" s="6" t="s">
        <v>162</v>
      </c>
      <c r="I695" s="8"/>
      <c r="J695" s="7"/>
      <c r="K695" s="28"/>
      <c r="L695" s="17"/>
      <c r="M695" s="27"/>
      <c r="N695" s="27"/>
      <c r="O695" s="13"/>
      <c r="P695" s="27"/>
      <c r="Q695" s="26"/>
      <c r="R695" s="27"/>
      <c r="S695" s="27"/>
      <c r="T695" s="13"/>
      <c r="U695" s="27"/>
      <c r="V695" s="26"/>
      <c r="W695" s="28"/>
      <c r="AB695" s="68" t="s">
        <v>99</v>
      </c>
      <c r="AC695" s="42">
        <v>0</v>
      </c>
      <c r="AD695" s="40">
        <v>0</v>
      </c>
      <c r="AE695">
        <v>0</v>
      </c>
      <c r="AF695">
        <v>0</v>
      </c>
      <c r="AG695">
        <v>0</v>
      </c>
      <c r="AH695" s="42">
        <v>241550</v>
      </c>
      <c r="AI695" s="40">
        <v>61358</v>
      </c>
      <c r="AJ695" s="43">
        <v>0</v>
      </c>
      <c r="AK695" s="42">
        <v>1</v>
      </c>
      <c r="AL695" s="54" t="s">
        <v>163</v>
      </c>
      <c r="AM695" s="40"/>
      <c r="AP695" s="67" t="s">
        <v>63</v>
      </c>
      <c r="AQ695" s="33">
        <v>6</v>
      </c>
      <c r="AR695" s="35">
        <v>1</v>
      </c>
      <c r="AU695" s="33"/>
      <c r="AV695" s="34"/>
      <c r="AW695" s="34"/>
      <c r="AX695" s="34"/>
      <c r="AY695" s="35"/>
      <c r="AZ695" s="28"/>
      <c r="BA695" s="28"/>
      <c r="BB695" s="42" t="s">
        <v>596</v>
      </c>
      <c r="BC695" s="42">
        <v>3</v>
      </c>
      <c r="BD695" s="54">
        <v>0</v>
      </c>
      <c r="BE695" s="10"/>
      <c r="BF695" s="18"/>
      <c r="BG695" s="11"/>
      <c r="BH695" s="18"/>
      <c r="BI695" s="11"/>
      <c r="BJ695" s="158" t="s">
        <v>597</v>
      </c>
      <c r="BK695" s="100" t="s">
        <v>500</v>
      </c>
      <c r="BL695" s="39" t="s">
        <v>175</v>
      </c>
    </row>
    <row r="696" spans="1:64" ht="15" thickBot="1" x14ac:dyDescent="0.35">
      <c r="A696" s="36" t="s">
        <v>99</v>
      </c>
      <c r="B696" s="10">
        <v>526</v>
      </c>
      <c r="C696" s="11">
        <v>558</v>
      </c>
      <c r="D696" s="18"/>
      <c r="E696" s="18">
        <v>488</v>
      </c>
      <c r="F696" s="85"/>
      <c r="G696" s="18"/>
      <c r="H696" s="42"/>
      <c r="I696" s="54"/>
      <c r="J696" s="11"/>
      <c r="L696" s="101" t="s">
        <v>84</v>
      </c>
      <c r="M696" s="102">
        <f>SUM(M690+M685+M680+M678+M674+M669)</f>
        <v>81140</v>
      </c>
      <c r="N696" s="102">
        <f>SUM(N690+N685+N680+N678+N674+N669)</f>
        <v>134606</v>
      </c>
      <c r="O696" s="103">
        <v>0</v>
      </c>
      <c r="P696" s="102">
        <v>0</v>
      </c>
      <c r="Q696" s="104">
        <v>0</v>
      </c>
      <c r="R696" s="102">
        <f>SUM(R690+R685+R680+R678+R669+R674)</f>
        <v>7757</v>
      </c>
      <c r="S696" s="102">
        <f>SUM(S690+S685+S678+S674+S669)</f>
        <v>238</v>
      </c>
      <c r="T696" s="105"/>
      <c r="U696" s="102"/>
      <c r="V696" s="106"/>
      <c r="AB696" s="44" t="s">
        <v>6</v>
      </c>
      <c r="AC696" s="10"/>
      <c r="AD696" s="11"/>
      <c r="AE696" s="18"/>
      <c r="AF696" s="18"/>
      <c r="AG696" s="18"/>
      <c r="AH696" s="10"/>
      <c r="AI696" s="11"/>
      <c r="AJ696" s="18"/>
      <c r="AK696" s="10">
        <v>14</v>
      </c>
      <c r="AL696" s="37" t="s">
        <v>153</v>
      </c>
      <c r="AM696" s="11"/>
      <c r="AP696" s="67" t="s">
        <v>536</v>
      </c>
      <c r="AQ696" s="42">
        <v>0</v>
      </c>
      <c r="AR696" s="40">
        <v>0</v>
      </c>
      <c r="AU696" s="42"/>
      <c r="AV696" s="28"/>
      <c r="AW696" s="28"/>
      <c r="AX696" s="28"/>
      <c r="AY696" s="40"/>
      <c r="AZ696" s="28"/>
      <c r="BA696" s="28"/>
      <c r="BB696" s="36" t="s">
        <v>169</v>
      </c>
      <c r="BC696" s="36">
        <v>1</v>
      </c>
      <c r="BD696" s="37">
        <v>1</v>
      </c>
      <c r="BE696" s="10"/>
      <c r="BF696" s="18"/>
      <c r="BG696" s="11"/>
      <c r="BH696" s="18"/>
      <c r="BI696" s="11"/>
      <c r="BJ696" s="155" t="s">
        <v>598</v>
      </c>
      <c r="BK696" s="37" t="s">
        <v>165</v>
      </c>
      <c r="BL696" s="39" t="s">
        <v>545</v>
      </c>
    </row>
    <row r="697" spans="1:64" ht="15" thickBot="1" x14ac:dyDescent="0.35">
      <c r="A697" s="10"/>
      <c r="B697" s="10"/>
      <c r="C697" s="39"/>
      <c r="D697" s="18"/>
      <c r="E697" s="18"/>
      <c r="F697" s="85"/>
      <c r="G697" s="18"/>
      <c r="H697" s="42">
        <v>40</v>
      </c>
      <c r="I697" s="37" t="s">
        <v>101</v>
      </c>
      <c r="J697" s="11"/>
      <c r="AB697" s="46" t="s">
        <v>6</v>
      </c>
      <c r="AC697" s="47"/>
      <c r="AD697" s="49"/>
      <c r="AE697" s="48"/>
      <c r="AF697" s="48"/>
      <c r="AG697" s="48"/>
      <c r="AH697" s="47"/>
      <c r="AI697" s="49"/>
      <c r="AJ697" s="48"/>
      <c r="AK697" s="47"/>
      <c r="AL697" s="48"/>
      <c r="AM697" s="49"/>
      <c r="AP697" s="52" t="s">
        <v>56</v>
      </c>
      <c r="AQ697" s="52">
        <v>0</v>
      </c>
      <c r="AR697" s="85">
        <v>1</v>
      </c>
      <c r="AS697" s="28"/>
      <c r="AT697" s="28"/>
      <c r="AU697" s="42"/>
      <c r="AV697" s="28" t="s">
        <v>173</v>
      </c>
      <c r="AW697" s="28"/>
      <c r="AX697" s="28"/>
      <c r="AY697" s="40"/>
      <c r="AZ697" s="28"/>
      <c r="BA697" s="28"/>
      <c r="BB697" s="36" t="s">
        <v>99</v>
      </c>
      <c r="BC697" s="36">
        <v>0</v>
      </c>
      <c r="BD697" s="37">
        <v>3</v>
      </c>
      <c r="BE697" s="10"/>
      <c r="BF697" s="18"/>
      <c r="BG697" s="11"/>
      <c r="BH697" s="18"/>
      <c r="BI697" s="11"/>
      <c r="BJ697" s="161" t="s">
        <v>599</v>
      </c>
      <c r="BK697" s="162" t="s">
        <v>533</v>
      </c>
      <c r="BL697" s="114" t="s">
        <v>494</v>
      </c>
    </row>
    <row r="698" spans="1:64" ht="15" thickBot="1" x14ac:dyDescent="0.35">
      <c r="A698" s="13" t="s">
        <v>84</v>
      </c>
      <c r="B698" s="13">
        <f>SUM(B695:B697)</f>
        <v>1113</v>
      </c>
      <c r="C698" s="26">
        <f>SUM(C695:C697)</f>
        <v>1119</v>
      </c>
      <c r="D698" s="27"/>
      <c r="E698" s="27">
        <f>SUM(E695:E697)</f>
        <v>965</v>
      </c>
      <c r="F698" s="26"/>
      <c r="G698" s="27">
        <f>40*158</f>
        <v>6320</v>
      </c>
      <c r="H698" s="13"/>
      <c r="I698" s="81"/>
      <c r="J698" s="26">
        <f>SUM(H696:H697)</f>
        <v>40</v>
      </c>
      <c r="L698" t="s">
        <v>6</v>
      </c>
      <c r="M698" s="115"/>
      <c r="AB698" s="6"/>
      <c r="AC698" s="6"/>
      <c r="AD698" s="7"/>
      <c r="AE698" s="8"/>
      <c r="AF698" s="8"/>
      <c r="AG698" s="8"/>
      <c r="AH698" s="6"/>
      <c r="AI698" s="7"/>
      <c r="AJ698" s="8"/>
      <c r="AK698" s="29"/>
      <c r="AL698" s="8"/>
      <c r="AM698" s="7"/>
      <c r="AN698" s="45"/>
      <c r="AP698" s="52" t="s">
        <v>67</v>
      </c>
      <c r="AQ698" s="52">
        <v>5</v>
      </c>
      <c r="AR698" s="56">
        <v>2</v>
      </c>
      <c r="AU698" s="42"/>
      <c r="AV698" s="28"/>
      <c r="AW698" s="28"/>
      <c r="AX698" s="28"/>
      <c r="AY698" s="40"/>
      <c r="AZ698" s="28"/>
      <c r="BA698" s="28"/>
      <c r="BB698" s="150" t="s">
        <v>358</v>
      </c>
      <c r="BC698" s="36">
        <v>0</v>
      </c>
      <c r="BD698" s="37">
        <v>3</v>
      </c>
      <c r="BE698" s="10"/>
      <c r="BF698" s="37"/>
      <c r="BG698" s="11"/>
      <c r="BH698" s="18"/>
      <c r="BI698" s="11"/>
      <c r="BJ698" s="158" t="s">
        <v>600</v>
      </c>
      <c r="BK698" s="54" t="s">
        <v>601</v>
      </c>
      <c r="BL698" s="39" t="s">
        <v>602</v>
      </c>
    </row>
    <row r="699" spans="1:64" ht="15" thickBot="1" x14ac:dyDescent="0.35">
      <c r="A699" s="42" t="s">
        <v>181</v>
      </c>
      <c r="B699" s="42">
        <v>655</v>
      </c>
      <c r="C699" s="40">
        <v>647</v>
      </c>
      <c r="D699" s="28"/>
      <c r="E699" s="107" t="s">
        <v>60</v>
      </c>
      <c r="F699" s="43"/>
      <c r="G699" s="41">
        <v>788</v>
      </c>
      <c r="H699" s="18" t="s">
        <v>182</v>
      </c>
      <c r="I699" s="28"/>
      <c r="J699" s="11"/>
      <c r="K699" s="43"/>
      <c r="M699" s="115"/>
      <c r="AB699" s="36"/>
      <c r="AC699" s="10"/>
      <c r="AD699" s="11"/>
      <c r="AE699" s="18"/>
      <c r="AF699" s="18"/>
      <c r="AG699" s="18"/>
      <c r="AH699" s="36"/>
      <c r="AI699" s="11"/>
      <c r="AJ699" s="18"/>
      <c r="AK699" s="36"/>
      <c r="AL699" s="37"/>
      <c r="AM699" s="11"/>
      <c r="AN699" s="45"/>
      <c r="AP699" s="10" t="s">
        <v>78</v>
      </c>
      <c r="AQ699" s="52">
        <v>0</v>
      </c>
      <c r="AR699" s="85">
        <v>0</v>
      </c>
      <c r="AS699" s="28"/>
      <c r="AT699" s="28"/>
      <c r="AU699" s="42"/>
      <c r="AV699" s="28">
        <v>7</v>
      </c>
      <c r="AW699" s="28" t="s">
        <v>183</v>
      </c>
      <c r="AX699" s="28"/>
      <c r="AY699" s="40"/>
      <c r="AZ699" s="37"/>
      <c r="BA699" s="37"/>
      <c r="BB699" s="36" t="s">
        <v>288</v>
      </c>
      <c r="BC699" s="36">
        <v>0</v>
      </c>
      <c r="BD699" s="37">
        <v>3</v>
      </c>
      <c r="BE699" s="10"/>
      <c r="BF699" s="18"/>
      <c r="BG699" s="11"/>
      <c r="BH699" s="18"/>
      <c r="BI699" s="11"/>
      <c r="BJ699" s="37" t="s">
        <v>551</v>
      </c>
      <c r="BK699" s="37" t="s">
        <v>273</v>
      </c>
      <c r="BL699" s="40" t="s">
        <v>313</v>
      </c>
    </row>
    <row r="700" spans="1:64" ht="15" thickBot="1" x14ac:dyDescent="0.35">
      <c r="A700" s="42" t="s">
        <v>120</v>
      </c>
      <c r="B700" s="42">
        <v>2791</v>
      </c>
      <c r="C700" s="40">
        <v>2728</v>
      </c>
      <c r="D700" s="28"/>
      <c r="E700" s="107" t="s">
        <v>60</v>
      </c>
      <c r="F700" s="43"/>
      <c r="G700" s="68">
        <v>4000</v>
      </c>
      <c r="H700" s="43">
        <v>28</v>
      </c>
      <c r="I700" s="28" t="s">
        <v>188</v>
      </c>
      <c r="J700" s="11"/>
      <c r="K700" s="28"/>
      <c r="M700" s="163"/>
      <c r="AA700" s="28"/>
      <c r="AB700" s="103" t="s">
        <v>84</v>
      </c>
      <c r="AC700" s="103">
        <f>SUM(AC699+AC695+AC693+AC690+AC687+AC685+AC681+AC677+AC674+AC671+AC672)</f>
        <v>2109</v>
      </c>
      <c r="AD700" s="104">
        <f>SUM(AD699+AD695+AD693+AD690+AD687+AD681+AD677+AD674+AD672+AD671)</f>
        <v>1421</v>
      </c>
      <c r="AE700" s="103">
        <v>0</v>
      </c>
      <c r="AF700" s="102">
        <v>0</v>
      </c>
      <c r="AG700" s="102">
        <v>0</v>
      </c>
      <c r="AH700" s="109">
        <f>SUM(AH699+AH695+AH693+AH690+AH687+AH685+AH681+AH677+AH674+AH672+AH671)</f>
        <v>336507</v>
      </c>
      <c r="AI700" s="110">
        <f>SUM(AI699+AI695+AI693+AI690+AI685+AI681+AI676+AI674+AI672+AI671)</f>
        <v>76603</v>
      </c>
      <c r="AJ700" s="110">
        <v>0</v>
      </c>
      <c r="AK700" s="111" t="s">
        <v>189</v>
      </c>
      <c r="AL700" s="111"/>
      <c r="AM700" s="104">
        <f>SUM(AK671:AK699)</f>
        <v>50</v>
      </c>
      <c r="AN700" s="45"/>
      <c r="AP700" s="52" t="s">
        <v>115</v>
      </c>
      <c r="AQ700" s="52">
        <v>0</v>
      </c>
      <c r="AR700" s="85">
        <v>0</v>
      </c>
      <c r="AS700" s="28"/>
      <c r="AT700" s="28"/>
      <c r="AU700" s="42"/>
      <c r="AV700" s="28" t="s">
        <v>6</v>
      </c>
      <c r="AW700" s="28"/>
      <c r="AX700" s="28"/>
      <c r="AY700" s="40"/>
      <c r="AZ700" s="28"/>
      <c r="BA700" s="28"/>
      <c r="BB700" s="150" t="s">
        <v>211</v>
      </c>
      <c r="BC700" s="36">
        <v>1</v>
      </c>
      <c r="BD700" s="37">
        <f>2+3</f>
        <v>5</v>
      </c>
      <c r="BE700" s="10"/>
      <c r="BF700" s="18"/>
      <c r="BG700" s="11"/>
      <c r="BH700" s="18"/>
      <c r="BI700" s="11"/>
      <c r="BJ700" s="159" t="s">
        <v>603</v>
      </c>
      <c r="BK700" s="37" t="s">
        <v>604</v>
      </c>
      <c r="BL700" s="39" t="s">
        <v>444</v>
      </c>
    </row>
    <row r="701" spans="1:64" x14ac:dyDescent="0.3">
      <c r="A701" s="42" t="s">
        <v>84</v>
      </c>
      <c r="B701" s="42">
        <f>SUM(B699:B700)</f>
        <v>3446</v>
      </c>
      <c r="C701" s="40">
        <f>SUM(C699:C700)</f>
        <v>3375</v>
      </c>
      <c r="D701" s="28"/>
      <c r="E701" s="107" t="s">
        <v>60</v>
      </c>
      <c r="F701" s="43"/>
      <c r="G701" s="41">
        <f>SUM(G699:G700)</f>
        <v>4788</v>
      </c>
      <c r="H701" s="28">
        <v>2</v>
      </c>
      <c r="I701" s="43" t="s">
        <v>101</v>
      </c>
      <c r="J701" s="40"/>
      <c r="K701" s="28"/>
      <c r="L701" s="28"/>
      <c r="N701" s="113"/>
      <c r="AA701" s="28"/>
      <c r="AB701" s="52" t="s">
        <v>193</v>
      </c>
      <c r="AC701" s="28"/>
      <c r="AD701" s="28"/>
      <c r="AE701" s="28"/>
      <c r="AF701" s="28"/>
      <c r="AG701" s="28"/>
      <c r="AH701" s="28"/>
      <c r="AI701" s="28"/>
      <c r="AM701" t="s">
        <v>6</v>
      </c>
      <c r="AN701" s="45"/>
      <c r="AP701" s="52" t="s">
        <v>72</v>
      </c>
      <c r="AQ701" s="52">
        <v>1</v>
      </c>
      <c r="AR701" s="85">
        <v>1</v>
      </c>
      <c r="AU701" s="42"/>
      <c r="AV701" s="28"/>
      <c r="AW701" s="28"/>
      <c r="AX701" s="28"/>
      <c r="AY701" s="40"/>
      <c r="AZ701" s="28"/>
      <c r="BB701" s="150" t="s">
        <v>605</v>
      </c>
      <c r="BC701" s="36">
        <v>5</v>
      </c>
      <c r="BD701" s="37">
        <v>3</v>
      </c>
      <c r="BE701" s="10"/>
      <c r="BF701" s="18"/>
      <c r="BG701" s="11"/>
      <c r="BH701" s="18"/>
      <c r="BI701" s="11"/>
      <c r="BJ701" s="37" t="s">
        <v>606</v>
      </c>
      <c r="BK701" s="37" t="s">
        <v>520</v>
      </c>
      <c r="BL701" s="114" t="s">
        <v>607</v>
      </c>
    </row>
    <row r="702" spans="1:64" ht="15" thickBot="1" x14ac:dyDescent="0.35">
      <c r="A702" s="13"/>
      <c r="B702" s="10"/>
      <c r="C702" s="11"/>
      <c r="D702" s="27"/>
      <c r="E702" s="27"/>
      <c r="F702" s="27"/>
      <c r="G702" s="17"/>
      <c r="H702" s="48"/>
      <c r="I702" s="48" t="s">
        <v>284</v>
      </c>
      <c r="J702" s="49">
        <f>SUM(H700:H702)</f>
        <v>30</v>
      </c>
      <c r="L702" s="108"/>
      <c r="M702" s="115"/>
      <c r="O702" s="116"/>
      <c r="AA702" s="28"/>
      <c r="AN702" s="45"/>
      <c r="AP702" s="52" t="s">
        <v>84</v>
      </c>
      <c r="AQ702" s="47">
        <f>SUM(AQ695:AQ701)</f>
        <v>12</v>
      </c>
      <c r="AR702" s="49">
        <f>SUM(AR695:AR701)</f>
        <v>5</v>
      </c>
      <c r="AS702" s="28"/>
      <c r="AT702" s="28"/>
      <c r="AU702" s="47"/>
      <c r="AV702" s="48"/>
      <c r="AW702" s="48"/>
      <c r="AX702" s="48"/>
      <c r="AY702" s="49">
        <f>SUM(AV699)</f>
        <v>7</v>
      </c>
      <c r="AZ702" s="28"/>
      <c r="BB702" s="36" t="s">
        <v>608</v>
      </c>
      <c r="BC702" s="36">
        <v>7</v>
      </c>
      <c r="BD702" s="37">
        <v>1</v>
      </c>
      <c r="BE702" s="10"/>
      <c r="BF702" s="18"/>
      <c r="BG702" s="11"/>
      <c r="BH702" s="18"/>
      <c r="BI702" s="11"/>
      <c r="BJ702" s="37" t="s">
        <v>609</v>
      </c>
      <c r="BK702" s="37" t="s">
        <v>515</v>
      </c>
      <c r="BL702" s="39" t="s">
        <v>307</v>
      </c>
    </row>
    <row r="703" spans="1:64" ht="16.2" thickBot="1" x14ac:dyDescent="0.35">
      <c r="A703" s="117" t="s">
        <v>84</v>
      </c>
      <c r="B703" s="118">
        <f>SUM(B701+B698+B693+B689+B686+B683+B680+B676+B672+B669)</f>
        <v>40732</v>
      </c>
      <c r="C703" s="120">
        <f>SUM(C701+C698+C693+C689+C686+C683+C680+C676+C672+C669)</f>
        <v>42919</v>
      </c>
      <c r="D703" s="119"/>
      <c r="E703" s="119">
        <f>SUM(E698+E683)</f>
        <v>2604</v>
      </c>
      <c r="F703" s="120"/>
      <c r="G703" s="121">
        <f>SUM(G701+G698+G693+G688+G686+G679+G676+G672+G669+G683)</f>
        <v>62478</v>
      </c>
      <c r="H703" s="13" t="s">
        <v>199</v>
      </c>
      <c r="I703" s="81"/>
      <c r="J703" s="26">
        <f>SUM(J670:J702)</f>
        <v>375</v>
      </c>
      <c r="O703" s="122"/>
      <c r="AN703" s="45"/>
      <c r="AP703" s="32" t="s">
        <v>63</v>
      </c>
      <c r="AQ703" s="123">
        <f>8+1+4</f>
        <v>13</v>
      </c>
      <c r="AR703" s="123">
        <f>4+1+4</f>
        <v>9</v>
      </c>
      <c r="AS703" s="33"/>
      <c r="AT703" s="7"/>
      <c r="AU703" s="6"/>
      <c r="AV703" s="34" t="s">
        <v>140</v>
      </c>
      <c r="AW703" s="8"/>
      <c r="AX703" s="8"/>
      <c r="AY703" s="7"/>
      <c r="AZ703" s="28"/>
      <c r="BB703" s="36" t="s">
        <v>610</v>
      </c>
      <c r="BC703" s="10">
        <v>5</v>
      </c>
      <c r="BD703" s="37">
        <v>8</v>
      </c>
      <c r="BE703" s="10"/>
      <c r="BF703" s="18"/>
      <c r="BG703" s="39"/>
      <c r="BH703" s="18"/>
      <c r="BI703" s="11"/>
      <c r="BJ703" s="159" t="s">
        <v>611</v>
      </c>
      <c r="BK703" s="37" t="s">
        <v>612</v>
      </c>
      <c r="BL703" s="39" t="s">
        <v>272</v>
      </c>
    </row>
    <row r="704" spans="1:64" x14ac:dyDescent="0.3">
      <c r="AN704" s="45"/>
      <c r="AP704" s="44" t="s">
        <v>78</v>
      </c>
      <c r="AQ704" s="37">
        <f>7+23+2</f>
        <v>32</v>
      </c>
      <c r="AR704" s="37">
        <f>7+2+18+5</f>
        <v>32</v>
      </c>
      <c r="AS704" s="42"/>
      <c r="AT704" s="11"/>
      <c r="AU704" s="10"/>
      <c r="AV704" s="37">
        <v>21</v>
      </c>
      <c r="AW704" s="37" t="s">
        <v>204</v>
      </c>
      <c r="AX704" s="18"/>
      <c r="AY704" s="11"/>
      <c r="AZ704" s="28"/>
      <c r="BB704" s="150" t="s">
        <v>613</v>
      </c>
      <c r="BC704" s="10">
        <v>1</v>
      </c>
      <c r="BD704" s="37">
        <v>0</v>
      </c>
      <c r="BE704" s="10"/>
      <c r="BF704" s="18"/>
      <c r="BG704" s="11"/>
      <c r="BH704" s="18"/>
      <c r="BI704" s="11"/>
      <c r="BJ704" s="54" t="s">
        <v>614</v>
      </c>
      <c r="BK704" s="37" t="s">
        <v>615</v>
      </c>
      <c r="BL704" s="39"/>
    </row>
    <row r="705" spans="1:65" x14ac:dyDescent="0.3">
      <c r="AN705" s="45"/>
      <c r="AP705" s="125" t="s">
        <v>209</v>
      </c>
      <c r="AQ705" s="54">
        <v>0</v>
      </c>
      <c r="AR705" s="54">
        <v>0</v>
      </c>
      <c r="AS705" s="42"/>
      <c r="AT705" s="40"/>
      <c r="AU705" s="42"/>
      <c r="AV705" s="28">
        <v>1</v>
      </c>
      <c r="AW705" s="28" t="s">
        <v>210</v>
      </c>
      <c r="AX705" s="28"/>
      <c r="AY705" s="40"/>
      <c r="AZ705" s="28"/>
      <c r="BB705" s="92" t="s">
        <v>64</v>
      </c>
      <c r="BC705" s="84">
        <v>4</v>
      </c>
      <c r="BD705" s="54">
        <v>0</v>
      </c>
      <c r="BE705" s="84"/>
      <c r="BF705" s="45"/>
      <c r="BG705" s="85"/>
      <c r="BH705" s="18"/>
      <c r="BI705" s="11"/>
      <c r="BK705" s="54"/>
      <c r="BL705" s="86"/>
    </row>
    <row r="706" spans="1:65" x14ac:dyDescent="0.3">
      <c r="B706" s="126"/>
      <c r="C706" s="126"/>
      <c r="AN706" s="45"/>
      <c r="AP706" s="44" t="s">
        <v>168</v>
      </c>
      <c r="AQ706" s="54">
        <v>0</v>
      </c>
      <c r="AR706" s="54">
        <v>0</v>
      </c>
      <c r="AS706" s="42"/>
      <c r="AT706" s="11"/>
      <c r="AU706" s="10"/>
      <c r="AV706" s="37">
        <v>20</v>
      </c>
      <c r="AW706" s="37" t="s">
        <v>213</v>
      </c>
      <c r="AX706" s="18"/>
      <c r="AY706" s="11"/>
      <c r="BB706" s="67" t="s">
        <v>220</v>
      </c>
      <c r="BC706" s="84">
        <f>3+10</f>
        <v>13</v>
      </c>
      <c r="BD706" s="54">
        <v>3</v>
      </c>
      <c r="BE706" s="84"/>
      <c r="BF706" s="45"/>
      <c r="BG706" s="85"/>
      <c r="BH706" s="45"/>
      <c r="BI706" s="85"/>
      <c r="BJ706" s="54"/>
      <c r="BK706" s="54"/>
      <c r="BL706" s="40"/>
    </row>
    <row r="707" spans="1:65" x14ac:dyDescent="0.3">
      <c r="AN707" s="45"/>
      <c r="AP707" s="125" t="s">
        <v>81</v>
      </c>
      <c r="AQ707" s="54">
        <v>9</v>
      </c>
      <c r="AR707" s="54">
        <v>7</v>
      </c>
      <c r="AS707" s="42"/>
      <c r="AT707" s="40"/>
      <c r="AU707" s="42"/>
      <c r="AV707" s="54">
        <v>5</v>
      </c>
      <c r="AW707" s="128" t="s">
        <v>222</v>
      </c>
      <c r="AX707" s="28"/>
      <c r="AY707" s="40" t="s">
        <v>6</v>
      </c>
      <c r="BB707" s="67" t="s">
        <v>616</v>
      </c>
      <c r="BC707" s="84">
        <v>0</v>
      </c>
      <c r="BD707" s="54">
        <v>1</v>
      </c>
      <c r="BE707" s="84"/>
      <c r="BF707" s="45"/>
      <c r="BG707" s="85"/>
      <c r="BH707" s="45"/>
      <c r="BI707" s="85"/>
      <c r="BJ707" s="54"/>
      <c r="BK707" s="54"/>
      <c r="BL707" s="40"/>
    </row>
    <row r="708" spans="1:65" x14ac:dyDescent="0.3">
      <c r="AP708" s="125" t="s">
        <v>72</v>
      </c>
      <c r="AQ708" s="54">
        <f>2+14+4</f>
        <v>20</v>
      </c>
      <c r="AR708" s="45">
        <f>9+1+22+6</f>
        <v>38</v>
      </c>
      <c r="AS708" s="42"/>
      <c r="AT708" s="40"/>
      <c r="AU708" s="42"/>
      <c r="AV708" s="54">
        <v>11</v>
      </c>
      <c r="AW708" s="54" t="s">
        <v>216</v>
      </c>
      <c r="AX708" s="45"/>
      <c r="AY708" s="40"/>
      <c r="BB708" s="127" t="s">
        <v>107</v>
      </c>
      <c r="BC708" s="84">
        <v>2</v>
      </c>
      <c r="BD708" s="54">
        <v>6</v>
      </c>
      <c r="BE708" s="42"/>
      <c r="BF708" s="45"/>
      <c r="BG708" s="40"/>
      <c r="BH708" s="45"/>
      <c r="BI708" s="85"/>
      <c r="BJ708" s="155"/>
      <c r="BK708" s="54"/>
      <c r="BL708" s="86"/>
    </row>
    <row r="709" spans="1:65" x14ac:dyDescent="0.3">
      <c r="AP709" s="125" t="s">
        <v>115</v>
      </c>
      <c r="AQ709" s="54">
        <v>3</v>
      </c>
      <c r="AR709" s="45">
        <v>4</v>
      </c>
      <c r="AS709" s="42"/>
      <c r="AT709" s="40"/>
      <c r="AU709" s="42"/>
      <c r="AV709" s="54">
        <v>7</v>
      </c>
      <c r="AW709" s="54" t="s">
        <v>217</v>
      </c>
      <c r="AX709" s="28"/>
      <c r="AY709" s="40"/>
      <c r="BB709" s="127" t="s">
        <v>218</v>
      </c>
      <c r="BC709" s="84">
        <f>7+1</f>
        <v>8</v>
      </c>
      <c r="BD709" s="54">
        <f>3+5</f>
        <v>8</v>
      </c>
      <c r="BE709" s="42"/>
      <c r="BF709" s="45">
        <v>6</v>
      </c>
      <c r="BG709" s="40"/>
      <c r="BH709" s="45"/>
      <c r="BI709" s="85"/>
      <c r="BJ709" s="54"/>
      <c r="BK709" s="54"/>
      <c r="BL709" s="40"/>
    </row>
    <row r="710" spans="1:65" x14ac:dyDescent="0.3">
      <c r="AP710" s="125" t="s">
        <v>56</v>
      </c>
      <c r="AQ710" s="54">
        <f>1+10+4</f>
        <v>15</v>
      </c>
      <c r="AR710" s="45">
        <f>1+7</f>
        <v>8</v>
      </c>
      <c r="AS710" s="42"/>
      <c r="AT710" s="40"/>
      <c r="AU710" s="42"/>
      <c r="AV710" s="54">
        <v>6</v>
      </c>
      <c r="AW710" s="54" t="s">
        <v>617</v>
      </c>
      <c r="AX710" s="28"/>
      <c r="AY710" s="40"/>
      <c r="BB710" s="98" t="s">
        <v>93</v>
      </c>
      <c r="BC710" s="10">
        <v>3</v>
      </c>
      <c r="BD710" s="18">
        <v>2</v>
      </c>
      <c r="BE710" s="10"/>
      <c r="BF710" s="18"/>
      <c r="BG710" s="11"/>
      <c r="BH710" s="18"/>
      <c r="BI710" s="11"/>
      <c r="BJ710" s="54"/>
      <c r="BK710" s="37"/>
      <c r="BL710" s="129"/>
    </row>
    <row r="711" spans="1:65" ht="15" thickBot="1" x14ac:dyDescent="0.35">
      <c r="H711" t="s">
        <v>6</v>
      </c>
      <c r="AP711" s="125" t="s">
        <v>138</v>
      </c>
      <c r="AQ711" s="54">
        <v>0</v>
      </c>
      <c r="AR711" s="45">
        <v>0</v>
      </c>
      <c r="AS711" s="42"/>
      <c r="AT711" s="40"/>
      <c r="AU711" s="42"/>
      <c r="AV711" s="54">
        <v>8</v>
      </c>
      <c r="AW711" s="54" t="s">
        <v>221</v>
      </c>
      <c r="AX711" s="28"/>
      <c r="AY711" s="40"/>
      <c r="BB711" s="13" t="s">
        <v>84</v>
      </c>
      <c r="BC711" s="13">
        <f>SUM(BC686:BC710)</f>
        <v>236</v>
      </c>
      <c r="BD711" s="27">
        <f>SUM(BD686:BD710)</f>
        <v>215</v>
      </c>
      <c r="BE711" s="13">
        <v>0</v>
      </c>
      <c r="BF711" s="27">
        <f>SUM(BF686:BF710)</f>
        <v>6</v>
      </c>
      <c r="BG711" s="26">
        <v>0</v>
      </c>
      <c r="BH711" s="58">
        <v>0</v>
      </c>
      <c r="BI711" s="26">
        <v>0</v>
      </c>
      <c r="BJ711" s="81"/>
      <c r="BK711" s="27"/>
      <c r="BL711" s="26">
        <f>8+14+4+8+17+14+6+7+9+9+14+1+1</f>
        <v>112</v>
      </c>
    </row>
    <row r="712" spans="1:65" ht="15" thickBot="1" x14ac:dyDescent="0.35">
      <c r="H712" t="s">
        <v>6</v>
      </c>
      <c r="AP712" s="125" t="s">
        <v>67</v>
      </c>
      <c r="AQ712" s="54">
        <f>2+4+2+3+6</f>
        <v>17</v>
      </c>
      <c r="AR712" s="45">
        <f>2+4+3+8+3</f>
        <v>20</v>
      </c>
      <c r="AS712" s="42"/>
      <c r="AT712" s="40"/>
      <c r="AU712" s="42"/>
      <c r="AV712" s="54">
        <v>0</v>
      </c>
      <c r="AW712" s="54" t="s">
        <v>553</v>
      </c>
      <c r="AX712" s="28"/>
      <c r="AY712" s="40"/>
      <c r="BB712" s="13" t="s">
        <v>223</v>
      </c>
      <c r="BC712" s="13">
        <f>SUM(BC711+BC685+BC682+BC678+BC675+BC672+BC670)</f>
        <v>1837</v>
      </c>
      <c r="BD712" s="26">
        <f>SUM(BD711+BD685+BD682+BD678+BD675+BD672+BD670)</f>
        <v>1808</v>
      </c>
      <c r="BE712" s="26">
        <f>SUM(BE711+BE685+BE682+BE678+BE675+BE672+BE670)</f>
        <v>0</v>
      </c>
      <c r="BF712" s="26">
        <f>SUM(BF711+BF685+BF682+BF678+BF675+BF672+BF670)</f>
        <v>6</v>
      </c>
      <c r="BG712" s="26">
        <f>SUM(BG711+BG685+BG682+BG678+BG675+BG672+BG670)</f>
        <v>18</v>
      </c>
      <c r="BH712" s="160">
        <f>SUM(BH711+BH685+BH682+BH678+BH674+BH672+BH670)</f>
        <v>43499</v>
      </c>
      <c r="BI712" s="26">
        <f>SUM(BI711+BI685+BI682+BI678+BI674+BI672+BI670)</f>
        <v>12223</v>
      </c>
      <c r="BJ712" s="81"/>
      <c r="BK712" s="27" t="s">
        <v>247</v>
      </c>
      <c r="BL712" s="26">
        <f>SUM(BL670:BL711)</f>
        <v>246</v>
      </c>
    </row>
    <row r="713" spans="1:65" x14ac:dyDescent="0.3">
      <c r="K713" s="28"/>
      <c r="AP713" s="125" t="s">
        <v>122</v>
      </c>
      <c r="AQ713" s="54">
        <v>1</v>
      </c>
      <c r="AR713" s="45">
        <v>1</v>
      </c>
      <c r="AS713" s="42"/>
      <c r="AT713" s="40"/>
      <c r="AU713" s="42"/>
      <c r="AV713" s="54">
        <v>7</v>
      </c>
      <c r="AW713" s="54" t="s">
        <v>618</v>
      </c>
      <c r="AX713" s="28"/>
      <c r="AY713" s="40"/>
      <c r="BB713" s="131" t="s">
        <v>225</v>
      </c>
      <c r="BD713">
        <f>SUM(BL711)</f>
        <v>112</v>
      </c>
      <c r="BG713" s="132"/>
    </row>
    <row r="714" spans="1:65" x14ac:dyDescent="0.3">
      <c r="K714" s="28"/>
      <c r="AP714" s="125" t="s">
        <v>227</v>
      </c>
      <c r="AQ714" s="54">
        <v>0</v>
      </c>
      <c r="AR714" s="45">
        <v>0</v>
      </c>
      <c r="AS714" s="42"/>
      <c r="AT714" s="40"/>
      <c r="AU714" s="42"/>
      <c r="AV714" s="54">
        <v>3</v>
      </c>
      <c r="AW714" s="54" t="s">
        <v>391</v>
      </c>
      <c r="AX714" s="28"/>
      <c r="AY714" s="40"/>
      <c r="BB714" t="s">
        <v>229</v>
      </c>
      <c r="BD714">
        <v>16</v>
      </c>
    </row>
    <row r="715" spans="1:65" x14ac:dyDescent="0.3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AP715" s="41" t="s">
        <v>230</v>
      </c>
      <c r="AQ715" s="54">
        <f>4+4+1+8+9</f>
        <v>26</v>
      </c>
      <c r="AR715" s="45">
        <f>1+5+1+19</f>
        <v>26</v>
      </c>
      <c r="AS715" s="42"/>
      <c r="AT715" s="40"/>
      <c r="AU715" s="42"/>
      <c r="AV715" s="54">
        <v>0</v>
      </c>
      <c r="AW715" s="54" t="s">
        <v>352</v>
      </c>
      <c r="AX715" s="28"/>
      <c r="AY715" s="40"/>
      <c r="BB715" t="s">
        <v>232</v>
      </c>
      <c r="BD715" t="s">
        <v>233</v>
      </c>
      <c r="BF715">
        <f>SUM(AQ720)</f>
        <v>2147</v>
      </c>
      <c r="BH715" t="s">
        <v>234</v>
      </c>
      <c r="BJ715" t="s">
        <v>233</v>
      </c>
      <c r="BL715">
        <f>SUM(BC712)</f>
        <v>1837</v>
      </c>
    </row>
    <row r="716" spans="1:65" ht="18" x14ac:dyDescent="0.35">
      <c r="B716" s="133"/>
      <c r="AP716" s="68" t="s">
        <v>125</v>
      </c>
      <c r="AQ716" s="54">
        <v>0</v>
      </c>
      <c r="AR716" s="45">
        <v>0</v>
      </c>
      <c r="AS716" s="42"/>
      <c r="AT716" s="40"/>
      <c r="AU716" s="42"/>
      <c r="AV716" s="54">
        <v>14</v>
      </c>
      <c r="AW716" s="54" t="s">
        <v>351</v>
      </c>
      <c r="AX716" s="28"/>
      <c r="AY716" s="40"/>
      <c r="BA716" t="s">
        <v>6</v>
      </c>
      <c r="BD716" t="s">
        <v>236</v>
      </c>
      <c r="BF716">
        <f>SUM(AR720)</f>
        <v>2060</v>
      </c>
      <c r="BJ716" t="s">
        <v>236</v>
      </c>
      <c r="BL716">
        <f>SUM(BD712)</f>
        <v>1808</v>
      </c>
    </row>
    <row r="717" spans="1:65" x14ac:dyDescent="0.3">
      <c r="AP717" s="68" t="s">
        <v>132</v>
      </c>
      <c r="AQ717" s="54">
        <v>16</v>
      </c>
      <c r="AR717" s="45">
        <v>9</v>
      </c>
      <c r="AS717" s="42"/>
      <c r="AT717" s="40"/>
      <c r="AU717" s="42"/>
      <c r="AV717" s="54">
        <v>5</v>
      </c>
      <c r="AW717" s="54" t="s">
        <v>237</v>
      </c>
      <c r="AX717" s="28"/>
      <c r="AY717" s="40"/>
      <c r="BB717" s="134" t="s">
        <v>238</v>
      </c>
      <c r="BC717" s="135" t="s">
        <v>239</v>
      </c>
      <c r="BD717" s="136"/>
      <c r="BE717" s="134" t="s">
        <v>240</v>
      </c>
      <c r="BF717" s="135" t="s">
        <v>241</v>
      </c>
      <c r="BG717" s="136"/>
      <c r="BH717" s="134"/>
      <c r="BI717" s="135" t="s">
        <v>242</v>
      </c>
      <c r="BJ717" s="137" t="s">
        <v>243</v>
      </c>
      <c r="BK717" s="135"/>
      <c r="BL717" s="135"/>
      <c r="BM717" s="136"/>
    </row>
    <row r="718" spans="1:65" x14ac:dyDescent="0.3">
      <c r="AP718" s="41" t="s">
        <v>6</v>
      </c>
      <c r="AS718" s="42"/>
      <c r="AT718" s="40"/>
      <c r="AU718" s="42"/>
      <c r="AV718" s="54">
        <v>9</v>
      </c>
      <c r="AW718" s="54" t="s">
        <v>555</v>
      </c>
      <c r="AX718" s="28"/>
      <c r="AY718" s="40"/>
      <c r="BB718" s="138" t="s">
        <v>233</v>
      </c>
      <c r="BC718" s="28"/>
      <c r="BD718" s="139">
        <f>SUM(B703)</f>
        <v>40732</v>
      </c>
      <c r="BE718" s="138" t="s">
        <v>233</v>
      </c>
      <c r="BF718" s="28"/>
      <c r="BG718" s="139">
        <f>SUM(AC700)</f>
        <v>2109</v>
      </c>
      <c r="BH718" s="138" t="s">
        <v>233</v>
      </c>
      <c r="BI718" s="28"/>
      <c r="BJ718" s="140">
        <f>SUM(BL715+BG718)</f>
        <v>3946</v>
      </c>
      <c r="BK718" s="28" t="s">
        <v>245</v>
      </c>
      <c r="BL718" s="28">
        <f>SUM(BJ718+BD718)</f>
        <v>44678</v>
      </c>
      <c r="BM718" s="141"/>
    </row>
    <row r="719" spans="1:65" ht="18.600000000000001" thickBot="1" x14ac:dyDescent="0.4">
      <c r="B719" s="133"/>
      <c r="AP719" s="46" t="s">
        <v>84</v>
      </c>
      <c r="AQ719" s="48">
        <f>SUM(AQ703:AQ718)</f>
        <v>152</v>
      </c>
      <c r="AR719" s="48">
        <f>SUM(AR703:AR718)</f>
        <v>154</v>
      </c>
      <c r="AS719" s="47"/>
      <c r="AT719" s="49"/>
      <c r="AU719" s="47"/>
      <c r="AV719" s="48">
        <v>3</v>
      </c>
      <c r="AW719" s="48" t="s">
        <v>244</v>
      </c>
      <c r="AX719" s="48"/>
      <c r="AY719" s="49">
        <f>SUM(AV704:AV719)</f>
        <v>120</v>
      </c>
      <c r="BB719" s="142" t="s">
        <v>236</v>
      </c>
      <c r="BC719" s="143"/>
      <c r="BD719" s="144">
        <f>SUM(C703)</f>
        <v>42919</v>
      </c>
      <c r="BE719" s="142" t="s">
        <v>236</v>
      </c>
      <c r="BF719" s="143"/>
      <c r="BG719" s="144">
        <f>SUM(AD700)</f>
        <v>1421</v>
      </c>
      <c r="BH719" s="142" t="s">
        <v>236</v>
      </c>
      <c r="BI719" s="143"/>
      <c r="BJ719" s="145">
        <f>SUM(BL716+BG719)</f>
        <v>3229</v>
      </c>
      <c r="BK719" s="143"/>
      <c r="BL719" s="143">
        <f>SUM(BJ719+BD719)</f>
        <v>46148</v>
      </c>
      <c r="BM719" s="146"/>
    </row>
    <row r="720" spans="1:65" ht="18.600000000000001" thickBot="1" x14ac:dyDescent="0.4">
      <c r="B720" s="133"/>
      <c r="AP720" s="147" t="s">
        <v>84</v>
      </c>
      <c r="AQ720" s="147">
        <f>SUM(+AQ719+AQ702+AQ692+AQ677+AQ675)</f>
        <v>2147</v>
      </c>
      <c r="AR720" s="148">
        <f>SUM(AR719+AR702+AR692+AR677+AR675)</f>
        <v>2060</v>
      </c>
      <c r="AS720" s="147"/>
      <c r="AT720" s="148"/>
      <c r="AU720" s="149" t="s">
        <v>247</v>
      </c>
      <c r="AV720" s="149"/>
      <c r="AW720" s="149"/>
      <c r="AX720" s="149"/>
      <c r="AY720" s="148">
        <f>SUM(AY675:AY719)</f>
        <v>381</v>
      </c>
    </row>
    <row r="721" spans="1:64" ht="15" thickTop="1" x14ac:dyDescent="0.3"/>
    <row r="722" spans="1:64" x14ac:dyDescent="0.3">
      <c r="AV722" t="s">
        <v>6</v>
      </c>
    </row>
    <row r="723" spans="1:64" x14ac:dyDescent="0.3">
      <c r="K723">
        <f>8000/12</f>
        <v>666.66666666666663</v>
      </c>
    </row>
    <row r="724" spans="1:64" x14ac:dyDescent="0.3">
      <c r="K724">
        <f>K723/42</f>
        <v>15.873015873015872</v>
      </c>
    </row>
    <row r="725" spans="1:64" ht="15.6" x14ac:dyDescent="0.3">
      <c r="C725" s="1" t="s">
        <v>0</v>
      </c>
      <c r="P725" s="1" t="s">
        <v>1</v>
      </c>
    </row>
    <row r="726" spans="1:64" ht="15.6" x14ac:dyDescent="0.3">
      <c r="D726" t="s">
        <v>2</v>
      </c>
      <c r="Q726" t="s">
        <v>3</v>
      </c>
      <c r="AE726" s="2"/>
      <c r="AF726" s="1" t="s">
        <v>0</v>
      </c>
      <c r="AG726" s="1"/>
      <c r="AI726" s="1"/>
      <c r="AJ726" s="1"/>
      <c r="AS726" s="1" t="s">
        <v>4</v>
      </c>
      <c r="BE726" s="1"/>
      <c r="BF726" s="1" t="s">
        <v>5</v>
      </c>
      <c r="BG726" s="1"/>
      <c r="BH726" s="1"/>
      <c r="BI726" s="1"/>
      <c r="BJ726" s="1"/>
    </row>
    <row r="727" spans="1:64" ht="15.6" x14ac:dyDescent="0.3">
      <c r="A727" t="s">
        <v>6</v>
      </c>
      <c r="C727" t="s">
        <v>7</v>
      </c>
      <c r="O727" t="s">
        <v>8</v>
      </c>
      <c r="AE727" s="3"/>
      <c r="AF727" s="2" t="s">
        <v>9</v>
      </c>
      <c r="AG727" s="1"/>
      <c r="AI727" s="1"/>
      <c r="AJ727" s="1"/>
      <c r="AT727" t="s">
        <v>2</v>
      </c>
      <c r="BG727" t="s">
        <v>2</v>
      </c>
    </row>
    <row r="728" spans="1:64" ht="15.6" x14ac:dyDescent="0.3">
      <c r="D728" t="s">
        <v>619</v>
      </c>
      <c r="Q728" t="s">
        <v>619</v>
      </c>
      <c r="AF728" s="3" t="s">
        <v>11</v>
      </c>
      <c r="AG728" s="1"/>
      <c r="AI728" s="1"/>
      <c r="AJ728" s="1"/>
      <c r="AR728" t="s">
        <v>12</v>
      </c>
      <c r="AZ728" t="s">
        <v>6</v>
      </c>
      <c r="BE728" t="s">
        <v>13</v>
      </c>
    </row>
    <row r="729" spans="1:64" ht="15" thickBot="1" x14ac:dyDescent="0.35">
      <c r="I729" s="4" t="s">
        <v>14</v>
      </c>
      <c r="U729" s="5" t="s">
        <v>15</v>
      </c>
      <c r="AG729" t="s">
        <v>619</v>
      </c>
      <c r="AT729" t="s">
        <v>619</v>
      </c>
      <c r="AY729" s="5"/>
      <c r="BG729" t="s">
        <v>619</v>
      </c>
      <c r="BK729" s="5" t="s">
        <v>16</v>
      </c>
    </row>
    <row r="730" spans="1:64" ht="15" thickBot="1" x14ac:dyDescent="0.35">
      <c r="A730" s="6" t="s">
        <v>17</v>
      </c>
      <c r="B730" s="6" t="s">
        <v>18</v>
      </c>
      <c r="C730" s="7"/>
      <c r="D730" s="8" t="s">
        <v>19</v>
      </c>
      <c r="E730" s="8"/>
      <c r="F730" s="8"/>
      <c r="G730" s="9" t="s">
        <v>20</v>
      </c>
      <c r="H730" s="8" t="s">
        <v>21</v>
      </c>
      <c r="I730" s="8"/>
      <c r="J730" s="7"/>
      <c r="L730" s="6" t="s">
        <v>17</v>
      </c>
      <c r="M730" s="6" t="s">
        <v>22</v>
      </c>
      <c r="N730" s="7"/>
      <c r="O730" s="8" t="s">
        <v>23</v>
      </c>
      <c r="P730" s="8"/>
      <c r="Q730" s="8"/>
      <c r="R730" s="6" t="s">
        <v>24</v>
      </c>
      <c r="S730" s="7"/>
      <c r="T730" s="8" t="s">
        <v>21</v>
      </c>
      <c r="U730" s="8"/>
      <c r="V730" s="7"/>
      <c r="AL730" s="5" t="s">
        <v>25</v>
      </c>
      <c r="AX730" s="5" t="s">
        <v>26</v>
      </c>
      <c r="BB730" s="6" t="s">
        <v>17</v>
      </c>
      <c r="BC730" s="6" t="s">
        <v>27</v>
      </c>
      <c r="BD730" s="7"/>
      <c r="BE730" s="8" t="s">
        <v>28</v>
      </c>
      <c r="BF730" s="8"/>
      <c r="BG730" s="8"/>
      <c r="BH730" s="6" t="s">
        <v>29</v>
      </c>
      <c r="BI730" s="7" t="s">
        <v>30</v>
      </c>
      <c r="BJ730" s="8" t="s">
        <v>31</v>
      </c>
      <c r="BK730" s="8"/>
      <c r="BL730" s="7"/>
    </row>
    <row r="731" spans="1:64" x14ac:dyDescent="0.3">
      <c r="A731" s="10" t="s">
        <v>32</v>
      </c>
      <c r="B731" s="10"/>
      <c r="C731" s="11"/>
      <c r="D731" s="3"/>
      <c r="E731" s="3"/>
      <c r="F731" s="3"/>
      <c r="G731" s="12"/>
      <c r="H731" s="3" t="s">
        <v>33</v>
      </c>
      <c r="I731" s="3"/>
      <c r="J731" s="11"/>
      <c r="L731" s="10"/>
      <c r="M731" s="10"/>
      <c r="N731" s="11"/>
      <c r="O731" s="3"/>
      <c r="P731" s="3"/>
      <c r="Q731" s="3"/>
      <c r="R731" s="10"/>
      <c r="S731" s="11"/>
      <c r="T731" s="3" t="s">
        <v>33</v>
      </c>
      <c r="U731" s="3"/>
      <c r="V731" s="11"/>
      <c r="AB731" s="6" t="s">
        <v>34</v>
      </c>
      <c r="AC731" s="6" t="s">
        <v>35</v>
      </c>
      <c r="AD731" s="7"/>
      <c r="AE731" s="6" t="s">
        <v>36</v>
      </c>
      <c r="AF731" s="8"/>
      <c r="AG731" s="7"/>
      <c r="AH731" s="8" t="s">
        <v>37</v>
      </c>
      <c r="AI731" s="8"/>
      <c r="AJ731" s="9" t="s">
        <v>30</v>
      </c>
      <c r="AK731" s="8" t="s">
        <v>38</v>
      </c>
      <c r="AL731" s="8"/>
      <c r="AM731" s="7"/>
      <c r="AP731" s="6" t="s">
        <v>17</v>
      </c>
      <c r="AQ731" s="6" t="s">
        <v>39</v>
      </c>
      <c r="AR731" s="7"/>
      <c r="AS731" s="6" t="s">
        <v>29</v>
      </c>
      <c r="AT731" s="7" t="s">
        <v>30</v>
      </c>
      <c r="AU731" s="8" t="s">
        <v>40</v>
      </c>
      <c r="AV731" s="8"/>
      <c r="AW731" s="8"/>
      <c r="AX731" s="8"/>
      <c r="AY731" s="7"/>
      <c r="BB731" s="10"/>
      <c r="BC731" s="10"/>
      <c r="BD731" s="11"/>
      <c r="BE731" s="3"/>
      <c r="BF731" s="3"/>
      <c r="BG731" s="3"/>
      <c r="BH731" s="10"/>
      <c r="BI731" s="11" t="s">
        <v>6</v>
      </c>
      <c r="BJ731" s="3" t="s">
        <v>41</v>
      </c>
      <c r="BK731" s="3"/>
      <c r="BL731" s="11"/>
    </row>
    <row r="732" spans="1:64" ht="15" thickBot="1" x14ac:dyDescent="0.35">
      <c r="A732" s="13" t="s">
        <v>42</v>
      </c>
      <c r="B732" s="14" t="s">
        <v>43</v>
      </c>
      <c r="C732" s="15" t="s">
        <v>44</v>
      </c>
      <c r="D732" s="16" t="s">
        <v>45</v>
      </c>
      <c r="E732" s="16" t="s">
        <v>46</v>
      </c>
      <c r="F732" s="16" t="s">
        <v>47</v>
      </c>
      <c r="G732" s="17" t="s">
        <v>48</v>
      </c>
      <c r="H732" s="18" t="s">
        <v>49</v>
      </c>
      <c r="I732" s="18"/>
      <c r="J732" s="11"/>
      <c r="L732" s="10" t="s">
        <v>50</v>
      </c>
      <c r="M732" s="19" t="s">
        <v>43</v>
      </c>
      <c r="N732" s="20" t="s">
        <v>44</v>
      </c>
      <c r="O732" s="21" t="s">
        <v>43</v>
      </c>
      <c r="P732" s="18" t="s">
        <v>51</v>
      </c>
      <c r="Q732" s="21" t="s">
        <v>44</v>
      </c>
      <c r="R732" s="22" t="s">
        <v>43</v>
      </c>
      <c r="S732" s="23" t="s">
        <v>44</v>
      </c>
      <c r="T732" s="18" t="s">
        <v>49</v>
      </c>
      <c r="U732" s="18"/>
      <c r="V732" s="11"/>
      <c r="AB732" s="10" t="s">
        <v>50</v>
      </c>
      <c r="AC732" s="22" t="s">
        <v>43</v>
      </c>
      <c r="AD732" s="23" t="s">
        <v>44</v>
      </c>
      <c r="AE732" s="22" t="s">
        <v>45</v>
      </c>
      <c r="AF732" s="24" t="s">
        <v>46</v>
      </c>
      <c r="AG732" s="23" t="s">
        <v>52</v>
      </c>
      <c r="AH732" s="24" t="s">
        <v>43</v>
      </c>
      <c r="AI732" s="24" t="s">
        <v>44</v>
      </c>
      <c r="AJ732" s="25" t="s">
        <v>43</v>
      </c>
      <c r="AK732" s="3" t="s">
        <v>53</v>
      </c>
      <c r="AL732" s="3"/>
      <c r="AM732" s="11"/>
      <c r="AP732" s="13" t="s">
        <v>42</v>
      </c>
      <c r="AQ732" s="10" t="s">
        <v>43</v>
      </c>
      <c r="AR732" s="11" t="s">
        <v>44</v>
      </c>
      <c r="AS732" s="13" t="s">
        <v>43</v>
      </c>
      <c r="AT732" s="26" t="s">
        <v>44</v>
      </c>
      <c r="AU732" s="27"/>
      <c r="AV732" s="27"/>
      <c r="AW732" s="27"/>
      <c r="AX732" s="27"/>
      <c r="AY732" s="26"/>
      <c r="BB732" s="13" t="s">
        <v>42</v>
      </c>
      <c r="BC732" s="13" t="s">
        <v>43</v>
      </c>
      <c r="BD732" s="26" t="s">
        <v>44</v>
      </c>
      <c r="BE732" s="27" t="s">
        <v>45</v>
      </c>
      <c r="BF732" s="27" t="s">
        <v>46</v>
      </c>
      <c r="BG732" s="27" t="s">
        <v>52</v>
      </c>
      <c r="BH732" s="13" t="s">
        <v>43</v>
      </c>
      <c r="BI732" s="26" t="s">
        <v>44</v>
      </c>
      <c r="BJ732" s="27" t="s">
        <v>54</v>
      </c>
      <c r="BK732" s="27"/>
      <c r="BL732" s="26"/>
    </row>
    <row r="733" spans="1:64" ht="15" thickBot="1" x14ac:dyDescent="0.35">
      <c r="A733" s="6"/>
      <c r="B733" s="6"/>
      <c r="C733" s="7"/>
      <c r="D733" s="8"/>
      <c r="E733" s="8"/>
      <c r="F733" s="7"/>
      <c r="G733" s="8"/>
      <c r="H733" s="6" t="s">
        <v>396</v>
      </c>
      <c r="I733" s="8"/>
      <c r="J733" s="7"/>
      <c r="K733" s="28"/>
      <c r="L733" s="9"/>
      <c r="M733" s="8"/>
      <c r="N733" s="8"/>
      <c r="O733" s="6"/>
      <c r="P733" s="8"/>
      <c r="Q733" s="7"/>
      <c r="R733" s="8"/>
      <c r="S733" s="8"/>
      <c r="T733" s="6" t="s">
        <v>396</v>
      </c>
      <c r="U733" s="8"/>
      <c r="V733" s="7"/>
      <c r="W733" s="28"/>
      <c r="AB733" s="13"/>
      <c r="AC733" s="13"/>
      <c r="AD733" s="26"/>
      <c r="AE733" s="13"/>
      <c r="AF733" s="27"/>
      <c r="AG733" s="26"/>
      <c r="AH733" s="27"/>
      <c r="AI733" s="27"/>
      <c r="AJ733" s="17"/>
      <c r="AK733" s="27"/>
      <c r="AL733" s="27"/>
      <c r="AM733" s="26"/>
      <c r="AP733" s="6" t="s">
        <v>56</v>
      </c>
      <c r="AQ733" s="29">
        <v>374</v>
      </c>
      <c r="AR733" s="30">
        <v>461</v>
      </c>
      <c r="AU733" s="6"/>
      <c r="AV733" s="8"/>
      <c r="AW733" s="31" t="s">
        <v>57</v>
      </c>
      <c r="AX733" s="8"/>
      <c r="AY733" s="7"/>
      <c r="AZ733" s="28"/>
      <c r="BB733" s="32" t="s">
        <v>85</v>
      </c>
      <c r="BC733">
        <v>6</v>
      </c>
      <c r="BD733">
        <v>10</v>
      </c>
      <c r="BE733" s="33"/>
      <c r="BF733" s="34"/>
      <c r="BG733" s="34"/>
      <c r="BH733" s="33"/>
      <c r="BI733" s="35"/>
      <c r="BJ733" s="34" t="s">
        <v>58</v>
      </c>
      <c r="BK733" s="8"/>
      <c r="BL733" s="7"/>
    </row>
    <row r="734" spans="1:64" x14ac:dyDescent="0.3">
      <c r="A734" s="10" t="s">
        <v>59</v>
      </c>
      <c r="B734" s="36">
        <v>2031</v>
      </c>
      <c r="C734" s="11">
        <v>1042</v>
      </c>
      <c r="D734" s="37"/>
      <c r="E734" s="38" t="s">
        <v>60</v>
      </c>
      <c r="F734" s="39"/>
      <c r="G734" s="37">
        <f>8*264</f>
        <v>2112</v>
      </c>
      <c r="H734" s="36">
        <v>8</v>
      </c>
      <c r="I734" s="37" t="s">
        <v>61</v>
      </c>
      <c r="J734" s="40"/>
      <c r="K734" s="28"/>
      <c r="L734" s="41" t="s">
        <v>59</v>
      </c>
      <c r="M734" s="28">
        <v>19273</v>
      </c>
      <c r="N734" s="28">
        <v>39801</v>
      </c>
      <c r="O734" s="42">
        <v>0</v>
      </c>
      <c r="P734" s="43">
        <v>0</v>
      </c>
      <c r="Q734" s="40">
        <v>0</v>
      </c>
      <c r="R734" s="43">
        <v>0</v>
      </c>
      <c r="S734" s="43">
        <v>0</v>
      </c>
      <c r="T734" s="42"/>
      <c r="U734" s="28"/>
      <c r="V734" s="40"/>
      <c r="W734" s="28"/>
      <c r="AB734" s="9"/>
      <c r="AC734" s="8"/>
      <c r="AD734" s="8"/>
      <c r="AE734" s="6"/>
      <c r="AF734" s="8"/>
      <c r="AG734" s="7"/>
      <c r="AH734" s="8"/>
      <c r="AI734" s="8"/>
      <c r="AJ734" s="9"/>
      <c r="AK734" s="6" t="s">
        <v>62</v>
      </c>
      <c r="AL734" s="8"/>
      <c r="AM734" s="7"/>
      <c r="AP734" s="36" t="s">
        <v>63</v>
      </c>
      <c r="AQ734" s="36">
        <v>0</v>
      </c>
      <c r="AR734" s="39">
        <v>0</v>
      </c>
      <c r="AT734" s="18"/>
      <c r="AU734" s="10"/>
      <c r="AV734" s="18"/>
      <c r="AW734" s="18"/>
      <c r="AX734" s="18"/>
      <c r="AY734" s="11"/>
      <c r="AZ734" s="28"/>
      <c r="BB734" s="44" t="s">
        <v>64</v>
      </c>
      <c r="BC734" s="18">
        <v>124</v>
      </c>
      <c r="BD734" s="18">
        <v>75</v>
      </c>
      <c r="BE734" s="10">
        <v>0</v>
      </c>
      <c r="BF734" s="18">
        <v>0</v>
      </c>
      <c r="BG734" s="18">
        <v>0</v>
      </c>
      <c r="BH734" s="10">
        <v>0</v>
      </c>
      <c r="BI734" s="11">
        <v>0</v>
      </c>
      <c r="BJ734" s="45">
        <v>9</v>
      </c>
      <c r="BK734" s="28" t="s">
        <v>474</v>
      </c>
      <c r="BL734" s="11" t="s">
        <v>6</v>
      </c>
    </row>
    <row r="735" spans="1:64" ht="15" thickBot="1" x14ac:dyDescent="0.35">
      <c r="A735" s="36" t="s">
        <v>6</v>
      </c>
      <c r="B735" s="10"/>
      <c r="C735" s="11"/>
      <c r="D735" s="18"/>
      <c r="E735" s="18"/>
      <c r="F735" s="18"/>
      <c r="G735" s="36"/>
      <c r="H735" s="42"/>
      <c r="I735" s="28" t="s">
        <v>528</v>
      </c>
      <c r="J735" s="40">
        <f>SUM(H734+H735)</f>
        <v>8</v>
      </c>
      <c r="K735" s="28"/>
      <c r="L735" s="12"/>
      <c r="M735" s="37"/>
      <c r="N735" s="37"/>
      <c r="O735" s="10"/>
      <c r="P735" s="18"/>
      <c r="Q735" s="11"/>
      <c r="R735" s="18"/>
      <c r="S735" s="18"/>
      <c r="T735" s="10"/>
      <c r="U735" s="18"/>
      <c r="V735" s="11"/>
      <c r="W735" s="28"/>
      <c r="AB735" s="41"/>
      <c r="AE735" s="42"/>
      <c r="AF735" s="28"/>
      <c r="AG735" s="40"/>
      <c r="AJ735" s="41"/>
      <c r="AK735" s="42"/>
      <c r="AL735" s="28" t="s">
        <v>6</v>
      </c>
      <c r="AM735" s="40"/>
      <c r="AP735" s="36" t="s">
        <v>67</v>
      </c>
      <c r="AQ735" s="36">
        <v>252</v>
      </c>
      <c r="AR735" s="39">
        <v>275</v>
      </c>
      <c r="AT735" s="18"/>
      <c r="AU735" s="10"/>
      <c r="AV735" s="37">
        <f>166/2</f>
        <v>83</v>
      </c>
      <c r="AW735" s="37" t="s">
        <v>68</v>
      </c>
      <c r="AX735" s="18"/>
      <c r="AY735" s="11"/>
      <c r="AZ735" s="28"/>
      <c r="BA735" s="28"/>
      <c r="BB735" s="46" t="s">
        <v>84</v>
      </c>
      <c r="BC735">
        <f>SUM(BC733:BC734)</f>
        <v>130</v>
      </c>
      <c r="BD735">
        <f>SUM(BD733:BD734)</f>
        <v>85</v>
      </c>
      <c r="BE735" s="47"/>
      <c r="BF735" s="48"/>
      <c r="BG735" s="48"/>
      <c r="BH735" s="47"/>
      <c r="BI735" s="49"/>
      <c r="BJ735" s="48">
        <v>3</v>
      </c>
      <c r="BK735" s="48" t="s">
        <v>69</v>
      </c>
      <c r="BL735" s="49">
        <f>SUM(BJ734:BJ735)</f>
        <v>12</v>
      </c>
    </row>
    <row r="736" spans="1:64" ht="15" thickBot="1" x14ac:dyDescent="0.35">
      <c r="A736" s="32"/>
      <c r="B736" s="34"/>
      <c r="C736" s="34"/>
      <c r="D736" s="33"/>
      <c r="E736" s="34"/>
      <c r="F736" s="35"/>
      <c r="G736" s="34"/>
      <c r="H736" s="6" t="s">
        <v>70</v>
      </c>
      <c r="I736" s="8"/>
      <c r="J736" s="7"/>
      <c r="K736" s="28"/>
      <c r="L736" s="17"/>
      <c r="M736" s="27"/>
      <c r="N736" s="27"/>
      <c r="O736" s="13"/>
      <c r="P736" s="27"/>
      <c r="Q736" s="26"/>
      <c r="R736" s="27"/>
      <c r="S736" s="27"/>
      <c r="T736" s="13"/>
      <c r="U736" s="27"/>
      <c r="V736" s="26"/>
      <c r="W736" s="28"/>
      <c r="AB736" s="44" t="s">
        <v>59</v>
      </c>
      <c r="AC736" s="37">
        <v>2144</v>
      </c>
      <c r="AD736" s="37">
        <v>1279</v>
      </c>
      <c r="AE736" s="10">
        <v>0</v>
      </c>
      <c r="AF736" s="18">
        <v>0</v>
      </c>
      <c r="AG736" s="39">
        <v>0</v>
      </c>
      <c r="AH736" s="2">
        <v>0</v>
      </c>
      <c r="AI736" s="2">
        <v>0</v>
      </c>
      <c r="AJ736" s="12">
        <v>0</v>
      </c>
      <c r="AK736" s="36">
        <v>5</v>
      </c>
      <c r="AL736" s="37" t="s">
        <v>66</v>
      </c>
      <c r="AM736" s="11"/>
      <c r="AP736" s="36" t="s">
        <v>72</v>
      </c>
      <c r="AQ736" s="36">
        <v>10</v>
      </c>
      <c r="AR736" s="39">
        <v>14</v>
      </c>
      <c r="AT736" s="18"/>
      <c r="AU736" s="10"/>
      <c r="AV736" s="37"/>
      <c r="AW736" s="37" t="s">
        <v>73</v>
      </c>
      <c r="AX736" s="18"/>
      <c r="AY736" s="11"/>
      <c r="AZ736" s="28"/>
      <c r="BA736" s="28"/>
      <c r="BB736" s="33"/>
      <c r="BC736" s="33"/>
      <c r="BD736" s="35"/>
      <c r="BE736" s="34"/>
      <c r="BF736" s="34"/>
      <c r="BG736" s="34"/>
      <c r="BH736" s="33"/>
      <c r="BI736" s="35"/>
      <c r="BJ736" s="53" t="s">
        <v>82</v>
      </c>
      <c r="BK736" s="34"/>
      <c r="BL736" s="35"/>
    </row>
    <row r="737" spans="1:66" ht="15" thickBot="1" x14ac:dyDescent="0.35">
      <c r="A737" s="44" t="s">
        <v>74</v>
      </c>
      <c r="B737" s="37">
        <v>1271</v>
      </c>
      <c r="C737" s="18">
        <v>1894</v>
      </c>
      <c r="D737" s="36"/>
      <c r="E737" s="38" t="s">
        <v>60</v>
      </c>
      <c r="F737" s="39"/>
      <c r="G737" s="37">
        <v>1940</v>
      </c>
      <c r="H737" s="36">
        <v>18</v>
      </c>
      <c r="I737" s="28" t="s">
        <v>75</v>
      </c>
      <c r="J737" s="11"/>
      <c r="K737" s="28"/>
      <c r="L737" s="32"/>
      <c r="M737" s="34"/>
      <c r="N737" s="34"/>
      <c r="O737" s="33"/>
      <c r="P737" s="34"/>
      <c r="Q737" s="35"/>
      <c r="R737" s="34"/>
      <c r="S737" s="34"/>
      <c r="T737" s="33"/>
      <c r="U737" s="34"/>
      <c r="V737" s="35"/>
      <c r="W737" s="28"/>
      <c r="AB737" s="46"/>
      <c r="AE737" s="47"/>
      <c r="AF737" s="51"/>
      <c r="AG737" s="49"/>
      <c r="AH737" s="28"/>
      <c r="AI737" s="28"/>
      <c r="AJ737" s="62"/>
      <c r="AK737" s="47">
        <v>2</v>
      </c>
      <c r="AL737" s="48" t="s">
        <v>398</v>
      </c>
      <c r="AM737" s="49"/>
      <c r="AP737" s="36" t="s">
        <v>78</v>
      </c>
      <c r="AQ737" s="36">
        <v>12</v>
      </c>
      <c r="AR737" s="39"/>
      <c r="AT737" s="18"/>
      <c r="AU737" s="10"/>
      <c r="AV737" s="37"/>
      <c r="AW737" s="37"/>
      <c r="AX737" s="18" t="s">
        <v>6</v>
      </c>
      <c r="AY737" s="11"/>
      <c r="AZ737" s="28"/>
      <c r="BA737" s="28"/>
      <c r="BB737" s="47" t="s">
        <v>85</v>
      </c>
      <c r="BC737" s="47">
        <v>3</v>
      </c>
      <c r="BD737" s="49">
        <v>9</v>
      </c>
      <c r="BE737" s="48"/>
      <c r="BF737" s="48">
        <v>0</v>
      </c>
      <c r="BG737" s="48">
        <v>0</v>
      </c>
      <c r="BH737" s="47">
        <v>0</v>
      </c>
      <c r="BI737" s="49">
        <v>0</v>
      </c>
      <c r="BJ737" s="51">
        <v>2</v>
      </c>
      <c r="BK737" s="48" t="s">
        <v>86</v>
      </c>
      <c r="BL737" s="49">
        <f>SUM(BJ737)</f>
        <v>2</v>
      </c>
    </row>
    <row r="738" spans="1:66" x14ac:dyDescent="0.3">
      <c r="A738" s="41"/>
      <c r="D738" s="42"/>
      <c r="E738" s="28"/>
      <c r="F738" s="40"/>
      <c r="H738" s="42">
        <v>2</v>
      </c>
      <c r="I738" s="28" t="s">
        <v>79</v>
      </c>
      <c r="J738" s="40"/>
      <c r="K738" s="28"/>
      <c r="L738" s="41"/>
      <c r="M738" s="28"/>
      <c r="N738" s="28"/>
      <c r="O738" s="42"/>
      <c r="P738" s="28"/>
      <c r="Q738" s="40"/>
      <c r="R738" s="28"/>
      <c r="S738" s="28"/>
      <c r="T738" s="42" t="s">
        <v>80</v>
      </c>
      <c r="U738" s="28"/>
      <c r="V738" s="40"/>
      <c r="W738" s="28"/>
      <c r="AB738" s="50" t="s">
        <v>6</v>
      </c>
      <c r="AC738" s="8"/>
      <c r="AD738" s="8"/>
      <c r="AE738" s="6"/>
      <c r="AF738" s="8"/>
      <c r="AG738" s="7"/>
      <c r="AH738" s="6"/>
      <c r="AI738" s="7"/>
      <c r="AJ738" s="8"/>
      <c r="AK738" s="29" t="s">
        <v>71</v>
      </c>
      <c r="AL738" s="8"/>
      <c r="AM738" s="7"/>
      <c r="AP738" s="52" t="s">
        <v>81</v>
      </c>
      <c r="AQ738" s="36">
        <v>0</v>
      </c>
      <c r="AR738" s="39">
        <v>0</v>
      </c>
      <c r="AU738" s="42"/>
      <c r="AV738" s="28"/>
      <c r="AW738" s="28"/>
      <c r="AX738" s="28"/>
      <c r="AY738" s="40"/>
      <c r="AZ738" s="28">
        <f>19/2</f>
        <v>9.5</v>
      </c>
      <c r="BA738" s="28"/>
      <c r="BB738" s="50" t="s">
        <v>107</v>
      </c>
      <c r="BC738" s="31">
        <v>115</v>
      </c>
      <c r="BD738" s="31">
        <v>56</v>
      </c>
      <c r="BE738" s="29"/>
      <c r="BF738" s="31"/>
      <c r="BG738" s="30"/>
      <c r="BH738" s="55"/>
      <c r="BI738" s="8"/>
      <c r="BJ738" s="29"/>
      <c r="BK738" s="34" t="s">
        <v>92</v>
      </c>
      <c r="BL738" s="35"/>
    </row>
    <row r="739" spans="1:66" ht="15" thickBot="1" x14ac:dyDescent="0.35">
      <c r="A739" s="46"/>
      <c r="B739" s="48"/>
      <c r="C739" s="48"/>
      <c r="D739" s="47"/>
      <c r="E739" s="48"/>
      <c r="F739" s="49"/>
      <c r="G739" s="48"/>
      <c r="H739" s="47"/>
      <c r="I739" s="28" t="s">
        <v>83</v>
      </c>
      <c r="J739" s="49">
        <f>SUM(H737:H739)</f>
        <v>20</v>
      </c>
      <c r="K739" s="28"/>
      <c r="L739" s="17" t="s">
        <v>74</v>
      </c>
      <c r="M739" s="27">
        <v>3093</v>
      </c>
      <c r="N739" s="27">
        <v>92</v>
      </c>
      <c r="O739" s="13">
        <v>0</v>
      </c>
      <c r="P739" s="27">
        <v>0</v>
      </c>
      <c r="Q739" s="26">
        <v>0</v>
      </c>
      <c r="R739" s="27">
        <v>25</v>
      </c>
      <c r="S739" s="27">
        <v>51</v>
      </c>
      <c r="T739" s="13"/>
      <c r="U739" s="27"/>
      <c r="V739" s="26"/>
      <c r="W739" s="28"/>
      <c r="AB739" s="41" t="s">
        <v>76</v>
      </c>
      <c r="AC739">
        <v>228</v>
      </c>
      <c r="AD739">
        <v>0</v>
      </c>
      <c r="AE739" s="42">
        <v>0</v>
      </c>
      <c r="AF739" s="43">
        <v>0</v>
      </c>
      <c r="AG739" s="40">
        <v>0</v>
      </c>
      <c r="AH739" s="42">
        <v>0</v>
      </c>
      <c r="AI739" s="40">
        <v>0</v>
      </c>
      <c r="AJ739" s="43">
        <v>0</v>
      </c>
      <c r="AK739" s="42">
        <v>2</v>
      </c>
      <c r="AL739" s="28" t="s">
        <v>77</v>
      </c>
      <c r="AM739" s="40"/>
      <c r="AP739" s="52" t="s">
        <v>115</v>
      </c>
      <c r="AQ739" s="52">
        <v>0</v>
      </c>
      <c r="AR739" s="86">
        <v>0</v>
      </c>
      <c r="AU739" s="42"/>
      <c r="AV739" s="28"/>
      <c r="AW739" s="28"/>
      <c r="AX739" s="28"/>
      <c r="AY739" s="40"/>
      <c r="AZ739" s="28"/>
      <c r="BA739" s="28"/>
      <c r="BB739" s="41" t="s">
        <v>99</v>
      </c>
      <c r="BC739" s="45">
        <v>0</v>
      </c>
      <c r="BD739" s="45">
        <v>0</v>
      </c>
      <c r="BE739" s="42">
        <v>0</v>
      </c>
      <c r="BF739" s="45">
        <v>0</v>
      </c>
      <c r="BG739" s="40">
        <v>0</v>
      </c>
      <c r="BH739" s="45">
        <v>61860</v>
      </c>
      <c r="BI739" s="56">
        <v>10813</v>
      </c>
      <c r="BJ739" s="52">
        <v>31</v>
      </c>
      <c r="BK739" s="37" t="s">
        <v>100</v>
      </c>
      <c r="BL739" s="40"/>
    </row>
    <row r="740" spans="1:66" ht="15" thickBot="1" x14ac:dyDescent="0.35">
      <c r="A740" s="33"/>
      <c r="B740" s="33"/>
      <c r="C740" s="35"/>
      <c r="D740" s="34"/>
      <c r="E740" s="34"/>
      <c r="F740" s="34"/>
      <c r="G740" s="32"/>
      <c r="H740" s="6" t="s">
        <v>87</v>
      </c>
      <c r="I740" s="34"/>
      <c r="J740" s="35"/>
      <c r="K740" s="28"/>
      <c r="L740" s="12" t="s">
        <v>88</v>
      </c>
      <c r="M740" s="37">
        <v>0</v>
      </c>
      <c r="N740" s="37">
        <v>0</v>
      </c>
      <c r="O740" s="10"/>
      <c r="P740" s="18"/>
      <c r="Q740" s="11"/>
      <c r="R740" s="18"/>
      <c r="S740" s="18"/>
      <c r="T740" s="33" t="s">
        <v>6</v>
      </c>
      <c r="U740" s="31"/>
      <c r="V740" s="7"/>
      <c r="W740" s="28"/>
      <c r="AB740" s="6" t="s">
        <v>89</v>
      </c>
      <c r="AC740" s="6">
        <v>31</v>
      </c>
      <c r="AD740" s="7">
        <v>42</v>
      </c>
      <c r="AE740" s="8"/>
      <c r="AF740" s="8"/>
      <c r="AG740" s="8"/>
      <c r="AH740" s="6"/>
      <c r="AI740" s="7"/>
      <c r="AJ740" s="9"/>
      <c r="AK740" s="31" t="s">
        <v>90</v>
      </c>
      <c r="AL740" s="8"/>
      <c r="AM740" s="7"/>
      <c r="AP740" s="13" t="s">
        <v>84</v>
      </c>
      <c r="AQ740" s="13">
        <f>SUM(AQ733:AQ739)</f>
        <v>648</v>
      </c>
      <c r="AR740" s="26">
        <f>SUM(AR733:AR739)</f>
        <v>750</v>
      </c>
      <c r="AT740" s="18"/>
      <c r="AU740" s="13"/>
      <c r="AV740" s="27"/>
      <c r="AW740" s="27"/>
      <c r="AX740" s="27"/>
      <c r="AY740" s="26">
        <f>SUM(AV735:AV736)</f>
        <v>83</v>
      </c>
      <c r="AZ740" s="28"/>
      <c r="BA740" s="28"/>
      <c r="BB740" s="17" t="s">
        <v>84</v>
      </c>
      <c r="BC740" s="18">
        <f>SUM(BC738:BC739)</f>
        <v>115</v>
      </c>
      <c r="BD740" s="18">
        <f>SUM(BD738:BD739)</f>
        <v>56</v>
      </c>
      <c r="BE740" s="13"/>
      <c r="BF740" s="27"/>
      <c r="BG740" s="26"/>
      <c r="BH740" s="58"/>
      <c r="BI740" s="27"/>
      <c r="BJ740" s="59">
        <v>2</v>
      </c>
      <c r="BK740" s="48" t="s">
        <v>506</v>
      </c>
      <c r="BL740" s="60">
        <f>SUM(BJ739:BJ740)</f>
        <v>33</v>
      </c>
    </row>
    <row r="741" spans="1:66" x14ac:dyDescent="0.3">
      <c r="A741" s="36" t="s">
        <v>93</v>
      </c>
      <c r="B741" s="36">
        <v>4608</v>
      </c>
      <c r="C741" s="11">
        <v>3291</v>
      </c>
      <c r="D741" s="37"/>
      <c r="E741" s="38" t="s">
        <v>60</v>
      </c>
      <c r="F741" s="37"/>
      <c r="G741" s="12">
        <v>5334</v>
      </c>
      <c r="H741" s="36">
        <v>3</v>
      </c>
      <c r="I741" s="37" t="s">
        <v>94</v>
      </c>
      <c r="J741" s="40"/>
      <c r="K741" s="28"/>
      <c r="L741" s="44" t="s">
        <v>95</v>
      </c>
      <c r="M741" s="37">
        <v>0</v>
      </c>
      <c r="N741" s="37">
        <v>0</v>
      </c>
      <c r="O741" s="10"/>
      <c r="P741" s="18"/>
      <c r="Q741" s="11"/>
      <c r="R741" s="18"/>
      <c r="S741" s="18"/>
      <c r="T741" s="10" t="s">
        <v>96</v>
      </c>
      <c r="U741" s="37"/>
      <c r="V741" s="11"/>
      <c r="W741" s="28"/>
      <c r="AB741" s="36" t="s">
        <v>97</v>
      </c>
      <c r="AC741" s="10">
        <v>0</v>
      </c>
      <c r="AD741" s="11">
        <v>0</v>
      </c>
      <c r="AE741" s="18">
        <v>0</v>
      </c>
      <c r="AF741" s="18">
        <v>0</v>
      </c>
      <c r="AG741" s="18">
        <v>0</v>
      </c>
      <c r="AH741" s="36">
        <v>0</v>
      </c>
      <c r="AI741" s="11">
        <v>0</v>
      </c>
      <c r="AJ741" s="12">
        <v>0</v>
      </c>
      <c r="AK741" s="37">
        <v>1</v>
      </c>
      <c r="AL741" s="37" t="s">
        <v>529</v>
      </c>
      <c r="AM741" s="11"/>
      <c r="AP741" s="32" t="s">
        <v>6</v>
      </c>
      <c r="AQ741" s="43"/>
      <c r="AR741" s="54"/>
      <c r="AS741" s="33"/>
      <c r="AT741" s="35"/>
      <c r="AU741" s="33"/>
      <c r="AV741" s="34" t="s">
        <v>91</v>
      </c>
      <c r="AW741" s="34"/>
      <c r="AX741" s="34"/>
      <c r="AY741" s="35"/>
      <c r="AZ741" s="28" t="s">
        <v>6</v>
      </c>
      <c r="BA741" s="28"/>
      <c r="BB741" s="32" t="s">
        <v>107</v>
      </c>
      <c r="BC741" s="63">
        <v>0</v>
      </c>
      <c r="BD741" s="64">
        <v>0</v>
      </c>
      <c r="BE741" s="33"/>
      <c r="BF741" s="8"/>
      <c r="BG741" s="35"/>
      <c r="BH741" s="65"/>
      <c r="BI741" s="66"/>
      <c r="BJ741" s="29"/>
      <c r="BK741" s="31" t="s">
        <v>57</v>
      </c>
      <c r="BL741" s="35"/>
    </row>
    <row r="742" spans="1:66" ht="15" thickBot="1" x14ac:dyDescent="0.35">
      <c r="A742" s="47"/>
      <c r="B742" s="47"/>
      <c r="C742" s="49"/>
      <c r="D742" s="48"/>
      <c r="E742" s="48"/>
      <c r="F742" s="48"/>
      <c r="G742" s="46"/>
      <c r="H742" s="47">
        <v>28</v>
      </c>
      <c r="I742" s="48" t="s">
        <v>101</v>
      </c>
      <c r="J742" s="49">
        <f>SUM(H741:H742)</f>
        <v>31</v>
      </c>
      <c r="K742" s="28"/>
      <c r="L742" s="12" t="s">
        <v>102</v>
      </c>
      <c r="M742" s="18">
        <v>0</v>
      </c>
      <c r="N742" s="18">
        <v>0</v>
      </c>
      <c r="O742" s="10"/>
      <c r="P742" s="18"/>
      <c r="Q742" s="11"/>
      <c r="R742" s="18"/>
      <c r="S742" s="18"/>
      <c r="T742" s="10"/>
      <c r="U742" s="18"/>
      <c r="V742" s="11"/>
      <c r="W742" s="28"/>
      <c r="AB742" s="47" t="s">
        <v>84</v>
      </c>
      <c r="AC742" s="13">
        <f>SUM(AC740:AC741)</f>
        <v>31</v>
      </c>
      <c r="AD742" s="26">
        <f>SUM(AD740:AD741)</f>
        <v>42</v>
      </c>
      <c r="AE742" s="27"/>
      <c r="AF742" s="27"/>
      <c r="AG742" s="27"/>
      <c r="AH742" s="13"/>
      <c r="AI742" s="26"/>
      <c r="AJ742" s="17"/>
      <c r="AK742" s="57">
        <v>1</v>
      </c>
      <c r="AL742" s="37" t="s">
        <v>145</v>
      </c>
      <c r="AM742" s="11"/>
      <c r="AP742" s="41" t="s">
        <v>56</v>
      </c>
      <c r="AQ742" s="43">
        <v>1057</v>
      </c>
      <c r="AR742" s="54">
        <v>1057</v>
      </c>
      <c r="AS742" s="42"/>
      <c r="AT742" s="40"/>
      <c r="AU742" s="42"/>
      <c r="AV742" s="28"/>
      <c r="AW742" s="28"/>
      <c r="AX742" s="28"/>
      <c r="AY742" s="40"/>
      <c r="AZ742" s="28"/>
      <c r="BA742" s="28"/>
      <c r="BB742" s="41" t="s">
        <v>113</v>
      </c>
      <c r="BC742" s="70">
        <v>0</v>
      </c>
      <c r="BD742" s="71">
        <v>0</v>
      </c>
      <c r="BE742" s="42"/>
      <c r="BF742" s="28"/>
      <c r="BG742" s="40"/>
      <c r="BH742" s="42"/>
      <c r="BI742" s="40"/>
      <c r="BJ742" s="42"/>
      <c r="BK742" s="54" t="s">
        <v>530</v>
      </c>
      <c r="BL742" s="40"/>
    </row>
    <row r="743" spans="1:66" ht="15" thickBot="1" x14ac:dyDescent="0.35">
      <c r="A743" s="29" t="s">
        <v>250</v>
      </c>
      <c r="B743" s="29">
        <v>0</v>
      </c>
      <c r="C743" s="7">
        <v>0</v>
      </c>
      <c r="D743" s="8"/>
      <c r="E743" s="8"/>
      <c r="F743" s="8"/>
      <c r="G743" s="9"/>
      <c r="H743" s="8" t="s">
        <v>104</v>
      </c>
      <c r="I743" s="8"/>
      <c r="J743" s="7"/>
      <c r="K743" s="28"/>
      <c r="L743" s="12" t="s">
        <v>84</v>
      </c>
      <c r="M743" s="18">
        <f>SUM(M740:M742)</f>
        <v>0</v>
      </c>
      <c r="N743" s="18">
        <f>SUM(N740:N742)</f>
        <v>0</v>
      </c>
      <c r="O743" s="10">
        <v>0</v>
      </c>
      <c r="P743" s="18">
        <v>0</v>
      </c>
      <c r="Q743" s="11">
        <v>0</v>
      </c>
      <c r="R743" s="18">
        <v>0</v>
      </c>
      <c r="S743" s="18">
        <v>0</v>
      </c>
      <c r="T743" s="13"/>
      <c r="U743" s="27"/>
      <c r="V743" s="26"/>
      <c r="W743" s="28"/>
      <c r="AB743" s="44"/>
      <c r="AC743" s="18"/>
      <c r="AD743" s="18"/>
      <c r="AE743" s="10"/>
      <c r="AF743" s="18"/>
      <c r="AG743" s="11"/>
      <c r="AH743" s="10"/>
      <c r="AI743" s="11"/>
      <c r="AJ743" s="6"/>
      <c r="AK743" s="33" t="s">
        <v>6</v>
      </c>
      <c r="AL743" s="61" t="s">
        <v>6</v>
      </c>
      <c r="AM743" s="7"/>
      <c r="AP743" s="62" t="s">
        <v>6</v>
      </c>
      <c r="AQ743" s="43"/>
      <c r="AR743" s="43"/>
      <c r="AS743" s="47"/>
      <c r="AT743" s="49"/>
      <c r="AU743" s="47"/>
      <c r="AV743" s="48">
        <v>83</v>
      </c>
      <c r="AW743" s="48" t="s">
        <v>73</v>
      </c>
      <c r="AX743" s="48"/>
      <c r="AY743" s="49">
        <f>SUM(AV743)</f>
        <v>83</v>
      </c>
      <c r="AZ743" s="28" t="s">
        <v>6</v>
      </c>
      <c r="BA743" s="28" t="s">
        <v>6</v>
      </c>
      <c r="BB743" s="68" t="s">
        <v>84</v>
      </c>
      <c r="BC743">
        <f>SUM(BC741:BC742)</f>
        <v>0</v>
      </c>
      <c r="BD743">
        <f>SUM(BD741:BD742)</f>
        <v>0</v>
      </c>
      <c r="BE743" s="47">
        <v>0</v>
      </c>
      <c r="BF743" s="27">
        <v>0</v>
      </c>
      <c r="BG743" s="49">
        <v>0</v>
      </c>
      <c r="BH743" s="75">
        <v>0</v>
      </c>
      <c r="BI743" s="49">
        <v>0</v>
      </c>
      <c r="BJ743" s="47"/>
      <c r="BK743" s="51" t="s">
        <v>73</v>
      </c>
      <c r="BL743" s="49">
        <f>SUM(BJ742:BJ743)</f>
        <v>0</v>
      </c>
    </row>
    <row r="744" spans="1:66" x14ac:dyDescent="0.3">
      <c r="A744" s="42" t="s">
        <v>105</v>
      </c>
      <c r="B744" s="42">
        <v>482</v>
      </c>
      <c r="C744" s="40">
        <v>325</v>
      </c>
      <c r="D744" s="28"/>
      <c r="E744" s="38" t="s">
        <v>60</v>
      </c>
      <c r="F744" s="28"/>
      <c r="G744" s="41">
        <f>9*72</f>
        <v>648</v>
      </c>
      <c r="H744" s="67">
        <v>9</v>
      </c>
      <c r="I744" s="43" t="s">
        <v>106</v>
      </c>
      <c r="J744" s="40">
        <f>SUM(H744)</f>
        <v>9</v>
      </c>
      <c r="K744" s="28"/>
      <c r="L744" s="32"/>
      <c r="M744" s="33"/>
      <c r="N744" s="35"/>
      <c r="O744" s="34"/>
      <c r="P744" s="34"/>
      <c r="Q744" s="35"/>
      <c r="R744" s="33"/>
      <c r="S744" s="35"/>
      <c r="T744" s="6" t="s">
        <v>104</v>
      </c>
      <c r="U744" s="34"/>
      <c r="V744" s="35"/>
      <c r="W744" s="28"/>
      <c r="AB744" s="41" t="s">
        <v>6</v>
      </c>
      <c r="AC744" s="18"/>
      <c r="AD744" s="18"/>
      <c r="AE744" s="10">
        <v>0</v>
      </c>
      <c r="AF744" s="18">
        <v>0</v>
      </c>
      <c r="AG744" s="11">
        <v>0</v>
      </c>
      <c r="AH744" s="10"/>
      <c r="AI744" s="11"/>
      <c r="AJ744" s="10">
        <v>0</v>
      </c>
      <c r="AK744" s="10"/>
      <c r="AL744" s="37" t="s">
        <v>6</v>
      </c>
      <c r="AM744" s="11"/>
      <c r="AP744" s="10"/>
      <c r="AQ744" s="29"/>
      <c r="AR744" s="31"/>
      <c r="AS744" s="33"/>
      <c r="AT744" s="7"/>
      <c r="AU744" s="8"/>
      <c r="AV744" s="8"/>
      <c r="AW744" s="8"/>
      <c r="AX744" s="8"/>
      <c r="AY744" s="7"/>
      <c r="AZ744" s="28"/>
      <c r="BA744" s="28" t="s">
        <v>6</v>
      </c>
      <c r="BB744" s="33" t="s">
        <v>89</v>
      </c>
      <c r="BC744" s="78">
        <v>148</v>
      </c>
      <c r="BD744" s="79">
        <v>198</v>
      </c>
      <c r="BE744" s="34"/>
      <c r="BF744" s="8"/>
      <c r="BG744" s="35"/>
      <c r="BH744" s="80"/>
      <c r="BI744" s="34"/>
      <c r="BJ744" s="33"/>
      <c r="BK744" s="34" t="s">
        <v>91</v>
      </c>
      <c r="BL744" s="35"/>
    </row>
    <row r="745" spans="1:66" ht="15" thickBot="1" x14ac:dyDescent="0.35">
      <c r="A745" s="67" t="s">
        <v>84</v>
      </c>
      <c r="B745" s="47">
        <f>SUM(B743:B744)</f>
        <v>482</v>
      </c>
      <c r="C745" s="49">
        <f>SUM(C743:C744)</f>
        <v>325</v>
      </c>
      <c r="G745" s="46"/>
      <c r="H745" s="48"/>
      <c r="I745" s="48"/>
      <c r="J745" s="49"/>
      <c r="K745" s="28"/>
      <c r="L745" s="69" t="s">
        <v>109</v>
      </c>
      <c r="M745" s="42">
        <v>0</v>
      </c>
      <c r="N745" s="40">
        <v>0</v>
      </c>
      <c r="O745" s="28">
        <v>0</v>
      </c>
      <c r="P745" s="43">
        <v>0</v>
      </c>
      <c r="Q745" s="40">
        <v>0</v>
      </c>
      <c r="R745" s="42">
        <v>0</v>
      </c>
      <c r="S745" s="40">
        <v>0</v>
      </c>
      <c r="T745" s="28"/>
      <c r="U745" s="28"/>
      <c r="V745" s="40"/>
      <c r="W745" s="28"/>
      <c r="AA745" s="28"/>
      <c r="AB745" s="44"/>
      <c r="AC745" s="45"/>
      <c r="AD745" s="45"/>
      <c r="AE745" s="10">
        <v>0</v>
      </c>
      <c r="AF745" s="18">
        <v>0</v>
      </c>
      <c r="AG745" s="11">
        <v>0</v>
      </c>
      <c r="AH745" s="10"/>
      <c r="AI745" s="11"/>
      <c r="AJ745" s="67"/>
      <c r="AK745" s="42"/>
      <c r="AL745" s="54"/>
      <c r="AM745" s="40"/>
      <c r="AN745" s="28"/>
      <c r="AP745" s="36" t="s">
        <v>63</v>
      </c>
      <c r="AQ745" s="10">
        <v>10</v>
      </c>
      <c r="AR745" s="18">
        <v>8</v>
      </c>
      <c r="AS745" s="42"/>
      <c r="AT745" s="11"/>
      <c r="AU745" s="18"/>
      <c r="AV745" s="18" t="s">
        <v>110</v>
      </c>
      <c r="AW745" s="18" t="s">
        <v>111</v>
      </c>
      <c r="AX745" s="18" t="s">
        <v>112</v>
      </c>
      <c r="AY745" s="11"/>
      <c r="AZ745" s="45"/>
      <c r="BA745" s="28"/>
      <c r="BB745" s="52" t="s">
        <v>108</v>
      </c>
      <c r="BC745" s="42">
        <v>0</v>
      </c>
      <c r="BD745" s="40">
        <v>16</v>
      </c>
      <c r="BE745" s="28"/>
      <c r="BF745" s="28"/>
      <c r="BG745" s="40"/>
      <c r="BJ745" s="42"/>
      <c r="BK745" s="28"/>
      <c r="BL745" s="40"/>
    </row>
    <row r="746" spans="1:66" ht="15" thickBot="1" x14ac:dyDescent="0.35">
      <c r="A746" s="29" t="s">
        <v>108</v>
      </c>
      <c r="B746" s="29">
        <v>0</v>
      </c>
      <c r="C746" s="7">
        <v>0</v>
      </c>
      <c r="D746" s="8"/>
      <c r="E746" s="8">
        <v>1097</v>
      </c>
      <c r="F746" s="8"/>
      <c r="G746" s="50"/>
      <c r="H746" s="6" t="s">
        <v>104</v>
      </c>
      <c r="I746" s="31"/>
      <c r="J746" s="30"/>
      <c r="K746" s="28"/>
      <c r="L746" s="46"/>
      <c r="M746" s="47"/>
      <c r="N746" s="49"/>
      <c r="O746" s="48"/>
      <c r="P746" s="48"/>
      <c r="Q746" s="49"/>
      <c r="R746" s="72"/>
      <c r="S746" s="73"/>
      <c r="T746" s="48"/>
      <c r="U746" s="48"/>
      <c r="V746" s="49"/>
      <c r="W746" s="28"/>
      <c r="AA746" s="28"/>
      <c r="AB746" s="41"/>
      <c r="AE746" s="10">
        <v>0</v>
      </c>
      <c r="AF746" s="18">
        <v>0</v>
      </c>
      <c r="AG746" s="11">
        <v>0</v>
      </c>
      <c r="AH746" s="10"/>
      <c r="AI746" s="11"/>
      <c r="AJ746" s="47"/>
      <c r="AK746" s="72"/>
      <c r="AL746" s="74"/>
      <c r="AM746" s="49"/>
      <c r="AN746" s="28"/>
      <c r="AP746" s="10" t="s">
        <v>115</v>
      </c>
      <c r="AQ746" s="36">
        <v>62</v>
      </c>
      <c r="AR746" s="37">
        <v>41</v>
      </c>
      <c r="AS746" s="42"/>
      <c r="AT746" s="11"/>
      <c r="AU746" s="18"/>
      <c r="AV746" s="18"/>
      <c r="AW746" s="18"/>
      <c r="AX746" s="18"/>
      <c r="AY746" s="11"/>
      <c r="AZ746" s="28"/>
      <c r="BA746" s="28" t="s">
        <v>6</v>
      </c>
      <c r="BB746" s="67" t="s">
        <v>113</v>
      </c>
      <c r="BC746" s="42">
        <v>609</v>
      </c>
      <c r="BD746" s="40">
        <v>679</v>
      </c>
      <c r="BE746" s="28"/>
      <c r="BF746" s="28"/>
      <c r="BG746" s="40"/>
      <c r="BH746" s="28"/>
      <c r="BI746" s="28"/>
      <c r="BJ746" s="67">
        <v>57</v>
      </c>
      <c r="BK746" s="43" t="s">
        <v>73</v>
      </c>
      <c r="BL746" s="40"/>
    </row>
    <row r="747" spans="1:66" ht="15" thickBot="1" x14ac:dyDescent="0.35">
      <c r="A747" s="52" t="s">
        <v>109</v>
      </c>
      <c r="B747" s="36">
        <v>1952</v>
      </c>
      <c r="C747" s="11">
        <v>1197</v>
      </c>
      <c r="D747" s="45"/>
      <c r="E747" s="45">
        <v>0</v>
      </c>
      <c r="F747" s="45"/>
      <c r="G747" s="69"/>
      <c r="H747" s="45">
        <v>9</v>
      </c>
      <c r="I747" s="28" t="s">
        <v>114</v>
      </c>
      <c r="J747" s="40"/>
      <c r="K747" s="28"/>
      <c r="L747" s="50" t="s">
        <v>93</v>
      </c>
      <c r="M747" s="8">
        <v>0</v>
      </c>
      <c r="N747" s="8">
        <v>0</v>
      </c>
      <c r="O747" s="6"/>
      <c r="P747" s="8"/>
      <c r="Q747" s="7"/>
      <c r="R747" s="8">
        <v>0</v>
      </c>
      <c r="S747" s="8">
        <v>5</v>
      </c>
      <c r="T747" s="10" t="s">
        <v>116</v>
      </c>
      <c r="U747" s="8"/>
      <c r="V747" s="7"/>
      <c r="W747" s="28"/>
      <c r="AA747" s="28"/>
      <c r="AB747" s="33"/>
      <c r="AC747" s="6"/>
      <c r="AD747" s="7"/>
      <c r="AE747" s="8"/>
      <c r="AF747" s="8"/>
      <c r="AG747" s="8"/>
      <c r="AH747" s="6"/>
      <c r="AI747" s="7"/>
      <c r="AJ747" s="8"/>
      <c r="AK747" s="29"/>
      <c r="AL747" s="164" t="s">
        <v>117</v>
      </c>
      <c r="AM747" s="7"/>
      <c r="AN747" s="28"/>
      <c r="AP747" s="52" t="s">
        <v>72</v>
      </c>
      <c r="AQ747" s="52">
        <v>0</v>
      </c>
      <c r="AR747" s="54">
        <v>0</v>
      </c>
      <c r="AS747" s="42"/>
      <c r="AT747" s="40"/>
      <c r="AU747" s="28"/>
      <c r="AV747" s="28"/>
      <c r="AW747" s="28"/>
      <c r="AX747" s="28"/>
      <c r="AY747" s="40"/>
      <c r="AZ747" s="28"/>
      <c r="BA747" s="28"/>
      <c r="BB747" s="47" t="s">
        <v>84</v>
      </c>
      <c r="BC747" s="47">
        <f>SUM(BC744:BC746)</f>
        <v>757</v>
      </c>
      <c r="BD747" s="49">
        <f>SUM(BD744:BD746)</f>
        <v>893</v>
      </c>
      <c r="BE747" s="81">
        <v>0</v>
      </c>
      <c r="BF747" s="27">
        <v>0</v>
      </c>
      <c r="BG747" s="82">
        <f>+BG744</f>
        <v>0</v>
      </c>
      <c r="BH747" s="74">
        <v>0</v>
      </c>
      <c r="BI747" s="74">
        <v>0</v>
      </c>
      <c r="BJ747" s="47"/>
      <c r="BK747" s="51"/>
      <c r="BL747" s="49">
        <f>SUM(BJ746)</f>
        <v>57</v>
      </c>
    </row>
    <row r="748" spans="1:66" ht="15" thickBot="1" x14ac:dyDescent="0.35">
      <c r="A748" s="76" t="s">
        <v>84</v>
      </c>
      <c r="B748" s="42">
        <f>SUM(B746:B747)</f>
        <v>1952</v>
      </c>
      <c r="C748" s="40">
        <f>SUM(C746:C747)</f>
        <v>1197</v>
      </c>
      <c r="D748" s="28"/>
      <c r="E748" s="28">
        <f>SUM(E746:E747)</f>
        <v>1097</v>
      </c>
      <c r="F748" s="28"/>
      <c r="G748" s="46">
        <f>355*9</f>
        <v>3195</v>
      </c>
      <c r="H748" s="48"/>
      <c r="I748" s="48"/>
      <c r="J748" s="49">
        <f>SUM(H747)</f>
        <v>9</v>
      </c>
      <c r="K748" s="28"/>
      <c r="L748" s="12" t="s">
        <v>99</v>
      </c>
      <c r="M748" s="37">
        <v>48764</v>
      </c>
      <c r="N748" s="37">
        <v>8417</v>
      </c>
      <c r="O748" s="10"/>
      <c r="P748" s="18"/>
      <c r="Q748" s="11"/>
      <c r="R748" s="18">
        <v>5235</v>
      </c>
      <c r="S748" s="18">
        <v>246</v>
      </c>
      <c r="T748" s="10"/>
      <c r="U748" s="18"/>
      <c r="V748" s="11"/>
      <c r="W748" s="28"/>
      <c r="AA748" s="28"/>
      <c r="AB748" s="67"/>
      <c r="AC748" s="42"/>
      <c r="AD748" s="40"/>
      <c r="AE748" s="28"/>
      <c r="AF748" s="28"/>
      <c r="AG748" s="28"/>
      <c r="AH748" s="42"/>
      <c r="AI748" s="40"/>
      <c r="AJ748" s="28"/>
      <c r="AK748" s="42"/>
      <c r="AL748" s="54" t="s">
        <v>558</v>
      </c>
      <c r="AM748" s="40"/>
      <c r="AN748" s="28"/>
      <c r="AP748" s="36" t="s">
        <v>78</v>
      </c>
      <c r="AQ748" s="36">
        <v>56</v>
      </c>
      <c r="AR748" s="37">
        <v>9</v>
      </c>
      <c r="AS748" s="42"/>
      <c r="AT748" s="11"/>
      <c r="AU748" s="18"/>
      <c r="AV748" s="37"/>
      <c r="AW748" s="18"/>
      <c r="AX748" s="37"/>
      <c r="AY748" s="11"/>
      <c r="AZ748" s="28"/>
      <c r="BA748" s="28"/>
      <c r="BB748" s="52" t="s">
        <v>113</v>
      </c>
      <c r="BC748" s="42">
        <v>567</v>
      </c>
      <c r="BD748" s="85">
        <v>642</v>
      </c>
      <c r="BE748" s="37"/>
      <c r="BF748" s="18"/>
      <c r="BG748" s="54"/>
      <c r="BH748" s="52"/>
      <c r="BI748" s="40"/>
      <c r="BJ748" s="67"/>
      <c r="BK748" s="34" t="s">
        <v>130</v>
      </c>
      <c r="BL748" s="40"/>
    </row>
    <row r="749" spans="1:66" x14ac:dyDescent="0.3">
      <c r="A749" s="32" t="s">
        <v>93</v>
      </c>
      <c r="B749" s="33">
        <f>7393-8</f>
        <v>7385</v>
      </c>
      <c r="C749" s="35">
        <v>5149</v>
      </c>
      <c r="D749" s="33"/>
      <c r="E749" s="34"/>
      <c r="F749" s="34"/>
      <c r="G749" s="32">
        <v>2205</v>
      </c>
      <c r="H749" s="33" t="s">
        <v>118</v>
      </c>
      <c r="I749" s="34"/>
      <c r="J749" s="35"/>
      <c r="K749" s="28"/>
      <c r="L749" s="12" t="s">
        <v>120</v>
      </c>
      <c r="M749" s="37">
        <v>8760</v>
      </c>
      <c r="N749" s="37">
        <v>79335</v>
      </c>
      <c r="O749" s="10"/>
      <c r="P749" s="18"/>
      <c r="Q749" s="11"/>
      <c r="R749" s="18">
        <v>1097</v>
      </c>
      <c r="S749" s="18">
        <v>67</v>
      </c>
      <c r="T749" s="10"/>
      <c r="U749" s="18"/>
      <c r="V749" s="11"/>
      <c r="W749" s="28"/>
      <c r="AA749" s="28"/>
      <c r="AB749" s="36"/>
      <c r="AC749" s="10"/>
      <c r="AD749" s="11"/>
      <c r="AE749" s="18"/>
      <c r="AF749" s="18"/>
      <c r="AG749" s="18"/>
      <c r="AH749" s="10"/>
      <c r="AI749" s="11"/>
      <c r="AJ749" s="18"/>
      <c r="AK749" s="10"/>
      <c r="AL749" s="37" t="s">
        <v>302</v>
      </c>
      <c r="AM749" s="11"/>
      <c r="AN749" s="28"/>
      <c r="AP749" s="10" t="s">
        <v>122</v>
      </c>
      <c r="AQ749" s="36">
        <v>0</v>
      </c>
      <c r="AR749" s="37">
        <v>4</v>
      </c>
      <c r="AS749" s="42"/>
      <c r="AT749" s="11"/>
      <c r="AU749" s="18"/>
      <c r="AV749" s="18">
        <v>40</v>
      </c>
      <c r="AW749" s="18" t="s">
        <v>123</v>
      </c>
      <c r="AX749" s="18"/>
      <c r="AY749" s="11"/>
      <c r="AZ749" s="28"/>
      <c r="BA749" s="28"/>
      <c r="BB749" s="42" t="s">
        <v>475</v>
      </c>
      <c r="BC749" s="67">
        <v>0</v>
      </c>
      <c r="BD749" s="85">
        <v>0</v>
      </c>
      <c r="BE749" s="28"/>
      <c r="BF749" s="18"/>
      <c r="BG749" s="28"/>
      <c r="BH749" s="52"/>
      <c r="BI749" s="86"/>
      <c r="BJ749" s="52">
        <v>48</v>
      </c>
      <c r="BK749" s="43" t="s">
        <v>73</v>
      </c>
      <c r="BL749" s="40"/>
      <c r="BM749" t="s">
        <v>6</v>
      </c>
      <c r="BN749">
        <f>96/2</f>
        <v>48</v>
      </c>
    </row>
    <row r="750" spans="1:66" ht="15" thickBot="1" x14ac:dyDescent="0.35">
      <c r="A750" s="41" t="s">
        <v>120</v>
      </c>
      <c r="B750" s="42">
        <v>4145</v>
      </c>
      <c r="C750" s="40">
        <v>2736</v>
      </c>
      <c r="D750" s="42"/>
      <c r="E750" s="28" t="s">
        <v>60</v>
      </c>
      <c r="F750" s="28"/>
      <c r="G750" s="41">
        <v>4865</v>
      </c>
      <c r="H750" s="42">
        <v>76</v>
      </c>
      <c r="I750" s="28" t="s">
        <v>101</v>
      </c>
      <c r="J750" s="40"/>
      <c r="K750" s="28"/>
      <c r="L750" s="12" t="s">
        <v>84</v>
      </c>
      <c r="M750" s="18">
        <f>SUM(M747:M749)</f>
        <v>57524</v>
      </c>
      <c r="N750" s="18">
        <f>SUM(N747:N749)</f>
        <v>87752</v>
      </c>
      <c r="O750" s="10">
        <v>0</v>
      </c>
      <c r="P750" s="18">
        <v>0</v>
      </c>
      <c r="Q750" s="11">
        <v>0</v>
      </c>
      <c r="R750" s="18">
        <f>SUM(R747:R749)</f>
        <v>6332</v>
      </c>
      <c r="S750" s="18">
        <f>SUM(S747:S749)</f>
        <v>318</v>
      </c>
      <c r="T750" s="10"/>
      <c r="U750" s="18"/>
      <c r="V750" s="11"/>
      <c r="W750" s="28"/>
      <c r="AA750" s="28"/>
      <c r="AB750" s="42"/>
      <c r="AC750" s="42"/>
      <c r="AD750" s="40"/>
      <c r="AE750" s="28"/>
      <c r="AF750" s="28"/>
      <c r="AG750" s="28"/>
      <c r="AH750" s="42"/>
      <c r="AI750" s="40"/>
      <c r="AJ750" s="28"/>
      <c r="AK750" s="42">
        <v>9</v>
      </c>
      <c r="AL750" s="28" t="s">
        <v>124</v>
      </c>
      <c r="AM750" s="40"/>
      <c r="AN750" s="28"/>
      <c r="AP750" s="10" t="s">
        <v>125</v>
      </c>
      <c r="AQ750" s="36">
        <v>0</v>
      </c>
      <c r="AR750" s="37">
        <v>0</v>
      </c>
      <c r="AS750" s="42"/>
      <c r="AT750" s="11"/>
      <c r="AU750" s="18"/>
      <c r="AV750" s="18">
        <v>12</v>
      </c>
      <c r="AW750" s="18" t="s">
        <v>126</v>
      </c>
      <c r="AX750" s="18"/>
      <c r="AY750" s="11"/>
      <c r="AZ750" s="28"/>
      <c r="BA750" s="28"/>
      <c r="BB750" s="59" t="s">
        <v>84</v>
      </c>
      <c r="BC750" s="13">
        <f>SUM(BC748:BC749)</f>
        <v>567</v>
      </c>
      <c r="BD750" s="60">
        <f>SUM(BD748:BD749)</f>
        <v>642</v>
      </c>
      <c r="BE750" s="81">
        <v>0</v>
      </c>
      <c r="BF750" s="27">
        <v>0</v>
      </c>
      <c r="BG750" s="27">
        <v>0</v>
      </c>
      <c r="BH750" s="13">
        <v>0</v>
      </c>
      <c r="BI750" s="26">
        <v>0</v>
      </c>
      <c r="BJ750" s="13"/>
      <c r="BK750" s="43"/>
      <c r="BL750" s="26">
        <f>SUM(BJ748:BJ749)</f>
        <v>48</v>
      </c>
    </row>
    <row r="751" spans="1:66" ht="15" thickBot="1" x14ac:dyDescent="0.35">
      <c r="A751" s="46" t="s">
        <v>84</v>
      </c>
      <c r="B751" s="47">
        <f>SUM(B749:B750)</f>
        <v>11530</v>
      </c>
      <c r="C751" s="49">
        <f>SUM(C749:C750)</f>
        <v>7885</v>
      </c>
      <c r="D751" s="47"/>
      <c r="E751" s="48"/>
      <c r="F751" s="48"/>
      <c r="G751" s="46">
        <f>SUM(G749:G750)</f>
        <v>7070</v>
      </c>
      <c r="H751" s="47">
        <v>15</v>
      </c>
      <c r="I751" s="48" t="s">
        <v>127</v>
      </c>
      <c r="J751" s="49">
        <f>SUM(H750:H751)</f>
        <v>91</v>
      </c>
      <c r="K751" s="28"/>
      <c r="L751" s="17"/>
      <c r="M751" s="27"/>
      <c r="N751" s="27"/>
      <c r="O751" s="13"/>
      <c r="P751" s="27"/>
      <c r="Q751" s="26"/>
      <c r="R751" s="27"/>
      <c r="S751" s="27"/>
      <c r="T751" s="13"/>
      <c r="U751" s="27"/>
      <c r="V751" s="26"/>
      <c r="W751" s="28"/>
      <c r="AA751" s="28"/>
      <c r="AB751" s="47"/>
      <c r="AC751" s="47"/>
      <c r="AD751" s="49"/>
      <c r="AE751" s="48"/>
      <c r="AF751" s="48"/>
      <c r="AG751" s="48"/>
      <c r="AH751" s="47"/>
      <c r="AI751" s="49"/>
      <c r="AJ751" s="48"/>
      <c r="AK751" s="165"/>
      <c r="AL751" s="48"/>
      <c r="AM751" s="49"/>
      <c r="AN751" s="28"/>
      <c r="AP751" s="84" t="s">
        <v>128</v>
      </c>
      <c r="AQ751" s="52">
        <v>0</v>
      </c>
      <c r="AR751" s="37">
        <v>0</v>
      </c>
      <c r="AS751" s="42"/>
      <c r="AT751" s="40"/>
      <c r="AU751" s="28"/>
      <c r="AV751" s="28">
        <v>12</v>
      </c>
      <c r="AW751" s="28" t="s">
        <v>129</v>
      </c>
      <c r="AX751" s="28"/>
      <c r="AY751" s="40"/>
      <c r="BA751" s="28"/>
      <c r="BB751" s="88" t="s">
        <v>164</v>
      </c>
      <c r="BC751" s="33">
        <v>0</v>
      </c>
      <c r="BD751" s="34">
        <v>2</v>
      </c>
      <c r="BE751" s="152"/>
      <c r="BF751" s="89"/>
      <c r="BG751" s="66"/>
      <c r="BH751" s="8"/>
      <c r="BI751" s="35"/>
      <c r="BJ751" s="34" t="s">
        <v>140</v>
      </c>
      <c r="BK751" s="34"/>
      <c r="BL751" s="35"/>
    </row>
    <row r="752" spans="1:66" x14ac:dyDescent="0.3">
      <c r="A752" s="41" t="s">
        <v>88</v>
      </c>
      <c r="B752" s="42">
        <v>416</v>
      </c>
      <c r="C752" s="40">
        <v>257</v>
      </c>
      <c r="D752" s="28"/>
      <c r="E752" s="45">
        <v>0</v>
      </c>
      <c r="F752" s="40"/>
      <c r="G752" s="40"/>
      <c r="H752" s="28" t="s">
        <v>131</v>
      </c>
      <c r="J752" s="40"/>
      <c r="K752" s="28"/>
      <c r="L752" s="12" t="s">
        <v>105</v>
      </c>
      <c r="M752" s="34">
        <v>1697</v>
      </c>
      <c r="N752" s="34">
        <v>626</v>
      </c>
      <c r="O752" s="33" t="s">
        <v>6</v>
      </c>
      <c r="P752" s="34"/>
      <c r="Q752" s="35"/>
      <c r="R752" s="34">
        <v>25</v>
      </c>
      <c r="S752" s="34">
        <v>0</v>
      </c>
      <c r="T752" s="33"/>
      <c r="U752" s="34"/>
      <c r="V752" s="35"/>
      <c r="W752" s="28"/>
      <c r="AA752" s="28"/>
      <c r="AB752" s="32" t="s">
        <v>97</v>
      </c>
      <c r="AC752" s="28">
        <v>57</v>
      </c>
      <c r="AD752" s="28">
        <v>73</v>
      </c>
      <c r="AE752" s="33"/>
      <c r="AF752" s="34"/>
      <c r="AG752" s="34"/>
      <c r="AH752" s="33"/>
      <c r="AI752" s="35"/>
      <c r="AJ752" s="35"/>
      <c r="AK752" s="33"/>
      <c r="AL752" s="34"/>
      <c r="AM752" s="35"/>
      <c r="AN752" s="28"/>
      <c r="AP752" s="84" t="s">
        <v>132</v>
      </c>
      <c r="AQ752" s="42">
        <v>0</v>
      </c>
      <c r="AR752" s="37">
        <v>0</v>
      </c>
      <c r="AS752" s="42"/>
      <c r="AT752" s="40"/>
      <c r="AU752" s="28"/>
      <c r="AV752" s="28"/>
      <c r="AW752" s="28"/>
      <c r="AX752" s="28"/>
      <c r="AY752" s="40"/>
      <c r="AZ752" s="28"/>
      <c r="BA752" s="28"/>
      <c r="BB752" s="42" t="s">
        <v>158</v>
      </c>
      <c r="BC752" s="42">
        <v>3</v>
      </c>
      <c r="BD752" s="43">
        <v>0</v>
      </c>
      <c r="BE752" s="42"/>
      <c r="BF752" s="28"/>
      <c r="BG752" s="40"/>
      <c r="BH752" s="28"/>
      <c r="BI752" s="40"/>
      <c r="BJ752" s="28"/>
      <c r="BK752" s="28"/>
      <c r="BL752" s="40"/>
    </row>
    <row r="753" spans="1:64" x14ac:dyDescent="0.3">
      <c r="A753" s="41" t="s">
        <v>102</v>
      </c>
      <c r="B753" s="42">
        <v>486</v>
      </c>
      <c r="C753" s="85">
        <v>537</v>
      </c>
      <c r="D753" s="28"/>
      <c r="E753" s="45">
        <v>0</v>
      </c>
      <c r="F753" s="40"/>
      <c r="G753" s="40">
        <f>9*150</f>
        <v>1350</v>
      </c>
      <c r="H753" s="43">
        <v>7</v>
      </c>
      <c r="I753" s="28" t="s">
        <v>134</v>
      </c>
      <c r="J753" s="40"/>
      <c r="K753" s="28"/>
      <c r="L753" s="44" t="s">
        <v>99</v>
      </c>
      <c r="M753" s="18">
        <v>128</v>
      </c>
      <c r="N753" s="18">
        <v>0</v>
      </c>
      <c r="O753" s="10"/>
      <c r="P753" s="18"/>
      <c r="Q753" s="11"/>
      <c r="R753" s="18">
        <v>0</v>
      </c>
      <c r="S753" s="18">
        <v>0</v>
      </c>
      <c r="T753" s="10" t="s">
        <v>135</v>
      </c>
      <c r="U753" s="18"/>
      <c r="V753" s="11"/>
      <c r="W753" s="28"/>
      <c r="AA753" s="28"/>
      <c r="AB753" s="41" t="s">
        <v>89</v>
      </c>
      <c r="AC753" s="28">
        <v>581</v>
      </c>
      <c r="AD753" s="28">
        <v>498</v>
      </c>
      <c r="AE753" s="42"/>
      <c r="AF753" s="28"/>
      <c r="AG753" s="28"/>
      <c r="AH753" s="42"/>
      <c r="AI753" s="40"/>
      <c r="AJ753" s="40"/>
      <c r="AK753" s="42" t="s">
        <v>136</v>
      </c>
      <c r="AL753" s="28"/>
      <c r="AM753" s="40"/>
      <c r="AN753" s="28"/>
      <c r="AP753" s="84" t="s">
        <v>81</v>
      </c>
      <c r="AQ753" s="42">
        <v>10</v>
      </c>
      <c r="AR753" s="37">
        <v>10</v>
      </c>
      <c r="AS753" s="42"/>
      <c r="AT753" s="40"/>
      <c r="AU753" s="28"/>
      <c r="AV753" s="28"/>
      <c r="AW753" s="28"/>
      <c r="AX753" s="28"/>
      <c r="AY753" s="40"/>
      <c r="AZ753" s="28"/>
      <c r="BA753" s="28"/>
      <c r="BB753" s="153" t="s">
        <v>108</v>
      </c>
      <c r="BC753" s="42">
        <v>0</v>
      </c>
      <c r="BD753" s="43">
        <v>1</v>
      </c>
      <c r="BE753" s="42"/>
      <c r="BF753" s="28"/>
      <c r="BG753" s="40"/>
      <c r="BH753" s="28"/>
      <c r="BI753" s="40"/>
      <c r="BJ753" s="28"/>
      <c r="BK753" s="28"/>
      <c r="BL753" s="40"/>
    </row>
    <row r="754" spans="1:64" ht="15" thickBot="1" x14ac:dyDescent="0.35">
      <c r="A754" s="87" t="s">
        <v>84</v>
      </c>
      <c r="B754" s="59">
        <f>SUM(B752:B753)</f>
        <v>902</v>
      </c>
      <c r="C754" s="26">
        <f>SUM(C752:C753)</f>
        <v>794</v>
      </c>
      <c r="D754" s="27"/>
      <c r="E754" s="16">
        <f>SUM(E750:E753)</f>
        <v>0</v>
      </c>
      <c r="F754" s="26"/>
      <c r="G754" s="49"/>
      <c r="H754" s="48"/>
      <c r="I754" s="48"/>
      <c r="J754" s="49">
        <f>SUM(H752:H753)</f>
        <v>7</v>
      </c>
      <c r="K754" s="28"/>
      <c r="L754" s="12"/>
      <c r="M754" s="18"/>
      <c r="N754" s="18"/>
      <c r="O754" s="10"/>
      <c r="P754" s="18"/>
      <c r="Q754" s="11"/>
      <c r="R754" s="18"/>
      <c r="S754" s="18"/>
      <c r="T754" s="10"/>
      <c r="U754" s="18"/>
      <c r="V754" s="11"/>
      <c r="W754" s="28"/>
      <c r="AA754" s="28"/>
      <c r="AB754" s="44" t="s">
        <v>137</v>
      </c>
      <c r="AC754" s="18">
        <v>202</v>
      </c>
      <c r="AD754" s="18">
        <v>259</v>
      </c>
      <c r="AE754" s="10"/>
      <c r="AF754" s="18"/>
      <c r="AG754" s="18"/>
      <c r="AH754" s="52"/>
      <c r="AI754" s="85"/>
      <c r="AJ754" s="40"/>
      <c r="AK754" s="84"/>
      <c r="AL754" s="37"/>
      <c r="AM754" s="40"/>
      <c r="AN754" s="28"/>
      <c r="AP754" s="10" t="s">
        <v>138</v>
      </c>
      <c r="AQ754" s="36">
        <v>1</v>
      </c>
      <c r="AR754" s="37">
        <v>1</v>
      </c>
      <c r="AS754" s="42"/>
      <c r="AT754" s="11"/>
      <c r="AU754" s="18"/>
      <c r="AV754" s="18"/>
      <c r="AW754" s="18"/>
      <c r="AX754" s="18"/>
      <c r="AY754" s="11"/>
      <c r="AZ754" s="28"/>
      <c r="BA754" s="28"/>
      <c r="BB754" s="92" t="s">
        <v>113</v>
      </c>
      <c r="BC754" s="67">
        <f>14+1+8+8+4+47</f>
        <v>82</v>
      </c>
      <c r="BD754" s="43">
        <f>13+1+7+15+2+1+2+56</f>
        <v>97</v>
      </c>
      <c r="BE754" s="52"/>
      <c r="BF754" s="54"/>
      <c r="BG754" s="85"/>
      <c r="BH754" s="18"/>
      <c r="BI754" s="40"/>
      <c r="BJ754" s="18" t="s">
        <v>142</v>
      </c>
      <c r="BK754" s="18"/>
      <c r="BL754" s="39" t="s">
        <v>620</v>
      </c>
    </row>
    <row r="755" spans="1:64" x14ac:dyDescent="0.3">
      <c r="A755" s="36" t="s">
        <v>93</v>
      </c>
      <c r="B755" s="42">
        <v>8198</v>
      </c>
      <c r="C755" s="90">
        <v>6234</v>
      </c>
      <c r="D755" s="3"/>
      <c r="E755" s="91" t="s">
        <v>60</v>
      </c>
      <c r="F755" s="18"/>
      <c r="G755" s="44">
        <v>10028</v>
      </c>
      <c r="H755" s="10" t="s">
        <v>116</v>
      </c>
      <c r="I755" s="18"/>
      <c r="J755" s="11"/>
      <c r="K755" s="28"/>
      <c r="L755" s="12" t="s">
        <v>84</v>
      </c>
      <c r="M755" s="18">
        <f>SUM(M752:M754)</f>
        <v>1825</v>
      </c>
      <c r="N755" s="18">
        <f>SUM(N752:N754)</f>
        <v>626</v>
      </c>
      <c r="O755" s="10">
        <v>0</v>
      </c>
      <c r="P755" s="18">
        <v>0</v>
      </c>
      <c r="Q755" s="11">
        <v>0</v>
      </c>
      <c r="R755" s="18">
        <f>SUM(R752:R754)</f>
        <v>25</v>
      </c>
      <c r="S755" s="18">
        <f>SUM(S752:S754)</f>
        <v>0</v>
      </c>
      <c r="T755" s="10"/>
      <c r="U755" s="18"/>
      <c r="V755" s="11"/>
      <c r="W755" s="28"/>
      <c r="AA755" s="28"/>
      <c r="AB755" s="41" t="s">
        <v>84</v>
      </c>
      <c r="AC755" s="28">
        <f>SUM(AC752:AC754)</f>
        <v>840</v>
      </c>
      <c r="AD755" s="28">
        <f>SUM(AD752:AD754)</f>
        <v>830</v>
      </c>
      <c r="AE755" s="42">
        <v>0</v>
      </c>
      <c r="AF755" s="28">
        <v>0</v>
      </c>
      <c r="AG755" s="28">
        <v>0</v>
      </c>
      <c r="AH755" s="42">
        <v>0</v>
      </c>
      <c r="AI755" s="40">
        <v>0</v>
      </c>
      <c r="AJ755" s="40">
        <v>0</v>
      </c>
      <c r="AK755" s="67">
        <v>20</v>
      </c>
      <c r="AL755" s="28" t="s">
        <v>141</v>
      </c>
      <c r="AM755" s="40"/>
      <c r="AN755" s="28"/>
      <c r="AP755" s="84" t="s">
        <v>56</v>
      </c>
      <c r="AQ755" s="42">
        <v>3</v>
      </c>
      <c r="AR755" s="54">
        <v>8</v>
      </c>
      <c r="AS755" s="42"/>
      <c r="AT755" s="40"/>
      <c r="AU755" s="28"/>
      <c r="AV755" s="28"/>
      <c r="AW755" s="28"/>
      <c r="AX755" s="28"/>
      <c r="AY755" s="40"/>
      <c r="AZ755" s="28"/>
      <c r="BA755" s="28"/>
      <c r="BB755" s="42" t="s">
        <v>214</v>
      </c>
      <c r="BC755" s="67">
        <v>2</v>
      </c>
      <c r="BD755" s="43">
        <v>2</v>
      </c>
      <c r="BE755" s="52"/>
      <c r="BF755" s="54"/>
      <c r="BG755" s="85"/>
      <c r="BH755" s="18"/>
      <c r="BI755" s="40"/>
      <c r="BJ755" s="154" t="s">
        <v>146</v>
      </c>
      <c r="BK755" s="28"/>
      <c r="BL755" s="94" t="s">
        <v>591</v>
      </c>
    </row>
    <row r="756" spans="1:64" ht="15" thickBot="1" x14ac:dyDescent="0.35">
      <c r="A756" s="10" t="s">
        <v>99</v>
      </c>
      <c r="B756" s="42">
        <v>14035</v>
      </c>
      <c r="C756" s="40">
        <v>11378</v>
      </c>
      <c r="D756" s="3"/>
      <c r="E756" s="91" t="s">
        <v>60</v>
      </c>
      <c r="F756" s="18"/>
      <c r="G756" s="12">
        <v>15288</v>
      </c>
      <c r="H756" s="10">
        <v>77</v>
      </c>
      <c r="I756" s="37" t="s">
        <v>144</v>
      </c>
      <c r="J756" s="11"/>
      <c r="K756" s="28"/>
      <c r="L756" s="12"/>
      <c r="M756" s="18"/>
      <c r="N756" s="18"/>
      <c r="O756" s="10"/>
      <c r="P756" s="18"/>
      <c r="Q756" s="11"/>
      <c r="R756" s="18"/>
      <c r="S756" s="18"/>
      <c r="T756" s="10"/>
      <c r="U756" s="18"/>
      <c r="V756" s="11"/>
      <c r="W756" s="28"/>
      <c r="AA756" s="28"/>
      <c r="AB756" s="46"/>
      <c r="AC756" s="48"/>
      <c r="AD756" s="48"/>
      <c r="AE756" s="47"/>
      <c r="AF756" s="48"/>
      <c r="AG756" s="48"/>
      <c r="AH756" s="47"/>
      <c r="AI756" s="49"/>
      <c r="AJ756" s="49"/>
      <c r="AK756" s="47">
        <v>1</v>
      </c>
      <c r="AL756" s="48" t="s">
        <v>145</v>
      </c>
      <c r="AM756" s="49"/>
      <c r="AN756" s="28"/>
      <c r="AP756" s="36" t="s">
        <v>67</v>
      </c>
      <c r="AQ756" s="10">
        <v>45</v>
      </c>
      <c r="AR756" s="18">
        <v>31</v>
      </c>
      <c r="AS756" s="42"/>
      <c r="AT756" s="11"/>
      <c r="AU756" s="18"/>
      <c r="AV756" s="18"/>
      <c r="AW756" s="18"/>
      <c r="AX756" s="18"/>
      <c r="AY756" s="11"/>
      <c r="AZ756" s="28"/>
      <c r="BA756" s="28" t="s">
        <v>6</v>
      </c>
      <c r="BB756" s="127" t="s">
        <v>200</v>
      </c>
      <c r="BC756" s="67">
        <v>6</v>
      </c>
      <c r="BD756" s="43">
        <f>7+4</f>
        <v>11</v>
      </c>
      <c r="BE756" s="42"/>
      <c r="BF756" s="28"/>
      <c r="BG756" s="40"/>
      <c r="BH756" s="28"/>
      <c r="BI756" s="40"/>
      <c r="BJ756" s="28"/>
      <c r="BK756" s="28"/>
      <c r="BL756" s="40"/>
    </row>
    <row r="757" spans="1:64" ht="15" thickBot="1" x14ac:dyDescent="0.35">
      <c r="A757" s="10" t="s">
        <v>120</v>
      </c>
      <c r="B757" s="42">
        <v>6509</v>
      </c>
      <c r="C757" s="40">
        <v>4976</v>
      </c>
      <c r="D757" s="3"/>
      <c r="E757" s="91" t="s">
        <v>60</v>
      </c>
      <c r="F757" s="18"/>
      <c r="G757" s="12">
        <v>7056</v>
      </c>
      <c r="H757" s="84">
        <v>62</v>
      </c>
      <c r="I757" s="37" t="s">
        <v>148</v>
      </c>
      <c r="J757" s="11"/>
      <c r="K757" s="28"/>
      <c r="L757" s="12"/>
      <c r="M757" s="18"/>
      <c r="N757" s="18"/>
      <c r="O757" s="10"/>
      <c r="P757" s="18"/>
      <c r="Q757" s="11"/>
      <c r="R757" s="18"/>
      <c r="S757" s="18"/>
      <c r="T757" s="10"/>
      <c r="U757" s="18"/>
      <c r="V757" s="11"/>
      <c r="W757" s="28"/>
      <c r="AA757" s="28"/>
      <c r="AB757" s="42"/>
      <c r="AC757" s="42"/>
      <c r="AD757" s="40"/>
      <c r="AE757" s="28"/>
      <c r="AF757" s="28"/>
      <c r="AG757" s="28"/>
      <c r="AH757" s="42"/>
      <c r="AI757" s="28"/>
      <c r="AJ757" s="41"/>
      <c r="AK757" s="28" t="s">
        <v>149</v>
      </c>
      <c r="AL757" s="28"/>
      <c r="AM757" s="40"/>
      <c r="AN757" s="28" t="s">
        <v>6</v>
      </c>
      <c r="AO757" s="95"/>
      <c r="AP757" s="13" t="s">
        <v>84</v>
      </c>
      <c r="AQ757" s="13">
        <f>SUM(AQ745:AQ756)</f>
        <v>187</v>
      </c>
      <c r="AR757" s="27">
        <f>SUM(AR745:AR756)</f>
        <v>112</v>
      </c>
      <c r="AS757" s="47"/>
      <c r="AT757" s="26">
        <f>SUM(AT749:AT756)</f>
        <v>0</v>
      </c>
      <c r="AU757" s="27"/>
      <c r="AV757" s="27"/>
      <c r="AW757" s="27"/>
      <c r="AX757" s="27"/>
      <c r="AY757" s="26">
        <f>SUM(AV749:AV751)</f>
        <v>64</v>
      </c>
      <c r="AZ757" s="28"/>
      <c r="BA757" s="28"/>
      <c r="BB757" s="52" t="s">
        <v>133</v>
      </c>
      <c r="BC757" s="67">
        <f>18+5+4</f>
        <v>27</v>
      </c>
      <c r="BD757" s="43">
        <f>38+5+5</f>
        <v>48</v>
      </c>
      <c r="BE757" s="52" t="s">
        <v>150</v>
      </c>
      <c r="BF757" s="54"/>
      <c r="BG757" s="85"/>
      <c r="BH757" s="18"/>
      <c r="BI757" s="40"/>
      <c r="BJ757" s="28" t="s">
        <v>151</v>
      </c>
      <c r="BK757" s="28"/>
      <c r="BL757" s="96"/>
    </row>
    <row r="758" spans="1:64" ht="15" thickBot="1" x14ac:dyDescent="0.35">
      <c r="A758" s="10" t="s">
        <v>84</v>
      </c>
      <c r="B758" s="42">
        <f>SUM(B755:B757)</f>
        <v>28742</v>
      </c>
      <c r="C758" s="40">
        <f>SUM(C755:C757)</f>
        <v>22588</v>
      </c>
      <c r="D758" s="3"/>
      <c r="E758" s="91" t="s">
        <v>60</v>
      </c>
      <c r="F758" s="18"/>
      <c r="G758" s="12">
        <f>SUM(G755:G757)</f>
        <v>32372</v>
      </c>
      <c r="H758" s="42">
        <v>31</v>
      </c>
      <c r="I758" s="54" t="s">
        <v>152</v>
      </c>
      <c r="J758" s="40"/>
      <c r="K758" s="28"/>
      <c r="L758" s="44"/>
      <c r="M758" s="18"/>
      <c r="N758" s="18"/>
      <c r="O758" s="10"/>
      <c r="P758" s="18"/>
      <c r="Q758" s="11"/>
      <c r="R758" s="18"/>
      <c r="S758" s="18"/>
      <c r="T758" s="10"/>
      <c r="U758" s="18"/>
      <c r="V758" s="11"/>
      <c r="W758" s="28"/>
      <c r="Y758" t="s">
        <v>6</v>
      </c>
      <c r="AB758" s="36" t="s">
        <v>99</v>
      </c>
      <c r="AC758" s="10">
        <v>0</v>
      </c>
      <c r="AD758" s="11">
        <v>0</v>
      </c>
      <c r="AE758" s="18">
        <v>0</v>
      </c>
      <c r="AF758" s="18">
        <v>0</v>
      </c>
      <c r="AG758" s="18">
        <v>0</v>
      </c>
      <c r="AH758" s="52">
        <v>71290</v>
      </c>
      <c r="AI758" s="45">
        <v>4481</v>
      </c>
      <c r="AJ758" s="41">
        <v>0</v>
      </c>
      <c r="AK758" s="45">
        <v>4</v>
      </c>
      <c r="AL758" s="37" t="s">
        <v>153</v>
      </c>
      <c r="AM758" s="40"/>
      <c r="AP758" s="32"/>
      <c r="AQ758" s="53"/>
      <c r="AR758" s="97"/>
      <c r="AS758" s="33"/>
      <c r="AT758" s="7"/>
      <c r="AU758" s="6"/>
      <c r="AV758" s="8"/>
      <c r="AW758" s="31"/>
      <c r="AX758" s="8"/>
      <c r="AY758" s="7"/>
      <c r="AZ758" s="28"/>
      <c r="BA758" s="28"/>
      <c r="BB758" s="52" t="s">
        <v>85</v>
      </c>
      <c r="BC758" s="42">
        <v>0</v>
      </c>
      <c r="BD758" s="43">
        <v>3</v>
      </c>
      <c r="BE758" s="42"/>
      <c r="BF758" s="54"/>
      <c r="BG758" s="40"/>
      <c r="BH758" s="45"/>
      <c r="BI758" s="56"/>
      <c r="BJ758" s="43" t="s">
        <v>621</v>
      </c>
      <c r="BK758" s="28" t="s">
        <v>622</v>
      </c>
      <c r="BL758" s="40" t="s">
        <v>623</v>
      </c>
    </row>
    <row r="759" spans="1:64" ht="16.2" thickBot="1" x14ac:dyDescent="0.35">
      <c r="A759" s="13"/>
      <c r="B759" s="47"/>
      <c r="C759" s="49"/>
      <c r="D759" s="27"/>
      <c r="E759" s="27"/>
      <c r="F759" s="27"/>
      <c r="G759" s="17"/>
      <c r="H759" s="47"/>
      <c r="I759" s="27"/>
      <c r="J759" s="60">
        <f>SUM(H756:H758)</f>
        <v>170</v>
      </c>
      <c r="K759" s="28"/>
      <c r="L759" s="12"/>
      <c r="M759" s="18"/>
      <c r="N759" s="18"/>
      <c r="O759" s="10"/>
      <c r="P759" s="18"/>
      <c r="Q759" s="11"/>
      <c r="R759" s="18"/>
      <c r="S759" s="18"/>
      <c r="T759" s="10"/>
      <c r="U759" s="18"/>
      <c r="V759" s="11"/>
      <c r="W759" s="28"/>
      <c r="AB759" s="32"/>
      <c r="AC759" s="6"/>
      <c r="AD759" s="7"/>
      <c r="AE759" s="8"/>
      <c r="AF759" s="8"/>
      <c r="AG759" s="8"/>
      <c r="AH759" s="6"/>
      <c r="AI759" s="7"/>
      <c r="AJ759" s="8"/>
      <c r="AK759" s="29" t="s">
        <v>157</v>
      </c>
      <c r="AL759" s="8"/>
      <c r="AM759" s="7"/>
      <c r="AP759" s="62"/>
      <c r="AQ759" s="72"/>
      <c r="AR759" s="73"/>
      <c r="AS759" s="47"/>
      <c r="AT759" s="49"/>
      <c r="AU759" s="47"/>
      <c r="AV759" s="48"/>
      <c r="AW759" s="48"/>
      <c r="AX759" s="48"/>
      <c r="AY759" s="49"/>
      <c r="AZ759" s="28"/>
      <c r="BA759" s="28"/>
      <c r="BB759" s="151" t="s">
        <v>624</v>
      </c>
      <c r="BC759" s="36">
        <v>8</v>
      </c>
      <c r="BD759" s="37">
        <v>8</v>
      </c>
      <c r="BE759" s="10"/>
      <c r="BF759" s="18"/>
      <c r="BG759" s="11"/>
      <c r="BH759" s="18"/>
      <c r="BI759" s="11"/>
      <c r="BJ759" s="155" t="s">
        <v>625</v>
      </c>
      <c r="BK759" s="28" t="s">
        <v>626</v>
      </c>
      <c r="BL759" s="99" t="s">
        <v>598</v>
      </c>
    </row>
    <row r="760" spans="1:64" ht="16.2" thickBot="1" x14ac:dyDescent="0.35">
      <c r="A760" s="6" t="s">
        <v>105</v>
      </c>
      <c r="B760" s="6">
        <v>2387</v>
      </c>
      <c r="C760" s="7">
        <v>1237</v>
      </c>
      <c r="D760" s="8"/>
      <c r="E760" s="80">
        <v>1168</v>
      </c>
      <c r="F760" s="66"/>
      <c r="G760" s="8"/>
      <c r="H760" s="6" t="s">
        <v>162</v>
      </c>
      <c r="I760" s="8"/>
      <c r="J760" s="7"/>
      <c r="K760" s="28"/>
      <c r="L760" s="17"/>
      <c r="M760" s="27"/>
      <c r="N760" s="27"/>
      <c r="O760" s="13"/>
      <c r="P760" s="27"/>
      <c r="Q760" s="26"/>
      <c r="R760" s="27"/>
      <c r="S760" s="27"/>
      <c r="T760" s="13"/>
      <c r="U760" s="27"/>
      <c r="V760" s="26"/>
      <c r="W760" s="28"/>
      <c r="AB760" s="68" t="s">
        <v>99</v>
      </c>
      <c r="AC760" s="42">
        <v>0</v>
      </c>
      <c r="AD760" s="40">
        <v>0</v>
      </c>
      <c r="AE760">
        <v>0</v>
      </c>
      <c r="AF760">
        <v>0</v>
      </c>
      <c r="AG760">
        <v>0</v>
      </c>
      <c r="AH760" s="42">
        <v>260025</v>
      </c>
      <c r="AI760" s="40">
        <v>78001</v>
      </c>
      <c r="AJ760" s="43">
        <v>0</v>
      </c>
      <c r="AK760" s="42">
        <v>1</v>
      </c>
      <c r="AL760" s="54" t="s">
        <v>163</v>
      </c>
      <c r="AM760" s="40"/>
      <c r="AP760" s="67" t="s">
        <v>63</v>
      </c>
      <c r="AQ760" s="33">
        <v>4</v>
      </c>
      <c r="AR760" s="35">
        <v>6</v>
      </c>
      <c r="AU760" s="33"/>
      <c r="AV760" s="34"/>
      <c r="AW760" s="34"/>
      <c r="AX760" s="34"/>
      <c r="AY760" s="35"/>
      <c r="AZ760" s="28"/>
      <c r="BA760" s="28"/>
      <c r="BB760" s="42" t="s">
        <v>467</v>
      </c>
      <c r="BC760" s="42">
        <v>46</v>
      </c>
      <c r="BD760" s="54">
        <v>3</v>
      </c>
      <c r="BE760" s="10"/>
      <c r="BF760" s="18"/>
      <c r="BG760" s="11"/>
      <c r="BH760" s="18"/>
      <c r="BI760" s="11"/>
      <c r="BJ760" s="158" t="s">
        <v>627</v>
      </c>
      <c r="BK760" s="100" t="s">
        <v>628</v>
      </c>
      <c r="BL760" s="39" t="s">
        <v>629</v>
      </c>
    </row>
    <row r="761" spans="1:64" ht="15" thickBot="1" x14ac:dyDescent="0.35">
      <c r="A761" s="36" t="s">
        <v>99</v>
      </c>
      <c r="B761" s="10">
        <v>2138</v>
      </c>
      <c r="C761" s="11">
        <v>1151</v>
      </c>
      <c r="D761" s="18"/>
      <c r="E761" s="18">
        <v>1109</v>
      </c>
      <c r="F761" s="85"/>
      <c r="G761" s="18"/>
      <c r="H761" s="42"/>
      <c r="I761" s="54"/>
      <c r="J761" s="11"/>
      <c r="L761" s="101" t="s">
        <v>84</v>
      </c>
      <c r="M761" s="102">
        <f>SUM(M755+M750+M745+M743+M739+M734)</f>
        <v>81715</v>
      </c>
      <c r="N761" s="102">
        <f>SUM(N755+N750+N745+N743+N739+N734)</f>
        <v>128271</v>
      </c>
      <c r="O761" s="103">
        <v>0</v>
      </c>
      <c r="P761" s="102">
        <v>0</v>
      </c>
      <c r="Q761" s="104">
        <v>0</v>
      </c>
      <c r="R761" s="102">
        <f>SUM(R755+R750+R745+R743+R734+R739)</f>
        <v>6382</v>
      </c>
      <c r="S761" s="102">
        <f>SUM(S755+S750+S743+S739+S734)</f>
        <v>369</v>
      </c>
      <c r="T761" s="105"/>
      <c r="U761" s="102"/>
      <c r="V761" s="106"/>
      <c r="AB761" s="44" t="s">
        <v>6</v>
      </c>
      <c r="AC761" s="10"/>
      <c r="AD761" s="11"/>
      <c r="AE761" s="18"/>
      <c r="AF761" s="18"/>
      <c r="AG761" s="18"/>
      <c r="AH761" s="10"/>
      <c r="AI761" s="11"/>
      <c r="AJ761" s="18"/>
      <c r="AK761" s="10">
        <v>15</v>
      </c>
      <c r="AL761" s="37" t="s">
        <v>153</v>
      </c>
      <c r="AM761" s="11"/>
      <c r="AP761" s="67" t="s">
        <v>536</v>
      </c>
      <c r="AQ761" s="42">
        <v>0</v>
      </c>
      <c r="AR761" s="40">
        <v>0</v>
      </c>
      <c r="AU761" s="42"/>
      <c r="AV761" s="28"/>
      <c r="AW761" s="28"/>
      <c r="AX761" s="28"/>
      <c r="AY761" s="40"/>
      <c r="AZ761" s="28"/>
      <c r="BA761" s="28"/>
      <c r="BB761" s="36" t="s">
        <v>169</v>
      </c>
      <c r="BC761" s="36">
        <v>2</v>
      </c>
      <c r="BD761" s="37">
        <v>1</v>
      </c>
      <c r="BE761" s="10"/>
      <c r="BF761" s="18"/>
      <c r="BG761" s="11"/>
      <c r="BH761" s="18"/>
      <c r="BI761" s="11"/>
      <c r="BJ761" s="155" t="s">
        <v>520</v>
      </c>
      <c r="BK761" s="37" t="s">
        <v>630</v>
      </c>
      <c r="BL761" s="39" t="s">
        <v>466</v>
      </c>
    </row>
    <row r="762" spans="1:64" ht="15" thickBot="1" x14ac:dyDescent="0.35">
      <c r="A762" s="10"/>
      <c r="B762" s="10"/>
      <c r="C762" s="39"/>
      <c r="D762" s="18"/>
      <c r="E762" s="18"/>
      <c r="F762" s="85"/>
      <c r="G762" s="18"/>
      <c r="H762" s="42">
        <v>48</v>
      </c>
      <c r="I762" s="37" t="s">
        <v>101</v>
      </c>
      <c r="J762" s="11"/>
      <c r="AB762" s="46" t="s">
        <v>6</v>
      </c>
      <c r="AC762" s="47"/>
      <c r="AD762" s="49"/>
      <c r="AE762" s="48"/>
      <c r="AF762" s="48"/>
      <c r="AG762" s="48"/>
      <c r="AH762" s="47"/>
      <c r="AI762" s="49"/>
      <c r="AJ762" s="48"/>
      <c r="AK762" s="47"/>
      <c r="AL762" s="48"/>
      <c r="AM762" s="49"/>
      <c r="AP762" s="52" t="s">
        <v>56</v>
      </c>
      <c r="AQ762" s="52">
        <v>0</v>
      </c>
      <c r="AR762" s="85">
        <v>0</v>
      </c>
      <c r="AS762" s="28"/>
      <c r="AT762" s="28"/>
      <c r="AU762" s="42"/>
      <c r="AV762" s="28" t="s">
        <v>173</v>
      </c>
      <c r="AW762" s="28"/>
      <c r="AX762" s="28"/>
      <c r="AY762" s="40"/>
      <c r="AZ762" s="28"/>
      <c r="BA762" s="28"/>
      <c r="BB762" s="36" t="s">
        <v>99</v>
      </c>
      <c r="BC762" s="36">
        <v>6</v>
      </c>
      <c r="BD762" s="37">
        <v>4</v>
      </c>
      <c r="BE762" s="10"/>
      <c r="BF762" s="18"/>
      <c r="BG762" s="11"/>
      <c r="BH762" s="18"/>
      <c r="BI762" s="11"/>
      <c r="BJ762" s="54" t="s">
        <v>631</v>
      </c>
      <c r="BK762" s="37" t="s">
        <v>603</v>
      </c>
      <c r="BL762" s="114" t="s">
        <v>512</v>
      </c>
    </row>
    <row r="763" spans="1:64" ht="15" thickBot="1" x14ac:dyDescent="0.35">
      <c r="A763" s="13" t="s">
        <v>84</v>
      </c>
      <c r="B763" s="13">
        <f>SUM(B760:B762)</f>
        <v>4525</v>
      </c>
      <c r="C763" s="26">
        <f>SUM(C760:C762)</f>
        <v>2388</v>
      </c>
      <c r="D763" s="27"/>
      <c r="E763" s="27">
        <f>SUM(E760:E762)</f>
        <v>2277</v>
      </c>
      <c r="F763" s="26"/>
      <c r="G763" s="27">
        <f>48*158</f>
        <v>7584</v>
      </c>
      <c r="H763" s="13"/>
      <c r="I763" s="81"/>
      <c r="J763" s="26">
        <f>SUM(H761:H762)</f>
        <v>48</v>
      </c>
      <c r="L763" t="s">
        <v>6</v>
      </c>
      <c r="M763" s="115"/>
      <c r="AB763" s="6"/>
      <c r="AC763" s="6"/>
      <c r="AD763" s="7"/>
      <c r="AE763" s="8"/>
      <c r="AF763" s="8"/>
      <c r="AG763" s="8"/>
      <c r="AH763" s="6"/>
      <c r="AI763" s="7"/>
      <c r="AJ763" s="8"/>
      <c r="AK763" s="29"/>
      <c r="AL763" s="8"/>
      <c r="AM763" s="7"/>
      <c r="AN763" s="45"/>
      <c r="AP763" s="52" t="s">
        <v>67</v>
      </c>
      <c r="AQ763" s="52">
        <v>6</v>
      </c>
      <c r="AR763" s="56">
        <v>7</v>
      </c>
      <c r="AU763" s="42"/>
      <c r="AV763" s="28"/>
      <c r="AW763" s="28"/>
      <c r="AX763" s="28"/>
      <c r="AY763" s="40"/>
      <c r="AZ763" s="28"/>
      <c r="BA763" s="28"/>
      <c r="BB763" s="150" t="s">
        <v>632</v>
      </c>
      <c r="BC763" s="36">
        <v>9</v>
      </c>
      <c r="BD763" s="37">
        <v>9</v>
      </c>
      <c r="BE763" s="10"/>
      <c r="BF763" s="37"/>
      <c r="BG763" s="11"/>
      <c r="BH763" s="18"/>
      <c r="BI763" s="11"/>
      <c r="BJ763" s="158" t="s">
        <v>633</v>
      </c>
      <c r="BK763" s="156" t="s">
        <v>634</v>
      </c>
      <c r="BL763" s="39" t="s">
        <v>635</v>
      </c>
    </row>
    <row r="764" spans="1:64" ht="15" thickBot="1" x14ac:dyDescent="0.35">
      <c r="A764" s="42" t="s">
        <v>181</v>
      </c>
      <c r="B764" s="42">
        <v>2023</v>
      </c>
      <c r="C764" s="40">
        <f>970+93</f>
        <v>1063</v>
      </c>
      <c r="D764" s="28"/>
      <c r="E764" s="107" t="s">
        <v>60</v>
      </c>
      <c r="F764" s="43"/>
      <c r="G764" s="41">
        <v>2314</v>
      </c>
      <c r="H764" s="18" t="s">
        <v>182</v>
      </c>
      <c r="I764" s="28"/>
      <c r="J764" s="11"/>
      <c r="K764" s="43"/>
      <c r="M764" s="115"/>
      <c r="AB764" s="36"/>
      <c r="AC764" s="10"/>
      <c r="AD764" s="11"/>
      <c r="AE764" s="18"/>
      <c r="AF764" s="18"/>
      <c r="AG764" s="18"/>
      <c r="AH764" s="36"/>
      <c r="AI764" s="11"/>
      <c r="AJ764" s="18"/>
      <c r="AK764" s="36"/>
      <c r="AL764" s="37"/>
      <c r="AM764" s="11"/>
      <c r="AN764" s="45"/>
      <c r="AP764" s="10" t="s">
        <v>78</v>
      </c>
      <c r="AQ764" s="52">
        <v>1</v>
      </c>
      <c r="AR764" s="85">
        <v>3</v>
      </c>
      <c r="AS764" s="28"/>
      <c r="AT764" s="28"/>
      <c r="AU764" s="42"/>
      <c r="AV764" s="28">
        <v>18</v>
      </c>
      <c r="AW764" s="28" t="s">
        <v>183</v>
      </c>
      <c r="AX764" s="28"/>
      <c r="AY764" s="40"/>
      <c r="AZ764" s="37"/>
      <c r="BA764" s="37"/>
      <c r="BB764" s="36" t="s">
        <v>636</v>
      </c>
      <c r="BC764" s="36">
        <v>0</v>
      </c>
      <c r="BD764" s="37">
        <v>3</v>
      </c>
      <c r="BE764" s="10"/>
      <c r="BF764" s="18"/>
      <c r="BG764" s="11"/>
      <c r="BH764" s="18"/>
      <c r="BI764" s="11"/>
      <c r="BJ764" s="37" t="s">
        <v>637</v>
      </c>
      <c r="BK764" s="37" t="s">
        <v>638</v>
      </c>
      <c r="BL764" s="40" t="s">
        <v>639</v>
      </c>
    </row>
    <row r="765" spans="1:64" ht="15" thickBot="1" x14ac:dyDescent="0.35">
      <c r="A765" s="42" t="s">
        <v>120</v>
      </c>
      <c r="B765" s="42">
        <v>4368</v>
      </c>
      <c r="C765" s="40">
        <v>3058</v>
      </c>
      <c r="D765" s="28"/>
      <c r="E765" s="107" t="s">
        <v>60</v>
      </c>
      <c r="F765" s="43"/>
      <c r="G765" s="68">
        <v>4698</v>
      </c>
      <c r="H765" s="43">
        <v>29</v>
      </c>
      <c r="I765" s="28" t="s">
        <v>188</v>
      </c>
      <c r="J765" s="11"/>
      <c r="K765" s="28"/>
      <c r="M765" s="166"/>
      <c r="AA765" s="28"/>
      <c r="AB765" s="103" t="s">
        <v>84</v>
      </c>
      <c r="AC765" s="103">
        <f>SUM(AC764+AC760+AC758+AC755+AC748+AC750+AC746+AC742+AC739+AC736+AC737)</f>
        <v>3243</v>
      </c>
      <c r="AD765" s="104">
        <f>SUM(AD764+AD760+AD758+AD755+AD748+AD746+AD742+AD739+AD737+AD736)</f>
        <v>2151</v>
      </c>
      <c r="AE765" s="103">
        <v>0</v>
      </c>
      <c r="AF765" s="102">
        <v>0</v>
      </c>
      <c r="AG765" s="102">
        <v>0</v>
      </c>
      <c r="AH765" s="109">
        <f>SUM(AH764+AH760+AH758+AH755+AH752+AH750+AH746+AH742+AH739+AH737+AH736)</f>
        <v>331315</v>
      </c>
      <c r="AI765" s="110">
        <f>SUM(AI764+AI760+AI758+AI755+AI750+AI746+AI741+AI739+AI737+AI736)</f>
        <v>82482</v>
      </c>
      <c r="AJ765" s="110">
        <v>0</v>
      </c>
      <c r="AK765" s="111" t="s">
        <v>189</v>
      </c>
      <c r="AL765" s="111"/>
      <c r="AM765" s="104">
        <f>SUM(AK736:AK764)</f>
        <v>61</v>
      </c>
      <c r="AN765" s="45"/>
      <c r="AP765" s="52" t="s">
        <v>115</v>
      </c>
      <c r="AQ765" s="52">
        <v>2</v>
      </c>
      <c r="AR765" s="85">
        <v>1</v>
      </c>
      <c r="AS765" s="28"/>
      <c r="AT765" s="28"/>
      <c r="AU765" s="42"/>
      <c r="AV765" s="28" t="s">
        <v>6</v>
      </c>
      <c r="AW765" s="28"/>
      <c r="AX765" s="28"/>
      <c r="AY765" s="40"/>
      <c r="AZ765" s="28"/>
      <c r="BA765" s="28"/>
      <c r="BB765" s="150" t="s">
        <v>211</v>
      </c>
      <c r="BC765" s="36">
        <f>4+3</f>
        <v>7</v>
      </c>
      <c r="BD765" s="37">
        <f>7+2</f>
        <v>9</v>
      </c>
      <c r="BE765" s="10"/>
      <c r="BF765" s="18"/>
      <c r="BG765" s="11"/>
      <c r="BH765" s="18"/>
      <c r="BI765" s="11"/>
      <c r="BJ765" s="159" t="s">
        <v>316</v>
      </c>
      <c r="BK765" s="37" t="s">
        <v>207</v>
      </c>
      <c r="BL765" s="39" t="s">
        <v>279</v>
      </c>
    </row>
    <row r="766" spans="1:64" x14ac:dyDescent="0.3">
      <c r="A766" s="42" t="s">
        <v>84</v>
      </c>
      <c r="B766" s="42">
        <f>SUM(B764:B765)</f>
        <v>6391</v>
      </c>
      <c r="C766" s="40">
        <f>SUM(C764:C765)</f>
        <v>4121</v>
      </c>
      <c r="D766" s="28"/>
      <c r="E766" s="107" t="s">
        <v>60</v>
      </c>
      <c r="F766" s="43"/>
      <c r="G766" s="41">
        <f>SUM(G764:G765)</f>
        <v>7012</v>
      </c>
      <c r="H766" s="28">
        <v>14</v>
      </c>
      <c r="I766" s="43" t="s">
        <v>101</v>
      </c>
      <c r="J766" s="40"/>
      <c r="K766" s="28"/>
      <c r="L766" s="28"/>
      <c r="N766" s="113"/>
      <c r="AA766" s="28"/>
      <c r="AB766" s="52" t="s">
        <v>193</v>
      </c>
      <c r="AC766" s="28"/>
      <c r="AD766" s="28"/>
      <c r="AE766" s="28"/>
      <c r="AF766" s="28"/>
      <c r="AG766" s="28"/>
      <c r="AH766" s="28"/>
      <c r="AI766" s="28"/>
      <c r="AM766" t="s">
        <v>6</v>
      </c>
      <c r="AN766" s="45"/>
      <c r="AP766" s="52" t="s">
        <v>72</v>
      </c>
      <c r="AQ766" s="52">
        <v>3</v>
      </c>
      <c r="AR766" s="85">
        <v>3</v>
      </c>
      <c r="AU766" s="42"/>
      <c r="AV766" s="28"/>
      <c r="AW766" s="28"/>
      <c r="AX766" s="28"/>
      <c r="AY766" s="40"/>
      <c r="AZ766" s="28"/>
      <c r="BB766" s="150" t="s">
        <v>640</v>
      </c>
      <c r="BC766" s="36">
        <v>2</v>
      </c>
      <c r="BD766" s="37">
        <v>1</v>
      </c>
      <c r="BE766" s="10"/>
      <c r="BF766" s="18"/>
      <c r="BG766" s="11"/>
      <c r="BH766" s="18"/>
      <c r="BI766" s="11"/>
      <c r="BJ766" s="37" t="s">
        <v>497</v>
      </c>
      <c r="BK766" s="37" t="s">
        <v>641</v>
      </c>
      <c r="BL766" s="114" t="s">
        <v>642</v>
      </c>
    </row>
    <row r="767" spans="1:64" ht="15" thickBot="1" x14ac:dyDescent="0.35">
      <c r="A767" s="13"/>
      <c r="B767" s="10"/>
      <c r="C767" s="11"/>
      <c r="D767" s="27"/>
      <c r="E767" s="27"/>
      <c r="F767" s="27"/>
      <c r="G767" s="17"/>
      <c r="H767" s="48"/>
      <c r="I767" s="48" t="s">
        <v>284</v>
      </c>
      <c r="J767" s="49">
        <f>SUM(H765:H767)</f>
        <v>43</v>
      </c>
      <c r="L767" s="108"/>
      <c r="M767" s="115"/>
      <c r="O767" s="116"/>
      <c r="AA767" s="28"/>
      <c r="AN767" s="45"/>
      <c r="AP767" s="52" t="s">
        <v>84</v>
      </c>
      <c r="AQ767" s="47">
        <f>SUM(AQ760:AQ766)</f>
        <v>16</v>
      </c>
      <c r="AR767" s="49">
        <f>SUM(AR760:AR766)</f>
        <v>20</v>
      </c>
      <c r="AS767" s="28"/>
      <c r="AT767" s="28"/>
      <c r="AU767" s="47"/>
      <c r="AV767" s="48"/>
      <c r="AW767" s="48"/>
      <c r="AX767" s="48"/>
      <c r="AY767" s="49">
        <f>SUM(AV764)</f>
        <v>18</v>
      </c>
      <c r="AZ767" s="28"/>
      <c r="BB767" s="36" t="s">
        <v>605</v>
      </c>
      <c r="BC767" s="36">
        <v>2</v>
      </c>
      <c r="BD767" s="37">
        <v>2</v>
      </c>
      <c r="BE767" s="10"/>
      <c r="BF767" s="18"/>
      <c r="BG767" s="11"/>
      <c r="BH767" s="18"/>
      <c r="BI767" s="11"/>
      <c r="BJ767" s="37" t="s">
        <v>643</v>
      </c>
      <c r="BK767" s="37" t="s">
        <v>644</v>
      </c>
      <c r="BL767" s="39" t="s">
        <v>645</v>
      </c>
    </row>
    <row r="768" spans="1:64" ht="16.2" thickBot="1" x14ac:dyDescent="0.35">
      <c r="A768" s="117" t="s">
        <v>84</v>
      </c>
      <c r="B768" s="118">
        <f>SUM(B766+B763+B758+B754+B751+B748+B745+B741+B737+B734)</f>
        <v>62434</v>
      </c>
      <c r="C768" s="120">
        <f>SUM(C766+C763+C758+C754+C751+C748+C745+C741+C737+C734)</f>
        <v>45525</v>
      </c>
      <c r="D768" s="119"/>
      <c r="E768" s="119">
        <f>SUM(E763+E748)</f>
        <v>3374</v>
      </c>
      <c r="F768" s="120"/>
      <c r="G768" s="121">
        <f>SUM(G766+G763+G758+G753+G751+G744+G741+G737+G734+G748)</f>
        <v>68617</v>
      </c>
      <c r="H768" s="13" t="s">
        <v>199</v>
      </c>
      <c r="I768" s="81"/>
      <c r="J768" s="26">
        <f>SUM(J735:J767)</f>
        <v>436</v>
      </c>
      <c r="O768" s="122"/>
      <c r="AN768" s="45"/>
      <c r="AP768" s="32" t="s">
        <v>63</v>
      </c>
      <c r="AQ768" s="123">
        <f>1+1</f>
        <v>2</v>
      </c>
      <c r="AR768" s="123">
        <f>2+1</f>
        <v>3</v>
      </c>
      <c r="AS768" s="33"/>
      <c r="AT768" s="7"/>
      <c r="AU768" s="6"/>
      <c r="AV768" s="34" t="s">
        <v>140</v>
      </c>
      <c r="AW768" s="8"/>
      <c r="AX768" s="8"/>
      <c r="AY768" s="7"/>
      <c r="AZ768" s="28"/>
      <c r="BB768" s="36" t="s">
        <v>331</v>
      </c>
      <c r="BC768" s="10">
        <v>3</v>
      </c>
      <c r="BD768" s="37">
        <v>0</v>
      </c>
      <c r="BE768" s="10"/>
      <c r="BF768" s="18"/>
      <c r="BG768" s="39"/>
      <c r="BH768" s="18"/>
      <c r="BI768" s="11"/>
      <c r="BJ768" s="159" t="s">
        <v>646</v>
      </c>
      <c r="BK768" s="37" t="s">
        <v>479</v>
      </c>
      <c r="BL768" s="39" t="s">
        <v>647</v>
      </c>
    </row>
    <row r="769" spans="1:65" x14ac:dyDescent="0.3">
      <c r="AN769" s="45"/>
      <c r="AP769" s="44" t="s">
        <v>78</v>
      </c>
      <c r="AQ769" s="37">
        <f>7+1</f>
        <v>8</v>
      </c>
      <c r="AR769" s="37">
        <f>24+2+1+2+1</f>
        <v>30</v>
      </c>
      <c r="AS769" s="42"/>
      <c r="AT769" s="11"/>
      <c r="AU769" s="10"/>
      <c r="AV769" s="37">
        <v>13</v>
      </c>
      <c r="AW769" s="37" t="s">
        <v>204</v>
      </c>
      <c r="AX769" s="18"/>
      <c r="AY769" s="11"/>
      <c r="AZ769" s="28"/>
      <c r="BB769" s="150" t="s">
        <v>250</v>
      </c>
      <c r="BC769" s="10">
        <v>0</v>
      </c>
      <c r="BD769" s="37">
        <v>1</v>
      </c>
      <c r="BE769" s="10"/>
      <c r="BF769" s="18"/>
      <c r="BG769" s="11"/>
      <c r="BH769" s="18"/>
      <c r="BI769" s="11"/>
      <c r="BJ769" s="54" t="s">
        <v>648</v>
      </c>
      <c r="BK769" s="37"/>
      <c r="BL769" s="39" t="s">
        <v>283</v>
      </c>
    </row>
    <row r="770" spans="1:65" x14ac:dyDescent="0.3">
      <c r="AN770" s="45"/>
      <c r="AP770" s="125" t="s">
        <v>209</v>
      </c>
      <c r="AQ770" s="54">
        <v>0</v>
      </c>
      <c r="AR770" s="54">
        <v>0</v>
      </c>
      <c r="AS770" s="42"/>
      <c r="AT770" s="40"/>
      <c r="AU770" s="42"/>
      <c r="AV770" s="28">
        <v>2</v>
      </c>
      <c r="AW770" s="28" t="s">
        <v>210</v>
      </c>
      <c r="AX770" s="28"/>
      <c r="AY770" s="40"/>
      <c r="AZ770" s="28"/>
      <c r="BB770" s="92" t="s">
        <v>64</v>
      </c>
      <c r="BC770" s="84">
        <v>0</v>
      </c>
      <c r="BD770" s="54">
        <v>0</v>
      </c>
      <c r="BE770" s="84"/>
      <c r="BF770" s="45"/>
      <c r="BG770" s="85"/>
      <c r="BH770" s="18"/>
      <c r="BI770" s="11"/>
      <c r="BJ770" s="54" t="s">
        <v>649</v>
      </c>
      <c r="BK770" s="54" t="s">
        <v>650</v>
      </c>
      <c r="BL770" s="86" t="s">
        <v>576</v>
      </c>
    </row>
    <row r="771" spans="1:65" x14ac:dyDescent="0.3">
      <c r="B771" s="126"/>
      <c r="C771" s="126"/>
      <c r="AN771" s="45"/>
      <c r="AP771" s="44" t="s">
        <v>168</v>
      </c>
      <c r="AQ771" s="54">
        <v>2</v>
      </c>
      <c r="AR771" s="54">
        <v>0</v>
      </c>
      <c r="AS771" s="42"/>
      <c r="AT771" s="11"/>
      <c r="AU771" s="10"/>
      <c r="AV771" s="37">
        <f>2+19+5</f>
        <v>26</v>
      </c>
      <c r="AW771" s="37" t="s">
        <v>213</v>
      </c>
      <c r="AX771" s="18"/>
      <c r="AY771" s="11"/>
      <c r="BB771" s="67" t="s">
        <v>564</v>
      </c>
      <c r="BC771" s="84">
        <v>4</v>
      </c>
      <c r="BD771" s="54">
        <v>4</v>
      </c>
      <c r="BE771" s="84"/>
      <c r="BF771" s="45"/>
      <c r="BG771" s="85"/>
      <c r="BH771" s="45"/>
      <c r="BI771" s="85"/>
      <c r="BJ771" s="54" t="s">
        <v>651</v>
      </c>
      <c r="BK771" s="54"/>
      <c r="BL771" s="40"/>
    </row>
    <row r="772" spans="1:65" x14ac:dyDescent="0.3">
      <c r="AN772" s="45"/>
      <c r="AP772" s="125" t="s">
        <v>81</v>
      </c>
      <c r="AQ772" s="54">
        <v>3</v>
      </c>
      <c r="AR772" s="54">
        <v>12</v>
      </c>
      <c r="AS772" s="42"/>
      <c r="AT772" s="40"/>
      <c r="AU772" s="42"/>
      <c r="AV772" s="54">
        <v>14</v>
      </c>
      <c r="AW772" s="128" t="s">
        <v>222</v>
      </c>
      <c r="AX772" s="28"/>
      <c r="AY772" s="40" t="s">
        <v>6</v>
      </c>
      <c r="BB772" s="67" t="s">
        <v>652</v>
      </c>
      <c r="BC772" s="84">
        <v>3</v>
      </c>
      <c r="BD772" s="54">
        <v>0</v>
      </c>
      <c r="BE772" s="84"/>
      <c r="BF772" s="45"/>
      <c r="BG772" s="85"/>
      <c r="BH772" s="45"/>
      <c r="BI772" s="85"/>
      <c r="BJ772" s="54"/>
      <c r="BK772" s="54"/>
      <c r="BL772" s="40"/>
    </row>
    <row r="773" spans="1:65" x14ac:dyDescent="0.3">
      <c r="AP773" s="125" t="s">
        <v>72</v>
      </c>
      <c r="AQ773" s="54">
        <f>4+18+3+2+16+20</f>
        <v>63</v>
      </c>
      <c r="AR773" s="45">
        <f>3+1+1+7+2+3+7</f>
        <v>24</v>
      </c>
      <c r="AS773" s="42"/>
      <c r="AT773" s="40"/>
      <c r="AU773" s="42"/>
      <c r="AV773" s="54">
        <v>20</v>
      </c>
      <c r="AW773" s="54" t="s">
        <v>216</v>
      </c>
      <c r="AX773" s="45"/>
      <c r="AY773" s="40"/>
      <c r="BB773" s="127" t="s">
        <v>107</v>
      </c>
      <c r="BC773" s="84">
        <f>3+2</f>
        <v>5</v>
      </c>
      <c r="BD773" s="54">
        <v>3</v>
      </c>
      <c r="BE773" s="42"/>
      <c r="BF773" s="45"/>
      <c r="BG773" s="40"/>
      <c r="BH773" s="45"/>
      <c r="BI773" s="85"/>
      <c r="BJ773" s="155"/>
      <c r="BK773" s="54"/>
      <c r="BL773" s="86"/>
    </row>
    <row r="774" spans="1:65" x14ac:dyDescent="0.3">
      <c r="AP774" s="125" t="s">
        <v>115</v>
      </c>
      <c r="AQ774" s="54">
        <v>7</v>
      </c>
      <c r="AR774" s="45">
        <f>3+2</f>
        <v>5</v>
      </c>
      <c r="AS774" s="42"/>
      <c r="AT774" s="40"/>
      <c r="AU774" s="42"/>
      <c r="AV774" s="54">
        <v>9</v>
      </c>
      <c r="AW774" s="54" t="s">
        <v>217</v>
      </c>
      <c r="AX774" s="28"/>
      <c r="AY774" s="40"/>
      <c r="BB774" s="127" t="s">
        <v>218</v>
      </c>
      <c r="BC774" s="84">
        <v>10</v>
      </c>
      <c r="BD774" s="54">
        <v>27</v>
      </c>
      <c r="BE774" s="42"/>
      <c r="BF774" s="45">
        <v>0</v>
      </c>
      <c r="BG774" s="40"/>
      <c r="BH774" s="45"/>
      <c r="BI774" s="85"/>
      <c r="BJ774" s="54"/>
      <c r="BK774" s="54"/>
      <c r="BL774" s="40"/>
    </row>
    <row r="775" spans="1:65" x14ac:dyDescent="0.3">
      <c r="AP775" s="125" t="s">
        <v>56</v>
      </c>
      <c r="AQ775" s="54">
        <v>5</v>
      </c>
      <c r="AR775" s="45">
        <f>6+3</f>
        <v>9</v>
      </c>
      <c r="AS775" s="42"/>
      <c r="AT775" s="40"/>
      <c r="AU775" s="42"/>
      <c r="AV775" s="54">
        <v>4</v>
      </c>
      <c r="AW775" s="54" t="s">
        <v>183</v>
      </c>
      <c r="AX775" s="28"/>
      <c r="AY775" s="40"/>
      <c r="BB775" s="98" t="s">
        <v>93</v>
      </c>
      <c r="BC775" s="10">
        <v>8</v>
      </c>
      <c r="BD775" s="18">
        <f>8+2</f>
        <v>10</v>
      </c>
      <c r="BE775" s="10"/>
      <c r="BF775" s="18"/>
      <c r="BG775" s="11"/>
      <c r="BH775" s="18"/>
      <c r="BI775" s="11"/>
      <c r="BJ775" s="54"/>
      <c r="BK775" s="37"/>
      <c r="BL775" s="129"/>
    </row>
    <row r="776" spans="1:65" ht="15" thickBot="1" x14ac:dyDescent="0.35">
      <c r="H776" t="s">
        <v>6</v>
      </c>
      <c r="AP776" s="125" t="s">
        <v>138</v>
      </c>
      <c r="AQ776" s="54">
        <v>0</v>
      </c>
      <c r="AR776" s="45">
        <v>0</v>
      </c>
      <c r="AS776" s="42"/>
      <c r="AT776" s="40"/>
      <c r="AU776" s="42"/>
      <c r="AV776" s="54">
        <v>2</v>
      </c>
      <c r="AW776" s="54" t="s">
        <v>221</v>
      </c>
      <c r="AX776" s="28"/>
      <c r="AY776" s="40"/>
      <c r="BB776" s="13" t="s">
        <v>84</v>
      </c>
      <c r="BC776" s="13">
        <f>SUM(BC751:BC775)</f>
        <v>235</v>
      </c>
      <c r="BD776" s="27">
        <f>SUM(BD751:BD775)</f>
        <v>249</v>
      </c>
      <c r="BE776" s="13">
        <v>0</v>
      </c>
      <c r="BF776" s="27">
        <f>SUM(BF751:BF775)</f>
        <v>0</v>
      </c>
      <c r="BG776" s="26">
        <v>0</v>
      </c>
      <c r="BH776" s="58">
        <v>0</v>
      </c>
      <c r="BI776" s="26">
        <v>0</v>
      </c>
      <c r="BJ776" s="81"/>
      <c r="BK776" s="27"/>
      <c r="BL776" s="26">
        <f>4+4+19+16+4+5+6+8+5+5+7+4+2+2+10+3+9+1+1</f>
        <v>115</v>
      </c>
    </row>
    <row r="777" spans="1:65" ht="15" thickBot="1" x14ac:dyDescent="0.35">
      <c r="H777" t="s">
        <v>6</v>
      </c>
      <c r="AP777" s="125" t="s">
        <v>67</v>
      </c>
      <c r="AQ777" s="54">
        <f>3+13+3+6</f>
        <v>25</v>
      </c>
      <c r="AR777" s="45">
        <f>3+12+3+4</f>
        <v>22</v>
      </c>
      <c r="AS777" s="42"/>
      <c r="AT777" s="40"/>
      <c r="AU777" s="42"/>
      <c r="AV777" s="54">
        <v>2</v>
      </c>
      <c r="AW777" s="54" t="s">
        <v>653</v>
      </c>
      <c r="AX777" s="28"/>
      <c r="AY777" s="40"/>
      <c r="BB777" s="13" t="s">
        <v>223</v>
      </c>
      <c r="BC777" s="13">
        <f>SUM(BC776+BC750+BC747+BC743+BC740+BC737+BC735)</f>
        <v>1807</v>
      </c>
      <c r="BD777" s="26">
        <f>SUM(BD776+BD750+BD747+BD743+BD740+BD737+BD735)</f>
        <v>1934</v>
      </c>
      <c r="BE777" s="26">
        <f>SUM(BE776+BE750+BE747+BE743+BE740+BE737+BE735)</f>
        <v>0</v>
      </c>
      <c r="BF777" s="26">
        <f>SUM(BF776+BF750+BF747+BF743+BF740+BF737+BF735)</f>
        <v>0</v>
      </c>
      <c r="BG777" s="26">
        <f>SUM(BG776+BG750+BG747+BG743+BG740+BG737+BG735)</f>
        <v>0</v>
      </c>
      <c r="BH777" s="160">
        <f>SUM(BH776+BH750+BH747+BH743+BH739+BH737+BH735)</f>
        <v>61860</v>
      </c>
      <c r="BI777" s="26">
        <f>SUM(BI776+BI750+BI747+BI743+BI739+BI737+BI735)</f>
        <v>10813</v>
      </c>
      <c r="BJ777" s="81"/>
      <c r="BK777" s="27" t="s">
        <v>247</v>
      </c>
      <c r="BL777" s="26">
        <f>SUM(BL735:BL776)</f>
        <v>267</v>
      </c>
    </row>
    <row r="778" spans="1:65" x14ac:dyDescent="0.3">
      <c r="K778" s="28"/>
      <c r="AP778" s="125" t="s">
        <v>122</v>
      </c>
      <c r="AQ778" s="54">
        <v>0</v>
      </c>
      <c r="AR778" s="45">
        <v>0</v>
      </c>
      <c r="AS778" s="42"/>
      <c r="AT778" s="40"/>
      <c r="AU778" s="42"/>
      <c r="AV778" s="54">
        <v>2</v>
      </c>
      <c r="AW778" s="54" t="s">
        <v>618</v>
      </c>
      <c r="AX778" s="28"/>
      <c r="AY778" s="40"/>
      <c r="BB778" s="131" t="s">
        <v>225</v>
      </c>
      <c r="BD778">
        <f>SUM(BL776)</f>
        <v>115</v>
      </c>
      <c r="BG778" s="132"/>
    </row>
    <row r="779" spans="1:65" x14ac:dyDescent="0.3">
      <c r="K779" s="28"/>
      <c r="AP779" s="125" t="s">
        <v>227</v>
      </c>
      <c r="AQ779" s="54">
        <v>0</v>
      </c>
      <c r="AR779" s="45">
        <v>0</v>
      </c>
      <c r="AS779" s="42"/>
      <c r="AT779" s="40"/>
      <c r="AU779" s="42"/>
      <c r="AV779" s="54">
        <v>3</v>
      </c>
      <c r="AW779" s="54" t="s">
        <v>654</v>
      </c>
      <c r="AX779" s="28"/>
      <c r="AY779" s="40"/>
      <c r="BB779" t="s">
        <v>229</v>
      </c>
      <c r="BD779">
        <v>21</v>
      </c>
    </row>
    <row r="780" spans="1:65" x14ac:dyDescent="0.3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AP780" s="41" t="s">
        <v>230</v>
      </c>
      <c r="AQ780" s="54">
        <f>2+3+3</f>
        <v>8</v>
      </c>
      <c r="AR780" s="45">
        <f>5+2+1</f>
        <v>8</v>
      </c>
      <c r="AS780" s="42"/>
      <c r="AT780" s="40"/>
      <c r="AU780" s="42"/>
      <c r="AV780" s="54">
        <v>9</v>
      </c>
      <c r="AW780" s="54" t="s">
        <v>655</v>
      </c>
      <c r="AX780" s="28"/>
      <c r="AY780" s="40"/>
      <c r="BB780" t="s">
        <v>232</v>
      </c>
      <c r="BD780" t="s">
        <v>233</v>
      </c>
      <c r="BF780">
        <f>SUM(AQ785)</f>
        <v>2047</v>
      </c>
      <c r="BH780" t="s">
        <v>234</v>
      </c>
      <c r="BJ780" t="s">
        <v>233</v>
      </c>
      <c r="BL780">
        <f>SUM(BC777)</f>
        <v>1807</v>
      </c>
    </row>
    <row r="781" spans="1:65" ht="18" x14ac:dyDescent="0.35">
      <c r="B781" s="133"/>
      <c r="AP781" s="68" t="s">
        <v>125</v>
      </c>
      <c r="AQ781" s="54">
        <v>0</v>
      </c>
      <c r="AR781" s="45">
        <v>0</v>
      </c>
      <c r="AS781" s="42"/>
      <c r="AT781" s="40"/>
      <c r="AU781" s="42"/>
      <c r="AV781" s="54">
        <v>1</v>
      </c>
      <c r="AW781" s="54" t="s">
        <v>351</v>
      </c>
      <c r="AX781" s="28"/>
      <c r="AY781" s="40"/>
      <c r="BA781" t="s">
        <v>6</v>
      </c>
      <c r="BD781" t="s">
        <v>236</v>
      </c>
      <c r="BF781">
        <f>SUM(AR785)</f>
        <v>2062</v>
      </c>
      <c r="BJ781" t="s">
        <v>236</v>
      </c>
      <c r="BL781">
        <f>SUM(BD777)</f>
        <v>1934</v>
      </c>
    </row>
    <row r="782" spans="1:65" x14ac:dyDescent="0.3">
      <c r="AP782" s="68" t="s">
        <v>132</v>
      </c>
      <c r="AQ782" s="54">
        <v>16</v>
      </c>
      <c r="AR782" s="45">
        <v>10</v>
      </c>
      <c r="AS782" s="42"/>
      <c r="AT782" s="40"/>
      <c r="AU782" s="42"/>
      <c r="AV782" s="54">
        <v>1</v>
      </c>
      <c r="AW782" s="54" t="s">
        <v>471</v>
      </c>
      <c r="AX782" s="28"/>
      <c r="AY782" s="40"/>
      <c r="BB782" s="134" t="s">
        <v>238</v>
      </c>
      <c r="BC782" s="135" t="s">
        <v>239</v>
      </c>
      <c r="BD782" s="136"/>
      <c r="BE782" s="134" t="s">
        <v>240</v>
      </c>
      <c r="BF782" s="135" t="s">
        <v>241</v>
      </c>
      <c r="BG782" s="136"/>
      <c r="BH782" s="134"/>
      <c r="BI782" s="135" t="s">
        <v>242</v>
      </c>
      <c r="BJ782" s="137" t="s">
        <v>243</v>
      </c>
      <c r="BK782" s="135"/>
      <c r="BL782" s="135"/>
      <c r="BM782" s="136"/>
    </row>
    <row r="783" spans="1:65" x14ac:dyDescent="0.3">
      <c r="AP783" s="41" t="s">
        <v>6</v>
      </c>
      <c r="AS783" s="42"/>
      <c r="AT783" s="40"/>
      <c r="AU783" s="42"/>
      <c r="AV783" s="54">
        <v>10</v>
      </c>
      <c r="AW783" s="54" t="s">
        <v>555</v>
      </c>
      <c r="AX783" s="28"/>
      <c r="AY783" s="40"/>
      <c r="BB783" s="138" t="s">
        <v>233</v>
      </c>
      <c r="BC783" s="28"/>
      <c r="BD783" s="139">
        <f>SUM(B768)</f>
        <v>62434</v>
      </c>
      <c r="BE783" s="138" t="s">
        <v>233</v>
      </c>
      <c r="BF783" s="28"/>
      <c r="BG783" s="139">
        <f>SUM(AC765)</f>
        <v>3243</v>
      </c>
      <c r="BH783" s="138" t="s">
        <v>233</v>
      </c>
      <c r="BI783" s="28"/>
      <c r="BJ783" s="140">
        <f>SUM(BL780+BG783)</f>
        <v>5050</v>
      </c>
      <c r="BK783" s="28" t="s">
        <v>245</v>
      </c>
      <c r="BL783" s="28">
        <f>SUM(BJ783+BD783)</f>
        <v>67484</v>
      </c>
      <c r="BM783" s="141"/>
    </row>
    <row r="784" spans="1:65" ht="18.600000000000001" thickBot="1" x14ac:dyDescent="0.4">
      <c r="B784" s="133"/>
      <c r="AP784" s="46" t="s">
        <v>84</v>
      </c>
      <c r="AQ784" s="48">
        <f>SUM(AQ768:AQ783)</f>
        <v>139</v>
      </c>
      <c r="AR784" s="48">
        <f>SUM(AR768:AR783)</f>
        <v>123</v>
      </c>
      <c r="AS784" s="47"/>
      <c r="AT784" s="49"/>
      <c r="AU784" s="47"/>
      <c r="AV784" s="48">
        <v>8</v>
      </c>
      <c r="AW784" s="48" t="s">
        <v>244</v>
      </c>
      <c r="AX784" s="48"/>
      <c r="AY784" s="49">
        <f>SUM(AV769:AV784)</f>
        <v>126</v>
      </c>
      <c r="BB784" s="142" t="s">
        <v>236</v>
      </c>
      <c r="BC784" s="143"/>
      <c r="BD784" s="144">
        <f>SUM(C768)</f>
        <v>45525</v>
      </c>
      <c r="BE784" s="142" t="s">
        <v>236</v>
      </c>
      <c r="BF784" s="143"/>
      <c r="BG784" s="144">
        <f>SUM(AD765)</f>
        <v>2151</v>
      </c>
      <c r="BH784" s="142" t="s">
        <v>236</v>
      </c>
      <c r="BI784" s="143"/>
      <c r="BJ784" s="145">
        <f>SUM(BL781+BG784)</f>
        <v>4085</v>
      </c>
      <c r="BK784" s="143"/>
      <c r="BL784" s="143">
        <f>SUM(BJ784+BD784)</f>
        <v>49610</v>
      </c>
      <c r="BM784" s="146"/>
    </row>
    <row r="785" spans="2:51" ht="18.600000000000001" thickBot="1" x14ac:dyDescent="0.4">
      <c r="B785" s="133"/>
      <c r="AP785" s="147" t="s">
        <v>84</v>
      </c>
      <c r="AQ785" s="147">
        <f>SUM(+AQ784+AQ767+AQ757+AQ742+AQ740)</f>
        <v>2047</v>
      </c>
      <c r="AR785" s="148">
        <f>SUM(AR784+AR767+AR757+AR742+AR740)</f>
        <v>2062</v>
      </c>
      <c r="AS785" s="147"/>
      <c r="AT785" s="148"/>
      <c r="AU785" s="149" t="s">
        <v>247</v>
      </c>
      <c r="AV785" s="149"/>
      <c r="AW785" s="149"/>
      <c r="AX785" s="149"/>
      <c r="AY785" s="148">
        <f>SUM(AY740:AY784)</f>
        <v>374</v>
      </c>
    </row>
    <row r="786" spans="2:51" ht="15" thickTop="1" x14ac:dyDescent="0.3"/>
  </sheetData>
  <pageMargins left="0.7" right="0.7" top="0.75" bottom="0.75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M776"/>
  <sheetViews>
    <sheetView topLeftCell="A776" zoomScaleNormal="100" zoomScalePageLayoutView="25" workbookViewId="0">
      <selection activeCell="B761" sqref="B761:C761"/>
    </sheetView>
  </sheetViews>
  <sheetFormatPr defaultColWidth="8.88671875" defaultRowHeight="14.4" x14ac:dyDescent="0.3"/>
  <sheetData>
    <row r="2" spans="1:64" ht="15.6" x14ac:dyDescent="0.3">
      <c r="C2" s="1" t="s">
        <v>0</v>
      </c>
      <c r="P2" s="1" t="s">
        <v>1</v>
      </c>
    </row>
    <row r="3" spans="1:64" ht="15.6" x14ac:dyDescent="0.3">
      <c r="D3" t="s">
        <v>2</v>
      </c>
      <c r="Q3" t="s">
        <v>3</v>
      </c>
      <c r="AE3" s="2"/>
      <c r="AF3" s="1" t="s">
        <v>0</v>
      </c>
      <c r="AG3" s="1"/>
      <c r="AI3" s="1"/>
      <c r="AJ3" s="1"/>
      <c r="AS3" s="1" t="s">
        <v>4</v>
      </c>
      <c r="BE3" s="1"/>
      <c r="BF3" s="1" t="s">
        <v>5</v>
      </c>
      <c r="BG3" s="1"/>
      <c r="BH3" s="1"/>
      <c r="BI3" s="1"/>
      <c r="BJ3" s="1"/>
    </row>
    <row r="4" spans="1:64" ht="15.6" x14ac:dyDescent="0.3">
      <c r="A4" t="s">
        <v>6</v>
      </c>
      <c r="C4" t="s">
        <v>7</v>
      </c>
      <c r="O4" t="s">
        <v>8</v>
      </c>
      <c r="AE4" s="3"/>
      <c r="AF4" s="2" t="s">
        <v>9</v>
      </c>
      <c r="AG4" s="1"/>
      <c r="AI4" s="1"/>
      <c r="AJ4" s="1"/>
      <c r="AT4" t="s">
        <v>2</v>
      </c>
      <c r="BG4" t="s">
        <v>2</v>
      </c>
    </row>
    <row r="5" spans="1:64" ht="15.6" x14ac:dyDescent="0.3">
      <c r="D5" t="s">
        <v>656</v>
      </c>
      <c r="Q5" t="s">
        <v>656</v>
      </c>
      <c r="AF5" s="3" t="s">
        <v>11</v>
      </c>
      <c r="AG5" s="1"/>
      <c r="AI5" s="1"/>
      <c r="AJ5" s="1"/>
      <c r="AR5" t="s">
        <v>12</v>
      </c>
      <c r="AZ5" t="s">
        <v>6</v>
      </c>
      <c r="BE5" t="s">
        <v>13</v>
      </c>
    </row>
    <row r="6" spans="1:64" ht="15" thickBot="1" x14ac:dyDescent="0.35">
      <c r="I6" s="4" t="s">
        <v>14</v>
      </c>
      <c r="U6" s="5" t="s">
        <v>15</v>
      </c>
      <c r="AG6" t="s">
        <v>656</v>
      </c>
      <c r="AT6" t="s">
        <v>656</v>
      </c>
      <c r="AY6" s="5"/>
      <c r="BG6" t="s">
        <v>656</v>
      </c>
      <c r="BK6" s="5" t="s">
        <v>16</v>
      </c>
    </row>
    <row r="7" spans="1:64" ht="15" thickBot="1" x14ac:dyDescent="0.35">
      <c r="A7" s="6" t="s">
        <v>17</v>
      </c>
      <c r="B7" s="6" t="s">
        <v>18</v>
      </c>
      <c r="C7" s="7"/>
      <c r="D7" s="8" t="s">
        <v>19</v>
      </c>
      <c r="E7" s="8"/>
      <c r="F7" s="8"/>
      <c r="G7" s="9" t="s">
        <v>20</v>
      </c>
      <c r="H7" s="8" t="s">
        <v>21</v>
      </c>
      <c r="I7" s="8"/>
      <c r="J7" s="7"/>
      <c r="L7" s="6" t="s">
        <v>17</v>
      </c>
      <c r="M7" s="6" t="s">
        <v>22</v>
      </c>
      <c r="N7" s="7"/>
      <c r="O7" s="8" t="s">
        <v>23</v>
      </c>
      <c r="P7" s="8"/>
      <c r="Q7" s="8"/>
      <c r="R7" s="6" t="s">
        <v>24</v>
      </c>
      <c r="S7" s="7"/>
      <c r="T7" s="8" t="s">
        <v>21</v>
      </c>
      <c r="U7" s="8"/>
      <c r="V7" s="7"/>
      <c r="AL7" s="5" t="s">
        <v>25</v>
      </c>
      <c r="AX7" s="5" t="s">
        <v>26</v>
      </c>
      <c r="BB7" s="6" t="s">
        <v>17</v>
      </c>
      <c r="BC7" s="6" t="s">
        <v>27</v>
      </c>
      <c r="BD7" s="7"/>
      <c r="BE7" s="8" t="s">
        <v>28</v>
      </c>
      <c r="BF7" s="8"/>
      <c r="BG7" s="8"/>
      <c r="BH7" s="6" t="s">
        <v>29</v>
      </c>
      <c r="BI7" s="7" t="s">
        <v>30</v>
      </c>
      <c r="BJ7" s="8" t="s">
        <v>31</v>
      </c>
      <c r="BK7" s="8"/>
      <c r="BL7" s="7"/>
    </row>
    <row r="8" spans="1:64" x14ac:dyDescent="0.3">
      <c r="A8" s="10" t="s">
        <v>32</v>
      </c>
      <c r="B8" s="10"/>
      <c r="C8" s="11"/>
      <c r="D8" s="3"/>
      <c r="E8" s="3"/>
      <c r="F8" s="3"/>
      <c r="G8" s="12"/>
      <c r="H8" s="3" t="s">
        <v>33</v>
      </c>
      <c r="I8" s="3"/>
      <c r="J8" s="11"/>
      <c r="L8" s="10"/>
      <c r="M8" s="10"/>
      <c r="N8" s="11"/>
      <c r="O8" s="3"/>
      <c r="P8" s="3"/>
      <c r="Q8" s="3"/>
      <c r="R8" s="10"/>
      <c r="S8" s="11"/>
      <c r="T8" s="3" t="s">
        <v>33</v>
      </c>
      <c r="U8" s="3"/>
      <c r="V8" s="11"/>
      <c r="AB8" s="6" t="s">
        <v>34</v>
      </c>
      <c r="AC8" s="6" t="s">
        <v>35</v>
      </c>
      <c r="AD8" s="7"/>
      <c r="AE8" s="6" t="s">
        <v>36</v>
      </c>
      <c r="AF8" s="8"/>
      <c r="AG8" s="7"/>
      <c r="AH8" s="8" t="s">
        <v>37</v>
      </c>
      <c r="AI8" s="8"/>
      <c r="AJ8" s="9" t="s">
        <v>30</v>
      </c>
      <c r="AK8" s="8" t="s">
        <v>38</v>
      </c>
      <c r="AL8" s="8"/>
      <c r="AM8" s="7"/>
      <c r="AP8" s="6" t="s">
        <v>17</v>
      </c>
      <c r="AQ8" s="6" t="s">
        <v>39</v>
      </c>
      <c r="AR8" s="7"/>
      <c r="AS8" s="6" t="s">
        <v>29</v>
      </c>
      <c r="AT8" s="7" t="s">
        <v>30</v>
      </c>
      <c r="AU8" s="8" t="s">
        <v>40</v>
      </c>
      <c r="AV8" s="8"/>
      <c r="AW8" s="8"/>
      <c r="AX8" s="8"/>
      <c r="AY8" s="7"/>
      <c r="BB8" s="10"/>
      <c r="BC8" s="10"/>
      <c r="BD8" s="11"/>
      <c r="BE8" s="3"/>
      <c r="BF8" s="3"/>
      <c r="BG8" s="3"/>
      <c r="BH8" s="10"/>
      <c r="BI8" s="11" t="s">
        <v>6</v>
      </c>
      <c r="BJ8" s="3" t="s">
        <v>41</v>
      </c>
      <c r="BK8" s="3"/>
      <c r="BL8" s="11"/>
    </row>
    <row r="9" spans="1:64" ht="15" thickBot="1" x14ac:dyDescent="0.35">
      <c r="A9" s="13" t="s">
        <v>42</v>
      </c>
      <c r="B9" s="14" t="s">
        <v>43</v>
      </c>
      <c r="C9" s="15" t="s">
        <v>44</v>
      </c>
      <c r="D9" s="16" t="s">
        <v>45</v>
      </c>
      <c r="E9" s="16" t="s">
        <v>46</v>
      </c>
      <c r="F9" s="16" t="s">
        <v>47</v>
      </c>
      <c r="G9" s="17" t="s">
        <v>48</v>
      </c>
      <c r="H9" s="18" t="s">
        <v>49</v>
      </c>
      <c r="I9" s="18"/>
      <c r="J9" s="11"/>
      <c r="L9" s="10" t="s">
        <v>50</v>
      </c>
      <c r="M9" s="19" t="s">
        <v>43</v>
      </c>
      <c r="N9" s="20" t="s">
        <v>44</v>
      </c>
      <c r="O9" s="21" t="s">
        <v>43</v>
      </c>
      <c r="P9" s="18" t="s">
        <v>51</v>
      </c>
      <c r="Q9" s="21" t="s">
        <v>44</v>
      </c>
      <c r="R9" s="22" t="s">
        <v>43</v>
      </c>
      <c r="S9" s="23" t="s">
        <v>44</v>
      </c>
      <c r="T9" s="18" t="s">
        <v>49</v>
      </c>
      <c r="U9" s="18"/>
      <c r="V9" s="11"/>
      <c r="AB9" s="10" t="s">
        <v>50</v>
      </c>
      <c r="AC9" s="22" t="s">
        <v>43</v>
      </c>
      <c r="AD9" s="23" t="s">
        <v>44</v>
      </c>
      <c r="AE9" s="22" t="s">
        <v>45</v>
      </c>
      <c r="AF9" s="24" t="s">
        <v>46</v>
      </c>
      <c r="AG9" s="23" t="s">
        <v>52</v>
      </c>
      <c r="AH9" s="24" t="s">
        <v>43</v>
      </c>
      <c r="AI9" s="24" t="s">
        <v>44</v>
      </c>
      <c r="AJ9" s="25" t="s">
        <v>43</v>
      </c>
      <c r="AK9" s="3" t="s">
        <v>53</v>
      </c>
      <c r="AL9" s="3"/>
      <c r="AM9" s="11"/>
      <c r="AP9" s="13" t="s">
        <v>42</v>
      </c>
      <c r="AQ9" s="10" t="s">
        <v>43</v>
      </c>
      <c r="AR9" s="11" t="s">
        <v>44</v>
      </c>
      <c r="AS9" s="13" t="s">
        <v>43</v>
      </c>
      <c r="AT9" s="26" t="s">
        <v>44</v>
      </c>
      <c r="AU9" s="27"/>
      <c r="AV9" s="27"/>
      <c r="AW9" s="27"/>
      <c r="AX9" s="27"/>
      <c r="AY9" s="26"/>
      <c r="BB9" s="13" t="s">
        <v>42</v>
      </c>
      <c r="BC9" s="13" t="s">
        <v>43</v>
      </c>
      <c r="BD9" s="26" t="s">
        <v>44</v>
      </c>
      <c r="BE9" s="27" t="s">
        <v>45</v>
      </c>
      <c r="BF9" s="27" t="s">
        <v>46</v>
      </c>
      <c r="BG9" s="27" t="s">
        <v>52</v>
      </c>
      <c r="BH9" s="13" t="s">
        <v>43</v>
      </c>
      <c r="BI9" s="26" t="s">
        <v>44</v>
      </c>
      <c r="BJ9" s="27" t="s">
        <v>54</v>
      </c>
      <c r="BK9" s="27"/>
      <c r="BL9" s="26"/>
    </row>
    <row r="10" spans="1:64" ht="15" thickBot="1" x14ac:dyDescent="0.35">
      <c r="A10" s="6"/>
      <c r="B10" s="6"/>
      <c r="C10" s="7"/>
      <c r="D10" s="8"/>
      <c r="E10" s="8"/>
      <c r="F10" s="7"/>
      <c r="G10" s="8"/>
      <c r="H10" s="6" t="s">
        <v>396</v>
      </c>
      <c r="I10" s="8"/>
      <c r="J10" s="7"/>
      <c r="K10" s="28"/>
      <c r="L10" s="9"/>
      <c r="M10" s="8"/>
      <c r="N10" s="8"/>
      <c r="O10" s="6"/>
      <c r="P10" s="8"/>
      <c r="Q10" s="7"/>
      <c r="R10" s="8"/>
      <c r="S10" s="8"/>
      <c r="T10" s="6" t="s">
        <v>396</v>
      </c>
      <c r="U10" s="8"/>
      <c r="V10" s="7"/>
      <c r="W10" s="28"/>
      <c r="AB10" s="13"/>
      <c r="AC10" s="13"/>
      <c r="AD10" s="26"/>
      <c r="AE10" s="13"/>
      <c r="AF10" s="27"/>
      <c r="AG10" s="26"/>
      <c r="AH10" s="27"/>
      <c r="AI10" s="27"/>
      <c r="AJ10" s="17"/>
      <c r="AK10" s="27"/>
      <c r="AL10" s="27"/>
      <c r="AM10" s="26"/>
      <c r="AP10" s="6" t="s">
        <v>56</v>
      </c>
      <c r="AQ10" s="29">
        <v>472</v>
      </c>
      <c r="AR10" s="30">
        <v>514</v>
      </c>
      <c r="AU10" s="6"/>
      <c r="AV10" s="8"/>
      <c r="AW10" s="31" t="s">
        <v>57</v>
      </c>
      <c r="AX10" s="8"/>
      <c r="AY10" s="7"/>
      <c r="AZ10" s="28"/>
      <c r="BB10" s="32" t="s">
        <v>85</v>
      </c>
      <c r="BC10">
        <v>21</v>
      </c>
      <c r="BD10">
        <v>7</v>
      </c>
      <c r="BE10" s="33"/>
      <c r="BF10" s="34"/>
      <c r="BG10" s="34"/>
      <c r="BH10" s="33"/>
      <c r="BI10" s="35"/>
      <c r="BJ10" s="34" t="s">
        <v>58</v>
      </c>
      <c r="BK10" s="8"/>
      <c r="BL10" s="7"/>
    </row>
    <row r="11" spans="1:64" x14ac:dyDescent="0.3">
      <c r="A11" s="10" t="s">
        <v>59</v>
      </c>
      <c r="B11" s="36">
        <v>1098</v>
      </c>
      <c r="C11" s="11">
        <v>1275</v>
      </c>
      <c r="D11" s="37"/>
      <c r="E11" s="38" t="s">
        <v>60</v>
      </c>
      <c r="F11" s="39"/>
      <c r="G11" s="37">
        <v>1400</v>
      </c>
      <c r="H11" s="36">
        <v>5</v>
      </c>
      <c r="I11" s="37" t="s">
        <v>61</v>
      </c>
      <c r="J11" s="40"/>
      <c r="K11" s="28"/>
      <c r="L11" s="41" t="s">
        <v>59</v>
      </c>
      <c r="M11" s="28">
        <v>4033</v>
      </c>
      <c r="N11" s="28">
        <v>24766</v>
      </c>
      <c r="O11" s="42">
        <v>0</v>
      </c>
      <c r="P11" s="43">
        <v>0</v>
      </c>
      <c r="Q11" s="40">
        <v>0</v>
      </c>
      <c r="R11" s="43">
        <v>0</v>
      </c>
      <c r="S11" s="43">
        <v>0</v>
      </c>
      <c r="T11" s="42"/>
      <c r="U11" s="28"/>
      <c r="V11" s="40"/>
      <c r="W11" s="28"/>
      <c r="AB11" s="9"/>
      <c r="AC11" s="8"/>
      <c r="AD11" s="8"/>
      <c r="AE11" s="6"/>
      <c r="AF11" s="8"/>
      <c r="AG11" s="7"/>
      <c r="AH11" s="8"/>
      <c r="AI11" s="8"/>
      <c r="AJ11" s="9"/>
      <c r="AK11" s="6" t="s">
        <v>62</v>
      </c>
      <c r="AL11" s="8"/>
      <c r="AM11" s="7"/>
      <c r="AP11" s="36" t="s">
        <v>63</v>
      </c>
      <c r="AQ11" s="36">
        <v>4</v>
      </c>
      <c r="AR11" s="39">
        <v>4</v>
      </c>
      <c r="AT11" s="18"/>
      <c r="AU11" s="10"/>
      <c r="AV11" s="18"/>
      <c r="AW11" s="18"/>
      <c r="AX11" s="18"/>
      <c r="AY11" s="11"/>
      <c r="AZ11" s="28"/>
      <c r="BB11" s="44" t="s">
        <v>64</v>
      </c>
      <c r="BC11" s="18">
        <v>85</v>
      </c>
      <c r="BD11" s="18">
        <v>132</v>
      </c>
      <c r="BE11" s="10">
        <v>0</v>
      </c>
      <c r="BF11" s="18">
        <v>0</v>
      </c>
      <c r="BG11" s="18">
        <v>0</v>
      </c>
      <c r="BH11" s="10">
        <v>0</v>
      </c>
      <c r="BI11" s="11">
        <v>0</v>
      </c>
      <c r="BJ11" s="45">
        <v>9</v>
      </c>
      <c r="BK11" s="28" t="s">
        <v>474</v>
      </c>
      <c r="BL11" s="11" t="s">
        <v>6</v>
      </c>
    </row>
    <row r="12" spans="1:64" ht="15" thickBot="1" x14ac:dyDescent="0.35">
      <c r="A12" s="36" t="s">
        <v>6</v>
      </c>
      <c r="B12" s="10"/>
      <c r="C12" s="11"/>
      <c r="D12" s="18"/>
      <c r="E12" s="18"/>
      <c r="F12" s="18"/>
      <c r="G12" s="36"/>
      <c r="H12" s="42"/>
      <c r="I12" s="28" t="s">
        <v>528</v>
      </c>
      <c r="J12" s="40">
        <f>SUM(H11+H12)</f>
        <v>5</v>
      </c>
      <c r="K12" s="28"/>
      <c r="L12" s="12"/>
      <c r="M12" s="37"/>
      <c r="N12" s="37"/>
      <c r="O12" s="10"/>
      <c r="P12" s="18"/>
      <c r="Q12" s="11"/>
      <c r="R12" s="18"/>
      <c r="S12" s="18"/>
      <c r="T12" s="10"/>
      <c r="U12" s="18"/>
      <c r="V12" s="11"/>
      <c r="W12" s="28"/>
      <c r="AB12" s="41"/>
      <c r="AE12" s="42"/>
      <c r="AF12" s="28"/>
      <c r="AG12" s="40"/>
      <c r="AJ12" s="41"/>
      <c r="AK12" s="42"/>
      <c r="AL12" s="28" t="s">
        <v>6</v>
      </c>
      <c r="AM12" s="40"/>
      <c r="AP12" s="36" t="s">
        <v>67</v>
      </c>
      <c r="AQ12" s="36">
        <v>252</v>
      </c>
      <c r="AR12" s="39">
        <v>262</v>
      </c>
      <c r="AT12" s="18"/>
      <c r="AU12" s="10"/>
      <c r="AV12" s="37">
        <v>43</v>
      </c>
      <c r="AW12" s="37" t="s">
        <v>68</v>
      </c>
      <c r="AX12" s="18"/>
      <c r="AY12" s="11"/>
      <c r="AZ12" s="28"/>
      <c r="BA12" s="28"/>
      <c r="BB12" s="46" t="s">
        <v>84</v>
      </c>
      <c r="BC12">
        <f>SUM(BC10:BC11)</f>
        <v>106</v>
      </c>
      <c r="BD12">
        <f>SUM(BD10:BD11)</f>
        <v>139</v>
      </c>
      <c r="BE12" s="47"/>
      <c r="BF12" s="48"/>
      <c r="BG12" s="48"/>
      <c r="BH12" s="47"/>
      <c r="BI12" s="49"/>
      <c r="BJ12" s="48">
        <v>1</v>
      </c>
      <c r="BK12" s="48" t="s">
        <v>69</v>
      </c>
      <c r="BL12" s="49">
        <f>SUM(BJ11:BJ12)</f>
        <v>10</v>
      </c>
    </row>
    <row r="13" spans="1:64" ht="15" thickBot="1" x14ac:dyDescent="0.35">
      <c r="A13" s="32"/>
      <c r="B13" s="34"/>
      <c r="C13" s="34"/>
      <c r="D13" s="33"/>
      <c r="E13" s="34"/>
      <c r="F13" s="35"/>
      <c r="G13" s="34"/>
      <c r="H13" s="6" t="s">
        <v>70</v>
      </c>
      <c r="I13" s="8"/>
      <c r="J13" s="7"/>
      <c r="K13" s="28"/>
      <c r="L13" s="17"/>
      <c r="M13" s="27"/>
      <c r="N13" s="27"/>
      <c r="O13" s="13"/>
      <c r="P13" s="27"/>
      <c r="Q13" s="26"/>
      <c r="R13" s="27"/>
      <c r="S13" s="27"/>
      <c r="T13" s="13"/>
      <c r="U13" s="27"/>
      <c r="V13" s="26"/>
      <c r="W13" s="28"/>
      <c r="AB13" s="44" t="s">
        <v>59</v>
      </c>
      <c r="AC13" s="37">
        <v>1285</v>
      </c>
      <c r="AD13" s="37">
        <v>1833</v>
      </c>
      <c r="AE13" s="10">
        <v>0</v>
      </c>
      <c r="AF13" s="18">
        <v>0</v>
      </c>
      <c r="AG13" s="39">
        <v>0</v>
      </c>
      <c r="AH13" s="2">
        <v>0</v>
      </c>
      <c r="AI13" s="2">
        <v>0</v>
      </c>
      <c r="AJ13" s="12">
        <v>0</v>
      </c>
      <c r="AK13" s="36">
        <v>5</v>
      </c>
      <c r="AL13" s="37" t="s">
        <v>66</v>
      </c>
      <c r="AM13" s="11"/>
      <c r="AP13" s="36" t="s">
        <v>72</v>
      </c>
      <c r="AQ13" s="36">
        <v>0</v>
      </c>
      <c r="AR13" s="39">
        <v>0</v>
      </c>
      <c r="AT13" s="18"/>
      <c r="AU13" s="10"/>
      <c r="AV13" s="37">
        <v>47</v>
      </c>
      <c r="AW13" s="37" t="s">
        <v>73</v>
      </c>
      <c r="AX13" s="18"/>
      <c r="AY13" s="11"/>
      <c r="AZ13" s="28"/>
      <c r="BA13" s="28"/>
      <c r="BB13" s="33"/>
      <c r="BC13" s="33"/>
      <c r="BD13" s="35"/>
      <c r="BE13" s="34"/>
      <c r="BF13" s="34"/>
      <c r="BG13" s="34"/>
      <c r="BH13" s="33"/>
      <c r="BI13" s="35"/>
      <c r="BJ13" s="53" t="s">
        <v>82</v>
      </c>
      <c r="BK13" s="34"/>
      <c r="BL13" s="35"/>
    </row>
    <row r="14" spans="1:64" ht="15" thickBot="1" x14ac:dyDescent="0.35">
      <c r="A14" s="44" t="s">
        <v>74</v>
      </c>
      <c r="B14" s="37">
        <v>1012</v>
      </c>
      <c r="C14" s="18">
        <v>1732</v>
      </c>
      <c r="D14" s="36"/>
      <c r="E14" s="38" t="s">
        <v>60</v>
      </c>
      <c r="F14" s="39"/>
      <c r="G14" s="37">
        <v>2109</v>
      </c>
      <c r="H14" s="36">
        <v>14</v>
      </c>
      <c r="I14" s="28" t="s">
        <v>75</v>
      </c>
      <c r="J14" s="11"/>
      <c r="K14" s="28"/>
      <c r="L14" s="32"/>
      <c r="M14" s="34"/>
      <c r="N14" s="34"/>
      <c r="O14" s="33"/>
      <c r="P14" s="34"/>
      <c r="Q14" s="35"/>
      <c r="R14" s="34"/>
      <c r="S14" s="34"/>
      <c r="T14" s="33"/>
      <c r="U14" s="34"/>
      <c r="V14" s="35"/>
      <c r="W14" s="28"/>
      <c r="AB14" s="46"/>
      <c r="AE14" s="47"/>
      <c r="AF14" s="51"/>
      <c r="AG14" s="49"/>
      <c r="AH14" s="28"/>
      <c r="AI14" s="28"/>
      <c r="AJ14" s="62"/>
      <c r="AK14" s="47">
        <v>1</v>
      </c>
      <c r="AL14" s="48" t="s">
        <v>398</v>
      </c>
      <c r="AM14" s="49"/>
      <c r="AP14" s="36" t="s">
        <v>78</v>
      </c>
      <c r="AQ14" s="36">
        <v>0</v>
      </c>
      <c r="AR14" s="39">
        <v>0</v>
      </c>
      <c r="AT14" s="18"/>
      <c r="AU14" s="10"/>
      <c r="AV14" s="37"/>
      <c r="AW14" s="37"/>
      <c r="AX14" s="18" t="s">
        <v>6</v>
      </c>
      <c r="AY14" s="11"/>
      <c r="AZ14" s="28"/>
      <c r="BA14" s="28"/>
      <c r="BB14" s="47" t="s">
        <v>85</v>
      </c>
      <c r="BC14" s="47">
        <v>6</v>
      </c>
      <c r="BD14" s="49">
        <v>4</v>
      </c>
      <c r="BE14" s="48"/>
      <c r="BF14" s="48">
        <v>0</v>
      </c>
      <c r="BG14" s="48">
        <v>0</v>
      </c>
      <c r="BH14" s="47">
        <v>0</v>
      </c>
      <c r="BI14" s="49">
        <v>0</v>
      </c>
      <c r="BJ14" s="51">
        <v>1</v>
      </c>
      <c r="BK14" s="48" t="s">
        <v>86</v>
      </c>
      <c r="BL14" s="49">
        <f>SUM(BJ14)</f>
        <v>1</v>
      </c>
    </row>
    <row r="15" spans="1:64" x14ac:dyDescent="0.3">
      <c r="A15" s="41"/>
      <c r="D15" s="42"/>
      <c r="E15" s="28"/>
      <c r="F15" s="40"/>
      <c r="H15" s="42">
        <v>3</v>
      </c>
      <c r="I15" s="28" t="s">
        <v>79</v>
      </c>
      <c r="J15" s="40"/>
      <c r="K15" s="28"/>
      <c r="L15" s="41"/>
      <c r="M15" s="28"/>
      <c r="N15" s="28"/>
      <c r="O15" s="42"/>
      <c r="P15" s="28"/>
      <c r="Q15" s="40"/>
      <c r="R15" s="28"/>
      <c r="S15" s="28"/>
      <c r="T15" s="42" t="s">
        <v>80</v>
      </c>
      <c r="U15" s="28"/>
      <c r="V15" s="40"/>
      <c r="W15" s="28"/>
      <c r="AB15" s="50" t="s">
        <v>6</v>
      </c>
      <c r="AC15" s="8"/>
      <c r="AD15" s="8"/>
      <c r="AE15" s="6"/>
      <c r="AF15" s="8"/>
      <c r="AG15" s="7"/>
      <c r="AH15" s="6"/>
      <c r="AI15" s="7"/>
      <c r="AJ15" s="8"/>
      <c r="AK15" s="29" t="s">
        <v>71</v>
      </c>
      <c r="AL15" s="8"/>
      <c r="AM15" s="7"/>
      <c r="AP15" s="52" t="s">
        <v>81</v>
      </c>
      <c r="AQ15" s="36">
        <v>0</v>
      </c>
      <c r="AR15" s="39">
        <v>0</v>
      </c>
      <c r="AU15" s="42"/>
      <c r="AV15" s="28"/>
      <c r="AW15" s="28"/>
      <c r="AX15" s="28"/>
      <c r="AY15" s="40"/>
      <c r="AZ15" s="28"/>
      <c r="BA15" s="28"/>
      <c r="BB15" s="50" t="s">
        <v>107</v>
      </c>
      <c r="BC15" s="31">
        <v>91</v>
      </c>
      <c r="BD15" s="31">
        <v>116</v>
      </c>
      <c r="BE15" s="29"/>
      <c r="BF15" s="31"/>
      <c r="BG15" s="30"/>
      <c r="BH15" s="55"/>
      <c r="BI15" s="8"/>
      <c r="BJ15" s="29"/>
      <c r="BK15" s="34" t="s">
        <v>92</v>
      </c>
      <c r="BL15" s="35"/>
    </row>
    <row r="16" spans="1:64" ht="15" thickBot="1" x14ac:dyDescent="0.35">
      <c r="A16" s="46"/>
      <c r="B16" s="48"/>
      <c r="C16" s="48"/>
      <c r="D16" s="47"/>
      <c r="E16" s="48"/>
      <c r="F16" s="49"/>
      <c r="G16" s="48"/>
      <c r="H16" s="47"/>
      <c r="I16" s="28" t="s">
        <v>83</v>
      </c>
      <c r="J16" s="49">
        <f>SUM(H14:H16)</f>
        <v>17</v>
      </c>
      <c r="K16" s="28"/>
      <c r="L16" s="17" t="s">
        <v>74</v>
      </c>
      <c r="M16" s="27">
        <v>3749</v>
      </c>
      <c r="N16" s="27">
        <v>202</v>
      </c>
      <c r="O16" s="13">
        <v>0</v>
      </c>
      <c r="P16" s="27">
        <v>0</v>
      </c>
      <c r="Q16" s="26">
        <v>0</v>
      </c>
      <c r="R16" s="27">
        <v>47</v>
      </c>
      <c r="S16" s="27">
        <v>0</v>
      </c>
      <c r="T16" s="13"/>
      <c r="U16" s="27"/>
      <c r="V16" s="26"/>
      <c r="W16" s="28"/>
      <c r="AB16" s="41" t="s">
        <v>76</v>
      </c>
      <c r="AC16">
        <v>342</v>
      </c>
      <c r="AD16">
        <v>0</v>
      </c>
      <c r="AE16" s="42">
        <v>0</v>
      </c>
      <c r="AF16" s="43">
        <v>0</v>
      </c>
      <c r="AG16" s="40">
        <v>0</v>
      </c>
      <c r="AH16" s="42">
        <v>0</v>
      </c>
      <c r="AI16" s="40">
        <v>0</v>
      </c>
      <c r="AJ16" s="43">
        <v>0</v>
      </c>
      <c r="AK16" s="42">
        <v>3</v>
      </c>
      <c r="AL16" s="28" t="s">
        <v>77</v>
      </c>
      <c r="AM16" s="40"/>
      <c r="AP16" s="52" t="s">
        <v>115</v>
      </c>
      <c r="AQ16" s="52">
        <v>0</v>
      </c>
      <c r="AR16" s="86">
        <v>0</v>
      </c>
      <c r="AU16" s="42"/>
      <c r="AV16" s="28"/>
      <c r="AW16" s="28"/>
      <c r="AX16" s="28"/>
      <c r="AY16" s="40"/>
      <c r="AZ16" s="28"/>
      <c r="BA16" s="28"/>
      <c r="BB16" s="41" t="s">
        <v>99</v>
      </c>
      <c r="BC16" s="45">
        <v>0</v>
      </c>
      <c r="BD16" s="45">
        <v>0</v>
      </c>
      <c r="BE16" s="42">
        <v>0</v>
      </c>
      <c r="BF16" s="45">
        <v>0</v>
      </c>
      <c r="BG16" s="40">
        <v>0</v>
      </c>
      <c r="BH16" s="45">
        <v>50027</v>
      </c>
      <c r="BI16" s="56">
        <v>15650</v>
      </c>
      <c r="BJ16" s="52">
        <v>12</v>
      </c>
      <c r="BK16" s="37" t="s">
        <v>100</v>
      </c>
      <c r="BL16" s="40"/>
    </row>
    <row r="17" spans="1:65" ht="15" thickBot="1" x14ac:dyDescent="0.35">
      <c r="A17" s="33"/>
      <c r="B17" s="33"/>
      <c r="C17" s="35"/>
      <c r="D17" s="34"/>
      <c r="E17" s="34"/>
      <c r="F17" s="34"/>
      <c r="G17" s="32"/>
      <c r="H17" s="6" t="s">
        <v>87</v>
      </c>
      <c r="I17" s="34"/>
      <c r="J17" s="35"/>
      <c r="K17" s="28"/>
      <c r="L17" s="12" t="s">
        <v>88</v>
      </c>
      <c r="M17" s="37">
        <v>0</v>
      </c>
      <c r="N17" s="37">
        <v>0</v>
      </c>
      <c r="O17" s="10"/>
      <c r="P17" s="18"/>
      <c r="Q17" s="11"/>
      <c r="R17" s="18"/>
      <c r="S17" s="18"/>
      <c r="T17" s="33" t="s">
        <v>6</v>
      </c>
      <c r="U17" s="31"/>
      <c r="V17" s="7"/>
      <c r="W17" s="28"/>
      <c r="AB17" s="6" t="s">
        <v>89</v>
      </c>
      <c r="AC17" s="6">
        <v>34</v>
      </c>
      <c r="AD17" s="7">
        <v>12</v>
      </c>
      <c r="AE17" s="8"/>
      <c r="AF17" s="8"/>
      <c r="AG17" s="8"/>
      <c r="AH17" s="6"/>
      <c r="AI17" s="7"/>
      <c r="AJ17" s="9"/>
      <c r="AK17" s="31" t="s">
        <v>90</v>
      </c>
      <c r="AL17" s="8"/>
      <c r="AM17" s="7"/>
      <c r="AP17" s="13" t="s">
        <v>84</v>
      </c>
      <c r="AQ17" s="13">
        <f>SUM(AQ10:AQ16)</f>
        <v>728</v>
      </c>
      <c r="AR17" s="26">
        <f>SUM(AR10:AR16)</f>
        <v>780</v>
      </c>
      <c r="AT17" s="18"/>
      <c r="AU17" s="13"/>
      <c r="AV17" s="27"/>
      <c r="AW17" s="27"/>
      <c r="AX17" s="27"/>
      <c r="AY17" s="26">
        <f>SUM(AV12:AV13)</f>
        <v>90</v>
      </c>
      <c r="AZ17" s="28"/>
      <c r="BA17" s="28"/>
      <c r="BB17" s="17" t="s">
        <v>84</v>
      </c>
      <c r="BC17" s="18">
        <f>SUM(BC15:BC16)</f>
        <v>91</v>
      </c>
      <c r="BD17" s="18">
        <f>SUM(BD15:BD16)</f>
        <v>116</v>
      </c>
      <c r="BE17" s="13"/>
      <c r="BF17" s="27"/>
      <c r="BG17" s="26"/>
      <c r="BH17" s="58"/>
      <c r="BI17" s="27"/>
      <c r="BJ17" s="59">
        <v>2</v>
      </c>
      <c r="BK17" s="48" t="s">
        <v>506</v>
      </c>
      <c r="BL17" s="60">
        <f>SUM(BJ16:BJ17)</f>
        <v>14</v>
      </c>
    </row>
    <row r="18" spans="1:65" x14ac:dyDescent="0.3">
      <c r="A18" s="36" t="s">
        <v>93</v>
      </c>
      <c r="B18" s="36">
        <v>2483</v>
      </c>
      <c r="C18" s="11">
        <v>3951</v>
      </c>
      <c r="D18" s="37"/>
      <c r="E18" s="38" t="s">
        <v>60</v>
      </c>
      <c r="F18" s="37"/>
      <c r="G18" s="12">
        <v>5466</v>
      </c>
      <c r="H18" s="36">
        <v>2</v>
      </c>
      <c r="I18" s="37" t="s">
        <v>94</v>
      </c>
      <c r="J18" s="40"/>
      <c r="K18" s="28"/>
      <c r="L18" s="44" t="s">
        <v>95</v>
      </c>
      <c r="M18" s="37">
        <v>0</v>
      </c>
      <c r="N18" s="37">
        <v>0</v>
      </c>
      <c r="O18" s="10"/>
      <c r="P18" s="18"/>
      <c r="Q18" s="11"/>
      <c r="R18" s="18"/>
      <c r="S18" s="18"/>
      <c r="T18" s="10" t="s">
        <v>96</v>
      </c>
      <c r="U18" s="37"/>
      <c r="V18" s="11"/>
      <c r="W18" s="28"/>
      <c r="AB18" s="36" t="s">
        <v>97</v>
      </c>
      <c r="AC18" s="10">
        <v>0</v>
      </c>
      <c r="AD18" s="11">
        <v>12</v>
      </c>
      <c r="AE18" s="18">
        <v>0</v>
      </c>
      <c r="AF18" s="18">
        <v>0</v>
      </c>
      <c r="AG18" s="18">
        <v>0</v>
      </c>
      <c r="AH18" s="36">
        <v>0</v>
      </c>
      <c r="AI18" s="11">
        <v>0</v>
      </c>
      <c r="AJ18" s="12">
        <v>0</v>
      </c>
      <c r="AK18" s="37"/>
      <c r="AL18" s="37" t="s">
        <v>529</v>
      </c>
      <c r="AM18" s="11"/>
      <c r="AP18" s="32" t="s">
        <v>6</v>
      </c>
      <c r="AQ18" s="43"/>
      <c r="AR18" s="54"/>
      <c r="AS18" s="33"/>
      <c r="AT18" s="35"/>
      <c r="AU18" s="33"/>
      <c r="AV18" s="34" t="s">
        <v>91</v>
      </c>
      <c r="AW18" s="34"/>
      <c r="AX18" s="34"/>
      <c r="AY18" s="35"/>
      <c r="AZ18" s="28" t="s">
        <v>6</v>
      </c>
      <c r="BA18" s="28"/>
      <c r="BB18" s="32" t="s">
        <v>107</v>
      </c>
      <c r="BC18" s="63">
        <v>0</v>
      </c>
      <c r="BD18" s="64">
        <v>0</v>
      </c>
      <c r="BE18" s="33"/>
      <c r="BF18" s="8"/>
      <c r="BG18" s="35"/>
      <c r="BH18" s="65"/>
      <c r="BI18" s="66"/>
      <c r="BJ18" s="29"/>
      <c r="BK18" s="31" t="s">
        <v>57</v>
      </c>
      <c r="BL18" s="35"/>
    </row>
    <row r="19" spans="1:65" ht="15" thickBot="1" x14ac:dyDescent="0.35">
      <c r="A19" s="47"/>
      <c r="B19" s="47"/>
      <c r="C19" s="49"/>
      <c r="D19" s="48"/>
      <c r="E19" s="48"/>
      <c r="F19" s="48"/>
      <c r="G19" s="46"/>
      <c r="H19" s="47">
        <v>29</v>
      </c>
      <c r="I19" s="48" t="s">
        <v>101</v>
      </c>
      <c r="J19" s="49">
        <f>SUM(H18:H19)</f>
        <v>31</v>
      </c>
      <c r="K19" s="28"/>
      <c r="L19" s="12" t="s">
        <v>102</v>
      </c>
      <c r="M19" s="18">
        <v>0</v>
      </c>
      <c r="N19" s="18">
        <v>0</v>
      </c>
      <c r="O19" s="10"/>
      <c r="P19" s="18"/>
      <c r="Q19" s="11"/>
      <c r="R19" s="18"/>
      <c r="S19" s="18"/>
      <c r="T19" s="10"/>
      <c r="U19" s="18"/>
      <c r="V19" s="11"/>
      <c r="W19" s="28"/>
      <c r="AB19" s="47" t="s">
        <v>84</v>
      </c>
      <c r="AC19" s="13">
        <f>SUM(AC17:AC18)</f>
        <v>34</v>
      </c>
      <c r="AD19" s="26">
        <f>SUM(AD17:AD18)</f>
        <v>24</v>
      </c>
      <c r="AE19" s="27"/>
      <c r="AF19" s="27"/>
      <c r="AG19" s="27"/>
      <c r="AH19" s="13"/>
      <c r="AI19" s="26"/>
      <c r="AJ19" s="17"/>
      <c r="AK19" s="57">
        <v>1</v>
      </c>
      <c r="AL19" s="37" t="s">
        <v>145</v>
      </c>
      <c r="AM19" s="11"/>
      <c r="AP19" s="41" t="s">
        <v>56</v>
      </c>
      <c r="AQ19" s="43">
        <v>1008</v>
      </c>
      <c r="AR19" s="54">
        <v>917</v>
      </c>
      <c r="AS19" s="42"/>
      <c r="AT19" s="40"/>
      <c r="AU19" s="42"/>
      <c r="AV19" s="28"/>
      <c r="AW19" s="28"/>
      <c r="AX19" s="28"/>
      <c r="AY19" s="40"/>
      <c r="AZ19" s="28"/>
      <c r="BA19" s="28"/>
      <c r="BB19" s="41" t="s">
        <v>657</v>
      </c>
      <c r="BC19" s="70">
        <v>0</v>
      </c>
      <c r="BD19" s="71">
        <v>17</v>
      </c>
      <c r="BE19" s="42"/>
      <c r="BF19" s="28"/>
      <c r="BG19" s="40"/>
      <c r="BH19" s="42"/>
      <c r="BI19" s="40"/>
      <c r="BJ19" s="42"/>
      <c r="BK19" s="54" t="s">
        <v>530</v>
      </c>
      <c r="BL19" s="40"/>
    </row>
    <row r="20" spans="1:65" ht="15" thickBot="1" x14ac:dyDescent="0.35">
      <c r="A20" s="29" t="s">
        <v>250</v>
      </c>
      <c r="B20" s="29">
        <v>0</v>
      </c>
      <c r="C20" s="7">
        <v>0</v>
      </c>
      <c r="D20" s="8"/>
      <c r="E20" s="8"/>
      <c r="F20" s="8"/>
      <c r="G20" s="9"/>
      <c r="H20" s="8" t="s">
        <v>104</v>
      </c>
      <c r="I20" s="8"/>
      <c r="J20" s="7"/>
      <c r="K20" s="28"/>
      <c r="L20" s="12" t="s">
        <v>84</v>
      </c>
      <c r="M20" s="18">
        <f>SUM(M17:M19)</f>
        <v>0</v>
      </c>
      <c r="N20" s="18">
        <f>SUM(N17:N19)</f>
        <v>0</v>
      </c>
      <c r="O20" s="10">
        <v>0</v>
      </c>
      <c r="P20" s="18">
        <v>0</v>
      </c>
      <c r="Q20" s="11">
        <v>0</v>
      </c>
      <c r="R20" s="18">
        <v>0</v>
      </c>
      <c r="S20" s="18">
        <v>0</v>
      </c>
      <c r="T20" s="13"/>
      <c r="U20" s="27"/>
      <c r="V20" s="26"/>
      <c r="W20" s="28"/>
      <c r="AB20" s="44"/>
      <c r="AC20" s="18"/>
      <c r="AD20" s="18"/>
      <c r="AE20" s="10"/>
      <c r="AF20" s="18"/>
      <c r="AG20" s="11"/>
      <c r="AH20" s="10"/>
      <c r="AI20" s="11"/>
      <c r="AJ20" s="6"/>
      <c r="AK20" s="33" t="s">
        <v>6</v>
      </c>
      <c r="AL20" s="61" t="s">
        <v>6</v>
      </c>
      <c r="AM20" s="7"/>
      <c r="AP20" s="62" t="s">
        <v>6</v>
      </c>
      <c r="AQ20" s="43"/>
      <c r="AR20" s="43"/>
      <c r="AS20" s="47"/>
      <c r="AT20" s="49"/>
      <c r="AU20" s="47"/>
      <c r="AV20" s="48">
        <f>164/2</f>
        <v>82</v>
      </c>
      <c r="AW20" s="48" t="s">
        <v>73</v>
      </c>
      <c r="AX20" s="48"/>
      <c r="AY20" s="49">
        <f>SUM(AV20)</f>
        <v>82</v>
      </c>
      <c r="AZ20" s="28" t="s">
        <v>6</v>
      </c>
      <c r="BA20" s="28" t="s">
        <v>6</v>
      </c>
      <c r="BB20" s="68" t="s">
        <v>84</v>
      </c>
      <c r="BC20">
        <f>SUM(BC18:BC19)</f>
        <v>0</v>
      </c>
      <c r="BD20">
        <f>SUM(BD18:BD19)</f>
        <v>17</v>
      </c>
      <c r="BE20" s="47">
        <v>0</v>
      </c>
      <c r="BF20" s="27">
        <v>0</v>
      </c>
      <c r="BG20" s="49">
        <v>0</v>
      </c>
      <c r="BH20" s="75">
        <v>0</v>
      </c>
      <c r="BI20" s="49">
        <v>0</v>
      </c>
      <c r="BJ20" s="47">
        <v>1</v>
      </c>
      <c r="BK20" s="51" t="s">
        <v>73</v>
      </c>
      <c r="BL20" s="49">
        <f>SUM(BJ19:BJ20)</f>
        <v>1</v>
      </c>
    </row>
    <row r="21" spans="1:65" x14ac:dyDescent="0.3">
      <c r="A21" s="42" t="s">
        <v>105</v>
      </c>
      <c r="B21" s="42">
        <v>292</v>
      </c>
      <c r="C21" s="40">
        <v>469</v>
      </c>
      <c r="D21" s="28"/>
      <c r="E21" s="38" t="s">
        <v>60</v>
      </c>
      <c r="F21" s="28"/>
      <c r="G21" s="41"/>
      <c r="H21" s="67">
        <v>9</v>
      </c>
      <c r="I21" s="43" t="s">
        <v>106</v>
      </c>
      <c r="J21" s="40">
        <f>SUM(H21)</f>
        <v>9</v>
      </c>
      <c r="K21" s="28"/>
      <c r="L21" s="32"/>
      <c r="M21" s="33"/>
      <c r="N21" s="35"/>
      <c r="O21" s="34"/>
      <c r="P21" s="34"/>
      <c r="Q21" s="35"/>
      <c r="R21" s="33"/>
      <c r="S21" s="35"/>
      <c r="T21" s="6" t="s">
        <v>104</v>
      </c>
      <c r="U21" s="34"/>
      <c r="V21" s="35"/>
      <c r="W21" s="28"/>
      <c r="AB21" s="41" t="s">
        <v>6</v>
      </c>
      <c r="AC21" s="18"/>
      <c r="AD21" s="18"/>
      <c r="AE21" s="10">
        <v>0</v>
      </c>
      <c r="AF21" s="18">
        <v>0</v>
      </c>
      <c r="AG21" s="11">
        <v>0</v>
      </c>
      <c r="AH21" s="10"/>
      <c r="AI21" s="11"/>
      <c r="AJ21" s="10">
        <v>0</v>
      </c>
      <c r="AK21" s="10"/>
      <c r="AL21" s="37" t="s">
        <v>6</v>
      </c>
      <c r="AM21" s="11"/>
      <c r="AP21" s="10"/>
      <c r="AQ21" s="29"/>
      <c r="AR21" s="31"/>
      <c r="AS21" s="33"/>
      <c r="AT21" s="7"/>
      <c r="AU21" s="8"/>
      <c r="AV21" s="8"/>
      <c r="AW21" s="8"/>
      <c r="AX21" s="8"/>
      <c r="AY21" s="7"/>
      <c r="AZ21" s="28"/>
      <c r="BA21" s="28" t="s">
        <v>6</v>
      </c>
      <c r="BB21" s="33" t="s">
        <v>89</v>
      </c>
      <c r="BC21" s="78">
        <v>205</v>
      </c>
      <c r="BD21" s="79">
        <v>163</v>
      </c>
      <c r="BE21" s="34"/>
      <c r="BF21" s="8"/>
      <c r="BG21" s="35"/>
      <c r="BH21" s="80"/>
      <c r="BI21" s="34"/>
      <c r="BJ21" s="33"/>
      <c r="BK21" s="34" t="s">
        <v>91</v>
      </c>
      <c r="BL21" s="35"/>
    </row>
    <row r="22" spans="1:65" ht="15" thickBot="1" x14ac:dyDescent="0.35">
      <c r="A22" s="67" t="s">
        <v>84</v>
      </c>
      <c r="B22" s="47">
        <f>SUM(B20:B21)</f>
        <v>292</v>
      </c>
      <c r="C22" s="49">
        <f>SUM(C20:C21)</f>
        <v>469</v>
      </c>
      <c r="G22" s="46">
        <f>9*70</f>
        <v>630</v>
      </c>
      <c r="H22" s="48"/>
      <c r="I22" s="48"/>
      <c r="J22" s="49"/>
      <c r="K22" s="28"/>
      <c r="L22" s="69" t="s">
        <v>109</v>
      </c>
      <c r="M22" s="42">
        <v>1075</v>
      </c>
      <c r="N22" s="40">
        <v>0</v>
      </c>
      <c r="O22" s="28">
        <v>0</v>
      </c>
      <c r="P22" s="43">
        <v>0</v>
      </c>
      <c r="Q22" s="40">
        <v>0</v>
      </c>
      <c r="R22" s="42">
        <v>0</v>
      </c>
      <c r="S22" s="40">
        <v>0</v>
      </c>
      <c r="T22" s="28"/>
      <c r="U22" s="28"/>
      <c r="V22" s="40"/>
      <c r="W22" s="28"/>
      <c r="AA22" s="28"/>
      <c r="AB22" s="44"/>
      <c r="AC22" s="45"/>
      <c r="AD22" s="45"/>
      <c r="AE22" s="10">
        <v>0</v>
      </c>
      <c r="AF22" s="18">
        <v>0</v>
      </c>
      <c r="AG22" s="11">
        <v>0</v>
      </c>
      <c r="AH22" s="10"/>
      <c r="AI22" s="11"/>
      <c r="AJ22" s="67"/>
      <c r="AK22" s="42"/>
      <c r="AL22" s="54"/>
      <c r="AM22" s="40"/>
      <c r="AN22" s="28"/>
      <c r="AP22" s="36" t="s">
        <v>63</v>
      </c>
      <c r="AQ22" s="10">
        <v>66</v>
      </c>
      <c r="AR22" s="18">
        <v>128</v>
      </c>
      <c r="AS22" s="42"/>
      <c r="AT22" s="11"/>
      <c r="AU22" s="18"/>
      <c r="AV22" s="18" t="s">
        <v>110</v>
      </c>
      <c r="AW22" s="18" t="s">
        <v>111</v>
      </c>
      <c r="AX22" s="18" t="s">
        <v>112</v>
      </c>
      <c r="AY22" s="11"/>
      <c r="AZ22" s="45"/>
      <c r="BA22" s="28"/>
      <c r="BB22" s="52" t="s">
        <v>108</v>
      </c>
      <c r="BC22" s="42"/>
      <c r="BD22" s="40"/>
      <c r="BE22" s="28"/>
      <c r="BF22" s="28"/>
      <c r="BG22" s="40"/>
      <c r="BJ22" s="42"/>
      <c r="BK22" s="28"/>
      <c r="BL22" s="40"/>
    </row>
    <row r="23" spans="1:65" ht="15" thickBot="1" x14ac:dyDescent="0.35">
      <c r="A23" s="29" t="s">
        <v>108</v>
      </c>
      <c r="B23" s="29">
        <v>0</v>
      </c>
      <c r="C23" s="7">
        <v>0</v>
      </c>
      <c r="D23" s="8"/>
      <c r="E23" s="8">
        <v>1152</v>
      </c>
      <c r="F23" s="8"/>
      <c r="G23" s="50"/>
      <c r="H23" s="6" t="s">
        <v>104</v>
      </c>
      <c r="I23" s="31"/>
      <c r="J23" s="30"/>
      <c r="K23" s="28"/>
      <c r="L23" s="46"/>
      <c r="M23" s="47"/>
      <c r="N23" s="49"/>
      <c r="O23" s="48"/>
      <c r="P23" s="48"/>
      <c r="Q23" s="49"/>
      <c r="R23" s="72"/>
      <c r="S23" s="73"/>
      <c r="T23" s="48"/>
      <c r="U23" s="48"/>
      <c r="V23" s="49"/>
      <c r="W23" s="28"/>
      <c r="AA23" s="28"/>
      <c r="AB23" s="41"/>
      <c r="AE23" s="10">
        <v>0</v>
      </c>
      <c r="AF23" s="18">
        <v>0</v>
      </c>
      <c r="AG23" s="11">
        <v>0</v>
      </c>
      <c r="AH23" s="10"/>
      <c r="AI23" s="11"/>
      <c r="AJ23" s="47"/>
      <c r="AK23" s="72"/>
      <c r="AL23" s="74"/>
      <c r="AM23" s="49"/>
      <c r="AN23" s="28"/>
      <c r="AP23" s="10" t="s">
        <v>115</v>
      </c>
      <c r="AQ23" s="36">
        <v>32</v>
      </c>
      <c r="AR23" s="37">
        <v>32</v>
      </c>
      <c r="AS23" s="42"/>
      <c r="AT23" s="11"/>
      <c r="AU23" s="18"/>
      <c r="AV23" s="18"/>
      <c r="AW23" s="18"/>
      <c r="AX23" s="18"/>
      <c r="AY23" s="11"/>
      <c r="AZ23" s="28"/>
      <c r="BA23" s="28" t="s">
        <v>6</v>
      </c>
      <c r="BB23" s="67" t="s">
        <v>113</v>
      </c>
      <c r="BC23" s="42">
        <v>575</v>
      </c>
      <c r="BD23" s="40">
        <f>544+14</f>
        <v>558</v>
      </c>
      <c r="BE23" s="28"/>
      <c r="BF23" s="28"/>
      <c r="BG23" s="40"/>
      <c r="BH23" s="28"/>
      <c r="BI23" s="28"/>
      <c r="BJ23" s="67">
        <f>45+14</f>
        <v>59</v>
      </c>
      <c r="BK23" s="43" t="s">
        <v>73</v>
      </c>
      <c r="BL23" s="40"/>
    </row>
    <row r="24" spans="1:65" ht="15" thickBot="1" x14ac:dyDescent="0.35">
      <c r="A24" s="52" t="s">
        <v>109</v>
      </c>
      <c r="B24" s="36">
        <v>1303</v>
      </c>
      <c r="C24" s="11">
        <v>1488</v>
      </c>
      <c r="D24" s="45"/>
      <c r="E24" s="45">
        <v>0</v>
      </c>
      <c r="F24" s="45"/>
      <c r="G24" s="69"/>
      <c r="H24" s="45">
        <v>8</v>
      </c>
      <c r="I24" s="28" t="s">
        <v>114</v>
      </c>
      <c r="J24" s="40"/>
      <c r="K24" s="28"/>
      <c r="L24" s="50" t="s">
        <v>93</v>
      </c>
      <c r="M24" s="8">
        <v>0</v>
      </c>
      <c r="N24" s="8">
        <v>0</v>
      </c>
      <c r="O24" s="6"/>
      <c r="P24" s="8"/>
      <c r="Q24" s="7"/>
      <c r="R24" s="8">
        <v>0</v>
      </c>
      <c r="S24" s="8">
        <v>0</v>
      </c>
      <c r="T24" s="10" t="s">
        <v>116</v>
      </c>
      <c r="U24" s="8"/>
      <c r="V24" s="7"/>
      <c r="W24" s="28"/>
      <c r="AA24" s="28"/>
      <c r="AB24" s="33"/>
      <c r="AC24" s="6"/>
      <c r="AD24" s="7"/>
      <c r="AE24" s="8"/>
      <c r="AF24" s="8"/>
      <c r="AG24" s="8"/>
      <c r="AH24" s="6"/>
      <c r="AI24" s="7"/>
      <c r="AJ24" s="8"/>
      <c r="AK24" s="29"/>
      <c r="AL24" s="164" t="s">
        <v>117</v>
      </c>
      <c r="AM24" s="7"/>
      <c r="AN24" s="28"/>
      <c r="AP24" s="52" t="s">
        <v>72</v>
      </c>
      <c r="AQ24" s="52">
        <v>4</v>
      </c>
      <c r="AR24" s="54">
        <v>4</v>
      </c>
      <c r="AS24" s="42"/>
      <c r="AT24" s="40"/>
      <c r="AU24" s="28"/>
      <c r="AV24" s="28"/>
      <c r="AW24" s="28"/>
      <c r="AX24" s="28"/>
      <c r="AY24" s="40"/>
      <c r="AZ24" s="28"/>
      <c r="BA24" s="28"/>
      <c r="BB24" s="47" t="s">
        <v>84</v>
      </c>
      <c r="BC24" s="47">
        <f>SUM(BC21:BC23)</f>
        <v>780</v>
      </c>
      <c r="BD24" s="49">
        <f>SUM(BD21:BD23)</f>
        <v>721</v>
      </c>
      <c r="BE24" s="81">
        <v>0</v>
      </c>
      <c r="BF24" s="27">
        <v>0</v>
      </c>
      <c r="BG24" s="82">
        <f>+BG21</f>
        <v>0</v>
      </c>
      <c r="BH24" s="74">
        <v>0</v>
      </c>
      <c r="BI24" s="74">
        <v>0</v>
      </c>
      <c r="BJ24" s="47"/>
      <c r="BK24" s="51"/>
      <c r="BL24" s="49">
        <f>SUM(BJ23)</f>
        <v>59</v>
      </c>
    </row>
    <row r="25" spans="1:65" ht="15" thickBot="1" x14ac:dyDescent="0.35">
      <c r="A25" s="76" t="s">
        <v>84</v>
      </c>
      <c r="B25" s="42">
        <f>SUM(B23:B24)</f>
        <v>1303</v>
      </c>
      <c r="C25" s="40">
        <f>SUM(C23:C24)</f>
        <v>1488</v>
      </c>
      <c r="D25" s="28"/>
      <c r="E25" s="28">
        <f>SUM(E23:E24)</f>
        <v>1152</v>
      </c>
      <c r="F25" s="28"/>
      <c r="G25" s="46">
        <f>8*550</f>
        <v>4400</v>
      </c>
      <c r="H25" s="48"/>
      <c r="I25" s="48"/>
      <c r="J25" s="49">
        <f>SUM(H24)</f>
        <v>8</v>
      </c>
      <c r="K25" s="28"/>
      <c r="L25" s="12" t="s">
        <v>99</v>
      </c>
      <c r="M25" s="37">
        <v>44257</v>
      </c>
      <c r="N25" s="37">
        <v>15049</v>
      </c>
      <c r="O25" s="10"/>
      <c r="P25" s="18"/>
      <c r="Q25" s="11"/>
      <c r="R25" s="18">
        <v>4019</v>
      </c>
      <c r="S25" s="18">
        <v>203</v>
      </c>
      <c r="T25" s="10"/>
      <c r="U25" s="18"/>
      <c r="V25" s="11"/>
      <c r="W25" s="28"/>
      <c r="AA25" s="28"/>
      <c r="AB25" s="67"/>
      <c r="AC25" s="42"/>
      <c r="AD25" s="40"/>
      <c r="AE25" s="28"/>
      <c r="AF25" s="28"/>
      <c r="AG25" s="28"/>
      <c r="AH25" s="42"/>
      <c r="AI25" s="40"/>
      <c r="AJ25" s="28"/>
      <c r="AK25" s="42"/>
      <c r="AL25" s="54" t="s">
        <v>558</v>
      </c>
      <c r="AM25" s="40"/>
      <c r="AN25" s="28"/>
      <c r="AP25" s="36" t="s">
        <v>78</v>
      </c>
      <c r="AQ25" s="36">
        <v>37</v>
      </c>
      <c r="AR25" s="37">
        <v>48</v>
      </c>
      <c r="AS25" s="42"/>
      <c r="AT25" s="11"/>
      <c r="AU25" s="18"/>
      <c r="AV25" s="37"/>
      <c r="AW25" s="18"/>
      <c r="AX25" s="37"/>
      <c r="AY25" s="11"/>
      <c r="AZ25" s="28"/>
      <c r="BA25" s="28"/>
      <c r="BB25" s="52" t="s">
        <v>113</v>
      </c>
      <c r="BC25" s="42">
        <v>602</v>
      </c>
      <c r="BD25" s="85">
        <v>556</v>
      </c>
      <c r="BE25" s="37"/>
      <c r="BF25" s="18"/>
      <c r="BG25" s="54"/>
      <c r="BH25" s="52"/>
      <c r="BI25" s="40"/>
      <c r="BJ25" s="67"/>
      <c r="BK25" s="34" t="s">
        <v>130</v>
      </c>
      <c r="BL25" s="40"/>
    </row>
    <row r="26" spans="1:65" x14ac:dyDescent="0.3">
      <c r="A26" s="32" t="s">
        <v>93</v>
      </c>
      <c r="B26" s="33">
        <v>4200</v>
      </c>
      <c r="C26" s="35">
        <v>5144</v>
      </c>
      <c r="D26" s="33"/>
      <c r="E26" s="34"/>
      <c r="F26" s="34"/>
      <c r="G26" s="32">
        <v>6450</v>
      </c>
      <c r="H26" s="33" t="s">
        <v>118</v>
      </c>
      <c r="I26" s="34"/>
      <c r="J26" s="35"/>
      <c r="K26" s="28"/>
      <c r="L26" s="12" t="s">
        <v>120</v>
      </c>
      <c r="M26" s="37">
        <v>4551</v>
      </c>
      <c r="N26" s="37">
        <v>51291</v>
      </c>
      <c r="O26" s="10"/>
      <c r="P26" s="18"/>
      <c r="Q26" s="11"/>
      <c r="R26" s="18">
        <v>1002</v>
      </c>
      <c r="S26" s="18">
        <v>0</v>
      </c>
      <c r="T26" s="10"/>
      <c r="U26" s="18"/>
      <c r="V26" s="11"/>
      <c r="W26" s="28"/>
      <c r="AA26" s="28"/>
      <c r="AB26" s="36"/>
      <c r="AC26" s="10"/>
      <c r="AD26" s="11"/>
      <c r="AE26" s="18"/>
      <c r="AF26" s="18"/>
      <c r="AG26" s="18"/>
      <c r="AH26" s="10"/>
      <c r="AI26" s="11"/>
      <c r="AJ26" s="18"/>
      <c r="AK26" s="10"/>
      <c r="AL26" s="37" t="s">
        <v>302</v>
      </c>
      <c r="AM26" s="11"/>
      <c r="AN26" s="28"/>
      <c r="AP26" s="10" t="s">
        <v>122</v>
      </c>
      <c r="AQ26" s="36">
        <v>70</v>
      </c>
      <c r="AR26" s="37">
        <v>41</v>
      </c>
      <c r="AS26" s="42"/>
      <c r="AT26" s="11"/>
      <c r="AU26" s="18"/>
      <c r="AV26" s="18">
        <v>34</v>
      </c>
      <c r="AW26" s="18" t="s">
        <v>123</v>
      </c>
      <c r="AX26" s="18"/>
      <c r="AY26" s="11"/>
      <c r="AZ26" s="28"/>
      <c r="BA26" s="28"/>
      <c r="BB26" s="42" t="s">
        <v>475</v>
      </c>
      <c r="BC26" s="67">
        <v>0</v>
      </c>
      <c r="BD26" s="85">
        <v>0</v>
      </c>
      <c r="BE26" s="28"/>
      <c r="BF26" s="18"/>
      <c r="BG26" s="28"/>
      <c r="BH26" s="52"/>
      <c r="BI26" s="86"/>
      <c r="BJ26" s="52">
        <v>50</v>
      </c>
      <c r="BK26" s="43" t="s">
        <v>73</v>
      </c>
      <c r="BL26" s="40"/>
      <c r="BM26" t="s">
        <v>6</v>
      </c>
    </row>
    <row r="27" spans="1:65" ht="15" thickBot="1" x14ac:dyDescent="0.35">
      <c r="A27" s="41" t="s">
        <v>120</v>
      </c>
      <c r="B27" s="42">
        <v>3052</v>
      </c>
      <c r="C27" s="40">
        <v>3856</v>
      </c>
      <c r="D27" s="42"/>
      <c r="E27" s="28" t="s">
        <v>60</v>
      </c>
      <c r="F27" s="28"/>
      <c r="G27" s="41">
        <v>4560</v>
      </c>
      <c r="H27" s="42">
        <v>35</v>
      </c>
      <c r="I27" s="28" t="s">
        <v>101</v>
      </c>
      <c r="J27" s="40"/>
      <c r="K27" s="28"/>
      <c r="L27" s="12" t="s">
        <v>84</v>
      </c>
      <c r="M27" s="18">
        <f>SUM(M24:M26)</f>
        <v>48808</v>
      </c>
      <c r="N27" s="18">
        <f>SUM(N24:N26)</f>
        <v>66340</v>
      </c>
      <c r="O27" s="10">
        <v>0</v>
      </c>
      <c r="P27" s="18">
        <v>0</v>
      </c>
      <c r="Q27" s="11">
        <v>0</v>
      </c>
      <c r="R27" s="18">
        <f>SUM(R24:R26)</f>
        <v>5021</v>
      </c>
      <c r="S27" s="18">
        <f>SUM(S24:S26)</f>
        <v>203</v>
      </c>
      <c r="T27" s="10"/>
      <c r="U27" s="18"/>
      <c r="V27" s="11"/>
      <c r="W27" s="28"/>
      <c r="AA27" s="28"/>
      <c r="AB27" s="42"/>
      <c r="AC27" s="42"/>
      <c r="AD27" s="40"/>
      <c r="AE27" s="28"/>
      <c r="AF27" s="28"/>
      <c r="AG27" s="28"/>
      <c r="AH27" s="42"/>
      <c r="AI27" s="40"/>
      <c r="AJ27" s="28"/>
      <c r="AK27" s="42">
        <v>7</v>
      </c>
      <c r="AL27" s="28" t="s">
        <v>124</v>
      </c>
      <c r="AM27" s="40"/>
      <c r="AN27" s="28"/>
      <c r="AP27" s="10" t="s">
        <v>125</v>
      </c>
      <c r="AQ27" s="36">
        <v>0</v>
      </c>
      <c r="AR27" s="37">
        <v>0</v>
      </c>
      <c r="AS27" s="42"/>
      <c r="AT27" s="11"/>
      <c r="AU27" s="18"/>
      <c r="AV27" s="18">
        <v>42</v>
      </c>
      <c r="AW27" s="18" t="s">
        <v>126</v>
      </c>
      <c r="AX27" s="18"/>
      <c r="AY27" s="11"/>
      <c r="AZ27" s="28"/>
      <c r="BA27" s="28"/>
      <c r="BB27" s="59" t="s">
        <v>84</v>
      </c>
      <c r="BC27" s="13">
        <f>SUM(BC25:BC26)</f>
        <v>602</v>
      </c>
      <c r="BD27" s="60">
        <f>SUM(BD25:BD26)</f>
        <v>556</v>
      </c>
      <c r="BE27" s="81">
        <v>0</v>
      </c>
      <c r="BF27" s="27">
        <v>0</v>
      </c>
      <c r="BG27" s="27">
        <v>0</v>
      </c>
      <c r="BH27" s="13">
        <v>0</v>
      </c>
      <c r="BI27" s="26">
        <v>0</v>
      </c>
      <c r="BJ27" s="13"/>
      <c r="BK27" s="43"/>
      <c r="BL27" s="26">
        <f>SUM(BJ25:BJ26)</f>
        <v>50</v>
      </c>
    </row>
    <row r="28" spans="1:65" ht="15" thickBot="1" x14ac:dyDescent="0.35">
      <c r="A28" s="46" t="s">
        <v>84</v>
      </c>
      <c r="B28" s="47">
        <f>SUM(B26:B27)</f>
        <v>7252</v>
      </c>
      <c r="C28" s="49">
        <f>SUM(C26:C27)</f>
        <v>9000</v>
      </c>
      <c r="D28" s="47"/>
      <c r="E28" s="48"/>
      <c r="F28" s="48"/>
      <c r="G28" s="46">
        <f>SUM(G26:G27)</f>
        <v>11010</v>
      </c>
      <c r="H28" s="47">
        <v>54</v>
      </c>
      <c r="I28" s="48" t="s">
        <v>127</v>
      </c>
      <c r="J28" s="49">
        <f>SUM(H27:H28)</f>
        <v>89</v>
      </c>
      <c r="K28" s="28"/>
      <c r="L28" s="17"/>
      <c r="M28" s="27"/>
      <c r="N28" s="27"/>
      <c r="O28" s="13"/>
      <c r="P28" s="27"/>
      <c r="Q28" s="26"/>
      <c r="R28" s="27"/>
      <c r="S28" s="27"/>
      <c r="T28" s="13"/>
      <c r="U28" s="27"/>
      <c r="V28" s="26"/>
      <c r="W28" s="28"/>
      <c r="AA28" s="28"/>
      <c r="AB28" s="47"/>
      <c r="AC28" s="47"/>
      <c r="AD28" s="49"/>
      <c r="AE28" s="48"/>
      <c r="AF28" s="48"/>
      <c r="AG28" s="48"/>
      <c r="AH28" s="47"/>
      <c r="AI28" s="49"/>
      <c r="AJ28" s="48"/>
      <c r="AK28" s="165"/>
      <c r="AL28" s="48"/>
      <c r="AM28" s="49"/>
      <c r="AN28" s="28"/>
      <c r="AP28" s="84" t="s">
        <v>128</v>
      </c>
      <c r="AQ28" s="52">
        <v>0</v>
      </c>
      <c r="AR28" s="37">
        <v>0</v>
      </c>
      <c r="AS28" s="42"/>
      <c r="AT28" s="40"/>
      <c r="AU28" s="28"/>
      <c r="AV28" s="28">
        <v>10</v>
      </c>
      <c r="AW28" s="28" t="s">
        <v>129</v>
      </c>
      <c r="AX28" s="28"/>
      <c r="AY28" s="40"/>
      <c r="BA28" s="28"/>
      <c r="BB28" s="88" t="s">
        <v>164</v>
      </c>
      <c r="BC28" s="33">
        <v>1</v>
      </c>
      <c r="BD28" s="34">
        <v>4</v>
      </c>
      <c r="BE28" s="152"/>
      <c r="BF28" s="89"/>
      <c r="BG28" s="66"/>
      <c r="BH28" s="8"/>
      <c r="BI28" s="35"/>
      <c r="BJ28" s="34" t="s">
        <v>140</v>
      </c>
      <c r="BK28" s="34"/>
      <c r="BL28" s="35"/>
    </row>
    <row r="29" spans="1:65" x14ac:dyDescent="0.3">
      <c r="A29" s="41" t="s">
        <v>88</v>
      </c>
      <c r="B29" s="42">
        <v>295</v>
      </c>
      <c r="C29" s="40">
        <v>458</v>
      </c>
      <c r="D29" s="28"/>
      <c r="E29" s="45">
        <v>0</v>
      </c>
      <c r="F29" s="40"/>
      <c r="G29" s="40"/>
      <c r="H29" s="28" t="s">
        <v>131</v>
      </c>
      <c r="J29" s="40"/>
      <c r="K29" s="28"/>
      <c r="L29" s="12" t="s">
        <v>105</v>
      </c>
      <c r="M29" s="34">
        <v>5394</v>
      </c>
      <c r="N29" s="34">
        <v>660</v>
      </c>
      <c r="O29" s="33" t="s">
        <v>6</v>
      </c>
      <c r="P29" s="34"/>
      <c r="Q29" s="35"/>
      <c r="R29" s="34">
        <v>79</v>
      </c>
      <c r="S29" s="34">
        <v>0</v>
      </c>
      <c r="T29" s="33"/>
      <c r="U29" s="34"/>
      <c r="V29" s="35"/>
      <c r="W29" s="28"/>
      <c r="AA29" s="28"/>
      <c r="AB29" s="32" t="s">
        <v>97</v>
      </c>
      <c r="AC29" s="28">
        <v>50</v>
      </c>
      <c r="AD29" s="28">
        <v>39</v>
      </c>
      <c r="AE29" s="33"/>
      <c r="AF29" s="34"/>
      <c r="AG29" s="34"/>
      <c r="AH29" s="33"/>
      <c r="AI29" s="35"/>
      <c r="AJ29" s="35"/>
      <c r="AK29" s="33"/>
      <c r="AL29" s="34"/>
      <c r="AM29" s="35"/>
      <c r="AN29" s="28"/>
      <c r="AP29" s="84" t="s">
        <v>132</v>
      </c>
      <c r="AQ29" s="42">
        <v>0</v>
      </c>
      <c r="AR29" s="37">
        <v>0</v>
      </c>
      <c r="AS29" s="42"/>
      <c r="AT29" s="40"/>
      <c r="AU29" s="28"/>
      <c r="AV29" s="28"/>
      <c r="AW29" s="28"/>
      <c r="AX29" s="28"/>
      <c r="AY29" s="40"/>
      <c r="AZ29" s="28"/>
      <c r="BA29" s="28"/>
      <c r="BB29" s="42" t="s">
        <v>658</v>
      </c>
      <c r="BC29" s="42">
        <v>0</v>
      </c>
      <c r="BD29" s="43">
        <v>3</v>
      </c>
      <c r="BE29" s="42"/>
      <c r="BF29" s="28"/>
      <c r="BG29" s="40"/>
      <c r="BH29" s="28"/>
      <c r="BI29" s="40"/>
      <c r="BJ29" s="28"/>
      <c r="BK29" s="28"/>
      <c r="BL29" s="40"/>
    </row>
    <row r="30" spans="1:65" x14ac:dyDescent="0.3">
      <c r="A30" s="41" t="s">
        <v>102</v>
      </c>
      <c r="B30" s="42">
        <v>272</v>
      </c>
      <c r="C30" s="85">
        <v>720</v>
      </c>
      <c r="D30" s="28"/>
      <c r="E30" s="45">
        <v>0</v>
      </c>
      <c r="F30" s="40"/>
      <c r="G30" s="40"/>
      <c r="H30" s="43">
        <v>9</v>
      </c>
      <c r="I30" s="28" t="s">
        <v>134</v>
      </c>
      <c r="J30" s="40"/>
      <c r="K30" s="28"/>
      <c r="L30" s="44" t="s">
        <v>99</v>
      </c>
      <c r="M30" s="18">
        <v>42</v>
      </c>
      <c r="N30" s="18">
        <v>0</v>
      </c>
      <c r="O30" s="10"/>
      <c r="P30" s="18"/>
      <c r="Q30" s="11"/>
      <c r="R30" s="18">
        <v>0</v>
      </c>
      <c r="S30" s="18">
        <v>0</v>
      </c>
      <c r="T30" s="10" t="s">
        <v>135</v>
      </c>
      <c r="U30" s="18"/>
      <c r="V30" s="11"/>
      <c r="W30" s="28"/>
      <c r="AA30" s="28"/>
      <c r="AB30" s="41" t="s">
        <v>89</v>
      </c>
      <c r="AC30" s="28">
        <v>355</v>
      </c>
      <c r="AD30" s="28">
        <v>266</v>
      </c>
      <c r="AE30" s="42"/>
      <c r="AF30" s="28"/>
      <c r="AG30" s="28"/>
      <c r="AH30" s="42"/>
      <c r="AI30" s="40"/>
      <c r="AJ30" s="40"/>
      <c r="AK30" s="42" t="s">
        <v>136</v>
      </c>
      <c r="AL30" s="28"/>
      <c r="AM30" s="40"/>
      <c r="AN30" s="28"/>
      <c r="AP30" s="84" t="s">
        <v>81</v>
      </c>
      <c r="AQ30" s="42">
        <v>41</v>
      </c>
      <c r="AR30" s="37">
        <v>18</v>
      </c>
      <c r="AS30" s="42"/>
      <c r="AT30" s="40"/>
      <c r="AU30" s="28"/>
      <c r="AV30" s="28"/>
      <c r="AW30" s="28"/>
      <c r="AX30" s="28"/>
      <c r="AY30" s="40"/>
      <c r="AZ30" s="28"/>
      <c r="BA30" s="28"/>
      <c r="BB30" s="153" t="s">
        <v>108</v>
      </c>
      <c r="BC30" s="42">
        <v>0</v>
      </c>
      <c r="BD30" s="43">
        <v>2</v>
      </c>
      <c r="BE30" s="42"/>
      <c r="BF30" s="28"/>
      <c r="BG30" s="40"/>
      <c r="BH30" s="28"/>
      <c r="BI30" s="40"/>
      <c r="BJ30" s="28"/>
      <c r="BK30" s="28"/>
      <c r="BL30" s="40"/>
    </row>
    <row r="31" spans="1:65" ht="15" thickBot="1" x14ac:dyDescent="0.35">
      <c r="A31" s="87" t="s">
        <v>84</v>
      </c>
      <c r="B31" s="59">
        <f>SUM(B29:B30)</f>
        <v>567</v>
      </c>
      <c r="C31" s="26">
        <f>SUM(C29:C30)</f>
        <v>1178</v>
      </c>
      <c r="D31" s="27"/>
      <c r="E31" s="16">
        <f>SUM(E27:E30)</f>
        <v>0</v>
      </c>
      <c r="F31" s="26"/>
      <c r="G31" s="49">
        <f>152*9</f>
        <v>1368</v>
      </c>
      <c r="H31" s="48"/>
      <c r="I31" s="48"/>
      <c r="J31" s="49">
        <f>SUM(H29:H30)</f>
        <v>9</v>
      </c>
      <c r="K31" s="28"/>
      <c r="L31" s="12"/>
      <c r="M31" s="18"/>
      <c r="N31" s="18"/>
      <c r="O31" s="10"/>
      <c r="P31" s="18"/>
      <c r="Q31" s="11"/>
      <c r="R31" s="18"/>
      <c r="S31" s="18"/>
      <c r="T31" s="10"/>
      <c r="U31" s="18"/>
      <c r="V31" s="11"/>
      <c r="W31" s="28"/>
      <c r="AA31" s="28"/>
      <c r="AB31" s="44" t="s">
        <v>137</v>
      </c>
      <c r="AC31" s="18">
        <v>226</v>
      </c>
      <c r="AD31" s="18">
        <v>180</v>
      </c>
      <c r="AE31" s="10"/>
      <c r="AF31" s="18"/>
      <c r="AG31" s="18"/>
      <c r="AH31" s="52"/>
      <c r="AI31" s="85"/>
      <c r="AJ31" s="40"/>
      <c r="AK31" s="84"/>
      <c r="AL31" s="37"/>
      <c r="AM31" s="40"/>
      <c r="AN31" s="28"/>
      <c r="AP31" s="10" t="s">
        <v>138</v>
      </c>
      <c r="AQ31" s="36">
        <v>2</v>
      </c>
      <c r="AR31" s="37">
        <v>2</v>
      </c>
      <c r="AS31" s="42"/>
      <c r="AT31" s="11"/>
      <c r="AU31" s="18"/>
      <c r="AV31" s="18"/>
      <c r="AW31" s="18"/>
      <c r="AX31" s="18"/>
      <c r="AY31" s="11"/>
      <c r="AZ31" s="28"/>
      <c r="BA31" s="28"/>
      <c r="BB31" s="92" t="s">
        <v>113</v>
      </c>
      <c r="BC31" s="67">
        <f>1+7+1+1+64+16+3+3+4+4+2</f>
        <v>106</v>
      </c>
      <c r="BD31" s="43">
        <f>3+3+53+15+3+4+2+3+1</f>
        <v>87</v>
      </c>
      <c r="BE31" s="52"/>
      <c r="BF31" s="54"/>
      <c r="BG31" s="85"/>
      <c r="BH31" s="18"/>
      <c r="BI31" s="40"/>
      <c r="BJ31" s="18" t="s">
        <v>142</v>
      </c>
      <c r="BK31" s="18"/>
      <c r="BL31" s="39" t="s">
        <v>620</v>
      </c>
    </row>
    <row r="32" spans="1:65" x14ac:dyDescent="0.3">
      <c r="A32" s="36" t="s">
        <v>93</v>
      </c>
      <c r="B32" s="42">
        <v>5816</v>
      </c>
      <c r="C32" s="90">
        <v>7209</v>
      </c>
      <c r="D32" s="3"/>
      <c r="E32" s="91" t="s">
        <v>60</v>
      </c>
      <c r="F32" s="18"/>
      <c r="G32" s="44">
        <v>9172</v>
      </c>
      <c r="H32" s="10" t="s">
        <v>116</v>
      </c>
      <c r="I32" s="18"/>
      <c r="J32" s="11"/>
      <c r="K32" s="28"/>
      <c r="L32" s="12" t="s">
        <v>84</v>
      </c>
      <c r="M32" s="18">
        <f>SUM(M29:M31)</f>
        <v>5436</v>
      </c>
      <c r="N32" s="18">
        <f>SUM(N29:N31)</f>
        <v>660</v>
      </c>
      <c r="O32" s="10">
        <v>0</v>
      </c>
      <c r="P32" s="18">
        <v>0</v>
      </c>
      <c r="Q32" s="11">
        <v>0</v>
      </c>
      <c r="R32" s="18">
        <f>SUM(R29:R31)</f>
        <v>79</v>
      </c>
      <c r="S32" s="18">
        <f>SUM(S29:S31)</f>
        <v>0</v>
      </c>
      <c r="T32" s="10"/>
      <c r="U32" s="18"/>
      <c r="V32" s="11"/>
      <c r="W32" s="28"/>
      <c r="AA32" s="28"/>
      <c r="AB32" s="41" t="s">
        <v>84</v>
      </c>
      <c r="AC32" s="28">
        <f>SUM(AC29:AC31)</f>
        <v>631</v>
      </c>
      <c r="AD32" s="28">
        <f>SUM(AD29:AD31)</f>
        <v>485</v>
      </c>
      <c r="AE32" s="42">
        <v>0</v>
      </c>
      <c r="AF32" s="28">
        <v>0</v>
      </c>
      <c r="AG32" s="28">
        <v>0</v>
      </c>
      <c r="AH32" s="42">
        <v>0</v>
      </c>
      <c r="AI32" s="40">
        <v>0</v>
      </c>
      <c r="AJ32" s="40">
        <v>0</v>
      </c>
      <c r="AK32" s="67">
        <v>15</v>
      </c>
      <c r="AL32" s="28" t="s">
        <v>141</v>
      </c>
      <c r="AM32" s="40"/>
      <c r="AN32" s="28"/>
      <c r="AP32" s="84" t="s">
        <v>56</v>
      </c>
      <c r="AQ32" s="42">
        <v>0</v>
      </c>
      <c r="AR32" s="54">
        <v>0</v>
      </c>
      <c r="AS32" s="42"/>
      <c r="AT32" s="40"/>
      <c r="AU32" s="28"/>
      <c r="AV32" s="28"/>
      <c r="AW32" s="28"/>
      <c r="AX32" s="28"/>
      <c r="AY32" s="40"/>
      <c r="AZ32" s="28"/>
      <c r="BA32" s="28"/>
      <c r="BB32" s="42" t="s">
        <v>214</v>
      </c>
      <c r="BC32" s="67">
        <v>0</v>
      </c>
      <c r="BD32" s="43">
        <v>0</v>
      </c>
      <c r="BE32" s="52"/>
      <c r="BF32" s="54"/>
      <c r="BG32" s="85"/>
      <c r="BH32" s="18"/>
      <c r="BI32" s="40"/>
      <c r="BJ32" s="154" t="s">
        <v>146</v>
      </c>
      <c r="BK32" s="28"/>
      <c r="BL32" s="94" t="s">
        <v>659</v>
      </c>
    </row>
    <row r="33" spans="1:64" ht="15" thickBot="1" x14ac:dyDescent="0.35">
      <c r="A33" s="10" t="s">
        <v>99</v>
      </c>
      <c r="B33" s="42">
        <v>14104</v>
      </c>
      <c r="C33" s="40">
        <v>16231</v>
      </c>
      <c r="D33" s="3"/>
      <c r="E33" s="91" t="s">
        <v>60</v>
      </c>
      <c r="F33" s="18"/>
      <c r="G33" s="12">
        <v>20160</v>
      </c>
      <c r="H33" s="10">
        <v>66</v>
      </c>
      <c r="I33" s="37" t="s">
        <v>144</v>
      </c>
      <c r="J33" s="11"/>
      <c r="K33" s="28"/>
      <c r="L33" s="12"/>
      <c r="M33" s="18"/>
      <c r="N33" s="18"/>
      <c r="O33" s="10"/>
      <c r="P33" s="18"/>
      <c r="Q33" s="11"/>
      <c r="R33" s="18"/>
      <c r="S33" s="18"/>
      <c r="T33" s="10"/>
      <c r="U33" s="18"/>
      <c r="V33" s="11"/>
      <c r="W33" s="28"/>
      <c r="AA33" s="28"/>
      <c r="AB33" s="46"/>
      <c r="AC33" s="48"/>
      <c r="AD33" s="48"/>
      <c r="AE33" s="47"/>
      <c r="AF33" s="48"/>
      <c r="AG33" s="48"/>
      <c r="AH33" s="47"/>
      <c r="AI33" s="49"/>
      <c r="AJ33" s="49"/>
      <c r="AK33" s="47">
        <v>1</v>
      </c>
      <c r="AL33" s="48" t="s">
        <v>145</v>
      </c>
      <c r="AM33" s="49"/>
      <c r="AN33" s="28"/>
      <c r="AP33" s="36" t="s">
        <v>67</v>
      </c>
      <c r="AQ33" s="10">
        <v>17</v>
      </c>
      <c r="AR33" s="18">
        <v>24</v>
      </c>
      <c r="AS33" s="42"/>
      <c r="AT33" s="11"/>
      <c r="AU33" s="18"/>
      <c r="AV33" s="18"/>
      <c r="AW33" s="18"/>
      <c r="AX33" s="18"/>
      <c r="AY33" s="11"/>
      <c r="AZ33" s="28"/>
      <c r="BA33" s="28" t="s">
        <v>6</v>
      </c>
      <c r="BB33" s="127" t="s">
        <v>200</v>
      </c>
      <c r="BC33" s="67">
        <v>0</v>
      </c>
      <c r="BD33" s="43">
        <v>1</v>
      </c>
      <c r="BE33" s="42"/>
      <c r="BF33" s="28"/>
      <c r="BG33" s="40"/>
      <c r="BH33" s="28"/>
      <c r="BI33" s="40"/>
      <c r="BJ33" s="28"/>
      <c r="BK33" s="28"/>
      <c r="BL33" s="40"/>
    </row>
    <row r="34" spans="1:64" ht="15" thickBot="1" x14ac:dyDescent="0.35">
      <c r="A34" s="10" t="s">
        <v>120</v>
      </c>
      <c r="B34" s="42">
        <v>5133</v>
      </c>
      <c r="C34" s="40">
        <v>5662</v>
      </c>
      <c r="D34" s="3"/>
      <c r="E34" s="91" t="s">
        <v>60</v>
      </c>
      <c r="F34" s="18"/>
      <c r="G34" s="12">
        <v>6494</v>
      </c>
      <c r="H34" s="84">
        <v>82</v>
      </c>
      <c r="I34" s="37" t="s">
        <v>148</v>
      </c>
      <c r="J34" s="11"/>
      <c r="K34" s="28"/>
      <c r="L34" s="12"/>
      <c r="M34" s="18"/>
      <c r="N34" s="18"/>
      <c r="O34" s="10"/>
      <c r="P34" s="18"/>
      <c r="Q34" s="11"/>
      <c r="R34" s="18"/>
      <c r="S34" s="18"/>
      <c r="T34" s="10"/>
      <c r="U34" s="18"/>
      <c r="V34" s="11"/>
      <c r="W34" s="28"/>
      <c r="AA34" s="28"/>
      <c r="AB34" s="42"/>
      <c r="AC34" s="42"/>
      <c r="AD34" s="40"/>
      <c r="AE34" s="28"/>
      <c r="AF34" s="28"/>
      <c r="AG34" s="28"/>
      <c r="AH34" s="42"/>
      <c r="AI34" s="28"/>
      <c r="AJ34" s="41"/>
      <c r="AK34" s="28" t="s">
        <v>149</v>
      </c>
      <c r="AL34" s="28"/>
      <c r="AM34" s="40"/>
      <c r="AN34" s="28" t="s">
        <v>6</v>
      </c>
      <c r="AO34" s="95"/>
      <c r="AP34" s="13" t="s">
        <v>84</v>
      </c>
      <c r="AQ34" s="13">
        <f>SUM(AQ22:AQ33)</f>
        <v>269</v>
      </c>
      <c r="AR34" s="27">
        <f>SUM(AR22:AR33)</f>
        <v>297</v>
      </c>
      <c r="AS34" s="47"/>
      <c r="AT34" s="26">
        <f>SUM(AT26:AT33)</f>
        <v>0</v>
      </c>
      <c r="AU34" s="27"/>
      <c r="AV34" s="27"/>
      <c r="AW34" s="27"/>
      <c r="AX34" s="27"/>
      <c r="AY34" s="26">
        <f>SUM(AV26:AV28)</f>
        <v>86</v>
      </c>
      <c r="AZ34" s="28"/>
      <c r="BA34" s="28"/>
      <c r="BB34" s="52" t="s">
        <v>133</v>
      </c>
      <c r="BC34" s="67">
        <f>35+5+4</f>
        <v>44</v>
      </c>
      <c r="BD34" s="43">
        <f>21+4</f>
        <v>25</v>
      </c>
      <c r="BE34" s="52" t="s">
        <v>150</v>
      </c>
      <c r="BF34" s="54"/>
      <c r="BG34" s="85"/>
      <c r="BH34" s="18"/>
      <c r="BI34" s="40"/>
      <c r="BJ34" s="28" t="s">
        <v>151</v>
      </c>
      <c r="BK34" s="28"/>
      <c r="BL34" s="96"/>
    </row>
    <row r="35" spans="1:64" ht="15" thickBot="1" x14ac:dyDescent="0.35">
      <c r="A35" s="10" t="s">
        <v>84</v>
      </c>
      <c r="B35" s="42">
        <f>SUM(B32:B34)</f>
        <v>25053</v>
      </c>
      <c r="C35" s="40">
        <f>SUM(C32:C34)</f>
        <v>29102</v>
      </c>
      <c r="D35" s="3"/>
      <c r="E35" s="91" t="s">
        <v>60</v>
      </c>
      <c r="F35" s="18"/>
      <c r="G35" s="12">
        <f>SUM(G32:G34)</f>
        <v>35826</v>
      </c>
      <c r="H35" s="42">
        <v>39</v>
      </c>
      <c r="I35" s="54" t="s">
        <v>152</v>
      </c>
      <c r="J35" s="40"/>
      <c r="K35" s="28"/>
      <c r="L35" s="44"/>
      <c r="M35" s="18"/>
      <c r="N35" s="18"/>
      <c r="O35" s="10"/>
      <c r="P35" s="18"/>
      <c r="Q35" s="11"/>
      <c r="R35" s="18"/>
      <c r="S35" s="18"/>
      <c r="T35" s="10"/>
      <c r="U35" s="18"/>
      <c r="V35" s="11"/>
      <c r="W35" s="28"/>
      <c r="Y35" t="s">
        <v>6</v>
      </c>
      <c r="AB35" s="36" t="s">
        <v>99</v>
      </c>
      <c r="AC35" s="10">
        <v>0</v>
      </c>
      <c r="AD35" s="11">
        <v>0</v>
      </c>
      <c r="AE35" s="18">
        <v>0</v>
      </c>
      <c r="AF35" s="18">
        <v>0</v>
      </c>
      <c r="AG35" s="18">
        <v>0</v>
      </c>
      <c r="AH35" s="52">
        <v>60330</v>
      </c>
      <c r="AI35" s="45">
        <v>6246</v>
      </c>
      <c r="AJ35" s="41">
        <v>0</v>
      </c>
      <c r="AK35" s="45">
        <v>4</v>
      </c>
      <c r="AL35" s="37" t="s">
        <v>153</v>
      </c>
      <c r="AM35" s="40"/>
      <c r="AP35" s="32"/>
      <c r="AQ35" s="53"/>
      <c r="AR35" s="97"/>
      <c r="AS35" s="33"/>
      <c r="AT35" s="7"/>
      <c r="AU35" s="6"/>
      <c r="AV35" s="8"/>
      <c r="AW35" s="31"/>
      <c r="AX35" s="8"/>
      <c r="AY35" s="7"/>
      <c r="AZ35" s="28"/>
      <c r="BA35" s="28"/>
      <c r="BB35" s="52" t="s">
        <v>85</v>
      </c>
      <c r="BC35" s="42">
        <v>0</v>
      </c>
      <c r="BD35" s="43">
        <v>3</v>
      </c>
      <c r="BE35" s="42"/>
      <c r="BF35" s="54"/>
      <c r="BG35" s="40"/>
      <c r="BH35" s="45"/>
      <c r="BI35" s="56"/>
      <c r="BJ35" s="43" t="s">
        <v>273</v>
      </c>
      <c r="BK35" s="28" t="s">
        <v>660</v>
      </c>
      <c r="BL35" s="40" t="s">
        <v>661</v>
      </c>
    </row>
    <row r="36" spans="1:64" ht="16.2" thickBot="1" x14ac:dyDescent="0.35">
      <c r="A36" s="13"/>
      <c r="B36" s="47"/>
      <c r="C36" s="49"/>
      <c r="D36" s="27"/>
      <c r="E36" s="27"/>
      <c r="F36" s="27"/>
      <c r="G36" s="17"/>
      <c r="H36" s="47"/>
      <c r="I36" s="27"/>
      <c r="J36" s="60">
        <f>SUM(H33:H35)</f>
        <v>187</v>
      </c>
      <c r="K36" s="28"/>
      <c r="L36" s="12"/>
      <c r="M36" s="18"/>
      <c r="N36" s="18"/>
      <c r="O36" s="10"/>
      <c r="P36" s="18"/>
      <c r="Q36" s="11"/>
      <c r="R36" s="18"/>
      <c r="S36" s="18"/>
      <c r="T36" s="10"/>
      <c r="U36" s="18"/>
      <c r="V36" s="11"/>
      <c r="W36" s="28"/>
      <c r="AB36" s="32"/>
      <c r="AC36" s="6"/>
      <c r="AD36" s="7"/>
      <c r="AE36" s="8"/>
      <c r="AF36" s="8"/>
      <c r="AG36" s="8"/>
      <c r="AH36" s="6"/>
      <c r="AI36" s="7"/>
      <c r="AJ36" s="8"/>
      <c r="AK36" s="29" t="s">
        <v>157</v>
      </c>
      <c r="AL36" s="8"/>
      <c r="AM36" s="7"/>
      <c r="AP36" s="62"/>
      <c r="AQ36" s="72"/>
      <c r="AR36" s="73"/>
      <c r="AS36" s="47"/>
      <c r="AT36" s="49"/>
      <c r="AU36" s="47"/>
      <c r="AV36" s="48"/>
      <c r="AW36" s="48"/>
      <c r="AX36" s="48"/>
      <c r="AY36" s="49"/>
      <c r="AZ36" s="28"/>
      <c r="BA36" s="28"/>
      <c r="BB36" s="151" t="s">
        <v>624</v>
      </c>
      <c r="BC36" s="36">
        <v>0</v>
      </c>
      <c r="BD36" s="37">
        <v>0</v>
      </c>
      <c r="BE36" s="10"/>
      <c r="BF36" s="18"/>
      <c r="BG36" s="11"/>
      <c r="BH36" s="18"/>
      <c r="BI36" s="11"/>
      <c r="BJ36" s="155" t="s">
        <v>623</v>
      </c>
      <c r="BK36" s="28" t="s">
        <v>662</v>
      </c>
      <c r="BL36" s="99" t="s">
        <v>663</v>
      </c>
    </row>
    <row r="37" spans="1:64" ht="16.2" thickBot="1" x14ac:dyDescent="0.35">
      <c r="A37" s="6" t="s">
        <v>105</v>
      </c>
      <c r="B37" s="6">
        <v>1169</v>
      </c>
      <c r="C37" s="7">
        <v>2080</v>
      </c>
      <c r="D37" s="8"/>
      <c r="E37" s="80">
        <v>636</v>
      </c>
      <c r="F37" s="66"/>
      <c r="G37" s="8"/>
      <c r="H37" s="6" t="s">
        <v>162</v>
      </c>
      <c r="I37" s="8"/>
      <c r="J37" s="7"/>
      <c r="K37" s="28"/>
      <c r="L37" s="17"/>
      <c r="M37" s="27"/>
      <c r="N37" s="27"/>
      <c r="O37" s="13"/>
      <c r="P37" s="27"/>
      <c r="Q37" s="26"/>
      <c r="R37" s="27"/>
      <c r="S37" s="27"/>
      <c r="T37" s="13"/>
      <c r="U37" s="27"/>
      <c r="V37" s="26"/>
      <c r="W37" s="28"/>
      <c r="AB37" s="68" t="s">
        <v>99</v>
      </c>
      <c r="AC37" s="42">
        <v>0</v>
      </c>
      <c r="AD37" s="40">
        <v>0</v>
      </c>
      <c r="AE37">
        <v>0</v>
      </c>
      <c r="AF37">
        <v>0</v>
      </c>
      <c r="AG37">
        <v>0</v>
      </c>
      <c r="AH37" s="42">
        <v>127189</v>
      </c>
      <c r="AI37" s="40">
        <v>32378</v>
      </c>
      <c r="AJ37" s="43">
        <v>0</v>
      </c>
      <c r="AK37" s="42">
        <v>4</v>
      </c>
      <c r="AL37" s="54" t="s">
        <v>163</v>
      </c>
      <c r="AM37" s="40"/>
      <c r="AP37" s="67" t="s">
        <v>63</v>
      </c>
      <c r="AQ37" s="33">
        <v>2</v>
      </c>
      <c r="AR37" s="35">
        <v>2</v>
      </c>
      <c r="AU37" s="33"/>
      <c r="AV37" s="34"/>
      <c r="AW37" s="34"/>
      <c r="AX37" s="34"/>
      <c r="AY37" s="35"/>
      <c r="AZ37" s="28"/>
      <c r="BA37" s="28"/>
      <c r="BB37" s="42" t="s">
        <v>88</v>
      </c>
      <c r="BC37" s="42">
        <v>0</v>
      </c>
      <c r="BD37" s="54">
        <v>2</v>
      </c>
      <c r="BE37" s="10"/>
      <c r="BF37" s="18"/>
      <c r="BG37" s="11"/>
      <c r="BH37" s="18"/>
      <c r="BI37" s="11"/>
      <c r="BJ37" s="158" t="s">
        <v>313</v>
      </c>
      <c r="BK37" s="100" t="s">
        <v>664</v>
      </c>
      <c r="BL37" s="39" t="s">
        <v>665</v>
      </c>
    </row>
    <row r="38" spans="1:64" ht="15" thickBot="1" x14ac:dyDescent="0.35">
      <c r="A38" s="36" t="s">
        <v>99</v>
      </c>
      <c r="B38" s="10">
        <v>539</v>
      </c>
      <c r="C38" s="11">
        <v>1221</v>
      </c>
      <c r="D38" s="18"/>
      <c r="E38" s="18">
        <v>912</v>
      </c>
      <c r="F38" s="85"/>
      <c r="G38" s="18"/>
      <c r="H38" s="42"/>
      <c r="I38" s="54"/>
      <c r="J38" s="11"/>
      <c r="L38" s="101" t="s">
        <v>84</v>
      </c>
      <c r="M38" s="102">
        <f>SUM(M32+M27+M22+M20+M16+M11)</f>
        <v>63101</v>
      </c>
      <c r="N38" s="102">
        <f>SUM(N32+N27+N22+N20+N16+N11)</f>
        <v>91968</v>
      </c>
      <c r="O38" s="103">
        <v>0</v>
      </c>
      <c r="P38" s="102">
        <v>0</v>
      </c>
      <c r="Q38" s="104">
        <v>0</v>
      </c>
      <c r="R38" s="102">
        <f>SUM(R32+R27+R22+R20+R11+R16)</f>
        <v>5147</v>
      </c>
      <c r="S38" s="102">
        <f>SUM(S32+S27+S20+S16+S11)</f>
        <v>203</v>
      </c>
      <c r="T38" s="105"/>
      <c r="U38" s="102"/>
      <c r="V38" s="106"/>
      <c r="AB38" s="44" t="s">
        <v>6</v>
      </c>
      <c r="AC38" s="10"/>
      <c r="AD38" s="11"/>
      <c r="AE38" s="18"/>
      <c r="AF38" s="18"/>
      <c r="AG38" s="18"/>
      <c r="AH38" s="10"/>
      <c r="AI38" s="11"/>
      <c r="AJ38" s="18"/>
      <c r="AK38" s="10">
        <v>8</v>
      </c>
      <c r="AL38" s="37" t="s">
        <v>153</v>
      </c>
      <c r="AM38" s="11"/>
      <c r="AP38" s="67" t="s">
        <v>536</v>
      </c>
      <c r="AQ38" s="42">
        <v>0</v>
      </c>
      <c r="AR38" s="40">
        <v>0</v>
      </c>
      <c r="AU38" s="42"/>
      <c r="AV38" s="28"/>
      <c r="AW38" s="28"/>
      <c r="AX38" s="28"/>
      <c r="AY38" s="40"/>
      <c r="AZ38" s="28"/>
      <c r="BA38" s="28"/>
      <c r="BB38" s="36" t="s">
        <v>169</v>
      </c>
      <c r="BC38" s="36">
        <f>9+10</f>
        <v>19</v>
      </c>
      <c r="BD38" s="37">
        <f>1+2</f>
        <v>3</v>
      </c>
      <c r="BE38" s="10"/>
      <c r="BF38" s="18"/>
      <c r="BG38" s="11"/>
      <c r="BH38" s="18"/>
      <c r="BI38" s="11"/>
      <c r="BJ38" s="155" t="s">
        <v>595</v>
      </c>
      <c r="BK38" s="37" t="s">
        <v>500</v>
      </c>
      <c r="BL38" s="39" t="s">
        <v>666</v>
      </c>
    </row>
    <row r="39" spans="1:64" ht="15" thickBot="1" x14ac:dyDescent="0.35">
      <c r="A39" s="10"/>
      <c r="B39" s="10"/>
      <c r="C39" s="39"/>
      <c r="D39" s="18"/>
      <c r="E39" s="18"/>
      <c r="F39" s="85"/>
      <c r="G39" s="18"/>
      <c r="H39" s="42">
        <v>45</v>
      </c>
      <c r="I39" s="37" t="s">
        <v>101</v>
      </c>
      <c r="J39" s="11"/>
      <c r="AB39" s="46" t="s">
        <v>6</v>
      </c>
      <c r="AC39" s="47"/>
      <c r="AD39" s="49"/>
      <c r="AE39" s="48"/>
      <c r="AF39" s="48"/>
      <c r="AG39" s="48"/>
      <c r="AH39" s="47"/>
      <c r="AI39" s="49"/>
      <c r="AJ39" s="48"/>
      <c r="AK39" s="47"/>
      <c r="AL39" s="48"/>
      <c r="AM39" s="49"/>
      <c r="AP39" s="52" t="s">
        <v>56</v>
      </c>
      <c r="AQ39" s="52">
        <v>4</v>
      </c>
      <c r="AR39" s="85">
        <v>4</v>
      </c>
      <c r="AS39" s="28"/>
      <c r="AT39" s="28"/>
      <c r="AU39" s="42"/>
      <c r="AV39" s="28" t="s">
        <v>173</v>
      </c>
      <c r="AW39" s="28"/>
      <c r="AX39" s="28"/>
      <c r="AY39" s="40"/>
      <c r="AZ39" s="28"/>
      <c r="BA39" s="28"/>
      <c r="BB39" s="36" t="s">
        <v>99</v>
      </c>
      <c r="BC39" s="36">
        <v>6</v>
      </c>
      <c r="BD39" s="37">
        <v>5</v>
      </c>
      <c r="BE39" s="10"/>
      <c r="BF39" s="18"/>
      <c r="BG39" s="11"/>
      <c r="BH39" s="18"/>
      <c r="BI39" s="11"/>
      <c r="BJ39" s="156" t="s">
        <v>428</v>
      </c>
      <c r="BK39" s="37" t="s">
        <v>667</v>
      </c>
      <c r="BL39" s="114" t="s">
        <v>668</v>
      </c>
    </row>
    <row r="40" spans="1:64" ht="15" thickBot="1" x14ac:dyDescent="0.35">
      <c r="A40" s="13" t="s">
        <v>84</v>
      </c>
      <c r="B40" s="13">
        <f>SUM(B37:B39)</f>
        <v>1708</v>
      </c>
      <c r="C40" s="26">
        <f>SUM(C37:C39)</f>
        <v>3301</v>
      </c>
      <c r="D40" s="27"/>
      <c r="E40" s="27">
        <f>SUM(E37:E39)</f>
        <v>1548</v>
      </c>
      <c r="F40" s="26"/>
      <c r="G40" s="27">
        <f>45*158</f>
        <v>7110</v>
      </c>
      <c r="H40" s="13"/>
      <c r="I40" s="81"/>
      <c r="J40" s="26">
        <f>SUM(H38:H39)</f>
        <v>45</v>
      </c>
      <c r="L40" t="s">
        <v>6</v>
      </c>
      <c r="M40" s="115"/>
      <c r="AB40" s="6"/>
      <c r="AC40" s="6"/>
      <c r="AD40" s="7"/>
      <c r="AE40" s="8"/>
      <c r="AF40" s="8"/>
      <c r="AG40" s="8"/>
      <c r="AH40" s="6"/>
      <c r="AI40" s="7"/>
      <c r="AJ40" s="8"/>
      <c r="AK40" s="29"/>
      <c r="AL40" s="8"/>
      <c r="AM40" s="7"/>
      <c r="AN40" s="45"/>
      <c r="AP40" s="52" t="s">
        <v>67</v>
      </c>
      <c r="AQ40" s="52">
        <v>5</v>
      </c>
      <c r="AR40" s="56">
        <v>10</v>
      </c>
      <c r="AU40" s="42"/>
      <c r="AV40" s="28"/>
      <c r="AW40" s="28"/>
      <c r="AX40" s="28"/>
      <c r="AY40" s="40"/>
      <c r="AZ40" s="28"/>
      <c r="BA40" s="28"/>
      <c r="BB40" s="150" t="s">
        <v>669</v>
      </c>
      <c r="BC40" s="36">
        <v>8</v>
      </c>
      <c r="BD40" s="37">
        <v>5</v>
      </c>
      <c r="BE40" s="10"/>
      <c r="BF40" s="37"/>
      <c r="BG40" s="11"/>
      <c r="BH40" s="18"/>
      <c r="BI40" s="11"/>
      <c r="BJ40" s="158" t="s">
        <v>670</v>
      </c>
      <c r="BK40" s="156" t="s">
        <v>671</v>
      </c>
      <c r="BL40" s="167" t="s">
        <v>672</v>
      </c>
    </row>
    <row r="41" spans="1:64" ht="15" thickBot="1" x14ac:dyDescent="0.35">
      <c r="A41" s="42" t="s">
        <v>181</v>
      </c>
      <c r="B41" s="42">
        <v>2878</v>
      </c>
      <c r="C41" s="40">
        <v>3063</v>
      </c>
      <c r="D41" s="28"/>
      <c r="E41" s="107" t="s">
        <v>60</v>
      </c>
      <c r="F41" s="43"/>
      <c r="G41" s="41">
        <v>4108</v>
      </c>
      <c r="H41" s="18" t="s">
        <v>182</v>
      </c>
      <c r="I41" s="28"/>
      <c r="J41" s="11"/>
      <c r="K41" s="43"/>
      <c r="M41" s="115"/>
      <c r="AB41" s="36"/>
      <c r="AC41" s="10"/>
      <c r="AD41" s="11"/>
      <c r="AE41" s="18"/>
      <c r="AF41" s="18"/>
      <c r="AG41" s="18"/>
      <c r="AH41" s="36"/>
      <c r="AI41" s="11"/>
      <c r="AJ41" s="18"/>
      <c r="AK41" s="36"/>
      <c r="AL41" s="37"/>
      <c r="AM41" s="11"/>
      <c r="AN41" s="45"/>
      <c r="AP41" s="10" t="s">
        <v>78</v>
      </c>
      <c r="AQ41" s="52">
        <v>0</v>
      </c>
      <c r="AR41" s="85">
        <v>0</v>
      </c>
      <c r="AS41" s="28"/>
      <c r="AT41" s="28"/>
      <c r="AU41" s="42"/>
      <c r="AV41" s="28">
        <v>15</v>
      </c>
      <c r="AW41" s="28" t="s">
        <v>183</v>
      </c>
      <c r="AX41" s="28"/>
      <c r="AY41" s="40"/>
      <c r="AZ41" s="37"/>
      <c r="BA41" s="37"/>
      <c r="BB41" s="36" t="s">
        <v>673</v>
      </c>
      <c r="BC41" s="36">
        <v>1</v>
      </c>
      <c r="BD41" s="37">
        <v>0</v>
      </c>
      <c r="BE41" s="10"/>
      <c r="BF41" s="18"/>
      <c r="BG41" s="11"/>
      <c r="BH41" s="18"/>
      <c r="BI41" s="11"/>
      <c r="BJ41" s="37" t="s">
        <v>333</v>
      </c>
      <c r="BK41" s="37" t="s">
        <v>411</v>
      </c>
      <c r="BL41" s="168" t="s">
        <v>265</v>
      </c>
    </row>
    <row r="42" spans="1:64" ht="15" thickBot="1" x14ac:dyDescent="0.35">
      <c r="A42" s="42" t="s">
        <v>120</v>
      </c>
      <c r="B42" s="42">
        <v>2951</v>
      </c>
      <c r="C42" s="40">
        <v>4023</v>
      </c>
      <c r="D42" s="28"/>
      <c r="E42" s="107" t="s">
        <v>60</v>
      </c>
      <c r="F42" s="43"/>
      <c r="G42" s="68">
        <v>4913</v>
      </c>
      <c r="H42" s="43">
        <v>30</v>
      </c>
      <c r="I42" s="28" t="s">
        <v>188</v>
      </c>
      <c r="J42" s="11"/>
      <c r="K42" s="28"/>
      <c r="M42" s="166"/>
      <c r="AA42" s="28"/>
      <c r="AB42" s="103" t="s">
        <v>84</v>
      </c>
      <c r="AC42" s="103">
        <f>SUM(AC41+AC37+AC35+AC32+AC25+AC27+AC23+AC19+AC16+AC13+AC14)</f>
        <v>2292</v>
      </c>
      <c r="AD42" s="104">
        <f>SUM(AD41+AD37+AD35+AD32+AD25+AD23+AD19+AD16+AD14+AD13)</f>
        <v>2342</v>
      </c>
      <c r="AE42" s="103">
        <v>0</v>
      </c>
      <c r="AF42" s="102">
        <v>0</v>
      </c>
      <c r="AG42" s="102">
        <v>0</v>
      </c>
      <c r="AH42" s="109">
        <f>SUM(AH41+AH37+AH35+AH32+AH29+AH27+AH23+AH19+AH16+AH14+AH13)</f>
        <v>187519</v>
      </c>
      <c r="AI42" s="110">
        <f>SUM(AI41+AI37+AI35+AI32+AI27+AI23+AI18+AI16+AI14+AI13)</f>
        <v>38624</v>
      </c>
      <c r="AJ42" s="110">
        <v>0</v>
      </c>
      <c r="AK42" s="111" t="s">
        <v>189</v>
      </c>
      <c r="AL42" s="111"/>
      <c r="AM42" s="104">
        <f>SUM(AK13:AK41)</f>
        <v>49</v>
      </c>
      <c r="AN42" s="45"/>
      <c r="AP42" s="52" t="s">
        <v>115</v>
      </c>
      <c r="AQ42" s="52">
        <v>1</v>
      </c>
      <c r="AR42" s="85">
        <v>1</v>
      </c>
      <c r="AS42" s="28"/>
      <c r="AT42" s="28"/>
      <c r="AU42" s="42"/>
      <c r="AV42" s="28" t="s">
        <v>6</v>
      </c>
      <c r="AW42" s="28"/>
      <c r="AX42" s="28"/>
      <c r="AY42" s="40"/>
      <c r="AZ42" s="28"/>
      <c r="BA42" s="28"/>
      <c r="BB42" s="150" t="s">
        <v>211</v>
      </c>
      <c r="BC42" s="36">
        <v>11</v>
      </c>
      <c r="BD42" s="37">
        <v>0</v>
      </c>
      <c r="BE42" s="10"/>
      <c r="BF42" s="18"/>
      <c r="BG42" s="11"/>
      <c r="BH42" s="18"/>
      <c r="BI42" s="11"/>
      <c r="BJ42" s="159" t="s">
        <v>254</v>
      </c>
      <c r="BK42" s="37" t="s">
        <v>479</v>
      </c>
      <c r="BL42" s="39" t="s">
        <v>674</v>
      </c>
    </row>
    <row r="43" spans="1:64" x14ac:dyDescent="0.3">
      <c r="A43" s="42" t="s">
        <v>84</v>
      </c>
      <c r="B43" s="42">
        <f>SUM(B41:B42)</f>
        <v>5829</v>
      </c>
      <c r="C43" s="40">
        <f>SUM(C41:C42)</f>
        <v>7086</v>
      </c>
      <c r="D43" s="28"/>
      <c r="E43" s="107" t="s">
        <v>60</v>
      </c>
      <c r="F43" s="43"/>
      <c r="G43" s="41">
        <f>SUM(G41:G42)</f>
        <v>9021</v>
      </c>
      <c r="H43" s="28">
        <v>25</v>
      </c>
      <c r="I43" s="43" t="s">
        <v>101</v>
      </c>
      <c r="J43" s="40"/>
      <c r="K43" s="28"/>
      <c r="L43" s="28"/>
      <c r="N43" s="113"/>
      <c r="AA43" s="28"/>
      <c r="AB43" s="52" t="s">
        <v>193</v>
      </c>
      <c r="AC43" s="28"/>
      <c r="AD43" s="28"/>
      <c r="AE43" s="28"/>
      <c r="AF43" s="28"/>
      <c r="AG43" s="28"/>
      <c r="AH43" s="28"/>
      <c r="AI43" s="28"/>
      <c r="AM43" t="s">
        <v>6</v>
      </c>
      <c r="AN43" s="45"/>
      <c r="AP43" s="52" t="s">
        <v>72</v>
      </c>
      <c r="AQ43" s="52">
        <v>1</v>
      </c>
      <c r="AR43" s="85">
        <v>1</v>
      </c>
      <c r="AU43" s="42"/>
      <c r="AV43" s="28"/>
      <c r="AW43" s="28"/>
      <c r="AX43" s="28"/>
      <c r="AY43" s="40"/>
      <c r="AZ43" s="28"/>
      <c r="BB43" s="150" t="s">
        <v>220</v>
      </c>
      <c r="BC43" s="36">
        <v>3</v>
      </c>
      <c r="BD43" s="37">
        <v>3</v>
      </c>
      <c r="BE43" s="10"/>
      <c r="BF43" s="18"/>
      <c r="BG43" s="11"/>
      <c r="BH43" s="18"/>
      <c r="BI43" s="11"/>
      <c r="BJ43" s="37" t="s">
        <v>675</v>
      </c>
      <c r="BK43" s="37" t="s">
        <v>347</v>
      </c>
      <c r="BL43" s="114" t="s">
        <v>309</v>
      </c>
    </row>
    <row r="44" spans="1:64" ht="15" thickBot="1" x14ac:dyDescent="0.35">
      <c r="A44" s="13"/>
      <c r="B44" s="10"/>
      <c r="C44" s="11"/>
      <c r="D44" s="27"/>
      <c r="E44" s="27"/>
      <c r="F44" s="27"/>
      <c r="G44" s="17"/>
      <c r="H44" s="48"/>
      <c r="I44" s="48" t="s">
        <v>284</v>
      </c>
      <c r="J44" s="49">
        <f>SUM(H42:H44)</f>
        <v>55</v>
      </c>
      <c r="L44" s="108"/>
      <c r="M44" s="115"/>
      <c r="O44" s="116"/>
      <c r="AA44" s="28"/>
      <c r="AN44" s="45"/>
      <c r="AP44" s="52" t="s">
        <v>84</v>
      </c>
      <c r="AQ44" s="47">
        <f>SUM(AQ37:AQ43)</f>
        <v>13</v>
      </c>
      <c r="AR44" s="49">
        <f>SUM(AR37:AR43)</f>
        <v>18</v>
      </c>
      <c r="AS44" s="28"/>
      <c r="AT44" s="28"/>
      <c r="AU44" s="47"/>
      <c r="AV44" s="48"/>
      <c r="AW44" s="48"/>
      <c r="AX44" s="48"/>
      <c r="AY44" s="49">
        <f>SUM(AV41)</f>
        <v>15</v>
      </c>
      <c r="AZ44" s="28"/>
      <c r="BB44" s="36" t="s">
        <v>605</v>
      </c>
      <c r="BC44" s="36">
        <v>9</v>
      </c>
      <c r="BD44" s="37">
        <v>0</v>
      </c>
      <c r="BE44" s="10"/>
      <c r="BF44" s="18"/>
      <c r="BG44" s="11"/>
      <c r="BH44" s="18"/>
      <c r="BI44" s="11"/>
      <c r="BJ44" s="37" t="s">
        <v>283</v>
      </c>
      <c r="BK44" s="37" t="s">
        <v>287</v>
      </c>
      <c r="BL44" s="39" t="s">
        <v>676</v>
      </c>
    </row>
    <row r="45" spans="1:64" ht="16.2" thickBot="1" x14ac:dyDescent="0.35">
      <c r="A45" s="117" t="s">
        <v>84</v>
      </c>
      <c r="B45" s="118">
        <f>SUM(B43+B40+B35+B31+B28+B25+B22+B18+B14+B11)</f>
        <v>46597</v>
      </c>
      <c r="C45" s="120">
        <f>SUM(C43+C40+C35+C31+C28+C25+C22+C18+C14+C11)</f>
        <v>58582</v>
      </c>
      <c r="D45" s="119"/>
      <c r="E45" s="119">
        <f>SUM(E40+E25)</f>
        <v>2700</v>
      </c>
      <c r="F45" s="120"/>
      <c r="G45" s="121">
        <f>SUM(G43+G40+G35+G31+G28+G22+G18+G14+G11+G25)</f>
        <v>78340</v>
      </c>
      <c r="H45" s="13" t="s">
        <v>199</v>
      </c>
      <c r="I45" s="81"/>
      <c r="J45" s="26">
        <f>SUM(J12:J44)</f>
        <v>455</v>
      </c>
      <c r="O45" s="122"/>
      <c r="AN45" s="45"/>
      <c r="AP45" s="32" t="s">
        <v>63</v>
      </c>
      <c r="AQ45" s="123">
        <f>8+3</f>
        <v>11</v>
      </c>
      <c r="AR45" s="123">
        <f>8+3</f>
        <v>11</v>
      </c>
      <c r="AS45" s="33"/>
      <c r="AT45" s="7"/>
      <c r="AU45" s="6"/>
      <c r="AV45" s="34" t="s">
        <v>140</v>
      </c>
      <c r="AW45" s="8"/>
      <c r="AX45" s="8"/>
      <c r="AY45" s="7"/>
      <c r="AZ45" s="28"/>
      <c r="BB45" s="36" t="s">
        <v>384</v>
      </c>
      <c r="BC45" s="10">
        <v>1</v>
      </c>
      <c r="BD45" s="37">
        <v>0</v>
      </c>
      <c r="BE45" s="10"/>
      <c r="BF45" s="18"/>
      <c r="BG45" s="39"/>
      <c r="BH45" s="18"/>
      <c r="BI45" s="11"/>
      <c r="BJ45" s="159" t="s">
        <v>580</v>
      </c>
      <c r="BK45" s="37" t="s">
        <v>677</v>
      </c>
      <c r="BL45" s="39"/>
    </row>
    <row r="46" spans="1:64" x14ac:dyDescent="0.3">
      <c r="AN46" s="45"/>
      <c r="AP46" s="44" t="s">
        <v>78</v>
      </c>
      <c r="AQ46" s="37">
        <f>2+16+4</f>
        <v>22</v>
      </c>
      <c r="AR46" s="37">
        <f>29+18+4</f>
        <v>51</v>
      </c>
      <c r="AS46" s="42"/>
      <c r="AT46" s="11"/>
      <c r="AU46" s="10"/>
      <c r="AV46" s="37">
        <v>3</v>
      </c>
      <c r="AW46" s="37" t="s">
        <v>204</v>
      </c>
      <c r="AX46" s="18"/>
      <c r="AY46" s="11"/>
      <c r="AZ46" s="28"/>
      <c r="BB46" s="150" t="s">
        <v>678</v>
      </c>
      <c r="BC46" s="10">
        <v>0</v>
      </c>
      <c r="BD46" s="37">
        <v>7</v>
      </c>
      <c r="BE46" s="10"/>
      <c r="BF46" s="18"/>
      <c r="BG46" s="11"/>
      <c r="BH46" s="18"/>
      <c r="BI46" s="11"/>
      <c r="BJ46" s="54"/>
      <c r="BK46" s="37"/>
      <c r="BL46" s="39"/>
    </row>
    <row r="47" spans="1:64" x14ac:dyDescent="0.3">
      <c r="AN47" s="45"/>
      <c r="AP47" s="125" t="s">
        <v>209</v>
      </c>
      <c r="AQ47" s="54">
        <v>0</v>
      </c>
      <c r="AR47" s="54">
        <v>0</v>
      </c>
      <c r="AS47" s="42"/>
      <c r="AT47" s="40"/>
      <c r="AU47" s="42"/>
      <c r="AV47" s="28">
        <v>2</v>
      </c>
      <c r="AW47" s="28" t="s">
        <v>210</v>
      </c>
      <c r="AX47" s="28" t="s">
        <v>6</v>
      </c>
      <c r="AY47" s="40"/>
      <c r="AZ47" s="28"/>
      <c r="BB47" s="92" t="s">
        <v>64</v>
      </c>
      <c r="BC47" s="84">
        <v>0</v>
      </c>
      <c r="BD47" s="54">
        <v>8</v>
      </c>
      <c r="BE47" s="84"/>
      <c r="BF47" s="45"/>
      <c r="BG47" s="85"/>
      <c r="BH47" s="18"/>
      <c r="BI47" s="11"/>
      <c r="BJ47" s="54"/>
      <c r="BK47" s="54"/>
      <c r="BL47" s="86"/>
    </row>
    <row r="48" spans="1:64" x14ac:dyDescent="0.3">
      <c r="B48" s="126"/>
      <c r="C48" s="126"/>
      <c r="AN48" s="45"/>
      <c r="AP48" s="44" t="s">
        <v>168</v>
      </c>
      <c r="AQ48" s="54">
        <v>1</v>
      </c>
      <c r="AR48" s="54">
        <v>0</v>
      </c>
      <c r="AS48" s="42"/>
      <c r="AT48" s="11"/>
      <c r="AU48" s="10"/>
      <c r="AV48" s="37">
        <f>4+5+8+2+3</f>
        <v>22</v>
      </c>
      <c r="AW48" s="37" t="s">
        <v>213</v>
      </c>
      <c r="AX48" s="18" t="s">
        <v>6</v>
      </c>
      <c r="AY48" s="11"/>
      <c r="BB48" s="67" t="s">
        <v>564</v>
      </c>
      <c r="BC48" s="84">
        <v>0</v>
      </c>
      <c r="BD48" s="54">
        <v>3</v>
      </c>
      <c r="BE48" s="84"/>
      <c r="BF48" s="45"/>
      <c r="BG48" s="85"/>
      <c r="BH48" s="45"/>
      <c r="BI48" s="85"/>
      <c r="BJ48" s="54"/>
      <c r="BK48" s="54"/>
      <c r="BL48" s="40"/>
    </row>
    <row r="49" spans="1:65" x14ac:dyDescent="0.3">
      <c r="AN49" s="45"/>
      <c r="AP49" s="125" t="s">
        <v>81</v>
      </c>
      <c r="AQ49" s="54">
        <v>5</v>
      </c>
      <c r="AR49" s="54">
        <v>0</v>
      </c>
      <c r="AS49" s="42"/>
      <c r="AT49" s="40"/>
      <c r="AU49" s="42"/>
      <c r="AV49" s="54">
        <v>21</v>
      </c>
      <c r="AW49" s="128" t="s">
        <v>222</v>
      </c>
      <c r="AX49" s="28" t="s">
        <v>520</v>
      </c>
      <c r="AY49" s="40" t="s">
        <v>6</v>
      </c>
      <c r="BB49" s="67" t="s">
        <v>679</v>
      </c>
      <c r="BC49" s="84">
        <v>5</v>
      </c>
      <c r="BD49" s="54">
        <v>5</v>
      </c>
      <c r="BE49" s="84"/>
      <c r="BF49" s="45"/>
      <c r="BG49" s="85"/>
      <c r="BH49" s="45"/>
      <c r="BI49" s="85"/>
      <c r="BJ49" s="54"/>
      <c r="BK49" s="54"/>
      <c r="BL49" s="40"/>
    </row>
    <row r="50" spans="1:65" x14ac:dyDescent="0.3">
      <c r="AP50" s="125" t="s">
        <v>72</v>
      </c>
      <c r="AQ50" s="54">
        <f>6+3+4+2+2+3</f>
        <v>20</v>
      </c>
      <c r="AR50" s="45">
        <f>17+3+3+12+3+2+3</f>
        <v>43</v>
      </c>
      <c r="AS50" s="42"/>
      <c r="AT50" s="40"/>
      <c r="AU50" s="42"/>
      <c r="AV50" s="54">
        <v>14</v>
      </c>
      <c r="AW50" s="54" t="s">
        <v>216</v>
      </c>
      <c r="AX50" s="45" t="s">
        <v>680</v>
      </c>
      <c r="AY50" s="40"/>
      <c r="BB50" s="127" t="s">
        <v>107</v>
      </c>
      <c r="BC50" s="84">
        <v>0</v>
      </c>
      <c r="BD50" s="54">
        <v>0</v>
      </c>
      <c r="BE50" s="42"/>
      <c r="BF50" s="45"/>
      <c r="BG50" s="40"/>
      <c r="BH50" s="45"/>
      <c r="BI50" s="85"/>
      <c r="BJ50" s="155"/>
      <c r="BK50" s="54"/>
      <c r="BL50" s="86"/>
    </row>
    <row r="51" spans="1:65" x14ac:dyDescent="0.3">
      <c r="AP51" s="125" t="s">
        <v>115</v>
      </c>
      <c r="AQ51" s="54">
        <v>3</v>
      </c>
      <c r="AR51" s="45">
        <f>8+2</f>
        <v>10</v>
      </c>
      <c r="AS51" s="42"/>
      <c r="AT51" s="40"/>
      <c r="AU51" s="42"/>
      <c r="AV51" s="54">
        <v>6</v>
      </c>
      <c r="AW51" s="54" t="s">
        <v>217</v>
      </c>
      <c r="AX51" s="28"/>
      <c r="AY51" s="40"/>
      <c r="BB51" s="127" t="s">
        <v>218</v>
      </c>
      <c r="BC51" s="84">
        <v>0</v>
      </c>
      <c r="BD51" s="54">
        <v>11</v>
      </c>
      <c r="BE51" s="42"/>
      <c r="BF51" s="45">
        <v>6</v>
      </c>
      <c r="BG51" s="40"/>
      <c r="BH51" s="45"/>
      <c r="BI51" s="85"/>
      <c r="BJ51" s="54"/>
      <c r="BK51" s="54"/>
      <c r="BL51" s="40"/>
    </row>
    <row r="52" spans="1:65" x14ac:dyDescent="0.3">
      <c r="AM52" t="s">
        <v>6</v>
      </c>
      <c r="AP52" s="125" t="s">
        <v>56</v>
      </c>
      <c r="AQ52" s="54">
        <v>1</v>
      </c>
      <c r="AR52" s="45">
        <f>3+2</f>
        <v>5</v>
      </c>
      <c r="AS52" s="42"/>
      <c r="AT52" s="40"/>
      <c r="AU52" s="42"/>
      <c r="AV52" s="54">
        <v>1</v>
      </c>
      <c r="AW52" s="54" t="s">
        <v>681</v>
      </c>
      <c r="AX52" s="28"/>
      <c r="AY52" s="40"/>
      <c r="BB52" s="98" t="s">
        <v>93</v>
      </c>
      <c r="BC52" s="10">
        <v>4</v>
      </c>
      <c r="BD52" s="18">
        <v>0</v>
      </c>
      <c r="BE52" s="10"/>
      <c r="BF52" s="18"/>
      <c r="BG52" s="11"/>
      <c r="BH52" s="18"/>
      <c r="BI52" s="11"/>
      <c r="BJ52" s="54"/>
      <c r="BK52" s="37"/>
      <c r="BL52" s="129"/>
    </row>
    <row r="53" spans="1:65" ht="15" thickBot="1" x14ac:dyDescent="0.35">
      <c r="H53" t="s">
        <v>6</v>
      </c>
      <c r="AP53" s="125" t="s">
        <v>138</v>
      </c>
      <c r="AQ53" s="54">
        <v>0</v>
      </c>
      <c r="AR53" s="45">
        <v>0</v>
      </c>
      <c r="AS53" s="42"/>
      <c r="AT53" s="40"/>
      <c r="AU53" s="42"/>
      <c r="AV53" s="54">
        <v>10</v>
      </c>
      <c r="AW53" s="54" t="s">
        <v>221</v>
      </c>
      <c r="AX53" s="28"/>
      <c r="AY53" s="40"/>
      <c r="BB53" s="13" t="s">
        <v>84</v>
      </c>
      <c r="BC53" s="13">
        <f>SUM(BC28:BC52)</f>
        <v>218</v>
      </c>
      <c r="BD53" s="27">
        <f>SUM(BD28:BD52)</f>
        <v>177</v>
      </c>
      <c r="BE53" s="13">
        <v>0</v>
      </c>
      <c r="BF53" s="27">
        <f>SUM(BF28:BF52)</f>
        <v>6</v>
      </c>
      <c r="BG53" s="26">
        <v>0</v>
      </c>
      <c r="BH53" s="58">
        <v>0</v>
      </c>
      <c r="BI53" s="26">
        <v>0</v>
      </c>
      <c r="BJ53" s="81"/>
      <c r="BK53" s="27"/>
      <c r="BL53" s="26">
        <f>5+2+1+5+13+5+9+8+4+8+7+4+3+4+4+2+2+1</f>
        <v>87</v>
      </c>
    </row>
    <row r="54" spans="1:65" ht="15" thickBot="1" x14ac:dyDescent="0.35">
      <c r="H54" t="s">
        <v>6</v>
      </c>
      <c r="AP54" s="125" t="s">
        <v>67</v>
      </c>
      <c r="AQ54" s="54">
        <f>2+2+10+2</f>
        <v>16</v>
      </c>
      <c r="AR54" s="45">
        <f>3+2+11+2</f>
        <v>18</v>
      </c>
      <c r="AS54" s="42"/>
      <c r="AT54" s="40"/>
      <c r="AU54" s="42"/>
      <c r="AV54" s="54">
        <v>1</v>
      </c>
      <c r="AW54" s="54" t="s">
        <v>653</v>
      </c>
      <c r="AX54" s="28"/>
      <c r="AY54" s="40"/>
      <c r="BB54" s="13" t="s">
        <v>223</v>
      </c>
      <c r="BC54" s="13">
        <f>SUM(BC53+BC27+BC24+BC20+BC17+BC14+BC12)</f>
        <v>1803</v>
      </c>
      <c r="BD54" s="26">
        <f>SUM(BD53+BD27+BD24+BD20+BD17+BD14+BD12)</f>
        <v>1730</v>
      </c>
      <c r="BE54" s="26">
        <f>SUM(BE53+BE27+BE24+BE20+BE17+BE14+BE12)</f>
        <v>0</v>
      </c>
      <c r="BF54" s="26">
        <f>SUM(BF53+BF27+BF24+BF20+BF17+BF14+BF12)</f>
        <v>6</v>
      </c>
      <c r="BG54" s="26">
        <f>SUM(BG53+BG27+BG24+BG20+BG17+BG14+BG12)</f>
        <v>0</v>
      </c>
      <c r="BH54" s="160">
        <f>SUM(BH53+BH27+BH24+BH20+BH16+BH14+BH12)</f>
        <v>50027</v>
      </c>
      <c r="BI54" s="26">
        <f>SUM(BI53+BI27+BI24+BI20+BI16+BI14+BI12)</f>
        <v>15650</v>
      </c>
      <c r="BJ54" s="81"/>
      <c r="BK54" s="27" t="s">
        <v>247</v>
      </c>
      <c r="BL54" s="26">
        <f>SUM(BL12:BL53)</f>
        <v>222</v>
      </c>
    </row>
    <row r="55" spans="1:65" x14ac:dyDescent="0.3">
      <c r="K55" s="28"/>
      <c r="AP55" s="125" t="s">
        <v>122</v>
      </c>
      <c r="AQ55" s="54">
        <v>2</v>
      </c>
      <c r="AR55" s="45">
        <v>2</v>
      </c>
      <c r="AS55" s="42"/>
      <c r="AT55" s="40"/>
      <c r="AU55" s="42"/>
      <c r="AV55" s="54">
        <v>3</v>
      </c>
      <c r="AW55" s="54" t="s">
        <v>618</v>
      </c>
      <c r="AX55" s="28"/>
      <c r="AY55" s="40"/>
      <c r="BB55" s="131" t="s">
        <v>225</v>
      </c>
      <c r="BD55">
        <f>SUM(BL53)</f>
        <v>87</v>
      </c>
      <c r="BG55" s="132"/>
    </row>
    <row r="56" spans="1:65" x14ac:dyDescent="0.3">
      <c r="K56" s="28"/>
      <c r="AP56" s="125" t="s">
        <v>227</v>
      </c>
      <c r="AQ56" s="54">
        <v>0</v>
      </c>
      <c r="AR56" s="45">
        <v>0</v>
      </c>
      <c r="AS56" s="42"/>
      <c r="AT56" s="40"/>
      <c r="AU56" s="42"/>
      <c r="AV56" s="54">
        <v>3</v>
      </c>
      <c r="AW56" s="54" t="s">
        <v>352</v>
      </c>
      <c r="AX56" s="28"/>
      <c r="AY56" s="40"/>
      <c r="BB56" t="s">
        <v>229</v>
      </c>
      <c r="BD56">
        <f>2+1+7+1+2+1+2+1</f>
        <v>17</v>
      </c>
    </row>
    <row r="57" spans="1:65" x14ac:dyDescent="0.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AP57" s="41" t="s">
        <v>230</v>
      </c>
      <c r="AQ57" s="54">
        <f>2+9+4+12</f>
        <v>27</v>
      </c>
      <c r="AR57" s="45">
        <f>5+12+4+8</f>
        <v>29</v>
      </c>
      <c r="AS57" s="42"/>
      <c r="AT57" s="40"/>
      <c r="AU57" s="42"/>
      <c r="AV57" s="54">
        <v>3</v>
      </c>
      <c r="AW57" s="54" t="s">
        <v>655</v>
      </c>
      <c r="AX57" s="28"/>
      <c r="AY57" s="40"/>
      <c r="BB57" t="s">
        <v>232</v>
      </c>
      <c r="BD57" t="s">
        <v>233</v>
      </c>
      <c r="BF57">
        <f>SUM(AQ62)</f>
        <v>2134</v>
      </c>
      <c r="BH57" t="s">
        <v>234</v>
      </c>
      <c r="BJ57" t="s">
        <v>233</v>
      </c>
      <c r="BL57">
        <f>SUM(BC54)</f>
        <v>1803</v>
      </c>
    </row>
    <row r="58" spans="1:65" ht="18" x14ac:dyDescent="0.35">
      <c r="B58" s="133"/>
      <c r="AP58" s="68" t="s">
        <v>125</v>
      </c>
      <c r="AQ58" s="54">
        <v>0</v>
      </c>
      <c r="AR58" s="45">
        <v>0</v>
      </c>
      <c r="AS58" s="42"/>
      <c r="AT58" s="40"/>
      <c r="AU58" s="42"/>
      <c r="AV58" s="54">
        <v>1</v>
      </c>
      <c r="AW58" s="54" t="s">
        <v>351</v>
      </c>
      <c r="AX58" s="28"/>
      <c r="AY58" s="40"/>
      <c r="BA58" t="s">
        <v>6</v>
      </c>
      <c r="BD58" t="s">
        <v>236</v>
      </c>
      <c r="BF58">
        <f>SUM(AR62)</f>
        <v>2199</v>
      </c>
      <c r="BJ58" t="s">
        <v>236</v>
      </c>
      <c r="BL58">
        <f>SUM(BD54)</f>
        <v>1730</v>
      </c>
    </row>
    <row r="59" spans="1:65" x14ac:dyDescent="0.3">
      <c r="AP59" s="68" t="s">
        <v>132</v>
      </c>
      <c r="AQ59" s="54">
        <v>8</v>
      </c>
      <c r="AR59" s="45">
        <v>18</v>
      </c>
      <c r="AS59" s="42"/>
      <c r="AT59" s="40"/>
      <c r="AU59" s="42"/>
      <c r="AV59" s="54">
        <v>2</v>
      </c>
      <c r="AW59" s="54" t="s">
        <v>682</v>
      </c>
      <c r="AX59" s="28"/>
      <c r="AY59" s="40"/>
      <c r="BB59" s="134" t="s">
        <v>238</v>
      </c>
      <c r="BC59" s="135" t="s">
        <v>239</v>
      </c>
      <c r="BD59" s="136"/>
      <c r="BE59" s="134" t="s">
        <v>240</v>
      </c>
      <c r="BF59" s="135" t="s">
        <v>241</v>
      </c>
      <c r="BG59" s="136"/>
      <c r="BH59" s="134"/>
      <c r="BI59" s="135" t="s">
        <v>242</v>
      </c>
      <c r="BJ59" s="137" t="s">
        <v>243</v>
      </c>
      <c r="BK59" s="135"/>
      <c r="BL59" s="135"/>
      <c r="BM59" s="136"/>
    </row>
    <row r="60" spans="1:65" x14ac:dyDescent="0.3">
      <c r="AP60" s="41" t="s">
        <v>6</v>
      </c>
      <c r="AS60" s="42"/>
      <c r="AT60" s="40"/>
      <c r="AU60" s="42"/>
      <c r="AV60" s="54">
        <v>9</v>
      </c>
      <c r="AW60" s="54" t="s">
        <v>555</v>
      </c>
      <c r="AX60" s="28"/>
      <c r="AY60" s="40"/>
      <c r="BB60" s="138" t="s">
        <v>233</v>
      </c>
      <c r="BC60" s="28"/>
      <c r="BD60" s="139">
        <f>SUM(B45)</f>
        <v>46597</v>
      </c>
      <c r="BE60" s="138" t="s">
        <v>233</v>
      </c>
      <c r="BF60" s="28"/>
      <c r="BG60" s="139">
        <f>SUM(AC42)</f>
        <v>2292</v>
      </c>
      <c r="BH60" s="138" t="s">
        <v>233</v>
      </c>
      <c r="BI60" s="28"/>
      <c r="BJ60" s="140">
        <f>SUM(BL57+BG60)</f>
        <v>4095</v>
      </c>
      <c r="BK60" s="28" t="s">
        <v>245</v>
      </c>
      <c r="BL60" s="28">
        <f>SUM(BJ60+BD60)</f>
        <v>50692</v>
      </c>
      <c r="BM60" s="141"/>
    </row>
    <row r="61" spans="1:65" ht="18.600000000000001" thickBot="1" x14ac:dyDescent="0.4">
      <c r="B61" s="133"/>
      <c r="AP61" s="46" t="s">
        <v>84</v>
      </c>
      <c r="AQ61" s="48">
        <f>SUM(AQ45:AQ60)</f>
        <v>116</v>
      </c>
      <c r="AR61" s="48">
        <f>SUM(AR45:AR60)</f>
        <v>187</v>
      </c>
      <c r="AS61" s="47"/>
      <c r="AT61" s="49"/>
      <c r="AU61" s="47"/>
      <c r="AV61" s="48">
        <v>2</v>
      </c>
      <c r="AW61" s="48" t="s">
        <v>244</v>
      </c>
      <c r="AX61" s="48"/>
      <c r="AY61" s="49">
        <f>SUM(AV46:AV61)+2</f>
        <v>105</v>
      </c>
      <c r="BB61" s="142" t="s">
        <v>236</v>
      </c>
      <c r="BC61" s="143"/>
      <c r="BD61" s="144">
        <f>SUM(C45)</f>
        <v>58582</v>
      </c>
      <c r="BE61" s="142" t="s">
        <v>236</v>
      </c>
      <c r="BF61" s="143"/>
      <c r="BG61" s="144">
        <f>SUM(AD42)</f>
        <v>2342</v>
      </c>
      <c r="BH61" s="142" t="s">
        <v>236</v>
      </c>
      <c r="BI61" s="143"/>
      <c r="BJ61" s="145">
        <f>SUM(BL58+BG61)</f>
        <v>4072</v>
      </c>
      <c r="BK61" s="143"/>
      <c r="BL61" s="143">
        <f>SUM(BJ61+BD61)</f>
        <v>62654</v>
      </c>
      <c r="BM61" s="146"/>
    </row>
    <row r="62" spans="1:65" ht="15" thickBot="1" x14ac:dyDescent="0.35">
      <c r="AP62" s="169" t="s">
        <v>84</v>
      </c>
      <c r="AQ62" s="170">
        <f>SUM(AQ61+AQ44+AQ34+AQ19+AQ17)</f>
        <v>2134</v>
      </c>
      <c r="AR62" s="170">
        <f>SUM(AR61+AR44+AR34+AR19+AR17)</f>
        <v>2199</v>
      </c>
      <c r="AS62" s="171"/>
      <c r="AT62" s="172"/>
      <c r="AU62" s="170"/>
      <c r="AV62" s="170"/>
      <c r="AW62" s="170"/>
      <c r="AX62" s="170"/>
      <c r="AY62" s="172">
        <f>SUM(AY61+AY44+AY34+AY20+AY17)</f>
        <v>378</v>
      </c>
    </row>
    <row r="71" spans="1:64" ht="15.6" x14ac:dyDescent="0.3">
      <c r="C71" s="1" t="s">
        <v>0</v>
      </c>
      <c r="P71" s="1" t="s">
        <v>1</v>
      </c>
    </row>
    <row r="72" spans="1:64" ht="15.6" x14ac:dyDescent="0.3">
      <c r="D72" t="s">
        <v>2</v>
      </c>
      <c r="Q72" t="s">
        <v>3</v>
      </c>
      <c r="AE72" s="2"/>
      <c r="AF72" s="1" t="s">
        <v>0</v>
      </c>
      <c r="AG72" s="1"/>
      <c r="AI72" s="1"/>
      <c r="AJ72" s="1"/>
      <c r="AS72" s="1" t="s">
        <v>4</v>
      </c>
      <c r="BE72" s="1"/>
      <c r="BF72" s="1" t="s">
        <v>5</v>
      </c>
      <c r="BG72" s="1"/>
      <c r="BH72" s="1"/>
      <c r="BI72" s="1"/>
      <c r="BJ72" s="1"/>
    </row>
    <row r="73" spans="1:64" ht="15.6" x14ac:dyDescent="0.3">
      <c r="A73" t="s">
        <v>6</v>
      </c>
      <c r="C73" t="s">
        <v>7</v>
      </c>
      <c r="O73" t="s">
        <v>8</v>
      </c>
      <c r="AE73" s="3"/>
      <c r="AF73" s="2" t="s">
        <v>9</v>
      </c>
      <c r="AG73" s="1"/>
      <c r="AI73" s="1"/>
      <c r="AJ73" s="1"/>
      <c r="AT73" t="s">
        <v>2</v>
      </c>
      <c r="BG73" t="s">
        <v>2</v>
      </c>
    </row>
    <row r="74" spans="1:64" ht="15.6" x14ac:dyDescent="0.3">
      <c r="D74" t="s">
        <v>683</v>
      </c>
      <c r="Q74" t="s">
        <v>683</v>
      </c>
      <c r="AF74" s="3" t="s">
        <v>11</v>
      </c>
      <c r="AG74" s="1"/>
      <c r="AI74" s="1"/>
      <c r="AJ74" s="1"/>
      <c r="AR74" t="s">
        <v>12</v>
      </c>
      <c r="AZ74" t="s">
        <v>6</v>
      </c>
      <c r="BE74" t="s">
        <v>13</v>
      </c>
    </row>
    <row r="75" spans="1:64" ht="15" thickBot="1" x14ac:dyDescent="0.35">
      <c r="I75" s="4" t="s">
        <v>14</v>
      </c>
      <c r="U75" s="5" t="s">
        <v>15</v>
      </c>
      <c r="AG75" t="s">
        <v>683</v>
      </c>
      <c r="AT75" t="s">
        <v>683</v>
      </c>
      <c r="AY75" s="5"/>
      <c r="BG75" t="s">
        <v>683</v>
      </c>
      <c r="BK75" s="5" t="s">
        <v>16</v>
      </c>
    </row>
    <row r="76" spans="1:64" ht="15" thickBot="1" x14ac:dyDescent="0.35">
      <c r="A76" s="6" t="s">
        <v>17</v>
      </c>
      <c r="B76" s="6" t="s">
        <v>18</v>
      </c>
      <c r="C76" s="7"/>
      <c r="D76" s="8" t="s">
        <v>19</v>
      </c>
      <c r="E76" s="8"/>
      <c r="F76" s="8"/>
      <c r="G76" s="9" t="s">
        <v>20</v>
      </c>
      <c r="H76" s="8" t="s">
        <v>21</v>
      </c>
      <c r="I76" s="8"/>
      <c r="J76" s="7"/>
      <c r="L76" s="6" t="s">
        <v>17</v>
      </c>
      <c r="M76" s="6" t="s">
        <v>22</v>
      </c>
      <c r="N76" s="7"/>
      <c r="O76" s="8" t="s">
        <v>23</v>
      </c>
      <c r="P76" s="8"/>
      <c r="Q76" s="8"/>
      <c r="R76" s="6" t="s">
        <v>24</v>
      </c>
      <c r="S76" s="7"/>
      <c r="T76" s="8" t="s">
        <v>21</v>
      </c>
      <c r="U76" s="8"/>
      <c r="V76" s="7"/>
      <c r="AL76" s="5" t="s">
        <v>25</v>
      </c>
      <c r="AX76" s="5" t="s">
        <v>26</v>
      </c>
      <c r="BB76" s="6" t="s">
        <v>17</v>
      </c>
      <c r="BC76" s="6" t="s">
        <v>27</v>
      </c>
      <c r="BD76" s="7"/>
      <c r="BE76" s="8" t="s">
        <v>28</v>
      </c>
      <c r="BF76" s="8"/>
      <c r="BG76" s="8"/>
      <c r="BH76" s="6" t="s">
        <v>29</v>
      </c>
      <c r="BI76" s="7" t="s">
        <v>30</v>
      </c>
      <c r="BJ76" s="8" t="s">
        <v>31</v>
      </c>
      <c r="BK76" s="8"/>
      <c r="BL76" s="7"/>
    </row>
    <row r="77" spans="1:64" x14ac:dyDescent="0.3">
      <c r="A77" s="10" t="s">
        <v>32</v>
      </c>
      <c r="B77" s="10"/>
      <c r="C77" s="11"/>
      <c r="D77" s="3"/>
      <c r="E77" s="3"/>
      <c r="F77" s="3"/>
      <c r="G77" s="12"/>
      <c r="H77" s="3" t="s">
        <v>33</v>
      </c>
      <c r="I77" s="3"/>
      <c r="J77" s="11"/>
      <c r="L77" s="10"/>
      <c r="M77" s="10"/>
      <c r="N77" s="11"/>
      <c r="O77" s="3"/>
      <c r="P77" s="3"/>
      <c r="Q77" s="3"/>
      <c r="R77" s="10"/>
      <c r="S77" s="11"/>
      <c r="T77" s="3" t="s">
        <v>33</v>
      </c>
      <c r="U77" s="3"/>
      <c r="V77" s="11"/>
      <c r="AB77" s="6" t="s">
        <v>34</v>
      </c>
      <c r="AC77" s="6" t="s">
        <v>35</v>
      </c>
      <c r="AD77" s="7"/>
      <c r="AE77" s="6" t="s">
        <v>36</v>
      </c>
      <c r="AF77" s="8"/>
      <c r="AG77" s="7"/>
      <c r="AH77" s="8" t="s">
        <v>37</v>
      </c>
      <c r="AI77" s="8"/>
      <c r="AJ77" s="9" t="s">
        <v>30</v>
      </c>
      <c r="AK77" s="8" t="s">
        <v>38</v>
      </c>
      <c r="AL77" s="8"/>
      <c r="AM77" s="7"/>
      <c r="AP77" s="6" t="s">
        <v>17</v>
      </c>
      <c r="AQ77" s="6" t="s">
        <v>39</v>
      </c>
      <c r="AR77" s="7"/>
      <c r="AS77" s="6" t="s">
        <v>29</v>
      </c>
      <c r="AT77" s="7" t="s">
        <v>30</v>
      </c>
      <c r="AU77" s="8" t="s">
        <v>40</v>
      </c>
      <c r="AV77" s="8"/>
      <c r="AW77" s="8"/>
      <c r="AX77" s="8"/>
      <c r="AY77" s="7"/>
      <c r="BB77" s="10"/>
      <c r="BC77" s="10"/>
      <c r="BD77" s="11"/>
      <c r="BE77" s="3"/>
      <c r="BF77" s="3"/>
      <c r="BG77" s="3"/>
      <c r="BH77" s="10"/>
      <c r="BI77" s="11" t="s">
        <v>6</v>
      </c>
      <c r="BJ77" s="3" t="s">
        <v>41</v>
      </c>
      <c r="BK77" s="3"/>
      <c r="BL77" s="11"/>
    </row>
    <row r="78" spans="1:64" ht="15" thickBot="1" x14ac:dyDescent="0.35">
      <c r="A78" s="13" t="s">
        <v>42</v>
      </c>
      <c r="B78" s="14" t="s">
        <v>43</v>
      </c>
      <c r="C78" s="15" t="s">
        <v>44</v>
      </c>
      <c r="D78" s="16" t="s">
        <v>45</v>
      </c>
      <c r="E78" s="16" t="s">
        <v>46</v>
      </c>
      <c r="F78" s="16" t="s">
        <v>47</v>
      </c>
      <c r="G78" s="17" t="s">
        <v>48</v>
      </c>
      <c r="H78" s="18" t="s">
        <v>49</v>
      </c>
      <c r="I78" s="18"/>
      <c r="J78" s="11"/>
      <c r="L78" s="10" t="s">
        <v>50</v>
      </c>
      <c r="M78" s="19" t="s">
        <v>43</v>
      </c>
      <c r="N78" s="20" t="s">
        <v>44</v>
      </c>
      <c r="O78" s="21" t="s">
        <v>43</v>
      </c>
      <c r="P78" s="18" t="s">
        <v>51</v>
      </c>
      <c r="Q78" s="21" t="s">
        <v>44</v>
      </c>
      <c r="R78" s="22" t="s">
        <v>43</v>
      </c>
      <c r="S78" s="23" t="s">
        <v>44</v>
      </c>
      <c r="T78" s="18" t="s">
        <v>49</v>
      </c>
      <c r="U78" s="18"/>
      <c r="V78" s="11"/>
      <c r="AB78" s="10" t="s">
        <v>50</v>
      </c>
      <c r="AC78" s="22" t="s">
        <v>43</v>
      </c>
      <c r="AD78" s="23" t="s">
        <v>44</v>
      </c>
      <c r="AE78" s="22" t="s">
        <v>45</v>
      </c>
      <c r="AF78" s="24" t="s">
        <v>46</v>
      </c>
      <c r="AG78" s="23" t="s">
        <v>52</v>
      </c>
      <c r="AH78" s="24" t="s">
        <v>43</v>
      </c>
      <c r="AI78" s="24" t="s">
        <v>44</v>
      </c>
      <c r="AJ78" s="25" t="s">
        <v>43</v>
      </c>
      <c r="AK78" s="3" t="s">
        <v>53</v>
      </c>
      <c r="AL78" s="3"/>
      <c r="AM78" s="11"/>
      <c r="AP78" s="13" t="s">
        <v>42</v>
      </c>
      <c r="AQ78" s="10" t="s">
        <v>43</v>
      </c>
      <c r="AR78" s="11" t="s">
        <v>44</v>
      </c>
      <c r="AS78" s="13" t="s">
        <v>43</v>
      </c>
      <c r="AT78" s="26" t="s">
        <v>44</v>
      </c>
      <c r="AU78" s="27"/>
      <c r="AV78" s="27"/>
      <c r="AW78" s="27"/>
      <c r="AX78" s="27"/>
      <c r="AY78" s="26"/>
      <c r="BB78" s="13" t="s">
        <v>42</v>
      </c>
      <c r="BC78" s="13" t="s">
        <v>43</v>
      </c>
      <c r="BD78" s="26" t="s">
        <v>44</v>
      </c>
      <c r="BE78" s="27" t="s">
        <v>45</v>
      </c>
      <c r="BF78" s="27" t="s">
        <v>46</v>
      </c>
      <c r="BG78" s="27" t="s">
        <v>52</v>
      </c>
      <c r="BH78" s="13" t="s">
        <v>43</v>
      </c>
      <c r="BI78" s="26" t="s">
        <v>44</v>
      </c>
      <c r="BJ78" s="27" t="s">
        <v>54</v>
      </c>
      <c r="BK78" s="27"/>
      <c r="BL78" s="26"/>
    </row>
    <row r="79" spans="1:64" ht="15" thickBot="1" x14ac:dyDescent="0.35">
      <c r="A79" s="6"/>
      <c r="B79" s="6"/>
      <c r="C79" s="7"/>
      <c r="D79" s="8"/>
      <c r="E79" s="8"/>
      <c r="F79" s="7"/>
      <c r="G79" s="8"/>
      <c r="H79" s="6" t="s">
        <v>396</v>
      </c>
      <c r="I79" s="8"/>
      <c r="J79" s="7"/>
      <c r="K79" s="28"/>
      <c r="L79" s="9"/>
      <c r="M79" s="8"/>
      <c r="N79" s="8"/>
      <c r="O79" s="6"/>
      <c r="P79" s="8"/>
      <c r="Q79" s="7"/>
      <c r="R79" s="8"/>
      <c r="S79" s="8"/>
      <c r="T79" s="6" t="s">
        <v>396</v>
      </c>
      <c r="U79" s="8"/>
      <c r="V79" s="7"/>
      <c r="W79" s="28"/>
      <c r="AB79" s="13"/>
      <c r="AC79" s="13"/>
      <c r="AD79" s="26"/>
      <c r="AE79" s="13"/>
      <c r="AF79" s="27"/>
      <c r="AG79" s="26"/>
      <c r="AH79" s="27"/>
      <c r="AI79" s="27"/>
      <c r="AJ79" s="17"/>
      <c r="AK79" s="27"/>
      <c r="AL79" s="27"/>
      <c r="AM79" s="26"/>
      <c r="AP79" s="6" t="s">
        <v>56</v>
      </c>
      <c r="AQ79" s="29">
        <v>871</v>
      </c>
      <c r="AR79" s="30">
        <f>952+9</f>
        <v>961</v>
      </c>
      <c r="AU79" s="6"/>
      <c r="AV79" s="8"/>
      <c r="AW79" s="31" t="s">
        <v>57</v>
      </c>
      <c r="AX79" s="8"/>
      <c r="AY79" s="7"/>
      <c r="AZ79" s="28"/>
      <c r="BB79" s="32" t="s">
        <v>85</v>
      </c>
      <c r="BC79">
        <v>27</v>
      </c>
      <c r="BD79">
        <v>22</v>
      </c>
      <c r="BE79" s="33"/>
      <c r="BF79" s="34"/>
      <c r="BG79" s="34"/>
      <c r="BH79" s="33"/>
      <c r="BI79" s="35"/>
      <c r="BJ79" s="34" t="s">
        <v>58</v>
      </c>
      <c r="BK79" s="8"/>
      <c r="BL79" s="7"/>
    </row>
    <row r="80" spans="1:64" x14ac:dyDescent="0.3">
      <c r="A80" s="10" t="s">
        <v>59</v>
      </c>
      <c r="B80" s="36">
        <v>927</v>
      </c>
      <c r="C80" s="11">
        <v>822</v>
      </c>
      <c r="D80" s="37"/>
      <c r="E80" s="38" t="s">
        <v>60</v>
      </c>
      <c r="F80" s="39"/>
      <c r="G80" s="37">
        <v>1107</v>
      </c>
      <c r="H80" s="36">
        <v>4</v>
      </c>
      <c r="I80" s="37" t="s">
        <v>61</v>
      </c>
      <c r="J80" s="40"/>
      <c r="K80" s="28"/>
      <c r="L80" s="41" t="s">
        <v>59</v>
      </c>
      <c r="M80" s="28">
        <v>11937</v>
      </c>
      <c r="N80" s="28">
        <v>18246</v>
      </c>
      <c r="O80" s="42">
        <v>0</v>
      </c>
      <c r="P80" s="43">
        <v>0</v>
      </c>
      <c r="Q80" s="40">
        <v>0</v>
      </c>
      <c r="R80" s="43">
        <v>0</v>
      </c>
      <c r="S80" s="43">
        <v>0</v>
      </c>
      <c r="T80" s="42"/>
      <c r="U80" s="28"/>
      <c r="V80" s="40"/>
      <c r="W80" s="28"/>
      <c r="AB80" s="9"/>
      <c r="AC80" s="8"/>
      <c r="AD80" s="8"/>
      <c r="AE80" s="6"/>
      <c r="AF80" s="8"/>
      <c r="AG80" s="7"/>
      <c r="AH80" s="8"/>
      <c r="AI80" s="8"/>
      <c r="AJ80" s="9"/>
      <c r="AK80" s="6" t="s">
        <v>62</v>
      </c>
      <c r="AL80" s="8"/>
      <c r="AM80" s="7"/>
      <c r="AP80" s="36" t="s">
        <v>63</v>
      </c>
      <c r="AQ80" s="36">
        <v>102</v>
      </c>
      <c r="AR80" s="39">
        <v>81</v>
      </c>
      <c r="AT80" s="18"/>
      <c r="AU80" s="10"/>
      <c r="AV80" s="18"/>
      <c r="AW80" s="18"/>
      <c r="AX80" s="18"/>
      <c r="AY80" s="11"/>
      <c r="AZ80" s="28"/>
      <c r="BB80" s="44" t="s">
        <v>64</v>
      </c>
      <c r="BC80" s="18">
        <v>90</v>
      </c>
      <c r="BD80" s="18">
        <v>96</v>
      </c>
      <c r="BE80" s="10">
        <v>0</v>
      </c>
      <c r="BF80" s="18">
        <v>0</v>
      </c>
      <c r="BG80" s="18">
        <v>0</v>
      </c>
      <c r="BH80" s="10">
        <v>0</v>
      </c>
      <c r="BI80" s="11">
        <v>0</v>
      </c>
      <c r="BJ80" s="45">
        <v>11</v>
      </c>
      <c r="BK80" s="28" t="s">
        <v>474</v>
      </c>
      <c r="BL80" s="11" t="s">
        <v>6</v>
      </c>
    </row>
    <row r="81" spans="1:65" ht="15" thickBot="1" x14ac:dyDescent="0.35">
      <c r="A81" s="36" t="s">
        <v>6</v>
      </c>
      <c r="B81" s="10"/>
      <c r="C81" s="11"/>
      <c r="D81" s="18"/>
      <c r="E81" s="18"/>
      <c r="F81" s="18"/>
      <c r="G81" s="36"/>
      <c r="H81" s="42"/>
      <c r="I81" s="28" t="s">
        <v>528</v>
      </c>
      <c r="J81" s="40">
        <f>SUM(H80+H81)</f>
        <v>4</v>
      </c>
      <c r="K81" s="28"/>
      <c r="L81" s="12"/>
      <c r="M81" s="37"/>
      <c r="N81" s="37"/>
      <c r="O81" s="10"/>
      <c r="P81" s="18"/>
      <c r="Q81" s="11"/>
      <c r="R81" s="18"/>
      <c r="S81" s="18"/>
      <c r="T81" s="10"/>
      <c r="U81" s="18"/>
      <c r="V81" s="11"/>
      <c r="W81" s="28"/>
      <c r="AB81" s="41"/>
      <c r="AE81" s="42"/>
      <c r="AF81" s="28"/>
      <c r="AG81" s="40"/>
      <c r="AJ81" s="41"/>
      <c r="AK81" s="42"/>
      <c r="AL81" s="28" t="s">
        <v>6</v>
      </c>
      <c r="AM81" s="40"/>
      <c r="AP81" s="36" t="s">
        <v>67</v>
      </c>
      <c r="AQ81" s="36">
        <v>351</v>
      </c>
      <c r="AR81" s="39">
        <v>347</v>
      </c>
      <c r="AT81" s="18"/>
      <c r="AU81" s="10"/>
      <c r="AV81" s="37">
        <v>57</v>
      </c>
      <c r="AW81" s="37" t="s">
        <v>68</v>
      </c>
      <c r="AX81" s="18"/>
      <c r="AY81" s="11"/>
      <c r="AZ81" s="28"/>
      <c r="BA81" s="28"/>
      <c r="BB81" s="46" t="s">
        <v>84</v>
      </c>
      <c r="BC81">
        <f>SUM(BC79:BC80)</f>
        <v>117</v>
      </c>
      <c r="BD81">
        <f>SUM(BD79:BD80)</f>
        <v>118</v>
      </c>
      <c r="BE81" s="47"/>
      <c r="BF81" s="48"/>
      <c r="BG81" s="48"/>
      <c r="BH81" s="47"/>
      <c r="BI81" s="49"/>
      <c r="BJ81" s="48"/>
      <c r="BK81" s="48" t="s">
        <v>69</v>
      </c>
      <c r="BL81" s="49">
        <f>SUM(BJ80:BJ81)</f>
        <v>11</v>
      </c>
    </row>
    <row r="82" spans="1:65" ht="15" thickBot="1" x14ac:dyDescent="0.35">
      <c r="A82" s="32"/>
      <c r="B82" s="34"/>
      <c r="C82" s="34"/>
      <c r="D82" s="33"/>
      <c r="E82" s="34"/>
      <c r="F82" s="35"/>
      <c r="G82" s="34"/>
      <c r="H82" s="6" t="s">
        <v>70</v>
      </c>
      <c r="I82" s="8"/>
      <c r="J82" s="7"/>
      <c r="K82" s="28"/>
      <c r="L82" s="17"/>
      <c r="M82" s="27"/>
      <c r="N82" s="27"/>
      <c r="O82" s="13"/>
      <c r="P82" s="27"/>
      <c r="Q82" s="26"/>
      <c r="R82" s="27"/>
      <c r="S82" s="27"/>
      <c r="T82" s="13"/>
      <c r="U82" s="27"/>
      <c r="V82" s="26"/>
      <c r="W82" s="28"/>
      <c r="AB82" s="44" t="s">
        <v>59</v>
      </c>
      <c r="AC82" s="37">
        <v>1142</v>
      </c>
      <c r="AD82" s="37">
        <v>1097</v>
      </c>
      <c r="AE82" s="10">
        <v>0</v>
      </c>
      <c r="AF82" s="18">
        <v>0</v>
      </c>
      <c r="AG82" s="39">
        <v>0</v>
      </c>
      <c r="AH82" s="2">
        <v>0</v>
      </c>
      <c r="AI82" s="2">
        <v>0</v>
      </c>
      <c r="AJ82" s="12">
        <v>0</v>
      </c>
      <c r="AK82" s="36">
        <v>4</v>
      </c>
      <c r="AL82" s="37" t="s">
        <v>66</v>
      </c>
      <c r="AM82" s="11"/>
      <c r="AP82" s="36" t="s">
        <v>72</v>
      </c>
      <c r="AQ82" s="36">
        <v>16</v>
      </c>
      <c r="AR82" s="39">
        <v>23</v>
      </c>
      <c r="AT82" s="18"/>
      <c r="AU82" s="10"/>
      <c r="AV82" s="37">
        <v>55</v>
      </c>
      <c r="AW82" s="37" t="s">
        <v>73</v>
      </c>
      <c r="AX82" s="18"/>
      <c r="AY82" s="11"/>
      <c r="AZ82" s="28"/>
      <c r="BA82" s="28"/>
      <c r="BB82" s="33"/>
      <c r="BC82" s="33"/>
      <c r="BD82" s="35"/>
      <c r="BE82" s="34"/>
      <c r="BF82" s="34"/>
      <c r="BG82" s="34"/>
      <c r="BH82" s="33"/>
      <c r="BI82" s="35"/>
      <c r="BJ82" s="53" t="s">
        <v>82</v>
      </c>
      <c r="BK82" s="34"/>
      <c r="BL82" s="35"/>
    </row>
    <row r="83" spans="1:65" ht="15" thickBot="1" x14ac:dyDescent="0.35">
      <c r="A83" s="44" t="s">
        <v>74</v>
      </c>
      <c r="B83" s="37">
        <v>721</v>
      </c>
      <c r="C83" s="18">
        <v>1676</v>
      </c>
      <c r="D83" s="36"/>
      <c r="E83" s="38" t="s">
        <v>60</v>
      </c>
      <c r="F83" s="39"/>
      <c r="G83" s="37">
        <v>2019</v>
      </c>
      <c r="H83" s="36">
        <v>8</v>
      </c>
      <c r="I83" s="28" t="s">
        <v>75</v>
      </c>
      <c r="J83" s="11"/>
      <c r="K83" s="28"/>
      <c r="L83" s="32"/>
      <c r="M83" s="34"/>
      <c r="N83" s="34"/>
      <c r="O83" s="33"/>
      <c r="P83" s="34"/>
      <c r="Q83" s="35"/>
      <c r="R83" s="34"/>
      <c r="S83" s="34"/>
      <c r="T83" s="33"/>
      <c r="U83" s="34"/>
      <c r="V83" s="35"/>
      <c r="W83" s="28"/>
      <c r="AB83" s="46"/>
      <c r="AE83" s="47"/>
      <c r="AF83" s="51"/>
      <c r="AG83" s="49"/>
      <c r="AH83" s="28"/>
      <c r="AI83" s="28"/>
      <c r="AJ83" s="62"/>
      <c r="AK83" s="47"/>
      <c r="AL83" s="48" t="s">
        <v>398</v>
      </c>
      <c r="AM83" s="49"/>
      <c r="AP83" s="36" t="s">
        <v>78</v>
      </c>
      <c r="AQ83" s="36">
        <v>29</v>
      </c>
      <c r="AR83" s="39">
        <v>21</v>
      </c>
      <c r="AT83" s="18"/>
      <c r="AU83" s="10"/>
      <c r="AV83" s="37"/>
      <c r="AW83" s="37"/>
      <c r="AX83" s="18" t="s">
        <v>6</v>
      </c>
      <c r="AY83" s="11"/>
      <c r="AZ83" s="28"/>
      <c r="BA83" s="28"/>
      <c r="BB83" s="47" t="s">
        <v>85</v>
      </c>
      <c r="BC83" s="47">
        <v>0</v>
      </c>
      <c r="BD83" s="49">
        <v>0</v>
      </c>
      <c r="BE83" s="48"/>
      <c r="BF83" s="48">
        <v>0</v>
      </c>
      <c r="BG83" s="48">
        <v>0</v>
      </c>
      <c r="BH83" s="47">
        <v>0</v>
      </c>
      <c r="BI83" s="49">
        <v>0</v>
      </c>
      <c r="BJ83" s="51"/>
      <c r="BK83" s="48" t="s">
        <v>86</v>
      </c>
      <c r="BL83" s="49">
        <f>SUM(BJ83)</f>
        <v>0</v>
      </c>
    </row>
    <row r="84" spans="1:65" x14ac:dyDescent="0.3">
      <c r="A84" s="41"/>
      <c r="D84" s="42"/>
      <c r="E84" s="28"/>
      <c r="F84" s="40"/>
      <c r="H84" s="42">
        <v>8</v>
      </c>
      <c r="I84" s="28" t="s">
        <v>79</v>
      </c>
      <c r="J84" s="40"/>
      <c r="K84" s="28"/>
      <c r="L84" s="41"/>
      <c r="M84" s="28"/>
      <c r="N84" s="28"/>
      <c r="O84" s="42"/>
      <c r="P84" s="28"/>
      <c r="Q84" s="40"/>
      <c r="R84" s="28"/>
      <c r="S84" s="28"/>
      <c r="T84" s="42" t="s">
        <v>80</v>
      </c>
      <c r="U84" s="28"/>
      <c r="V84" s="40"/>
      <c r="W84" s="28"/>
      <c r="AB84" s="50" t="s">
        <v>6</v>
      </c>
      <c r="AC84" s="8"/>
      <c r="AD84" s="8"/>
      <c r="AE84" s="6"/>
      <c r="AF84" s="8"/>
      <c r="AG84" s="7"/>
      <c r="AH84" s="6"/>
      <c r="AI84" s="7"/>
      <c r="AJ84" s="8"/>
      <c r="AK84" s="29" t="s">
        <v>71</v>
      </c>
      <c r="AL84" s="8"/>
      <c r="AM84" s="7"/>
      <c r="AP84" s="52" t="s">
        <v>81</v>
      </c>
      <c r="AQ84" s="36">
        <v>0</v>
      </c>
      <c r="AR84" s="39">
        <v>0</v>
      </c>
      <c r="AU84" s="42"/>
      <c r="AV84" s="28"/>
      <c r="AW84" s="28"/>
      <c r="AX84" s="28"/>
      <c r="AY84" s="40"/>
      <c r="AZ84" s="28"/>
      <c r="BA84" s="28"/>
      <c r="BB84" s="50" t="s">
        <v>107</v>
      </c>
      <c r="BC84" s="31">
        <v>75</v>
      </c>
      <c r="BD84" s="31">
        <v>71</v>
      </c>
      <c r="BE84" s="29"/>
      <c r="BF84" s="31"/>
      <c r="BG84" s="30"/>
      <c r="BH84" s="55"/>
      <c r="BI84" s="8"/>
      <c r="BJ84" s="29"/>
      <c r="BK84" s="34" t="s">
        <v>92</v>
      </c>
      <c r="BL84" s="35"/>
    </row>
    <row r="85" spans="1:65" ht="15" thickBot="1" x14ac:dyDescent="0.35">
      <c r="A85" s="46"/>
      <c r="B85" s="48"/>
      <c r="C85" s="48"/>
      <c r="D85" s="47"/>
      <c r="E85" s="48"/>
      <c r="F85" s="49"/>
      <c r="G85" s="48"/>
      <c r="H85" s="47"/>
      <c r="I85" s="28" t="s">
        <v>83</v>
      </c>
      <c r="J85" s="49">
        <f>SUM(H83:H85)</f>
        <v>16</v>
      </c>
      <c r="K85" s="28"/>
      <c r="L85" s="17" t="s">
        <v>74</v>
      </c>
      <c r="M85" s="27">
        <v>2643</v>
      </c>
      <c r="N85" s="27">
        <v>0</v>
      </c>
      <c r="O85" s="13">
        <v>0</v>
      </c>
      <c r="P85" s="27">
        <v>0</v>
      </c>
      <c r="Q85" s="26">
        <v>0</v>
      </c>
      <c r="R85" s="27">
        <v>10</v>
      </c>
      <c r="S85" s="27">
        <v>0</v>
      </c>
      <c r="T85" s="13"/>
      <c r="U85" s="27"/>
      <c r="V85" s="26"/>
      <c r="W85" s="28"/>
      <c r="AB85" s="41" t="s">
        <v>76</v>
      </c>
      <c r="AC85">
        <v>0</v>
      </c>
      <c r="AD85">
        <v>0</v>
      </c>
      <c r="AE85" s="42">
        <v>0</v>
      </c>
      <c r="AF85" s="43">
        <v>0</v>
      </c>
      <c r="AG85" s="40">
        <v>0</v>
      </c>
      <c r="AH85" s="42">
        <v>0</v>
      </c>
      <c r="AI85" s="40">
        <v>0</v>
      </c>
      <c r="AJ85" s="43">
        <v>0</v>
      </c>
      <c r="AK85" s="42"/>
      <c r="AL85" s="28" t="s">
        <v>77</v>
      </c>
      <c r="AM85" s="40"/>
      <c r="AP85" s="52" t="s">
        <v>115</v>
      </c>
      <c r="AQ85" s="52">
        <v>0</v>
      </c>
      <c r="AR85" s="86">
        <v>0</v>
      </c>
      <c r="AU85" s="42"/>
      <c r="AV85" s="28"/>
      <c r="AW85" s="28"/>
      <c r="AX85" s="28"/>
      <c r="AY85" s="40"/>
      <c r="AZ85" s="28"/>
      <c r="BA85" s="28"/>
      <c r="BB85" s="41" t="s">
        <v>99</v>
      </c>
      <c r="BC85" s="45">
        <v>0</v>
      </c>
      <c r="BD85" s="45">
        <v>0</v>
      </c>
      <c r="BE85" s="42">
        <v>0</v>
      </c>
      <c r="BF85" s="45">
        <v>0</v>
      </c>
      <c r="BG85" s="40">
        <v>0</v>
      </c>
      <c r="BH85" s="45">
        <v>43510</v>
      </c>
      <c r="BI85" s="56">
        <f>9314+1136</f>
        <v>10450</v>
      </c>
      <c r="BJ85" s="52">
        <v>25</v>
      </c>
      <c r="BK85" s="37" t="s">
        <v>100</v>
      </c>
      <c r="BL85" s="40"/>
    </row>
    <row r="86" spans="1:65" ht="15" thickBot="1" x14ac:dyDescent="0.35">
      <c r="A86" s="33"/>
      <c r="B86" s="33"/>
      <c r="C86" s="35"/>
      <c r="D86" s="34"/>
      <c r="E86" s="34"/>
      <c r="F86" s="34"/>
      <c r="G86" s="32"/>
      <c r="H86" s="6" t="s">
        <v>87</v>
      </c>
      <c r="I86" s="34"/>
      <c r="J86" s="35"/>
      <c r="K86" s="28"/>
      <c r="L86" s="12" t="s">
        <v>88</v>
      </c>
      <c r="M86" s="37">
        <v>0</v>
      </c>
      <c r="N86" s="37">
        <v>0</v>
      </c>
      <c r="O86" s="10"/>
      <c r="P86" s="18"/>
      <c r="Q86" s="11"/>
      <c r="R86" s="18"/>
      <c r="S86" s="18"/>
      <c r="T86" s="33" t="s">
        <v>6</v>
      </c>
      <c r="U86" s="31"/>
      <c r="V86" s="7"/>
      <c r="W86" s="28"/>
      <c r="AB86" s="6" t="s">
        <v>89</v>
      </c>
      <c r="AC86" s="6">
        <v>0</v>
      </c>
      <c r="AD86" s="7">
        <v>0</v>
      </c>
      <c r="AE86" s="8"/>
      <c r="AF86" s="8"/>
      <c r="AG86" s="8"/>
      <c r="AH86" s="6"/>
      <c r="AI86" s="7"/>
      <c r="AJ86" s="9"/>
      <c r="AK86" s="31" t="s">
        <v>90</v>
      </c>
      <c r="AL86" s="8"/>
      <c r="AM86" s="7"/>
      <c r="AP86" s="13" t="s">
        <v>84</v>
      </c>
      <c r="AQ86" s="13">
        <f>SUM(AQ79:AQ85)</f>
        <v>1369</v>
      </c>
      <c r="AR86" s="26">
        <f>SUM(AR79:AR85)</f>
        <v>1433</v>
      </c>
      <c r="AT86" s="18"/>
      <c r="AU86" s="13"/>
      <c r="AV86" s="27"/>
      <c r="AW86" s="27"/>
      <c r="AX86" s="27"/>
      <c r="AY86" s="26">
        <f>SUM(AV81:AV82)</f>
        <v>112</v>
      </c>
      <c r="AZ86" s="28"/>
      <c r="BA86" s="28"/>
      <c r="BB86" s="17" t="s">
        <v>84</v>
      </c>
      <c r="BC86" s="18">
        <f>SUM(BC84:BC85)</f>
        <v>75</v>
      </c>
      <c r="BD86" s="18">
        <f>SUM(BD84:BD85)</f>
        <v>71</v>
      </c>
      <c r="BE86" s="13"/>
      <c r="BF86" s="27"/>
      <c r="BG86" s="26"/>
      <c r="BH86" s="58"/>
      <c r="BI86" s="27"/>
      <c r="BJ86" s="59"/>
      <c r="BK86" s="48" t="s">
        <v>506</v>
      </c>
      <c r="BL86" s="60">
        <f>SUM(BJ85:BJ86)</f>
        <v>25</v>
      </c>
    </row>
    <row r="87" spans="1:65" x14ac:dyDescent="0.3">
      <c r="A87" s="36" t="s">
        <v>93</v>
      </c>
      <c r="B87" s="36">
        <v>2740</v>
      </c>
      <c r="C87" s="11">
        <v>3162</v>
      </c>
      <c r="D87" s="37"/>
      <c r="E87" s="38" t="s">
        <v>60</v>
      </c>
      <c r="F87" s="37"/>
      <c r="G87" s="12">
        <v>4968</v>
      </c>
      <c r="H87" s="36">
        <v>1</v>
      </c>
      <c r="I87" s="37" t="s">
        <v>94</v>
      </c>
      <c r="J87" s="40"/>
      <c r="K87" s="28"/>
      <c r="L87" s="44" t="s">
        <v>95</v>
      </c>
      <c r="M87" s="37">
        <v>0</v>
      </c>
      <c r="N87" s="37">
        <v>0</v>
      </c>
      <c r="O87" s="10"/>
      <c r="P87" s="18"/>
      <c r="Q87" s="11"/>
      <c r="R87" s="18"/>
      <c r="S87" s="18"/>
      <c r="T87" s="10" t="s">
        <v>96</v>
      </c>
      <c r="U87" s="37"/>
      <c r="V87" s="11"/>
      <c r="W87" s="28"/>
      <c r="AB87" s="36" t="s">
        <v>97</v>
      </c>
      <c r="AC87" s="10">
        <v>0</v>
      </c>
      <c r="AD87" s="11">
        <v>0</v>
      </c>
      <c r="AE87" s="18">
        <v>0</v>
      </c>
      <c r="AF87" s="18">
        <v>0</v>
      </c>
      <c r="AG87" s="18">
        <v>0</v>
      </c>
      <c r="AH87" s="36">
        <v>0</v>
      </c>
      <c r="AI87" s="11">
        <v>0</v>
      </c>
      <c r="AJ87" s="12">
        <v>0</v>
      </c>
      <c r="AK87" s="37"/>
      <c r="AL87" s="37" t="s">
        <v>529</v>
      </c>
      <c r="AM87" s="11"/>
      <c r="AP87" s="32" t="s">
        <v>6</v>
      </c>
      <c r="AQ87" s="43"/>
      <c r="AR87" s="54"/>
      <c r="AS87" s="33"/>
      <c r="AT87" s="35"/>
      <c r="AU87" s="33"/>
      <c r="AV87" s="34" t="s">
        <v>91</v>
      </c>
      <c r="AW87" s="34"/>
      <c r="AX87" s="34"/>
      <c r="AY87" s="35"/>
      <c r="AZ87" s="28" t="s">
        <v>6</v>
      </c>
      <c r="BA87" s="28"/>
      <c r="BB87" s="32" t="s">
        <v>107</v>
      </c>
      <c r="BC87" s="63">
        <v>0</v>
      </c>
      <c r="BD87" s="64">
        <v>0</v>
      </c>
      <c r="BE87" s="33"/>
      <c r="BF87" s="8"/>
      <c r="BG87" s="35"/>
      <c r="BH87" s="65"/>
      <c r="BI87" s="66"/>
      <c r="BJ87" s="29"/>
      <c r="BK87" s="31" t="s">
        <v>57</v>
      </c>
      <c r="BL87" s="35"/>
    </row>
    <row r="88" spans="1:65" ht="15" thickBot="1" x14ac:dyDescent="0.35">
      <c r="A88" s="47"/>
      <c r="B88" s="47"/>
      <c r="C88" s="49"/>
      <c r="D88" s="48"/>
      <c r="E88" s="48"/>
      <c r="F88" s="48"/>
      <c r="G88" s="46"/>
      <c r="H88" s="47">
        <v>27</v>
      </c>
      <c r="I88" s="48" t="s">
        <v>101</v>
      </c>
      <c r="J88" s="49">
        <f>SUM(H87:H88)</f>
        <v>28</v>
      </c>
      <c r="K88" s="28"/>
      <c r="L88" s="12" t="s">
        <v>102</v>
      </c>
      <c r="M88" s="18">
        <v>0</v>
      </c>
      <c r="N88" s="18">
        <v>0</v>
      </c>
      <c r="O88" s="10"/>
      <c r="P88" s="18"/>
      <c r="Q88" s="11"/>
      <c r="R88" s="18"/>
      <c r="S88" s="18"/>
      <c r="T88" s="10"/>
      <c r="U88" s="18"/>
      <c r="V88" s="11"/>
      <c r="W88" s="28"/>
      <c r="AB88" s="47" t="s">
        <v>84</v>
      </c>
      <c r="AC88" s="13">
        <f>SUM(AC86:AC87)</f>
        <v>0</v>
      </c>
      <c r="AD88" s="26">
        <f>SUM(AD86:AD87)</f>
        <v>0</v>
      </c>
      <c r="AE88" s="27"/>
      <c r="AF88" s="27"/>
      <c r="AG88" s="27"/>
      <c r="AH88" s="13"/>
      <c r="AI88" s="26"/>
      <c r="AJ88" s="17"/>
      <c r="AK88" s="57"/>
      <c r="AL88" s="37" t="s">
        <v>145</v>
      </c>
      <c r="AM88" s="11"/>
      <c r="AP88" s="41" t="s">
        <v>56</v>
      </c>
      <c r="AQ88" s="43">
        <v>749</v>
      </c>
      <c r="AR88" s="54">
        <v>785</v>
      </c>
      <c r="AS88" s="42"/>
      <c r="AT88" s="40"/>
      <c r="AU88" s="42"/>
      <c r="AV88" s="28"/>
      <c r="AW88" s="28"/>
      <c r="AX88" s="28"/>
      <c r="AY88" s="40"/>
      <c r="AZ88" s="28"/>
      <c r="BA88" s="28"/>
      <c r="BB88" s="41" t="s">
        <v>657</v>
      </c>
      <c r="BC88" s="70">
        <v>0</v>
      </c>
      <c r="BD88" s="71">
        <v>0</v>
      </c>
      <c r="BE88" s="42"/>
      <c r="BF88" s="28"/>
      <c r="BG88" s="40"/>
      <c r="BH88" s="42"/>
      <c r="BI88" s="40"/>
      <c r="BJ88" s="42"/>
      <c r="BK88" s="54" t="s">
        <v>530</v>
      </c>
      <c r="BL88" s="40"/>
    </row>
    <row r="89" spans="1:65" ht="15" thickBot="1" x14ac:dyDescent="0.35">
      <c r="A89" s="29" t="s">
        <v>250</v>
      </c>
      <c r="B89" s="29">
        <v>0</v>
      </c>
      <c r="C89" s="7">
        <v>0</v>
      </c>
      <c r="D89" s="8"/>
      <c r="E89" s="8"/>
      <c r="F89" s="8"/>
      <c r="G89" s="9"/>
      <c r="H89" s="8" t="s">
        <v>104</v>
      </c>
      <c r="I89" s="8"/>
      <c r="J89" s="7"/>
      <c r="K89" s="28"/>
      <c r="L89" s="12" t="s">
        <v>84</v>
      </c>
      <c r="M89" s="18">
        <f>SUM(M86:M88)</f>
        <v>0</v>
      </c>
      <c r="N89" s="18">
        <f>SUM(N86:N88)</f>
        <v>0</v>
      </c>
      <c r="O89" s="10">
        <v>0</v>
      </c>
      <c r="P89" s="18">
        <v>0</v>
      </c>
      <c r="Q89" s="11">
        <v>0</v>
      </c>
      <c r="R89" s="18">
        <v>0</v>
      </c>
      <c r="S89" s="18">
        <v>0</v>
      </c>
      <c r="T89" s="13"/>
      <c r="U89" s="27"/>
      <c r="V89" s="26"/>
      <c r="W89" s="28"/>
      <c r="AB89" s="44"/>
      <c r="AC89" s="18"/>
      <c r="AD89" s="18"/>
      <c r="AE89" s="10"/>
      <c r="AF89" s="18"/>
      <c r="AG89" s="11"/>
      <c r="AH89" s="10"/>
      <c r="AI89" s="11"/>
      <c r="AJ89" s="6"/>
      <c r="AK89" s="33" t="s">
        <v>6</v>
      </c>
      <c r="AL89" s="61" t="s">
        <v>6</v>
      </c>
      <c r="AM89" s="7"/>
      <c r="AP89" s="62" t="s">
        <v>6</v>
      </c>
      <c r="AQ89" s="43"/>
      <c r="AR89" s="43"/>
      <c r="AS89" s="47"/>
      <c r="AT89" s="49"/>
      <c r="AU89" s="47"/>
      <c r="AV89" s="48">
        <v>79</v>
      </c>
      <c r="AW89" s="48" t="s">
        <v>73</v>
      </c>
      <c r="AX89" s="48"/>
      <c r="AY89" s="49">
        <f>SUM(AV89)</f>
        <v>79</v>
      </c>
      <c r="AZ89" s="28"/>
      <c r="BA89" s="28" t="s">
        <v>6</v>
      </c>
      <c r="BB89" s="68" t="s">
        <v>84</v>
      </c>
      <c r="BC89">
        <f>SUM(BC87:BC88)</f>
        <v>0</v>
      </c>
      <c r="BD89">
        <f>SUM(BD87:BD88)</f>
        <v>0</v>
      </c>
      <c r="BE89" s="47">
        <v>0</v>
      </c>
      <c r="BF89" s="27">
        <v>0</v>
      </c>
      <c r="BG89" s="49">
        <v>0</v>
      </c>
      <c r="BH89" s="75">
        <v>0</v>
      </c>
      <c r="BI89" s="49">
        <v>0</v>
      </c>
      <c r="BJ89" s="47"/>
      <c r="BK89" s="51" t="s">
        <v>73</v>
      </c>
      <c r="BL89" s="49">
        <f>SUM(BJ88:BJ89)</f>
        <v>0</v>
      </c>
    </row>
    <row r="90" spans="1:65" x14ac:dyDescent="0.3">
      <c r="A90" s="42" t="s">
        <v>105</v>
      </c>
      <c r="B90" s="42">
        <v>286</v>
      </c>
      <c r="C90" s="40">
        <v>428</v>
      </c>
      <c r="D90" s="28"/>
      <c r="E90" s="38" t="s">
        <v>60</v>
      </c>
      <c r="F90" s="28"/>
      <c r="G90" s="41"/>
      <c r="H90" s="67">
        <v>10</v>
      </c>
      <c r="I90" s="43" t="s">
        <v>106</v>
      </c>
      <c r="J90" s="40">
        <f>SUM(H90)</f>
        <v>10</v>
      </c>
      <c r="K90" s="28"/>
      <c r="L90" s="32"/>
      <c r="M90" s="33"/>
      <c r="N90" s="35"/>
      <c r="O90" s="34"/>
      <c r="P90" s="34"/>
      <c r="Q90" s="35"/>
      <c r="R90" s="33"/>
      <c r="S90" s="35"/>
      <c r="T90" s="6" t="s">
        <v>104</v>
      </c>
      <c r="U90" s="34"/>
      <c r="V90" s="35"/>
      <c r="W90" s="28"/>
      <c r="AB90" s="41" t="s">
        <v>6</v>
      </c>
      <c r="AC90" s="18"/>
      <c r="AD90" s="18"/>
      <c r="AE90" s="10">
        <v>0</v>
      </c>
      <c r="AF90" s="18">
        <v>0</v>
      </c>
      <c r="AG90" s="11">
        <v>0</v>
      </c>
      <c r="AH90" s="10"/>
      <c r="AI90" s="11"/>
      <c r="AJ90" s="10">
        <v>0</v>
      </c>
      <c r="AK90" s="10"/>
      <c r="AL90" s="37" t="s">
        <v>6</v>
      </c>
      <c r="AM90" s="11"/>
      <c r="AP90" s="10"/>
      <c r="AQ90" s="29"/>
      <c r="AR90" s="31"/>
      <c r="AS90" s="33"/>
      <c r="AT90" s="7"/>
      <c r="AU90" s="8"/>
      <c r="AV90" s="8"/>
      <c r="AW90" s="8"/>
      <c r="AX90" s="8"/>
      <c r="AY90" s="7"/>
      <c r="AZ90" s="28"/>
      <c r="BA90" s="28" t="s">
        <v>6</v>
      </c>
      <c r="BB90" s="33" t="s">
        <v>89</v>
      </c>
      <c r="BC90" s="78">
        <v>177</v>
      </c>
      <c r="BD90" s="79">
        <v>208</v>
      </c>
      <c r="BE90" s="34"/>
      <c r="BF90" s="8"/>
      <c r="BG90" s="35"/>
      <c r="BH90" s="80"/>
      <c r="BI90" s="34"/>
      <c r="BJ90" s="33"/>
      <c r="BK90" s="34" t="s">
        <v>91</v>
      </c>
      <c r="BL90" s="35"/>
    </row>
    <row r="91" spans="1:65" ht="15" thickBot="1" x14ac:dyDescent="0.35">
      <c r="A91" s="67" t="s">
        <v>84</v>
      </c>
      <c r="B91" s="47">
        <f>SUM(B89:B90)</f>
        <v>286</v>
      </c>
      <c r="C91" s="49">
        <f>SUM(C89:C90)</f>
        <v>428</v>
      </c>
      <c r="G91" s="46">
        <v>700</v>
      </c>
      <c r="H91" s="48"/>
      <c r="I91" s="48"/>
      <c r="J91" s="49"/>
      <c r="K91" s="28"/>
      <c r="L91" s="69" t="s">
        <v>109</v>
      </c>
      <c r="M91" s="42"/>
      <c r="N91" s="40">
        <v>0</v>
      </c>
      <c r="O91" s="28">
        <v>0</v>
      </c>
      <c r="P91" s="43">
        <v>0</v>
      </c>
      <c r="Q91" s="40">
        <v>0</v>
      </c>
      <c r="R91" s="42">
        <v>0</v>
      </c>
      <c r="S91" s="40">
        <v>0</v>
      </c>
      <c r="T91" s="28"/>
      <c r="U91" s="28"/>
      <c r="V91" s="40"/>
      <c r="W91" s="28"/>
      <c r="AA91" s="28"/>
      <c r="AB91" s="44"/>
      <c r="AC91" s="45"/>
      <c r="AD91" s="45"/>
      <c r="AE91" s="10">
        <v>0</v>
      </c>
      <c r="AF91" s="18">
        <v>0</v>
      </c>
      <c r="AG91" s="11">
        <v>0</v>
      </c>
      <c r="AH91" s="10"/>
      <c r="AI91" s="11"/>
      <c r="AJ91" s="67"/>
      <c r="AK91" s="42"/>
      <c r="AL91" s="54"/>
      <c r="AM91" s="40"/>
      <c r="AN91" s="28"/>
      <c r="AP91" s="36" t="s">
        <v>63</v>
      </c>
      <c r="AQ91" s="10">
        <v>91</v>
      </c>
      <c r="AR91" s="18">
        <v>112</v>
      </c>
      <c r="AS91" s="42"/>
      <c r="AT91" s="11"/>
      <c r="AU91" s="18"/>
      <c r="AV91" s="18" t="s">
        <v>110</v>
      </c>
      <c r="AW91" s="18" t="s">
        <v>111</v>
      </c>
      <c r="AX91" s="18" t="s">
        <v>112</v>
      </c>
      <c r="AY91" s="11"/>
      <c r="AZ91" s="45"/>
      <c r="BA91" s="28"/>
      <c r="BB91" s="52" t="s">
        <v>108</v>
      </c>
      <c r="BC91" s="42">
        <v>0</v>
      </c>
      <c r="BD91" s="40">
        <v>0</v>
      </c>
      <c r="BE91" s="28"/>
      <c r="BF91" s="28"/>
      <c r="BG91" s="40"/>
      <c r="BJ91" s="42"/>
      <c r="BK91" s="28"/>
      <c r="BL91" s="40"/>
    </row>
    <row r="92" spans="1:65" ht="15" thickBot="1" x14ac:dyDescent="0.35">
      <c r="A92" s="29" t="s">
        <v>108</v>
      </c>
      <c r="B92" s="29">
        <v>0</v>
      </c>
      <c r="C92" s="7">
        <v>0</v>
      </c>
      <c r="D92" s="8"/>
      <c r="E92" s="8">
        <v>1311</v>
      </c>
      <c r="F92" s="8"/>
      <c r="G92" s="50"/>
      <c r="H92" s="6" t="s">
        <v>104</v>
      </c>
      <c r="I92" s="31"/>
      <c r="J92" s="30"/>
      <c r="K92" s="28"/>
      <c r="L92" s="46"/>
      <c r="M92" s="47"/>
      <c r="N92" s="49"/>
      <c r="O92" s="48"/>
      <c r="P92" s="48"/>
      <c r="Q92" s="49"/>
      <c r="R92" s="72"/>
      <c r="S92" s="73"/>
      <c r="T92" s="48"/>
      <c r="U92" s="48"/>
      <c r="V92" s="49"/>
      <c r="W92" s="28"/>
      <c r="AA92" s="28"/>
      <c r="AB92" s="41"/>
      <c r="AE92" s="10">
        <v>0</v>
      </c>
      <c r="AF92" s="18">
        <v>0</v>
      </c>
      <c r="AG92" s="11">
        <v>0</v>
      </c>
      <c r="AH92" s="10"/>
      <c r="AI92" s="11"/>
      <c r="AJ92" s="47"/>
      <c r="AK92" s="72"/>
      <c r="AL92" s="74"/>
      <c r="AM92" s="49"/>
      <c r="AN92" s="28"/>
      <c r="AP92" s="10" t="s">
        <v>115</v>
      </c>
      <c r="AQ92" s="36">
        <v>43</v>
      </c>
      <c r="AR92" s="37">
        <v>13</v>
      </c>
      <c r="AS92" s="42"/>
      <c r="AT92" s="11"/>
      <c r="AU92" s="18"/>
      <c r="AV92" s="18"/>
      <c r="AW92" s="18"/>
      <c r="AX92" s="18"/>
      <c r="AY92" s="11"/>
      <c r="AZ92" s="28"/>
      <c r="BA92" s="28" t="s">
        <v>6</v>
      </c>
      <c r="BB92" s="67" t="s">
        <v>113</v>
      </c>
      <c r="BC92" s="42">
        <v>554</v>
      </c>
      <c r="BD92" s="40">
        <v>583</v>
      </c>
      <c r="BE92" s="28"/>
      <c r="BF92" s="28"/>
      <c r="BG92" s="40"/>
      <c r="BH92" s="28"/>
      <c r="BI92" s="28"/>
      <c r="BJ92" s="67">
        <v>56</v>
      </c>
      <c r="BK92" s="43" t="s">
        <v>73</v>
      </c>
      <c r="BL92" s="40"/>
    </row>
    <row r="93" spans="1:65" ht="15" thickBot="1" x14ac:dyDescent="0.35">
      <c r="A93" s="52" t="s">
        <v>109</v>
      </c>
      <c r="B93" s="36">
        <v>1170</v>
      </c>
      <c r="C93" s="11">
        <v>1250</v>
      </c>
      <c r="D93" s="45"/>
      <c r="E93" s="45">
        <v>0</v>
      </c>
      <c r="F93" s="45"/>
      <c r="G93" s="69"/>
      <c r="H93" s="45">
        <v>8</v>
      </c>
      <c r="I93" s="28" t="s">
        <v>114</v>
      </c>
      <c r="J93" s="40"/>
      <c r="K93" s="28"/>
      <c r="L93" s="50" t="s">
        <v>93</v>
      </c>
      <c r="M93" s="8">
        <v>0</v>
      </c>
      <c r="N93" s="8">
        <v>0</v>
      </c>
      <c r="O93" s="6"/>
      <c r="P93" s="8"/>
      <c r="Q93" s="7"/>
      <c r="R93" s="8">
        <v>0</v>
      </c>
      <c r="S93" s="8">
        <v>0</v>
      </c>
      <c r="T93" s="10" t="s">
        <v>116</v>
      </c>
      <c r="U93" s="8"/>
      <c r="V93" s="7"/>
      <c r="W93" s="28"/>
      <c r="AA93" s="28"/>
      <c r="AB93" s="33"/>
      <c r="AC93" s="6"/>
      <c r="AD93" s="7"/>
      <c r="AE93" s="8"/>
      <c r="AF93" s="8"/>
      <c r="AG93" s="8"/>
      <c r="AH93" s="6"/>
      <c r="AI93" s="7"/>
      <c r="AJ93" s="8"/>
      <c r="AK93" s="29"/>
      <c r="AL93" s="164" t="s">
        <v>117</v>
      </c>
      <c r="AM93" s="7"/>
      <c r="AN93" s="28"/>
      <c r="AP93" s="52" t="s">
        <v>72</v>
      </c>
      <c r="AQ93" s="52">
        <v>18</v>
      </c>
      <c r="AR93" s="54">
        <v>19</v>
      </c>
      <c r="AS93" s="42"/>
      <c r="AT93" s="40"/>
      <c r="AU93" s="28"/>
      <c r="AV93" s="28"/>
      <c r="AW93" s="28"/>
      <c r="AX93" s="28"/>
      <c r="AY93" s="40"/>
      <c r="AZ93" s="28"/>
      <c r="BA93" s="28"/>
      <c r="BB93" s="47" t="s">
        <v>84</v>
      </c>
      <c r="BC93" s="47">
        <f>SUM(BC90:BC92)</f>
        <v>731</v>
      </c>
      <c r="BD93" s="49">
        <f>SUM(BD90:BD92)</f>
        <v>791</v>
      </c>
      <c r="BE93" s="81">
        <v>0</v>
      </c>
      <c r="BF93" s="27">
        <v>0</v>
      </c>
      <c r="BG93" s="82">
        <f>+BG90</f>
        <v>0</v>
      </c>
      <c r="BH93" s="74">
        <v>0</v>
      </c>
      <c r="BI93" s="74">
        <v>0</v>
      </c>
      <c r="BJ93" s="47"/>
      <c r="BK93" s="51"/>
      <c r="BL93" s="49">
        <f>SUM(BJ92)</f>
        <v>56</v>
      </c>
    </row>
    <row r="94" spans="1:65" ht="15" thickBot="1" x14ac:dyDescent="0.35">
      <c r="A94" s="76" t="s">
        <v>84</v>
      </c>
      <c r="B94" s="42">
        <f>SUM(B92:B93)</f>
        <v>1170</v>
      </c>
      <c r="C94" s="40">
        <f>SUM(C92:C93)</f>
        <v>1250</v>
      </c>
      <c r="D94" s="28"/>
      <c r="E94" s="28">
        <f>SUM(E92:E93)</f>
        <v>1311</v>
      </c>
      <c r="F94" s="28"/>
      <c r="G94" s="46">
        <f>1092+4500</f>
        <v>5592</v>
      </c>
      <c r="H94" s="48"/>
      <c r="I94" s="48"/>
      <c r="J94" s="49">
        <f>SUM(H93)</f>
        <v>8</v>
      </c>
      <c r="K94" s="28"/>
      <c r="L94" s="12" t="s">
        <v>99</v>
      </c>
      <c r="M94" s="37">
        <v>44953</v>
      </c>
      <c r="N94" s="37">
        <v>20998</v>
      </c>
      <c r="O94" s="10"/>
      <c r="P94" s="18"/>
      <c r="Q94" s="11"/>
      <c r="R94" s="18">
        <v>3845</v>
      </c>
      <c r="S94" s="18">
        <v>117</v>
      </c>
      <c r="T94" s="10"/>
      <c r="U94" s="18"/>
      <c r="V94" s="11"/>
      <c r="W94" s="28"/>
      <c r="AA94" s="28"/>
      <c r="AB94" s="67"/>
      <c r="AC94" s="42"/>
      <c r="AD94" s="40"/>
      <c r="AE94" s="28"/>
      <c r="AF94" s="28"/>
      <c r="AG94" s="28"/>
      <c r="AH94" s="42"/>
      <c r="AI94" s="40"/>
      <c r="AJ94" s="28"/>
      <c r="AK94" s="42"/>
      <c r="AL94" s="54" t="s">
        <v>558</v>
      </c>
      <c r="AM94" s="40"/>
      <c r="AN94" s="28"/>
      <c r="AP94" s="36" t="s">
        <v>78</v>
      </c>
      <c r="AQ94" s="36">
        <v>65</v>
      </c>
      <c r="AR94" s="37">
        <v>70</v>
      </c>
      <c r="AS94" s="42"/>
      <c r="AT94" s="11"/>
      <c r="AU94" s="18"/>
      <c r="AV94" s="37"/>
      <c r="AW94" s="18"/>
      <c r="AX94" s="37"/>
      <c r="AY94" s="11"/>
      <c r="AZ94" s="28"/>
      <c r="BA94" s="28"/>
      <c r="BB94" s="52" t="s">
        <v>113</v>
      </c>
      <c r="BC94" s="42">
        <v>603</v>
      </c>
      <c r="BD94" s="85">
        <v>602</v>
      </c>
      <c r="BE94" s="37"/>
      <c r="BF94" s="18"/>
      <c r="BG94" s="54"/>
      <c r="BH94" s="52"/>
      <c r="BI94" s="40"/>
      <c r="BJ94" s="67"/>
      <c r="BK94" s="34" t="s">
        <v>130</v>
      </c>
      <c r="BL94" s="40"/>
    </row>
    <row r="95" spans="1:65" x14ac:dyDescent="0.3">
      <c r="A95" s="32" t="s">
        <v>93</v>
      </c>
      <c r="B95" s="33">
        <v>3095</v>
      </c>
      <c r="C95" s="35">
        <v>3083</v>
      </c>
      <c r="D95" s="33"/>
      <c r="E95" s="34"/>
      <c r="F95" s="34"/>
      <c r="G95" s="32">
        <v>4775</v>
      </c>
      <c r="H95" s="33" t="s">
        <v>118</v>
      </c>
      <c r="I95" s="34"/>
      <c r="J95" s="35"/>
      <c r="K95" s="28"/>
      <c r="L95" s="12" t="s">
        <v>120</v>
      </c>
      <c r="M95" s="37">
        <v>6538</v>
      </c>
      <c r="N95" s="37">
        <v>64382</v>
      </c>
      <c r="O95" s="10"/>
      <c r="P95" s="18"/>
      <c r="Q95" s="11"/>
      <c r="R95" s="18">
        <v>637</v>
      </c>
      <c r="S95" s="18">
        <v>0</v>
      </c>
      <c r="T95" s="10"/>
      <c r="U95" s="18"/>
      <c r="V95" s="11"/>
      <c r="W95" s="28"/>
      <c r="AA95" s="28"/>
      <c r="AB95" s="36"/>
      <c r="AC95" s="10"/>
      <c r="AD95" s="11"/>
      <c r="AE95" s="18"/>
      <c r="AF95" s="18"/>
      <c r="AG95" s="18"/>
      <c r="AH95" s="10"/>
      <c r="AI95" s="11"/>
      <c r="AJ95" s="18"/>
      <c r="AK95" s="10"/>
      <c r="AL95" s="37" t="s">
        <v>302</v>
      </c>
      <c r="AM95" s="11"/>
      <c r="AN95" s="28"/>
      <c r="AP95" s="10" t="s">
        <v>122</v>
      </c>
      <c r="AQ95" s="36">
        <v>57</v>
      </c>
      <c r="AR95" s="37">
        <v>56</v>
      </c>
      <c r="AS95" s="42"/>
      <c r="AT95" s="11"/>
      <c r="AU95" s="18"/>
      <c r="AV95" s="18">
        <v>47</v>
      </c>
      <c r="AW95" s="18" t="s">
        <v>123</v>
      </c>
      <c r="AX95" s="18"/>
      <c r="AY95" s="11"/>
      <c r="AZ95" s="28"/>
      <c r="BA95" s="28"/>
      <c r="BB95" s="42" t="s">
        <v>475</v>
      </c>
      <c r="BC95" s="67">
        <v>0</v>
      </c>
      <c r="BD95" s="85">
        <v>0</v>
      </c>
      <c r="BE95" s="28"/>
      <c r="BF95" s="18"/>
      <c r="BG95" s="28"/>
      <c r="BH95" s="52"/>
      <c r="BI95" s="86"/>
      <c r="BJ95" s="52">
        <v>48</v>
      </c>
      <c r="BK95" s="43" t="s">
        <v>73</v>
      </c>
      <c r="BL95" s="40"/>
      <c r="BM95" t="s">
        <v>6</v>
      </c>
    </row>
    <row r="96" spans="1:65" ht="15" thickBot="1" x14ac:dyDescent="0.35">
      <c r="A96" s="41" t="s">
        <v>120</v>
      </c>
      <c r="B96" s="42">
        <v>3079</v>
      </c>
      <c r="C96" s="40">
        <v>3028</v>
      </c>
      <c r="D96" s="42"/>
      <c r="E96" s="28" t="s">
        <v>60</v>
      </c>
      <c r="F96" s="28"/>
      <c r="G96" s="41">
        <v>4325</v>
      </c>
      <c r="H96" s="42">
        <v>46</v>
      </c>
      <c r="I96" s="28" t="s">
        <v>101</v>
      </c>
      <c r="J96" s="40"/>
      <c r="K96" s="28"/>
      <c r="L96" s="12" t="s">
        <v>84</v>
      </c>
      <c r="M96" s="18">
        <f>SUM(M93:M95)</f>
        <v>51491</v>
      </c>
      <c r="N96" s="18">
        <f>SUM(N93:N95)</f>
        <v>85380</v>
      </c>
      <c r="O96" s="10">
        <v>0</v>
      </c>
      <c r="P96" s="18">
        <v>0</v>
      </c>
      <c r="Q96" s="11">
        <v>0</v>
      </c>
      <c r="R96" s="18">
        <f>SUM(R93:R95)</f>
        <v>4482</v>
      </c>
      <c r="S96" s="18">
        <f>SUM(S93:S95)</f>
        <v>117</v>
      </c>
      <c r="T96" s="10"/>
      <c r="U96" s="18"/>
      <c r="V96" s="11"/>
      <c r="W96" s="28"/>
      <c r="AA96" s="28"/>
      <c r="AB96" s="42"/>
      <c r="AC96" s="42"/>
      <c r="AD96" s="40"/>
      <c r="AE96" s="28"/>
      <c r="AF96" s="28"/>
      <c r="AG96" s="28"/>
      <c r="AH96" s="42"/>
      <c r="AI96" s="40"/>
      <c r="AJ96" s="28"/>
      <c r="AK96" s="42">
        <v>1</v>
      </c>
      <c r="AL96" s="28" t="s">
        <v>124</v>
      </c>
      <c r="AM96" s="40"/>
      <c r="AN96" s="28"/>
      <c r="AP96" s="10" t="s">
        <v>125</v>
      </c>
      <c r="AQ96" s="36">
        <v>13</v>
      </c>
      <c r="AR96" s="37">
        <v>14</v>
      </c>
      <c r="AS96" s="42"/>
      <c r="AT96" s="11"/>
      <c r="AU96" s="18"/>
      <c r="AV96" s="18">
        <v>43</v>
      </c>
      <c r="AW96" s="18" t="s">
        <v>126</v>
      </c>
      <c r="AX96" s="18"/>
      <c r="AY96" s="11"/>
      <c r="AZ96" s="28"/>
      <c r="BA96" s="28"/>
      <c r="BB96" s="59" t="s">
        <v>84</v>
      </c>
      <c r="BC96" s="13">
        <f>SUM(BC94:BC95)</f>
        <v>603</v>
      </c>
      <c r="BD96" s="60">
        <f>SUM(BD94:BD95)</f>
        <v>602</v>
      </c>
      <c r="BE96" s="81">
        <v>0</v>
      </c>
      <c r="BF96" s="27">
        <v>0</v>
      </c>
      <c r="BG96" s="27">
        <v>0</v>
      </c>
      <c r="BH96" s="13">
        <v>0</v>
      </c>
      <c r="BI96" s="26">
        <v>0</v>
      </c>
      <c r="BJ96" s="13"/>
      <c r="BK96" s="43"/>
      <c r="BL96" s="26">
        <f>SUM(BJ94:BJ95)</f>
        <v>48</v>
      </c>
    </row>
    <row r="97" spans="1:64" ht="15" thickBot="1" x14ac:dyDescent="0.35">
      <c r="A97" s="46" t="s">
        <v>84</v>
      </c>
      <c r="B97" s="47">
        <f>SUM(B95:B96)</f>
        <v>6174</v>
      </c>
      <c r="C97" s="49">
        <f>SUM(C95:C96)</f>
        <v>6111</v>
      </c>
      <c r="D97" s="47"/>
      <c r="E97" s="48"/>
      <c r="F97" s="48"/>
      <c r="G97" s="46">
        <f>SUM(G95:G96)</f>
        <v>9100</v>
      </c>
      <c r="H97" s="47">
        <v>21</v>
      </c>
      <c r="I97" s="48" t="s">
        <v>127</v>
      </c>
      <c r="J97" s="49">
        <f>SUM(H96:H97)</f>
        <v>67</v>
      </c>
      <c r="K97" s="28"/>
      <c r="L97" s="17"/>
      <c r="M97" s="27"/>
      <c r="N97" s="27"/>
      <c r="O97" s="13"/>
      <c r="P97" s="27"/>
      <c r="Q97" s="26"/>
      <c r="R97" s="27"/>
      <c r="S97" s="27"/>
      <c r="T97" s="13"/>
      <c r="U97" s="27"/>
      <c r="V97" s="26"/>
      <c r="W97" s="28"/>
      <c r="AA97" s="28"/>
      <c r="AB97" s="47"/>
      <c r="AC97" s="47"/>
      <c r="AD97" s="49"/>
      <c r="AE97" s="48"/>
      <c r="AF97" s="48"/>
      <c r="AG97" s="48"/>
      <c r="AH97" s="47"/>
      <c r="AI97" s="49"/>
      <c r="AJ97" s="48"/>
      <c r="AK97" s="165"/>
      <c r="AL97" s="48"/>
      <c r="AM97" s="49"/>
      <c r="AN97" s="28"/>
      <c r="AP97" s="84" t="s">
        <v>128</v>
      </c>
      <c r="AQ97" s="52">
        <v>3</v>
      </c>
      <c r="AR97" s="37">
        <v>6</v>
      </c>
      <c r="AS97" s="42"/>
      <c r="AT97" s="40"/>
      <c r="AU97" s="28"/>
      <c r="AV97" s="28">
        <v>14</v>
      </c>
      <c r="AW97" s="28" t="s">
        <v>129</v>
      </c>
      <c r="AX97" s="28"/>
      <c r="AY97" s="40"/>
      <c r="BA97" s="28"/>
      <c r="BB97" s="88" t="s">
        <v>164</v>
      </c>
      <c r="BC97" s="33">
        <v>1</v>
      </c>
      <c r="BD97" s="34">
        <v>2</v>
      </c>
      <c r="BE97" s="152"/>
      <c r="BF97" s="89"/>
      <c r="BG97" s="66"/>
      <c r="BH97" s="8"/>
      <c r="BI97" s="35"/>
      <c r="BJ97" s="34" t="s">
        <v>140</v>
      </c>
      <c r="BK97" s="34"/>
      <c r="BL97" s="35"/>
    </row>
    <row r="98" spans="1:64" x14ac:dyDescent="0.3">
      <c r="A98" s="41" t="s">
        <v>88</v>
      </c>
      <c r="B98" s="173">
        <v>307</v>
      </c>
      <c r="C98" s="174">
        <v>390</v>
      </c>
      <c r="D98" s="28"/>
      <c r="E98" s="45">
        <v>0</v>
      </c>
      <c r="F98" s="40"/>
      <c r="G98" s="40">
        <v>1370</v>
      </c>
      <c r="H98" s="28" t="s">
        <v>131</v>
      </c>
      <c r="J98" s="40"/>
      <c r="K98" s="28"/>
      <c r="L98" s="12" t="s">
        <v>105</v>
      </c>
      <c r="M98" s="34">
        <v>1524</v>
      </c>
      <c r="N98" s="34">
        <v>23</v>
      </c>
      <c r="O98" s="33" t="s">
        <v>6</v>
      </c>
      <c r="P98" s="34"/>
      <c r="Q98" s="35"/>
      <c r="R98" s="34">
        <v>33</v>
      </c>
      <c r="S98" s="34">
        <v>0</v>
      </c>
      <c r="T98" s="33"/>
      <c r="U98" s="34"/>
      <c r="V98" s="35"/>
      <c r="W98" s="28"/>
      <c r="AA98" s="28"/>
      <c r="AB98" s="32" t="s">
        <v>97</v>
      </c>
      <c r="AC98" s="28">
        <v>1</v>
      </c>
      <c r="AD98" s="28">
        <v>20</v>
      </c>
      <c r="AE98" s="33"/>
      <c r="AF98" s="34"/>
      <c r="AG98" s="34"/>
      <c r="AH98" s="33"/>
      <c r="AI98" s="35"/>
      <c r="AJ98" s="35"/>
      <c r="AK98" s="33"/>
      <c r="AL98" s="34"/>
      <c r="AM98" s="35"/>
      <c r="AN98" s="28"/>
      <c r="AP98" s="84" t="s">
        <v>132</v>
      </c>
      <c r="AQ98" s="42">
        <v>0</v>
      </c>
      <c r="AR98" s="37">
        <v>0</v>
      </c>
      <c r="AS98" s="42"/>
      <c r="AT98" s="40"/>
      <c r="AU98" s="28"/>
      <c r="AV98" s="28"/>
      <c r="AW98" s="28"/>
      <c r="AX98" s="28"/>
      <c r="AY98" s="40"/>
      <c r="AZ98" s="28"/>
      <c r="BA98" s="28"/>
      <c r="BB98" s="42" t="s">
        <v>658</v>
      </c>
      <c r="BC98" s="42">
        <v>20</v>
      </c>
      <c r="BD98" s="43">
        <f>13+6</f>
        <v>19</v>
      </c>
      <c r="BE98" s="42"/>
      <c r="BF98" s="28"/>
      <c r="BG98" s="40"/>
      <c r="BH98" s="28"/>
      <c r="BI98" s="40"/>
      <c r="BJ98" s="28"/>
      <c r="BK98" s="28"/>
      <c r="BL98" s="40"/>
    </row>
    <row r="99" spans="1:64" x14ac:dyDescent="0.3">
      <c r="A99" s="41" t="s">
        <v>102</v>
      </c>
      <c r="B99" s="173">
        <v>257</v>
      </c>
      <c r="C99" s="175">
        <v>524</v>
      </c>
      <c r="D99" s="28"/>
      <c r="E99" s="45">
        <v>0</v>
      </c>
      <c r="F99" s="40"/>
      <c r="G99" s="40">
        <v>1370</v>
      </c>
      <c r="H99" s="43">
        <v>8</v>
      </c>
      <c r="I99" s="28" t="s">
        <v>134</v>
      </c>
      <c r="J99" s="40"/>
      <c r="K99" s="28"/>
      <c r="L99" s="44" t="s">
        <v>99</v>
      </c>
      <c r="M99" s="18">
        <v>93</v>
      </c>
      <c r="N99" s="18">
        <v>0</v>
      </c>
      <c r="O99" s="10"/>
      <c r="P99" s="18"/>
      <c r="Q99" s="11"/>
      <c r="R99" s="18">
        <v>0</v>
      </c>
      <c r="S99" s="18">
        <v>0</v>
      </c>
      <c r="T99" s="10" t="s">
        <v>135</v>
      </c>
      <c r="U99" s="18"/>
      <c r="V99" s="11"/>
      <c r="W99" s="28"/>
      <c r="AA99" s="28"/>
      <c r="AB99" s="41" t="s">
        <v>89</v>
      </c>
      <c r="AC99" s="28">
        <v>499</v>
      </c>
      <c r="AD99" s="28">
        <v>420</v>
      </c>
      <c r="AE99" s="42"/>
      <c r="AF99" s="28"/>
      <c r="AG99" s="28"/>
      <c r="AH99" s="42"/>
      <c r="AI99" s="40"/>
      <c r="AJ99" s="40"/>
      <c r="AK99" s="42" t="s">
        <v>136</v>
      </c>
      <c r="AL99" s="28"/>
      <c r="AM99" s="40"/>
      <c r="AN99" s="28"/>
      <c r="AP99" s="84" t="s">
        <v>81</v>
      </c>
      <c r="AQ99" s="42">
        <v>3</v>
      </c>
      <c r="AR99" s="37">
        <v>0</v>
      </c>
      <c r="AS99" s="42"/>
      <c r="AT99" s="40"/>
      <c r="AU99" s="28"/>
      <c r="AV99" s="28"/>
      <c r="AW99" s="28"/>
      <c r="AX99" s="28"/>
      <c r="AY99" s="40"/>
      <c r="AZ99" s="28"/>
      <c r="BA99" s="28"/>
      <c r="BB99" s="153" t="s">
        <v>108</v>
      </c>
      <c r="BC99" s="42">
        <v>3</v>
      </c>
      <c r="BD99" s="43">
        <v>3</v>
      </c>
      <c r="BE99" s="42"/>
      <c r="BF99" s="28"/>
      <c r="BG99" s="40"/>
      <c r="BH99" s="28"/>
      <c r="BI99" s="40"/>
      <c r="BJ99" s="28"/>
      <c r="BK99" s="28"/>
      <c r="BL99" s="40"/>
    </row>
    <row r="100" spans="1:64" ht="15" thickBot="1" x14ac:dyDescent="0.35">
      <c r="A100" s="87" t="s">
        <v>84</v>
      </c>
      <c r="B100" s="176">
        <f>SUM(B98:B99)</f>
        <v>564</v>
      </c>
      <c r="C100" s="177">
        <f>SUM(C98:C99)</f>
        <v>914</v>
      </c>
      <c r="D100" s="27"/>
      <c r="E100" s="16">
        <f>SUM(E96:E99)</f>
        <v>0</v>
      </c>
      <c r="F100" s="26"/>
      <c r="G100" s="49">
        <f>SUM(G98:G99)</f>
        <v>2740</v>
      </c>
      <c r="H100" s="48"/>
      <c r="I100" s="48"/>
      <c r="J100" s="49">
        <f>SUM(H98:H99)</f>
        <v>8</v>
      </c>
      <c r="K100" s="28"/>
      <c r="L100" s="12"/>
      <c r="M100" s="18"/>
      <c r="N100" s="18"/>
      <c r="O100" s="10"/>
      <c r="P100" s="18"/>
      <c r="Q100" s="11"/>
      <c r="R100" s="18"/>
      <c r="S100" s="18"/>
      <c r="T100" s="10"/>
      <c r="U100" s="18"/>
      <c r="V100" s="11"/>
      <c r="W100" s="28"/>
      <c r="AA100" s="28"/>
      <c r="AB100" s="44" t="s">
        <v>137</v>
      </c>
      <c r="AC100" s="18">
        <v>151</v>
      </c>
      <c r="AD100" s="18">
        <v>209</v>
      </c>
      <c r="AE100" s="10"/>
      <c r="AF100" s="18"/>
      <c r="AG100" s="18"/>
      <c r="AH100" s="52"/>
      <c r="AI100" s="85"/>
      <c r="AJ100" s="40"/>
      <c r="AK100" s="84"/>
      <c r="AL100" s="37"/>
      <c r="AM100" s="40"/>
      <c r="AN100" s="28"/>
      <c r="AP100" s="10" t="s">
        <v>138</v>
      </c>
      <c r="AQ100" s="36">
        <v>0</v>
      </c>
      <c r="AR100" s="37">
        <v>0</v>
      </c>
      <c r="AS100" s="42"/>
      <c r="AT100" s="11"/>
      <c r="AU100" s="18"/>
      <c r="AV100" s="18"/>
      <c r="AW100" s="18"/>
      <c r="AX100" s="18"/>
      <c r="AY100" s="11"/>
      <c r="AZ100" s="28"/>
      <c r="BA100" s="28"/>
      <c r="BB100" s="92" t="s">
        <v>113</v>
      </c>
      <c r="BC100" s="67">
        <f>3+1+58+8+3+2</f>
        <v>75</v>
      </c>
      <c r="BD100" s="43">
        <f>17+33+10+1+3</f>
        <v>64</v>
      </c>
      <c r="BE100" s="52"/>
      <c r="BF100" s="54"/>
      <c r="BG100" s="85"/>
      <c r="BH100" s="18"/>
      <c r="BI100" s="40"/>
      <c r="BJ100" s="18" t="s">
        <v>142</v>
      </c>
      <c r="BK100" s="18"/>
      <c r="BL100" s="39" t="s">
        <v>251</v>
      </c>
    </row>
    <row r="101" spans="1:64" x14ac:dyDescent="0.3">
      <c r="A101" s="36" t="s">
        <v>93</v>
      </c>
      <c r="B101" s="42">
        <v>6771</v>
      </c>
      <c r="C101" s="90">
        <v>7340</v>
      </c>
      <c r="D101" s="3"/>
      <c r="E101" s="91" t="s">
        <v>60</v>
      </c>
      <c r="F101" s="18"/>
      <c r="G101" s="44">
        <v>9012</v>
      </c>
      <c r="H101" s="10" t="s">
        <v>116</v>
      </c>
      <c r="I101" s="18"/>
      <c r="J101" s="11"/>
      <c r="K101" s="28"/>
      <c r="L101" s="12" t="s">
        <v>84</v>
      </c>
      <c r="M101" s="18">
        <f>SUM(M98:M100)</f>
        <v>1617</v>
      </c>
      <c r="N101" s="18">
        <f>SUM(N98:N100)</f>
        <v>23</v>
      </c>
      <c r="O101" s="10">
        <v>0</v>
      </c>
      <c r="P101" s="18">
        <v>0</v>
      </c>
      <c r="Q101" s="11">
        <v>0</v>
      </c>
      <c r="R101" s="18">
        <f>SUM(R98:R100)</f>
        <v>33</v>
      </c>
      <c r="S101" s="18">
        <f>SUM(S98:S100)</f>
        <v>0</v>
      </c>
      <c r="T101" s="10"/>
      <c r="U101" s="18"/>
      <c r="V101" s="11"/>
      <c r="W101" s="28"/>
      <c r="AA101" s="28"/>
      <c r="AB101" s="41" t="s">
        <v>84</v>
      </c>
      <c r="AC101" s="28">
        <f>SUM(AC98:AC100)</f>
        <v>651</v>
      </c>
      <c r="AD101" s="28">
        <f>SUM(AD98:AD100)</f>
        <v>649</v>
      </c>
      <c r="AE101" s="42">
        <v>0</v>
      </c>
      <c r="AF101" s="28">
        <v>0</v>
      </c>
      <c r="AG101" s="28">
        <v>0</v>
      </c>
      <c r="AH101" s="42">
        <v>0</v>
      </c>
      <c r="AI101" s="40">
        <v>0</v>
      </c>
      <c r="AJ101" s="40">
        <v>0</v>
      </c>
      <c r="AK101" s="67">
        <v>17</v>
      </c>
      <c r="AL101" s="28" t="s">
        <v>141</v>
      </c>
      <c r="AM101" s="40"/>
      <c r="AN101" s="28"/>
      <c r="AP101" s="84" t="s">
        <v>56</v>
      </c>
      <c r="AQ101" s="42">
        <v>31</v>
      </c>
      <c r="AR101" s="54">
        <v>26</v>
      </c>
      <c r="AS101" s="42"/>
      <c r="AT101" s="40"/>
      <c r="AU101" s="28"/>
      <c r="AV101" s="28"/>
      <c r="AW101" s="28"/>
      <c r="AX101" s="28"/>
      <c r="AY101" s="40"/>
      <c r="AZ101" s="28"/>
      <c r="BA101" s="28"/>
      <c r="BB101" s="42" t="s">
        <v>250</v>
      </c>
      <c r="BC101" s="67">
        <v>0</v>
      </c>
      <c r="BD101" s="43">
        <f>1+2</f>
        <v>3</v>
      </c>
      <c r="BE101" s="52"/>
      <c r="BF101" s="54"/>
      <c r="BG101" s="85"/>
      <c r="BH101" s="18"/>
      <c r="BI101" s="40"/>
      <c r="BJ101" s="154" t="s">
        <v>146</v>
      </c>
      <c r="BK101" s="28"/>
      <c r="BL101" s="94" t="s">
        <v>591</v>
      </c>
    </row>
    <row r="102" spans="1:64" ht="15" thickBot="1" x14ac:dyDescent="0.35">
      <c r="A102" s="10" t="s">
        <v>99</v>
      </c>
      <c r="B102" s="42">
        <v>12071</v>
      </c>
      <c r="C102" s="40">
        <v>12214</v>
      </c>
      <c r="D102" s="3"/>
      <c r="E102" s="91" t="s">
        <v>60</v>
      </c>
      <c r="F102" s="18"/>
      <c r="G102" s="12">
        <v>17341</v>
      </c>
      <c r="H102" s="10">
        <v>58</v>
      </c>
      <c r="I102" s="37" t="s">
        <v>144</v>
      </c>
      <c r="J102" s="11"/>
      <c r="K102" s="28"/>
      <c r="L102" s="12"/>
      <c r="M102" s="18"/>
      <c r="N102" s="18"/>
      <c r="O102" s="10"/>
      <c r="P102" s="18"/>
      <c r="Q102" s="11"/>
      <c r="R102" s="18"/>
      <c r="S102" s="18"/>
      <c r="T102" s="10"/>
      <c r="U102" s="18"/>
      <c r="V102" s="11"/>
      <c r="W102" s="28"/>
      <c r="AA102" s="28"/>
      <c r="AB102" s="46"/>
      <c r="AC102" s="48"/>
      <c r="AD102" s="48"/>
      <c r="AE102" s="47"/>
      <c r="AF102" s="48"/>
      <c r="AG102" s="48"/>
      <c r="AH102" s="47"/>
      <c r="AI102" s="49"/>
      <c r="AJ102" s="49"/>
      <c r="AK102" s="47"/>
      <c r="AL102" s="48" t="s">
        <v>145</v>
      </c>
      <c r="AM102" s="49"/>
      <c r="AN102" s="28"/>
      <c r="AP102" s="36" t="s">
        <v>67</v>
      </c>
      <c r="AQ102" s="10">
        <v>21</v>
      </c>
      <c r="AR102" s="18">
        <v>19</v>
      </c>
      <c r="AS102" s="42"/>
      <c r="AT102" s="11"/>
      <c r="AU102" s="18"/>
      <c r="AV102" s="18"/>
      <c r="AW102" s="18"/>
      <c r="AX102" s="18"/>
      <c r="AY102" s="11"/>
      <c r="AZ102" s="28"/>
      <c r="BA102" s="28" t="s">
        <v>6</v>
      </c>
      <c r="BB102" s="127" t="s">
        <v>200</v>
      </c>
      <c r="BC102" s="67">
        <f>5+8</f>
        <v>13</v>
      </c>
      <c r="BD102" s="43">
        <v>8</v>
      </c>
      <c r="BE102" s="42"/>
      <c r="BF102" s="28"/>
      <c r="BG102" s="40"/>
      <c r="BH102" s="28"/>
      <c r="BI102" s="40"/>
      <c r="BJ102" s="28"/>
      <c r="BK102" s="28"/>
      <c r="BL102" s="40"/>
    </row>
    <row r="103" spans="1:64" ht="15" thickBot="1" x14ac:dyDescent="0.35">
      <c r="A103" s="10" t="s">
        <v>120</v>
      </c>
      <c r="B103" s="42">
        <v>4519</v>
      </c>
      <c r="C103" s="40">
        <v>4375</v>
      </c>
      <c r="D103" s="3"/>
      <c r="E103" s="91" t="s">
        <v>60</v>
      </c>
      <c r="F103" s="18"/>
      <c r="G103" s="12">
        <v>10615</v>
      </c>
      <c r="H103" s="84">
        <v>55</v>
      </c>
      <c r="I103" s="37" t="s">
        <v>148</v>
      </c>
      <c r="J103" s="11"/>
      <c r="K103" s="28"/>
      <c r="L103" s="12"/>
      <c r="M103" s="18"/>
      <c r="N103" s="18"/>
      <c r="O103" s="10"/>
      <c r="P103" s="18"/>
      <c r="Q103" s="11"/>
      <c r="R103" s="18"/>
      <c r="S103" s="18"/>
      <c r="T103" s="10"/>
      <c r="U103" s="18"/>
      <c r="V103" s="11"/>
      <c r="W103" s="28"/>
      <c r="AA103" s="28"/>
      <c r="AB103" s="42"/>
      <c r="AC103" s="42"/>
      <c r="AD103" s="40"/>
      <c r="AE103" s="28"/>
      <c r="AF103" s="28"/>
      <c r="AG103" s="28"/>
      <c r="AH103" s="42"/>
      <c r="AI103" s="28"/>
      <c r="AJ103" s="41"/>
      <c r="AK103" s="28" t="s">
        <v>149</v>
      </c>
      <c r="AL103" s="28"/>
      <c r="AM103" s="40"/>
      <c r="AN103" s="28" t="s">
        <v>6</v>
      </c>
      <c r="AO103" s="95"/>
      <c r="AP103" s="13" t="s">
        <v>84</v>
      </c>
      <c r="AQ103" s="13">
        <f>SUM(AQ91:AQ102)</f>
        <v>345</v>
      </c>
      <c r="AR103" s="27">
        <f>SUM(AR91:AR102)</f>
        <v>335</v>
      </c>
      <c r="AS103" s="47"/>
      <c r="AT103" s="26">
        <f>SUM(AT95:AT102)</f>
        <v>0</v>
      </c>
      <c r="AU103" s="27"/>
      <c r="AV103" s="27"/>
      <c r="AW103" s="27"/>
      <c r="AX103" s="27"/>
      <c r="AY103" s="26">
        <f>SUM(AV95:AV97)</f>
        <v>104</v>
      </c>
      <c r="AZ103" s="28"/>
      <c r="BA103" s="28"/>
      <c r="BB103" s="52" t="s">
        <v>133</v>
      </c>
      <c r="BC103" s="67">
        <f>15+3</f>
        <v>18</v>
      </c>
      <c r="BD103" s="43">
        <f>30+1</f>
        <v>31</v>
      </c>
      <c r="BE103" s="52" t="s">
        <v>150</v>
      </c>
      <c r="BF103" s="54"/>
      <c r="BG103" s="85"/>
      <c r="BH103" s="18"/>
      <c r="BI103" s="40"/>
      <c r="BJ103" s="28" t="s">
        <v>151</v>
      </c>
      <c r="BK103" s="28"/>
      <c r="BL103" s="96"/>
    </row>
    <row r="104" spans="1:64" ht="15" thickBot="1" x14ac:dyDescent="0.35">
      <c r="A104" s="10" t="s">
        <v>84</v>
      </c>
      <c r="B104" s="42">
        <f>SUM(B101:B103)</f>
        <v>23361</v>
      </c>
      <c r="C104" s="40">
        <f>SUM(C101:C103)</f>
        <v>23929</v>
      </c>
      <c r="D104" s="3"/>
      <c r="E104" s="91" t="s">
        <v>60</v>
      </c>
      <c r="F104" s="18"/>
      <c r="G104" s="12">
        <f>SUM(G101:G103)</f>
        <v>36968</v>
      </c>
      <c r="H104" s="42">
        <v>54</v>
      </c>
      <c r="I104" s="54" t="s">
        <v>152</v>
      </c>
      <c r="J104" s="40"/>
      <c r="K104" s="28"/>
      <c r="L104" s="44"/>
      <c r="M104" s="18"/>
      <c r="N104" s="18"/>
      <c r="O104" s="10"/>
      <c r="P104" s="18"/>
      <c r="Q104" s="11"/>
      <c r="R104" s="18"/>
      <c r="S104" s="18"/>
      <c r="T104" s="10"/>
      <c r="U104" s="18"/>
      <c r="V104" s="11"/>
      <c r="W104" s="28"/>
      <c r="Y104" t="s">
        <v>6</v>
      </c>
      <c r="AB104" s="36" t="s">
        <v>99</v>
      </c>
      <c r="AC104" s="10">
        <v>0</v>
      </c>
      <c r="AD104" s="11">
        <v>0</v>
      </c>
      <c r="AE104" s="18">
        <v>0</v>
      </c>
      <c r="AF104" s="18">
        <v>0</v>
      </c>
      <c r="AG104" s="18">
        <v>0</v>
      </c>
      <c r="AH104" s="52">
        <v>55412</v>
      </c>
      <c r="AI104" s="45">
        <v>7904</v>
      </c>
      <c r="AJ104" s="41">
        <v>0</v>
      </c>
      <c r="AK104" s="45">
        <v>4</v>
      </c>
      <c r="AL104" s="37" t="s">
        <v>153</v>
      </c>
      <c r="AM104" s="40"/>
      <c r="AP104" s="32"/>
      <c r="AQ104" s="53"/>
      <c r="AR104" s="97"/>
      <c r="AS104" s="33"/>
      <c r="AT104" s="7"/>
      <c r="AU104" s="6"/>
      <c r="AV104" s="8"/>
      <c r="AW104" s="31"/>
      <c r="AX104" s="8"/>
      <c r="AY104" s="7"/>
      <c r="AZ104" s="28"/>
      <c r="BA104" s="28"/>
      <c r="BB104" s="52" t="s">
        <v>120</v>
      </c>
      <c r="BC104" s="42">
        <v>1</v>
      </c>
      <c r="BD104" s="43">
        <v>0</v>
      </c>
      <c r="BE104" s="42"/>
      <c r="BF104" s="54"/>
      <c r="BG104" s="40"/>
      <c r="BH104" s="45"/>
      <c r="BI104" s="56"/>
      <c r="BJ104" s="43" t="s">
        <v>345</v>
      </c>
      <c r="BK104" s="28" t="s">
        <v>684</v>
      </c>
      <c r="BL104" s="40" t="s">
        <v>685</v>
      </c>
    </row>
    <row r="105" spans="1:64" ht="16.2" thickBot="1" x14ac:dyDescent="0.35">
      <c r="A105" s="13"/>
      <c r="B105" s="47"/>
      <c r="C105" s="49"/>
      <c r="D105" s="27"/>
      <c r="E105" s="27"/>
      <c r="F105" s="27"/>
      <c r="G105" s="17"/>
      <c r="H105" s="47"/>
      <c r="I105" s="27"/>
      <c r="J105" s="60">
        <f>SUM(H102:H104)</f>
        <v>167</v>
      </c>
      <c r="K105" s="28"/>
      <c r="L105" s="12"/>
      <c r="M105" s="18"/>
      <c r="N105" s="18"/>
      <c r="O105" s="10"/>
      <c r="P105" s="18"/>
      <c r="Q105" s="11"/>
      <c r="R105" s="18"/>
      <c r="S105" s="18"/>
      <c r="T105" s="10"/>
      <c r="U105" s="18"/>
      <c r="V105" s="11"/>
      <c r="W105" s="28"/>
      <c r="AB105" s="32"/>
      <c r="AC105" s="6"/>
      <c r="AD105" s="7"/>
      <c r="AE105" s="8"/>
      <c r="AF105" s="8"/>
      <c r="AG105" s="8"/>
      <c r="AH105" s="6"/>
      <c r="AI105" s="7"/>
      <c r="AJ105" s="8"/>
      <c r="AK105" s="29" t="s">
        <v>157</v>
      </c>
      <c r="AL105" s="8"/>
      <c r="AM105" s="7"/>
      <c r="AP105" s="62"/>
      <c r="AQ105" s="72"/>
      <c r="AR105" s="73"/>
      <c r="AS105" s="47"/>
      <c r="AT105" s="49"/>
      <c r="AU105" s="47"/>
      <c r="AV105" s="48"/>
      <c r="AW105" s="48"/>
      <c r="AX105" s="48"/>
      <c r="AY105" s="49"/>
      <c r="AZ105" s="28"/>
      <c r="BA105" s="28"/>
      <c r="BB105" s="151" t="s">
        <v>596</v>
      </c>
      <c r="BC105" s="36">
        <v>0</v>
      </c>
      <c r="BD105" s="37">
        <v>1</v>
      </c>
      <c r="BE105" s="10"/>
      <c r="BF105" s="18"/>
      <c r="BG105" s="11"/>
      <c r="BH105" s="18"/>
      <c r="BI105" s="11"/>
      <c r="BJ105" s="158" t="s">
        <v>686</v>
      </c>
      <c r="BK105" s="178" t="s">
        <v>283</v>
      </c>
      <c r="BL105" s="39" t="s">
        <v>482</v>
      </c>
    </row>
    <row r="106" spans="1:64" ht="15" thickBot="1" x14ac:dyDescent="0.35">
      <c r="A106" s="6" t="s">
        <v>105</v>
      </c>
      <c r="B106" s="6">
        <v>830</v>
      </c>
      <c r="C106" s="7">
        <v>902</v>
      </c>
      <c r="D106" s="8"/>
      <c r="E106" s="80">
        <v>944</v>
      </c>
      <c r="F106" s="66"/>
      <c r="G106" s="8">
        <v>2952</v>
      </c>
      <c r="H106" s="6" t="s">
        <v>162</v>
      </c>
      <c r="I106" s="8"/>
      <c r="J106" s="7"/>
      <c r="K106" s="28"/>
      <c r="L106" s="17"/>
      <c r="M106" s="27"/>
      <c r="N106" s="27"/>
      <c r="O106" s="13"/>
      <c r="P106" s="27"/>
      <c r="Q106" s="26"/>
      <c r="R106" s="27"/>
      <c r="S106" s="27"/>
      <c r="T106" s="13"/>
      <c r="U106" s="27"/>
      <c r="V106" s="26"/>
      <c r="W106" s="28"/>
      <c r="AB106" s="68" t="s">
        <v>99</v>
      </c>
      <c r="AC106" s="42">
        <v>0</v>
      </c>
      <c r="AD106" s="40">
        <v>0</v>
      </c>
      <c r="AE106">
        <v>0</v>
      </c>
      <c r="AF106">
        <v>0</v>
      </c>
      <c r="AG106">
        <v>0</v>
      </c>
      <c r="AH106" s="42">
        <v>151229</v>
      </c>
      <c r="AI106" s="40">
        <v>55247</v>
      </c>
      <c r="AJ106" s="43">
        <v>0</v>
      </c>
      <c r="AK106" s="42">
        <v>1</v>
      </c>
      <c r="AL106" s="54" t="s">
        <v>163</v>
      </c>
      <c r="AM106" s="40"/>
      <c r="AP106" s="67" t="s">
        <v>63</v>
      </c>
      <c r="AQ106" s="33">
        <v>2</v>
      </c>
      <c r="AR106" s="35">
        <v>2</v>
      </c>
      <c r="AU106" s="33"/>
      <c r="AV106" s="34"/>
      <c r="AW106" s="34"/>
      <c r="AX106" s="34"/>
      <c r="AY106" s="35"/>
      <c r="AZ106" s="28"/>
      <c r="BA106" s="28"/>
      <c r="BB106" s="42" t="s">
        <v>613</v>
      </c>
      <c r="BC106" s="42">
        <v>0</v>
      </c>
      <c r="BD106" s="54">
        <v>1</v>
      </c>
      <c r="BE106" s="10"/>
      <c r="BF106" s="18"/>
      <c r="BG106" s="11"/>
      <c r="BH106" s="18"/>
      <c r="BI106" s="11"/>
      <c r="BJ106" s="158" t="s">
        <v>687</v>
      </c>
      <c r="BK106" s="178" t="s">
        <v>666</v>
      </c>
      <c r="BL106" s="39" t="s">
        <v>688</v>
      </c>
    </row>
    <row r="107" spans="1:64" ht="15" thickBot="1" x14ac:dyDescent="0.35">
      <c r="A107" s="36" t="s">
        <v>99</v>
      </c>
      <c r="B107" s="10">
        <v>466</v>
      </c>
      <c r="C107" s="11">
        <v>399</v>
      </c>
      <c r="D107" s="18"/>
      <c r="E107" s="18">
        <v>908</v>
      </c>
      <c r="F107" s="85"/>
      <c r="G107" s="18">
        <v>2952</v>
      </c>
      <c r="H107" s="42"/>
      <c r="I107" s="54"/>
      <c r="J107" s="11"/>
      <c r="L107" s="101" t="s">
        <v>84</v>
      </c>
      <c r="M107" s="102">
        <f>SUM(M101+M96+M91+M89+M85+M80)</f>
        <v>67688</v>
      </c>
      <c r="N107" s="102">
        <f>SUM(N101+N96+N91+N89+N85+N80)</f>
        <v>103649</v>
      </c>
      <c r="O107" s="103">
        <v>0</v>
      </c>
      <c r="P107" s="102">
        <v>0</v>
      </c>
      <c r="Q107" s="104">
        <v>0</v>
      </c>
      <c r="R107" s="102">
        <f>SUM(R101+R96+R91+R89+R80+R85)</f>
        <v>4525</v>
      </c>
      <c r="S107" s="102">
        <f>SUM(S101+S96+S89+S85+S80)</f>
        <v>117</v>
      </c>
      <c r="T107" s="105"/>
      <c r="U107" s="102"/>
      <c r="V107" s="106"/>
      <c r="AB107" s="44" t="s">
        <v>6</v>
      </c>
      <c r="AC107" s="10"/>
      <c r="AD107" s="11"/>
      <c r="AE107" s="18"/>
      <c r="AF107" s="18"/>
      <c r="AG107" s="18"/>
      <c r="AH107" s="10"/>
      <c r="AI107" s="11"/>
      <c r="AJ107" s="18"/>
      <c r="AK107" s="10">
        <v>12</v>
      </c>
      <c r="AL107" s="37" t="s">
        <v>153</v>
      </c>
      <c r="AM107" s="11"/>
      <c r="AP107" s="67" t="s">
        <v>536</v>
      </c>
      <c r="AQ107" s="42">
        <v>0</v>
      </c>
      <c r="AR107" s="40">
        <v>0</v>
      </c>
      <c r="AU107" s="42"/>
      <c r="AV107" s="28"/>
      <c r="AW107" s="28"/>
      <c r="AX107" s="28"/>
      <c r="AY107" s="40"/>
      <c r="AZ107" s="28"/>
      <c r="BA107" s="28"/>
      <c r="BB107" s="36" t="s">
        <v>169</v>
      </c>
      <c r="BC107" s="36">
        <v>5</v>
      </c>
      <c r="BD107" s="37">
        <v>1</v>
      </c>
      <c r="BE107" s="10"/>
      <c r="BF107" s="18"/>
      <c r="BG107" s="11"/>
      <c r="BH107" s="18"/>
      <c r="BI107" s="11"/>
      <c r="BJ107" s="158" t="s">
        <v>639</v>
      </c>
      <c r="BK107" s="37" t="s">
        <v>689</v>
      </c>
      <c r="BL107" s="39" t="s">
        <v>385</v>
      </c>
    </row>
    <row r="108" spans="1:64" ht="15" thickBot="1" x14ac:dyDescent="0.35">
      <c r="A108" s="10"/>
      <c r="B108" s="10"/>
      <c r="C108" s="39"/>
      <c r="D108" s="18"/>
      <c r="E108" s="18"/>
      <c r="F108" s="85"/>
      <c r="G108" s="18"/>
      <c r="H108" s="42">
        <v>36</v>
      </c>
      <c r="I108" s="37" t="s">
        <v>101</v>
      </c>
      <c r="J108" s="11"/>
      <c r="AB108" s="46" t="s">
        <v>6</v>
      </c>
      <c r="AC108" s="47"/>
      <c r="AD108" s="49"/>
      <c r="AE108" s="48"/>
      <c r="AF108" s="48"/>
      <c r="AG108" s="48"/>
      <c r="AH108" s="47"/>
      <c r="AI108" s="49"/>
      <c r="AJ108" s="48"/>
      <c r="AK108" s="47"/>
      <c r="AL108" s="48"/>
      <c r="AM108" s="49"/>
      <c r="AP108" s="52" t="s">
        <v>56</v>
      </c>
      <c r="AQ108" s="52">
        <v>2</v>
      </c>
      <c r="AR108" s="85">
        <v>6</v>
      </c>
      <c r="AS108" s="28"/>
      <c r="AT108" s="28"/>
      <c r="AU108" s="42"/>
      <c r="AV108" s="28" t="s">
        <v>173</v>
      </c>
      <c r="AW108" s="28"/>
      <c r="AX108" s="28"/>
      <c r="AY108" s="40"/>
      <c r="AZ108" s="28"/>
      <c r="BA108" s="28"/>
      <c r="BB108" s="36" t="s">
        <v>99</v>
      </c>
      <c r="BC108" s="36">
        <v>0</v>
      </c>
      <c r="BD108" s="37">
        <v>0</v>
      </c>
      <c r="BE108" s="10"/>
      <c r="BF108" s="18"/>
      <c r="BG108" s="11"/>
      <c r="BH108" s="18"/>
      <c r="BI108" s="11"/>
      <c r="BJ108" s="179" t="s">
        <v>313</v>
      </c>
      <c r="BK108" s="37" t="s">
        <v>324</v>
      </c>
      <c r="BL108" s="39" t="s">
        <v>690</v>
      </c>
    </row>
    <row r="109" spans="1:64" ht="15" thickBot="1" x14ac:dyDescent="0.35">
      <c r="A109" s="13" t="s">
        <v>84</v>
      </c>
      <c r="B109" s="13">
        <f>SUM(B106:B108)</f>
        <v>1296</v>
      </c>
      <c r="C109" s="26">
        <f>SUM(C106:C108)</f>
        <v>1301</v>
      </c>
      <c r="D109" s="27"/>
      <c r="E109" s="27">
        <f>SUM(E106:E108)</f>
        <v>1852</v>
      </c>
      <c r="F109" s="26"/>
      <c r="G109" s="27">
        <f>SUM(G106:G108)</f>
        <v>5904</v>
      </c>
      <c r="H109" s="13"/>
      <c r="I109" s="81"/>
      <c r="J109" s="26">
        <f>SUM(H107:H108)</f>
        <v>36</v>
      </c>
      <c r="L109" t="s">
        <v>6</v>
      </c>
      <c r="M109" s="115"/>
      <c r="AB109" s="6"/>
      <c r="AC109" s="6"/>
      <c r="AD109" s="7"/>
      <c r="AE109" s="8"/>
      <c r="AF109" s="8"/>
      <c r="AG109" s="8"/>
      <c r="AH109" s="6"/>
      <c r="AI109" s="7"/>
      <c r="AJ109" s="8"/>
      <c r="AK109" s="29"/>
      <c r="AL109" s="8"/>
      <c r="AM109" s="7"/>
      <c r="AN109" s="45"/>
      <c r="AP109" s="52" t="s">
        <v>67</v>
      </c>
      <c r="AQ109" s="52">
        <v>7</v>
      </c>
      <c r="AR109" s="56">
        <v>7</v>
      </c>
      <c r="AU109" s="42"/>
      <c r="AV109" s="28"/>
      <c r="AW109" s="28"/>
      <c r="AX109" s="28"/>
      <c r="AY109" s="40"/>
      <c r="AZ109" s="28"/>
      <c r="BA109" s="28"/>
      <c r="BB109" s="150" t="s">
        <v>64</v>
      </c>
      <c r="BC109" s="36">
        <v>0</v>
      </c>
      <c r="BD109" s="37">
        <v>3</v>
      </c>
      <c r="BE109" s="10"/>
      <c r="BF109" s="37"/>
      <c r="BG109" s="11"/>
      <c r="BH109" s="18"/>
      <c r="BI109" s="11"/>
      <c r="BJ109" s="158" t="s">
        <v>691</v>
      </c>
      <c r="BK109" s="54" t="s">
        <v>692</v>
      </c>
      <c r="BL109" s="39" t="s">
        <v>279</v>
      </c>
    </row>
    <row r="110" spans="1:64" ht="15" thickBot="1" x14ac:dyDescent="0.35">
      <c r="A110" s="42" t="s">
        <v>181</v>
      </c>
      <c r="B110" s="42">
        <v>2716</v>
      </c>
      <c r="C110" s="40">
        <v>2539</v>
      </c>
      <c r="D110" s="28"/>
      <c r="E110" s="107" t="s">
        <v>60</v>
      </c>
      <c r="F110" s="43"/>
      <c r="G110" s="41">
        <v>4291</v>
      </c>
      <c r="H110" s="18" t="s">
        <v>182</v>
      </c>
      <c r="I110" s="28"/>
      <c r="J110" s="11"/>
      <c r="K110" s="43"/>
      <c r="M110" s="115"/>
      <c r="AB110" s="36"/>
      <c r="AC110" s="10"/>
      <c r="AD110" s="11"/>
      <c r="AE110" s="18"/>
      <c r="AF110" s="18"/>
      <c r="AG110" s="18"/>
      <c r="AH110" s="36"/>
      <c r="AI110" s="11"/>
      <c r="AJ110" s="18"/>
      <c r="AK110" s="36"/>
      <c r="AL110" s="37"/>
      <c r="AM110" s="11"/>
      <c r="AN110" s="45"/>
      <c r="AP110" s="10" t="s">
        <v>78</v>
      </c>
      <c r="AQ110" s="52">
        <v>0</v>
      </c>
      <c r="AR110" s="85">
        <v>1</v>
      </c>
      <c r="AS110" s="28"/>
      <c r="AT110" s="28"/>
      <c r="AU110" s="42"/>
      <c r="AV110" s="28">
        <v>11</v>
      </c>
      <c r="AW110" s="28" t="s">
        <v>183</v>
      </c>
      <c r="AX110" s="28"/>
      <c r="AY110" s="40"/>
      <c r="AZ110" s="37"/>
      <c r="BA110" s="37"/>
      <c r="BB110" s="36" t="s">
        <v>523</v>
      </c>
      <c r="BC110" s="36">
        <v>3</v>
      </c>
      <c r="BD110" s="37">
        <v>5</v>
      </c>
      <c r="BE110" s="10"/>
      <c r="BF110" s="18"/>
      <c r="BG110" s="11"/>
      <c r="BH110" s="18"/>
      <c r="BI110" s="11"/>
      <c r="BJ110" s="128" t="s">
        <v>325</v>
      </c>
      <c r="BK110" s="37" t="s">
        <v>693</v>
      </c>
      <c r="BL110" s="180" t="s">
        <v>694</v>
      </c>
    </row>
    <row r="111" spans="1:64" ht="15" thickBot="1" x14ac:dyDescent="0.35">
      <c r="A111" s="42" t="s">
        <v>120</v>
      </c>
      <c r="B111" s="42">
        <v>3004</v>
      </c>
      <c r="C111" s="40">
        <v>2431</v>
      </c>
      <c r="D111" s="28"/>
      <c r="E111" s="107" t="s">
        <v>60</v>
      </c>
      <c r="F111" s="43"/>
      <c r="G111" s="68">
        <v>4355</v>
      </c>
      <c r="H111" s="43">
        <v>28</v>
      </c>
      <c r="I111" s="28" t="s">
        <v>188</v>
      </c>
      <c r="J111" s="11"/>
      <c r="K111" s="28"/>
      <c r="M111" s="166"/>
      <c r="AA111" s="28"/>
      <c r="AB111" s="103" t="s">
        <v>84</v>
      </c>
      <c r="AC111" s="103">
        <f>SUM(AC110+AC106+AC104+AC101+AC94+AC96+AC92+AC88+AC85+AC82+AC83)</f>
        <v>1793</v>
      </c>
      <c r="AD111" s="104">
        <f>SUM(AD110+AD106+AD104+AD101+AD94+AD92+AD88+AD85+AD83+AD82)</f>
        <v>1746</v>
      </c>
      <c r="AE111" s="103">
        <v>0</v>
      </c>
      <c r="AF111" s="102">
        <v>0</v>
      </c>
      <c r="AG111" s="102">
        <v>0</v>
      </c>
      <c r="AH111" s="109">
        <f>SUM(AH110+AH106+AH104+AH101+AH98+AH96+AH92+AH88+AH85+AH83+AH82)</f>
        <v>206641</v>
      </c>
      <c r="AI111" s="110">
        <f>SUM(AI110+AI106+AI104+AI101+AI96+AI92+AI87+AI85+AI83+AI82)</f>
        <v>63151</v>
      </c>
      <c r="AJ111" s="110">
        <v>0</v>
      </c>
      <c r="AK111" s="111" t="s">
        <v>189</v>
      </c>
      <c r="AL111" s="111"/>
      <c r="AM111" s="104">
        <f>SUM(AK82:AK110)</f>
        <v>39</v>
      </c>
      <c r="AN111" s="45"/>
      <c r="AP111" s="52" t="s">
        <v>115</v>
      </c>
      <c r="AQ111" s="52">
        <v>0</v>
      </c>
      <c r="AR111" s="85">
        <v>0</v>
      </c>
      <c r="AS111" s="28"/>
      <c r="AT111" s="28"/>
      <c r="AU111" s="42"/>
      <c r="AV111" s="28" t="s">
        <v>6</v>
      </c>
      <c r="AW111" s="28"/>
      <c r="AX111" s="28"/>
      <c r="AY111" s="40"/>
      <c r="AZ111" s="28"/>
      <c r="BA111" s="28"/>
      <c r="BB111" s="150" t="s">
        <v>358</v>
      </c>
      <c r="BC111" s="36">
        <v>6</v>
      </c>
      <c r="BD111" s="37">
        <v>9</v>
      </c>
      <c r="BE111" s="10"/>
      <c r="BF111" s="18"/>
      <c r="BG111" s="11"/>
      <c r="BH111" s="18"/>
      <c r="BI111" s="11"/>
      <c r="BJ111" s="159" t="s">
        <v>695</v>
      </c>
      <c r="BK111" s="37" t="s">
        <v>696</v>
      </c>
      <c r="BL111" s="39" t="s">
        <v>697</v>
      </c>
    </row>
    <row r="112" spans="1:64" x14ac:dyDescent="0.3">
      <c r="A112" s="42" t="s">
        <v>84</v>
      </c>
      <c r="B112" s="42">
        <f>SUM(B110:B111)</f>
        <v>5720</v>
      </c>
      <c r="C112" s="40">
        <f>SUM(C110:C111)</f>
        <v>4970</v>
      </c>
      <c r="D112" s="28"/>
      <c r="E112" s="107" t="s">
        <v>60</v>
      </c>
      <c r="F112" s="43"/>
      <c r="G112" s="41">
        <f>SUM(G110:G111)</f>
        <v>8646</v>
      </c>
      <c r="H112" s="28">
        <v>24</v>
      </c>
      <c r="I112" s="43" t="s">
        <v>101</v>
      </c>
      <c r="J112" s="40"/>
      <c r="K112" s="28"/>
      <c r="L112" s="28"/>
      <c r="N112" s="113"/>
      <c r="AA112" s="28"/>
      <c r="AB112" s="52" t="s">
        <v>193</v>
      </c>
      <c r="AC112" s="28"/>
      <c r="AD112" s="28"/>
      <c r="AE112" s="28"/>
      <c r="AF112" s="28"/>
      <c r="AG112" s="28"/>
      <c r="AH112" s="28"/>
      <c r="AI112" s="28"/>
      <c r="AM112" t="s">
        <v>6</v>
      </c>
      <c r="AN112" s="45"/>
      <c r="AP112" s="52" t="s">
        <v>72</v>
      </c>
      <c r="AQ112" s="52">
        <v>1</v>
      </c>
      <c r="AR112" s="85">
        <v>0</v>
      </c>
      <c r="AU112" s="42"/>
      <c r="AV112" s="28"/>
      <c r="AW112" s="28"/>
      <c r="AX112" s="28"/>
      <c r="AY112" s="40"/>
      <c r="AZ112" s="28"/>
      <c r="BB112" s="150" t="s">
        <v>331</v>
      </c>
      <c r="BC112" s="36">
        <v>0</v>
      </c>
      <c r="BD112" s="37">
        <v>12</v>
      </c>
      <c r="BE112" s="10"/>
      <c r="BF112" s="18"/>
      <c r="BG112" s="11"/>
      <c r="BH112" s="18"/>
      <c r="BI112" s="11"/>
      <c r="BJ112" s="128" t="s">
        <v>584</v>
      </c>
      <c r="BK112" s="37" t="s">
        <v>330</v>
      </c>
      <c r="BL112" s="39" t="s">
        <v>698</v>
      </c>
    </row>
    <row r="113" spans="1:65" ht="15" thickBot="1" x14ac:dyDescent="0.35">
      <c r="A113" s="13"/>
      <c r="B113" s="10"/>
      <c r="C113" s="11"/>
      <c r="D113" s="27"/>
      <c r="E113" s="27"/>
      <c r="F113" s="27"/>
      <c r="G113" s="17"/>
      <c r="H113" s="48">
        <v>0</v>
      </c>
      <c r="I113" s="48" t="s">
        <v>284</v>
      </c>
      <c r="J113" s="49">
        <f>SUM(H111:H113)</f>
        <v>52</v>
      </c>
      <c r="L113" s="108"/>
      <c r="M113" s="115"/>
      <c r="O113" s="116"/>
      <c r="AA113" s="28"/>
      <c r="AN113" s="45"/>
      <c r="AP113" s="52" t="s">
        <v>84</v>
      </c>
      <c r="AQ113" s="47">
        <f>SUM(AQ106:AQ112)</f>
        <v>12</v>
      </c>
      <c r="AR113" s="49">
        <f>SUM(AR106:AR112)</f>
        <v>16</v>
      </c>
      <c r="AS113" s="28"/>
      <c r="AT113" s="28"/>
      <c r="AU113" s="47"/>
      <c r="AV113" s="48"/>
      <c r="AW113" s="48"/>
      <c r="AX113" s="48"/>
      <c r="AY113" s="49">
        <f>SUM(AV110)</f>
        <v>11</v>
      </c>
      <c r="AZ113" s="28"/>
      <c r="BB113" s="36" t="s">
        <v>467</v>
      </c>
      <c r="BC113" s="36">
        <f>1+2</f>
        <v>3</v>
      </c>
      <c r="BD113" s="37">
        <v>0</v>
      </c>
      <c r="BE113" s="10"/>
      <c r="BF113" s="18"/>
      <c r="BG113" s="11"/>
      <c r="BH113" s="18"/>
      <c r="BI113" s="11"/>
      <c r="BJ113" s="128" t="s">
        <v>496</v>
      </c>
      <c r="BK113" s="37"/>
      <c r="BL113" s="39" t="s">
        <v>317</v>
      </c>
    </row>
    <row r="114" spans="1:65" ht="16.2" thickBot="1" x14ac:dyDescent="0.35">
      <c r="A114" s="117" t="s">
        <v>84</v>
      </c>
      <c r="B114" s="118">
        <f>SUM(B112+B109+B104+B100+B97+B94+B91+B87+B83+B80)</f>
        <v>42959</v>
      </c>
      <c r="C114" s="120">
        <f>SUM(C112+C109+C104+C100+C97+C94+C91+C87+C83+C80)</f>
        <v>44563</v>
      </c>
      <c r="D114" s="119"/>
      <c r="E114" s="119">
        <f>SUM(E109+E94)</f>
        <v>3163</v>
      </c>
      <c r="F114" s="120"/>
      <c r="G114" s="121">
        <f>SUM(G112+G109+G104+G100+G97+G91+G87+G83+G80+G94)</f>
        <v>77744</v>
      </c>
      <c r="H114" s="13" t="s">
        <v>199</v>
      </c>
      <c r="I114" s="81"/>
      <c r="J114" s="26">
        <f>SUM(J81:J113)</f>
        <v>396</v>
      </c>
      <c r="O114" s="122"/>
      <c r="AN114" s="45"/>
      <c r="AP114" s="32" t="s">
        <v>63</v>
      </c>
      <c r="AQ114" s="123">
        <v>6</v>
      </c>
      <c r="AR114" s="123">
        <v>7</v>
      </c>
      <c r="AS114" s="33"/>
      <c r="AT114" s="7"/>
      <c r="AU114" s="6"/>
      <c r="AV114" s="34" t="s">
        <v>140</v>
      </c>
      <c r="AW114" s="8"/>
      <c r="AX114" s="8"/>
      <c r="AY114" s="7"/>
      <c r="AZ114" s="28"/>
      <c r="BB114" s="36" t="s">
        <v>699</v>
      </c>
      <c r="BC114" s="10">
        <v>3</v>
      </c>
      <c r="BD114" s="37">
        <v>3</v>
      </c>
      <c r="BE114" s="10"/>
      <c r="BF114" s="18"/>
      <c r="BG114" s="39"/>
      <c r="BH114" s="18"/>
      <c r="BI114" s="11"/>
      <c r="BJ114" s="159" t="s">
        <v>700</v>
      </c>
      <c r="BK114" s="37"/>
      <c r="BL114" s="39" t="s">
        <v>477</v>
      </c>
    </row>
    <row r="115" spans="1:65" x14ac:dyDescent="0.3">
      <c r="AN115" s="45"/>
      <c r="AP115" s="44" t="s">
        <v>78</v>
      </c>
      <c r="AQ115" s="37">
        <f>56+14+5</f>
        <v>75</v>
      </c>
      <c r="AR115" s="37">
        <f>56+7+5</f>
        <v>68</v>
      </c>
      <c r="AS115" s="42"/>
      <c r="AT115" s="11"/>
      <c r="AU115" s="10"/>
      <c r="AV115" s="37">
        <v>9</v>
      </c>
      <c r="AW115" s="37" t="s">
        <v>204</v>
      </c>
      <c r="AX115" s="18"/>
      <c r="AY115" s="11"/>
      <c r="AZ115" s="28"/>
      <c r="BB115" s="150" t="s">
        <v>701</v>
      </c>
      <c r="BC115" s="10">
        <v>7</v>
      </c>
      <c r="BD115" s="37">
        <v>6</v>
      </c>
      <c r="BE115" s="10"/>
      <c r="BF115" s="18"/>
      <c r="BG115" s="11"/>
      <c r="BH115" s="18"/>
      <c r="BI115" s="11"/>
      <c r="BJ115" s="179" t="s">
        <v>316</v>
      </c>
      <c r="BK115" s="37"/>
      <c r="BL115" s="39" t="s">
        <v>702</v>
      </c>
    </row>
    <row r="116" spans="1:65" x14ac:dyDescent="0.3">
      <c r="AN116" s="45"/>
      <c r="AP116" s="125" t="s">
        <v>209</v>
      </c>
      <c r="AQ116" s="54">
        <v>0</v>
      </c>
      <c r="AR116" s="54">
        <v>0</v>
      </c>
      <c r="AS116" s="42"/>
      <c r="AT116" s="40"/>
      <c r="AU116" s="42"/>
      <c r="AV116" s="28">
        <v>4</v>
      </c>
      <c r="AW116" s="28" t="s">
        <v>210</v>
      </c>
      <c r="AX116" s="28" t="s">
        <v>6</v>
      </c>
      <c r="AY116" s="40"/>
      <c r="AZ116" s="28"/>
      <c r="BB116" s="92" t="s">
        <v>97</v>
      </c>
      <c r="BC116" s="84">
        <v>0</v>
      </c>
      <c r="BD116" s="54">
        <v>2</v>
      </c>
      <c r="BE116" s="84"/>
      <c r="BF116" s="45"/>
      <c r="BG116" s="85"/>
      <c r="BH116" s="18"/>
      <c r="BI116" s="11"/>
      <c r="BJ116" s="179"/>
      <c r="BK116" s="54"/>
      <c r="BL116" s="86"/>
    </row>
    <row r="117" spans="1:65" x14ac:dyDescent="0.3">
      <c r="B117" s="126"/>
      <c r="C117" s="126"/>
      <c r="AN117" s="45"/>
      <c r="AP117" s="44" t="s">
        <v>168</v>
      </c>
      <c r="AQ117" s="54">
        <v>0</v>
      </c>
      <c r="AR117" s="54">
        <v>0</v>
      </c>
      <c r="AS117" s="42"/>
      <c r="AT117" s="11"/>
      <c r="AU117" s="10"/>
      <c r="AV117" s="37">
        <f>3+24+2</f>
        <v>29</v>
      </c>
      <c r="AW117" s="37" t="s">
        <v>213</v>
      </c>
      <c r="AX117" s="18" t="s">
        <v>6</v>
      </c>
      <c r="AY117" s="11"/>
      <c r="BB117" s="67" t="s">
        <v>564</v>
      </c>
      <c r="BC117" s="84">
        <v>5</v>
      </c>
      <c r="BD117" s="54">
        <v>0</v>
      </c>
      <c r="BE117" s="84"/>
      <c r="BF117" s="45"/>
      <c r="BG117" s="85"/>
      <c r="BH117" s="45"/>
      <c r="BI117" s="85"/>
      <c r="BJ117" s="179"/>
      <c r="BK117" s="54"/>
      <c r="BL117" s="180"/>
    </row>
    <row r="118" spans="1:65" x14ac:dyDescent="0.3">
      <c r="AN118" s="45"/>
      <c r="AP118" s="125" t="s">
        <v>81</v>
      </c>
      <c r="AQ118" s="54">
        <f>3+5</f>
        <v>8</v>
      </c>
      <c r="AR118" s="54">
        <v>8</v>
      </c>
      <c r="AS118" s="42"/>
      <c r="AT118" s="40"/>
      <c r="AU118" s="42"/>
      <c r="AV118" s="54">
        <v>28</v>
      </c>
      <c r="AW118" s="128" t="s">
        <v>222</v>
      </c>
      <c r="AX118" s="28"/>
      <c r="AY118" s="40" t="s">
        <v>6</v>
      </c>
      <c r="BB118" s="67" t="s">
        <v>703</v>
      </c>
      <c r="BC118" s="84">
        <v>0</v>
      </c>
      <c r="BD118" s="54">
        <v>8</v>
      </c>
      <c r="BE118" s="84"/>
      <c r="BF118" s="45"/>
      <c r="BG118" s="85"/>
      <c r="BH118" s="45"/>
      <c r="BI118" s="85"/>
      <c r="BJ118" s="179"/>
      <c r="BK118" s="54"/>
      <c r="BL118" s="180"/>
    </row>
    <row r="119" spans="1:65" x14ac:dyDescent="0.3">
      <c r="AP119" s="125" t="s">
        <v>72</v>
      </c>
      <c r="AQ119" s="54">
        <f>18+5+4+8</f>
        <v>35</v>
      </c>
      <c r="AR119" s="45">
        <f>5+1+3+3+7</f>
        <v>19</v>
      </c>
      <c r="AS119" s="42"/>
      <c r="AT119" s="40"/>
      <c r="AU119" s="42"/>
      <c r="AV119" s="54">
        <v>11</v>
      </c>
      <c r="AW119" s="54" t="s">
        <v>216</v>
      </c>
      <c r="AX119" s="45"/>
      <c r="AY119" s="40"/>
      <c r="BB119" s="127" t="s">
        <v>704</v>
      </c>
      <c r="BC119" s="84">
        <v>9</v>
      </c>
      <c r="BD119" s="54">
        <v>0</v>
      </c>
      <c r="BE119" s="42"/>
      <c r="BF119" s="45"/>
      <c r="BG119" s="40"/>
      <c r="BH119" s="45"/>
      <c r="BI119" s="85"/>
      <c r="BJ119" s="158"/>
      <c r="BK119" s="54"/>
      <c r="BL119" s="86"/>
    </row>
    <row r="120" spans="1:65" x14ac:dyDescent="0.3">
      <c r="AP120" s="125" t="s">
        <v>115</v>
      </c>
      <c r="AQ120" s="54">
        <f>3+17</f>
        <v>20</v>
      </c>
      <c r="AR120" s="45">
        <f>2+8</f>
        <v>10</v>
      </c>
      <c r="AS120" s="42"/>
      <c r="AT120" s="40"/>
      <c r="AU120" s="42"/>
      <c r="AV120" s="54">
        <v>10</v>
      </c>
      <c r="AW120" s="54" t="s">
        <v>217</v>
      </c>
      <c r="AX120" s="28"/>
      <c r="AY120" s="40"/>
      <c r="BB120" s="127" t="s">
        <v>218</v>
      </c>
      <c r="BC120" s="84">
        <v>0</v>
      </c>
      <c r="BD120" s="54">
        <v>20</v>
      </c>
      <c r="BE120" s="42"/>
      <c r="BF120" s="45">
        <v>0</v>
      </c>
      <c r="BG120" s="40"/>
      <c r="BH120" s="45"/>
      <c r="BI120" s="85"/>
      <c r="BJ120" s="179"/>
      <c r="BK120" s="54"/>
      <c r="BL120" s="180"/>
    </row>
    <row r="121" spans="1:65" x14ac:dyDescent="0.3">
      <c r="AM121" t="s">
        <v>6</v>
      </c>
      <c r="AP121" s="125" t="s">
        <v>56</v>
      </c>
      <c r="AQ121" s="54">
        <v>1</v>
      </c>
      <c r="AR121" s="45">
        <f>2+1+4+1</f>
        <v>8</v>
      </c>
      <c r="AS121" s="42"/>
      <c r="AT121" s="40"/>
      <c r="AU121" s="42"/>
      <c r="AV121" s="54">
        <v>4</v>
      </c>
      <c r="AW121" s="54" t="s">
        <v>681</v>
      </c>
      <c r="AX121" s="28"/>
      <c r="AY121" s="40"/>
      <c r="BB121" s="181" t="s">
        <v>705</v>
      </c>
      <c r="BC121" s="10">
        <v>2</v>
      </c>
      <c r="BD121" s="18">
        <v>1</v>
      </c>
      <c r="BE121" s="10"/>
      <c r="BF121" s="18"/>
      <c r="BG121" s="11"/>
      <c r="BH121" s="18"/>
      <c r="BI121" s="11"/>
      <c r="BJ121" s="179"/>
      <c r="BK121" s="37"/>
      <c r="BL121" s="182"/>
    </row>
    <row r="122" spans="1:65" ht="15" thickBot="1" x14ac:dyDescent="0.35">
      <c r="H122" t="s">
        <v>6</v>
      </c>
      <c r="AP122" s="125" t="s">
        <v>138</v>
      </c>
      <c r="AQ122" s="54">
        <v>0</v>
      </c>
      <c r="AR122" s="45">
        <v>0</v>
      </c>
      <c r="AS122" s="42"/>
      <c r="AT122" s="40"/>
      <c r="AU122" s="42"/>
      <c r="AV122" s="54">
        <v>4</v>
      </c>
      <c r="AW122" s="54" t="s">
        <v>221</v>
      </c>
      <c r="AX122" s="28"/>
      <c r="AY122" s="40"/>
      <c r="BB122" s="13" t="s">
        <v>84</v>
      </c>
      <c r="BC122" s="13">
        <f>SUM(BC97:BC121)</f>
        <v>174</v>
      </c>
      <c r="BD122" s="27">
        <f>SUM(BD97:BD121)</f>
        <v>202</v>
      </c>
      <c r="BE122" s="13">
        <v>0</v>
      </c>
      <c r="BF122" s="27">
        <f>SUM(BF97:BF121)</f>
        <v>0</v>
      </c>
      <c r="BG122" s="26">
        <v>0</v>
      </c>
      <c r="BH122" s="58">
        <v>0</v>
      </c>
      <c r="BI122" s="26">
        <v>0</v>
      </c>
      <c r="BJ122" s="81"/>
      <c r="BK122" s="27"/>
      <c r="BL122" s="26">
        <f>8+10+3+3+8+6+9+3+4+5+3+6+4+6</f>
        <v>78</v>
      </c>
    </row>
    <row r="123" spans="1:65" ht="15" thickBot="1" x14ac:dyDescent="0.35">
      <c r="H123" t="s">
        <v>6</v>
      </c>
      <c r="AP123" s="125" t="s">
        <v>67</v>
      </c>
      <c r="AQ123" s="54">
        <f>3+4</f>
        <v>7</v>
      </c>
      <c r="AR123" s="45">
        <f>11+5</f>
        <v>16</v>
      </c>
      <c r="AS123" s="42"/>
      <c r="AT123" s="40"/>
      <c r="AU123" s="42"/>
      <c r="AV123" s="54">
        <v>1</v>
      </c>
      <c r="AW123" s="54" t="s">
        <v>706</v>
      </c>
      <c r="AX123" s="28"/>
      <c r="AY123" s="40"/>
      <c r="BB123" s="13" t="s">
        <v>223</v>
      </c>
      <c r="BC123" s="13">
        <f>SUM(BC122+BC96+BC93+BC89+BC86+BC83+BC81)</f>
        <v>1700</v>
      </c>
      <c r="BD123" s="26">
        <f>SUM(BD122+BD96+BD93+BD89+BD86+BD83+BD81)</f>
        <v>1784</v>
      </c>
      <c r="BE123" s="26">
        <f>SUM(BE122+BE96+BE93+BE89+BE86+BE83+BE81)</f>
        <v>0</v>
      </c>
      <c r="BF123" s="26">
        <f>SUM(BF122+BF96+BF93+BF89+BF86+BF83+BF81)</f>
        <v>0</v>
      </c>
      <c r="BG123" s="26">
        <f>SUM(BG122+BG96+BG93+BG89+BG86+BG83+BG81)</f>
        <v>0</v>
      </c>
      <c r="BH123" s="160">
        <f>SUM(BH122+BH96+BH93+BH89+BH85+BH83+BH81)</f>
        <v>43510</v>
      </c>
      <c r="BI123" s="26">
        <f>SUM(BI122+BI96+BI93+BI89+BI85+BI83+BI81)</f>
        <v>10450</v>
      </c>
      <c r="BJ123" s="81"/>
      <c r="BK123" s="27" t="s">
        <v>247</v>
      </c>
      <c r="BL123" s="26">
        <f>SUM(BL81:BL122)</f>
        <v>218</v>
      </c>
    </row>
    <row r="124" spans="1:65" x14ac:dyDescent="0.3">
      <c r="K124" s="28"/>
      <c r="AP124" s="125" t="s">
        <v>122</v>
      </c>
      <c r="AQ124" s="54">
        <f>5+4</f>
        <v>9</v>
      </c>
      <c r="AR124" s="45">
        <v>4</v>
      </c>
      <c r="AS124" s="42"/>
      <c r="AT124" s="40"/>
      <c r="AU124" s="42"/>
      <c r="AV124" s="54">
        <v>1</v>
      </c>
      <c r="AW124" s="54" t="s">
        <v>618</v>
      </c>
      <c r="AX124" s="28"/>
      <c r="AY124" s="40"/>
      <c r="BB124" s="131" t="s">
        <v>225</v>
      </c>
      <c r="BD124">
        <f>SUM(BL122)</f>
        <v>78</v>
      </c>
      <c r="BG124" s="132"/>
    </row>
    <row r="125" spans="1:65" x14ac:dyDescent="0.3">
      <c r="K125" s="28"/>
      <c r="AP125" s="125" t="s">
        <v>227</v>
      </c>
      <c r="AQ125" s="54">
        <v>0</v>
      </c>
      <c r="AR125" s="45">
        <v>0</v>
      </c>
      <c r="AS125" s="42"/>
      <c r="AT125" s="40"/>
      <c r="AU125" s="42"/>
      <c r="AV125" s="54">
        <v>0</v>
      </c>
      <c r="AW125" s="54" t="s">
        <v>352</v>
      </c>
      <c r="AX125" s="28"/>
      <c r="AY125" s="40"/>
      <c r="BB125" t="s">
        <v>229</v>
      </c>
      <c r="BD125">
        <f>2+1+7+1+2+1+2+1</f>
        <v>17</v>
      </c>
    </row>
    <row r="126" spans="1:65" x14ac:dyDescent="0.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AP126" s="41" t="s">
        <v>230</v>
      </c>
      <c r="AQ126" s="54">
        <f>4+3+4</f>
        <v>11</v>
      </c>
      <c r="AR126" s="45">
        <f>4+3+4</f>
        <v>11</v>
      </c>
      <c r="AS126" s="42"/>
      <c r="AT126" s="40"/>
      <c r="AU126" s="42"/>
      <c r="AV126" s="54">
        <v>5</v>
      </c>
      <c r="AW126" s="54" t="s">
        <v>655</v>
      </c>
      <c r="AX126" s="28"/>
      <c r="AY126" s="40"/>
      <c r="BB126" t="s">
        <v>232</v>
      </c>
      <c r="BD126" t="s">
        <v>233</v>
      </c>
      <c r="BF126">
        <f>SUM(AQ131)</f>
        <v>2660</v>
      </c>
      <c r="BH126" t="s">
        <v>234</v>
      </c>
      <c r="BJ126" t="s">
        <v>233</v>
      </c>
      <c r="BL126">
        <f>SUM(BC123)</f>
        <v>1700</v>
      </c>
    </row>
    <row r="127" spans="1:65" ht="18" x14ac:dyDescent="0.35">
      <c r="B127" s="133"/>
      <c r="AP127" s="68" t="s">
        <v>125</v>
      </c>
      <c r="AQ127" s="54">
        <v>3</v>
      </c>
      <c r="AR127" s="45">
        <v>2</v>
      </c>
      <c r="AS127" s="42"/>
      <c r="AT127" s="40"/>
      <c r="AU127" s="42"/>
      <c r="AV127" s="54">
        <v>0</v>
      </c>
      <c r="AW127" s="54" t="s">
        <v>351</v>
      </c>
      <c r="AX127" s="28"/>
      <c r="AY127" s="40"/>
      <c r="BA127" t="s">
        <v>6</v>
      </c>
      <c r="BD127" t="s">
        <v>236</v>
      </c>
      <c r="BF127">
        <f>SUM(AR131)</f>
        <v>2741</v>
      </c>
      <c r="BJ127" t="s">
        <v>236</v>
      </c>
      <c r="BL127">
        <f>SUM(BD123)</f>
        <v>1784</v>
      </c>
    </row>
    <row r="128" spans="1:65" x14ac:dyDescent="0.3">
      <c r="AP128" s="68" t="s">
        <v>132</v>
      </c>
      <c r="AQ128" s="54">
        <v>10</v>
      </c>
      <c r="AR128" s="45">
        <f>15+4</f>
        <v>19</v>
      </c>
      <c r="AS128" s="42"/>
      <c r="AT128" s="40"/>
      <c r="AU128" s="42"/>
      <c r="AV128" s="54">
        <v>2</v>
      </c>
      <c r="AW128" s="54" t="s">
        <v>682</v>
      </c>
      <c r="AX128" s="28"/>
      <c r="AY128" s="40"/>
      <c r="BB128" s="134" t="s">
        <v>238</v>
      </c>
      <c r="BC128" s="135" t="s">
        <v>239</v>
      </c>
      <c r="BD128" s="136"/>
      <c r="BE128" s="134" t="s">
        <v>240</v>
      </c>
      <c r="BF128" s="135" t="s">
        <v>241</v>
      </c>
      <c r="BG128" s="136"/>
      <c r="BH128" s="134"/>
      <c r="BI128" s="135" t="s">
        <v>242</v>
      </c>
      <c r="BJ128" s="137" t="s">
        <v>243</v>
      </c>
      <c r="BK128" s="135"/>
      <c r="BL128" s="135"/>
      <c r="BM128" s="136"/>
    </row>
    <row r="129" spans="1:65" x14ac:dyDescent="0.3">
      <c r="AP129" s="41" t="s">
        <v>6</v>
      </c>
      <c r="AS129" s="42"/>
      <c r="AT129" s="40"/>
      <c r="AU129" s="42"/>
      <c r="AV129" s="54">
        <v>27</v>
      </c>
      <c r="AW129" s="54" t="s">
        <v>555</v>
      </c>
      <c r="AX129" s="28"/>
      <c r="AY129" s="40"/>
      <c r="BB129" s="138" t="s">
        <v>233</v>
      </c>
      <c r="BC129" s="28"/>
      <c r="BD129" s="139">
        <f>SUM(B114)</f>
        <v>42959</v>
      </c>
      <c r="BE129" s="138" t="s">
        <v>233</v>
      </c>
      <c r="BF129" s="28"/>
      <c r="BG129" s="139">
        <f>SUM(AC111)</f>
        <v>1793</v>
      </c>
      <c r="BH129" s="138" t="s">
        <v>233</v>
      </c>
      <c r="BI129" s="28"/>
      <c r="BJ129" s="140">
        <f>SUM(BL126+BG129)</f>
        <v>3493</v>
      </c>
      <c r="BK129" s="28" t="s">
        <v>245</v>
      </c>
      <c r="BL129" s="28">
        <f>SUM(BJ129+BD129)</f>
        <v>46452</v>
      </c>
      <c r="BM129" s="141"/>
    </row>
    <row r="130" spans="1:65" ht="18.600000000000001" thickBot="1" x14ac:dyDescent="0.4">
      <c r="B130" s="133"/>
      <c r="AP130" s="46" t="s">
        <v>84</v>
      </c>
      <c r="AQ130" s="48">
        <f>SUM(AQ114:AQ129)</f>
        <v>185</v>
      </c>
      <c r="AR130" s="48">
        <f>SUM(AR114:AR129)</f>
        <v>172</v>
      </c>
      <c r="AS130" s="47"/>
      <c r="AT130" s="49"/>
      <c r="AU130" s="47"/>
      <c r="AV130" s="48">
        <v>2</v>
      </c>
      <c r="AW130" s="48" t="s">
        <v>244</v>
      </c>
      <c r="AX130" s="48"/>
      <c r="AY130" s="49">
        <f>SUM(AV115:AV130)+2</f>
        <v>139</v>
      </c>
      <c r="BB130" s="142" t="s">
        <v>236</v>
      </c>
      <c r="BC130" s="143"/>
      <c r="BD130" s="144">
        <f>SUM(C114)</f>
        <v>44563</v>
      </c>
      <c r="BE130" s="142" t="s">
        <v>236</v>
      </c>
      <c r="BF130" s="143"/>
      <c r="BG130" s="144">
        <f>SUM(AD111)</f>
        <v>1746</v>
      </c>
      <c r="BH130" s="142" t="s">
        <v>236</v>
      </c>
      <c r="BI130" s="143"/>
      <c r="BJ130" s="145">
        <f>SUM(BL127+BG130)</f>
        <v>3530</v>
      </c>
      <c r="BK130" s="143"/>
      <c r="BL130" s="143">
        <f>SUM(BJ130+BD130)</f>
        <v>48093</v>
      </c>
      <c r="BM130" s="146"/>
    </row>
    <row r="131" spans="1:65" ht="15" thickBot="1" x14ac:dyDescent="0.35">
      <c r="AP131" s="169" t="s">
        <v>84</v>
      </c>
      <c r="AQ131" s="170">
        <f>SUM(AQ130+AQ113+AQ103+AQ88+AQ86)</f>
        <v>2660</v>
      </c>
      <c r="AR131" s="170">
        <f>SUM(AR130+AR113+AR103+AR88+AR86)</f>
        <v>2741</v>
      </c>
      <c r="AS131" s="171"/>
      <c r="AT131" s="172"/>
      <c r="AU131" s="170"/>
      <c r="AV131" s="170"/>
      <c r="AW131" s="170"/>
      <c r="AX131" s="170"/>
      <c r="AY131" s="172">
        <f>SUM(AY130+AY113+AY103+AY89+AY86)</f>
        <v>445</v>
      </c>
    </row>
    <row r="133" spans="1:65" ht="15.6" x14ac:dyDescent="0.3">
      <c r="C133" s="1" t="s">
        <v>0</v>
      </c>
      <c r="P133" s="1" t="s">
        <v>1</v>
      </c>
    </row>
    <row r="134" spans="1:65" ht="15.6" x14ac:dyDescent="0.3">
      <c r="D134" t="s">
        <v>2</v>
      </c>
      <c r="Q134" t="s">
        <v>3</v>
      </c>
      <c r="AE134" s="2"/>
      <c r="AF134" s="1" t="s">
        <v>0</v>
      </c>
      <c r="AG134" s="1"/>
      <c r="AI134" s="1"/>
      <c r="AJ134" s="1"/>
      <c r="AS134" s="1" t="s">
        <v>4</v>
      </c>
      <c r="BE134" s="1"/>
      <c r="BF134" s="1" t="s">
        <v>5</v>
      </c>
      <c r="BG134" s="1"/>
      <c r="BH134" s="1"/>
      <c r="BI134" s="1"/>
      <c r="BJ134" s="1"/>
    </row>
    <row r="135" spans="1:65" ht="15.6" x14ac:dyDescent="0.3">
      <c r="A135" t="s">
        <v>6</v>
      </c>
      <c r="C135" t="s">
        <v>7</v>
      </c>
      <c r="O135" t="s">
        <v>8</v>
      </c>
      <c r="AE135" s="3"/>
      <c r="AF135" s="2" t="s">
        <v>9</v>
      </c>
      <c r="AG135" s="1"/>
      <c r="AI135" s="1"/>
      <c r="AJ135" s="1"/>
      <c r="AT135" t="s">
        <v>2</v>
      </c>
      <c r="BG135" t="s">
        <v>2</v>
      </c>
    </row>
    <row r="136" spans="1:65" ht="15.6" x14ac:dyDescent="0.3">
      <c r="D136" t="s">
        <v>707</v>
      </c>
      <c r="Q136" t="s">
        <v>707</v>
      </c>
      <c r="AF136" s="3" t="s">
        <v>11</v>
      </c>
      <c r="AG136" s="1"/>
      <c r="AI136" s="1"/>
      <c r="AJ136" s="1"/>
      <c r="AR136" t="s">
        <v>12</v>
      </c>
      <c r="BE136" t="s">
        <v>13</v>
      </c>
    </row>
    <row r="137" spans="1:65" ht="15" thickBot="1" x14ac:dyDescent="0.35">
      <c r="I137" s="4" t="s">
        <v>14</v>
      </c>
      <c r="U137" s="5" t="s">
        <v>15</v>
      </c>
      <c r="AG137" t="s">
        <v>707</v>
      </c>
      <c r="AT137" t="s">
        <v>707</v>
      </c>
      <c r="AY137" s="5"/>
      <c r="BG137" t="s">
        <v>707</v>
      </c>
      <c r="BK137" s="5" t="s">
        <v>16</v>
      </c>
    </row>
    <row r="138" spans="1:65" ht="15" thickBot="1" x14ac:dyDescent="0.35">
      <c r="A138" s="6" t="s">
        <v>17</v>
      </c>
      <c r="B138" s="6" t="s">
        <v>18</v>
      </c>
      <c r="C138" s="7"/>
      <c r="D138" s="8" t="s">
        <v>19</v>
      </c>
      <c r="E138" s="8"/>
      <c r="F138" s="8"/>
      <c r="G138" s="9" t="s">
        <v>20</v>
      </c>
      <c r="H138" s="8" t="s">
        <v>21</v>
      </c>
      <c r="I138" s="8"/>
      <c r="J138" s="7"/>
      <c r="L138" s="6" t="s">
        <v>17</v>
      </c>
      <c r="M138" s="6" t="s">
        <v>22</v>
      </c>
      <c r="N138" s="7"/>
      <c r="O138" s="8" t="s">
        <v>23</v>
      </c>
      <c r="P138" s="8"/>
      <c r="Q138" s="8"/>
      <c r="R138" s="6" t="s">
        <v>24</v>
      </c>
      <c r="S138" s="7"/>
      <c r="T138" s="8" t="s">
        <v>21</v>
      </c>
      <c r="U138" s="8"/>
      <c r="V138" s="7"/>
      <c r="AL138" s="5" t="s">
        <v>25</v>
      </c>
      <c r="AX138" s="5" t="s">
        <v>26</v>
      </c>
      <c r="BB138" s="6" t="s">
        <v>17</v>
      </c>
      <c r="BC138" s="6" t="s">
        <v>27</v>
      </c>
      <c r="BD138" s="7"/>
      <c r="BE138" s="8" t="s">
        <v>28</v>
      </c>
      <c r="BF138" s="8"/>
      <c r="BG138" s="8"/>
      <c r="BH138" s="6" t="s">
        <v>29</v>
      </c>
      <c r="BI138" s="7" t="s">
        <v>30</v>
      </c>
      <c r="BJ138" s="8" t="s">
        <v>31</v>
      </c>
      <c r="BK138" s="8"/>
      <c r="BL138" s="7"/>
    </row>
    <row r="139" spans="1:65" x14ac:dyDescent="0.3">
      <c r="A139" s="10" t="s">
        <v>32</v>
      </c>
      <c r="B139" s="10"/>
      <c r="C139" s="11"/>
      <c r="D139" s="3"/>
      <c r="E139" s="3"/>
      <c r="F139" s="3"/>
      <c r="G139" s="12"/>
      <c r="H139" s="3" t="s">
        <v>33</v>
      </c>
      <c r="I139" s="3"/>
      <c r="J139" s="11"/>
      <c r="L139" s="10"/>
      <c r="M139" s="10"/>
      <c r="N139" s="11"/>
      <c r="O139" s="3"/>
      <c r="P139" s="3"/>
      <c r="Q139" s="3"/>
      <c r="R139" s="10"/>
      <c r="S139" s="11"/>
      <c r="T139" s="3" t="s">
        <v>33</v>
      </c>
      <c r="U139" s="3"/>
      <c r="V139" s="11"/>
      <c r="AB139" s="6" t="s">
        <v>34</v>
      </c>
      <c r="AC139" s="6" t="s">
        <v>35</v>
      </c>
      <c r="AD139" s="7"/>
      <c r="AE139" s="6" t="s">
        <v>36</v>
      </c>
      <c r="AF139" s="8"/>
      <c r="AG139" s="7"/>
      <c r="AH139" s="8" t="s">
        <v>37</v>
      </c>
      <c r="AI139" s="8"/>
      <c r="AJ139" s="9" t="s">
        <v>30</v>
      </c>
      <c r="AK139" s="8" t="s">
        <v>38</v>
      </c>
      <c r="AL139" s="8"/>
      <c r="AM139" s="7"/>
      <c r="AP139" s="6" t="s">
        <v>17</v>
      </c>
      <c r="AQ139" s="6" t="s">
        <v>39</v>
      </c>
      <c r="AR139" s="7"/>
      <c r="AS139" s="6" t="s">
        <v>29</v>
      </c>
      <c r="AT139" s="7" t="s">
        <v>30</v>
      </c>
      <c r="AU139" s="8" t="s">
        <v>40</v>
      </c>
      <c r="AV139" s="8"/>
      <c r="AW139" s="8"/>
      <c r="AX139" s="8"/>
      <c r="AY139" s="7"/>
      <c r="BB139" s="10"/>
      <c r="BC139" s="10"/>
      <c r="BD139" s="11"/>
      <c r="BE139" s="3"/>
      <c r="BF139" s="3"/>
      <c r="BG139" s="3"/>
      <c r="BH139" s="10"/>
      <c r="BI139" s="11" t="s">
        <v>6</v>
      </c>
      <c r="BJ139" s="3" t="s">
        <v>41</v>
      </c>
      <c r="BK139" s="3"/>
      <c r="BL139" s="11"/>
    </row>
    <row r="140" spans="1:65" ht="15" thickBot="1" x14ac:dyDescent="0.35">
      <c r="A140" s="13" t="s">
        <v>42</v>
      </c>
      <c r="B140" s="14" t="s">
        <v>43</v>
      </c>
      <c r="C140" s="15" t="s">
        <v>44</v>
      </c>
      <c r="D140" s="16" t="s">
        <v>45</v>
      </c>
      <c r="E140" s="16" t="s">
        <v>46</v>
      </c>
      <c r="F140" s="16" t="s">
        <v>47</v>
      </c>
      <c r="G140" s="17" t="s">
        <v>48</v>
      </c>
      <c r="H140" s="18" t="s">
        <v>49</v>
      </c>
      <c r="I140" s="18"/>
      <c r="J140" s="11"/>
      <c r="L140" s="10" t="s">
        <v>50</v>
      </c>
      <c r="M140" s="19" t="s">
        <v>43</v>
      </c>
      <c r="N140" s="20" t="s">
        <v>44</v>
      </c>
      <c r="O140" s="21" t="s">
        <v>43</v>
      </c>
      <c r="P140" s="18" t="s">
        <v>51</v>
      </c>
      <c r="Q140" s="21" t="s">
        <v>44</v>
      </c>
      <c r="R140" s="22" t="s">
        <v>43</v>
      </c>
      <c r="S140" s="23" t="s">
        <v>44</v>
      </c>
      <c r="T140" s="18" t="s">
        <v>49</v>
      </c>
      <c r="U140" s="18"/>
      <c r="V140" s="11"/>
      <c r="AB140" s="10" t="s">
        <v>50</v>
      </c>
      <c r="AC140" s="22" t="s">
        <v>43</v>
      </c>
      <c r="AD140" s="23" t="s">
        <v>44</v>
      </c>
      <c r="AE140" s="22" t="s">
        <v>45</v>
      </c>
      <c r="AF140" s="24" t="s">
        <v>46</v>
      </c>
      <c r="AG140" s="23" t="s">
        <v>52</v>
      </c>
      <c r="AH140" s="24" t="s">
        <v>43</v>
      </c>
      <c r="AI140" s="24" t="s">
        <v>44</v>
      </c>
      <c r="AJ140" s="25" t="s">
        <v>43</v>
      </c>
      <c r="AK140" s="3" t="s">
        <v>53</v>
      </c>
      <c r="AL140" s="3"/>
      <c r="AM140" s="11"/>
      <c r="AP140" s="13" t="s">
        <v>42</v>
      </c>
      <c r="AQ140" s="10" t="s">
        <v>43</v>
      </c>
      <c r="AR140" s="11" t="s">
        <v>44</v>
      </c>
      <c r="AS140" s="13" t="s">
        <v>43</v>
      </c>
      <c r="AT140" s="26" t="s">
        <v>44</v>
      </c>
      <c r="AU140" s="27"/>
      <c r="AV140" s="27"/>
      <c r="AW140" s="27"/>
      <c r="AX140" s="27"/>
      <c r="AY140" s="26"/>
      <c r="BB140" s="13" t="s">
        <v>42</v>
      </c>
      <c r="BC140" s="13" t="s">
        <v>43</v>
      </c>
      <c r="BD140" s="26" t="s">
        <v>44</v>
      </c>
      <c r="BE140" s="27" t="s">
        <v>45</v>
      </c>
      <c r="BF140" s="27" t="s">
        <v>46</v>
      </c>
      <c r="BG140" s="27" t="s">
        <v>52</v>
      </c>
      <c r="BH140" s="13" t="s">
        <v>43</v>
      </c>
      <c r="BI140" s="26" t="s">
        <v>44</v>
      </c>
      <c r="BJ140" s="27" t="s">
        <v>54</v>
      </c>
      <c r="BK140" s="27"/>
      <c r="BL140" s="26"/>
    </row>
    <row r="141" spans="1:65" ht="15" thickBot="1" x14ac:dyDescent="0.35">
      <c r="A141" s="6"/>
      <c r="B141" s="6"/>
      <c r="C141" s="7"/>
      <c r="D141" s="8"/>
      <c r="E141" s="8"/>
      <c r="F141" s="7"/>
      <c r="G141" s="8"/>
      <c r="H141" s="6" t="s">
        <v>396</v>
      </c>
      <c r="I141" s="8"/>
      <c r="J141" s="7"/>
      <c r="K141" s="28"/>
      <c r="L141" s="9"/>
      <c r="M141" s="8"/>
      <c r="N141" s="8"/>
      <c r="O141" s="6"/>
      <c r="P141" s="8"/>
      <c r="Q141" s="7"/>
      <c r="R141" s="8"/>
      <c r="S141" s="8"/>
      <c r="T141" s="6" t="s">
        <v>396</v>
      </c>
      <c r="U141" s="8"/>
      <c r="V141" s="7"/>
      <c r="W141" s="28"/>
      <c r="AB141" s="13"/>
      <c r="AC141" s="13"/>
      <c r="AD141" s="26"/>
      <c r="AE141" s="13"/>
      <c r="AF141" s="27"/>
      <c r="AG141" s="26"/>
      <c r="AH141" s="27"/>
      <c r="AI141" s="27"/>
      <c r="AJ141" s="17"/>
      <c r="AK141" s="27"/>
      <c r="AL141" s="27"/>
      <c r="AM141" s="26"/>
      <c r="AP141" s="6" t="s">
        <v>56</v>
      </c>
      <c r="AQ141" s="29">
        <v>1069</v>
      </c>
      <c r="AR141" s="30">
        <v>1133</v>
      </c>
      <c r="AU141" s="6"/>
      <c r="AV141" s="8"/>
      <c r="AW141" s="31" t="s">
        <v>57</v>
      </c>
      <c r="AX141" s="8"/>
      <c r="AY141" s="7"/>
      <c r="AZ141" s="28"/>
      <c r="BB141" s="32" t="s">
        <v>85</v>
      </c>
      <c r="BC141">
        <v>20</v>
      </c>
      <c r="BD141">
        <v>22</v>
      </c>
      <c r="BE141" s="33"/>
      <c r="BF141" s="34"/>
      <c r="BG141" s="34"/>
      <c r="BH141" s="33"/>
      <c r="BI141" s="35"/>
      <c r="BJ141" s="34" t="s">
        <v>58</v>
      </c>
      <c r="BK141" s="8"/>
      <c r="BL141" s="7"/>
    </row>
    <row r="142" spans="1:65" x14ac:dyDescent="0.3">
      <c r="A142" s="10" t="s">
        <v>59</v>
      </c>
      <c r="B142" s="36">
        <v>1447</v>
      </c>
      <c r="C142" s="11">
        <v>2014</v>
      </c>
      <c r="D142" s="37"/>
      <c r="E142" s="38" t="s">
        <v>60</v>
      </c>
      <c r="F142" s="39"/>
      <c r="G142" s="37">
        <v>2468</v>
      </c>
      <c r="H142" s="36">
        <v>9</v>
      </c>
      <c r="I142" s="37" t="s">
        <v>61</v>
      </c>
      <c r="J142" s="40"/>
      <c r="K142" s="28"/>
      <c r="L142" s="41" t="s">
        <v>59</v>
      </c>
      <c r="M142" s="28">
        <v>9831</v>
      </c>
      <c r="N142" s="28">
        <v>26513</v>
      </c>
      <c r="O142" s="42">
        <v>0</v>
      </c>
      <c r="P142" s="43">
        <v>0</v>
      </c>
      <c r="Q142" s="40">
        <v>0</v>
      </c>
      <c r="R142" s="43">
        <v>0</v>
      </c>
      <c r="S142" s="43">
        <v>0</v>
      </c>
      <c r="T142" s="42"/>
      <c r="U142" s="28"/>
      <c r="V142" s="40"/>
      <c r="W142" s="28"/>
      <c r="AB142" s="9"/>
      <c r="AC142" s="8"/>
      <c r="AD142" s="8"/>
      <c r="AE142" s="6"/>
      <c r="AF142" s="8"/>
      <c r="AG142" s="7"/>
      <c r="AH142" s="8"/>
      <c r="AI142" s="8"/>
      <c r="AJ142" s="9"/>
      <c r="AK142" s="6" t="s">
        <v>62</v>
      </c>
      <c r="AL142" s="8"/>
      <c r="AM142" s="7"/>
      <c r="AP142" s="36" t="s">
        <v>63</v>
      </c>
      <c r="AQ142" s="36">
        <v>53</v>
      </c>
      <c r="AR142" s="39">
        <v>67</v>
      </c>
      <c r="AT142" s="18"/>
      <c r="AU142" s="10"/>
      <c r="AV142" s="18"/>
      <c r="AW142" s="18"/>
      <c r="AX142" s="18"/>
      <c r="AY142" s="11"/>
      <c r="AZ142" s="28"/>
      <c r="BB142" s="44" t="s">
        <v>64</v>
      </c>
      <c r="BC142" s="18">
        <v>90</v>
      </c>
      <c r="BD142" s="18">
        <v>102</v>
      </c>
      <c r="BE142" s="10">
        <v>0</v>
      </c>
      <c r="BF142" s="18">
        <v>0</v>
      </c>
      <c r="BG142" s="18">
        <v>0</v>
      </c>
      <c r="BH142" s="10">
        <v>0</v>
      </c>
      <c r="BI142" s="11">
        <v>0</v>
      </c>
      <c r="BJ142" s="45">
        <v>11</v>
      </c>
      <c r="BK142" s="28" t="s">
        <v>474</v>
      </c>
      <c r="BL142" s="11" t="s">
        <v>6</v>
      </c>
    </row>
    <row r="143" spans="1:65" ht="15" thickBot="1" x14ac:dyDescent="0.35">
      <c r="A143" s="36" t="s">
        <v>6</v>
      </c>
      <c r="B143" s="10"/>
      <c r="C143" s="11"/>
      <c r="D143" s="18"/>
      <c r="E143" s="18"/>
      <c r="F143" s="18"/>
      <c r="G143" s="36"/>
      <c r="H143" s="42"/>
      <c r="I143" s="28" t="s">
        <v>528</v>
      </c>
      <c r="J143" s="40">
        <f>SUM(H142+H143)</f>
        <v>9</v>
      </c>
      <c r="K143" s="28"/>
      <c r="L143" s="12"/>
      <c r="M143" s="37"/>
      <c r="N143" s="37"/>
      <c r="O143" s="10"/>
      <c r="P143" s="18"/>
      <c r="Q143" s="11"/>
      <c r="R143" s="18"/>
      <c r="S143" s="18"/>
      <c r="T143" s="10"/>
      <c r="U143" s="18"/>
      <c r="V143" s="11"/>
      <c r="W143" s="28"/>
      <c r="AB143" s="41"/>
      <c r="AE143" s="42"/>
      <c r="AF143" s="28"/>
      <c r="AG143" s="40"/>
      <c r="AJ143" s="41"/>
      <c r="AK143" s="42"/>
      <c r="AL143" s="28" t="s">
        <v>6</v>
      </c>
      <c r="AM143" s="40"/>
      <c r="AP143" s="36" t="s">
        <v>67</v>
      </c>
      <c r="AQ143" s="36">
        <v>258</v>
      </c>
      <c r="AR143" s="39">
        <v>234</v>
      </c>
      <c r="AT143" s="18"/>
      <c r="AU143" s="10"/>
      <c r="AV143" s="37">
        <v>47</v>
      </c>
      <c r="AW143" s="37" t="s">
        <v>68</v>
      </c>
      <c r="AX143" s="18"/>
      <c r="AY143" s="11"/>
      <c r="AZ143" s="28"/>
      <c r="BA143" s="28"/>
      <c r="BB143" s="46" t="s">
        <v>84</v>
      </c>
      <c r="BC143">
        <f>SUM(BC141:BC142)</f>
        <v>110</v>
      </c>
      <c r="BD143">
        <f>SUM(BD141:BD142)</f>
        <v>124</v>
      </c>
      <c r="BE143" s="47"/>
      <c r="BF143" s="48"/>
      <c r="BG143" s="48"/>
      <c r="BH143" s="47"/>
      <c r="BI143" s="49"/>
      <c r="BJ143" s="48"/>
      <c r="BK143" s="48" t="s">
        <v>69</v>
      </c>
      <c r="BL143" s="49">
        <f>SUM(BJ142:BJ143)</f>
        <v>11</v>
      </c>
    </row>
    <row r="144" spans="1:65" ht="15" thickBot="1" x14ac:dyDescent="0.35">
      <c r="A144" s="32"/>
      <c r="B144" s="34"/>
      <c r="C144" s="34"/>
      <c r="D144" s="33"/>
      <c r="E144" s="34"/>
      <c r="F144" s="35"/>
      <c r="G144" s="34"/>
      <c r="H144" s="6" t="s">
        <v>70</v>
      </c>
      <c r="I144" s="8"/>
      <c r="J144" s="7"/>
      <c r="K144" s="28"/>
      <c r="L144" s="17"/>
      <c r="M144" s="27"/>
      <c r="N144" s="27"/>
      <c r="O144" s="13"/>
      <c r="P144" s="27"/>
      <c r="Q144" s="26"/>
      <c r="R144" s="27"/>
      <c r="S144" s="27"/>
      <c r="T144" s="13"/>
      <c r="U144" s="27"/>
      <c r="V144" s="26"/>
      <c r="W144" s="28"/>
      <c r="AB144" s="44" t="s">
        <v>59</v>
      </c>
      <c r="AC144" s="37">
        <v>812</v>
      </c>
      <c r="AD144" s="37">
        <v>1055</v>
      </c>
      <c r="AE144" s="10">
        <v>0</v>
      </c>
      <c r="AF144" s="18">
        <v>0</v>
      </c>
      <c r="AG144" s="39">
        <v>0</v>
      </c>
      <c r="AH144" s="2">
        <v>0</v>
      </c>
      <c r="AI144" s="2">
        <v>0</v>
      </c>
      <c r="AJ144" s="12">
        <v>0</v>
      </c>
      <c r="AK144" s="36">
        <v>2</v>
      </c>
      <c r="AL144" s="37" t="s">
        <v>66</v>
      </c>
      <c r="AM144" s="11"/>
      <c r="AP144" s="36" t="s">
        <v>72</v>
      </c>
      <c r="AQ144" s="36">
        <v>0</v>
      </c>
      <c r="AR144" s="39">
        <v>0</v>
      </c>
      <c r="AT144" s="18"/>
      <c r="AU144" s="10"/>
      <c r="AV144" s="37">
        <v>67</v>
      </c>
      <c r="AW144" s="37" t="s">
        <v>73</v>
      </c>
      <c r="AX144" s="18"/>
      <c r="AY144" s="11"/>
      <c r="AZ144" s="28"/>
      <c r="BA144" s="28"/>
      <c r="BB144" s="33"/>
      <c r="BC144" s="33"/>
      <c r="BD144" s="35"/>
      <c r="BE144" s="34"/>
      <c r="BF144" s="34"/>
      <c r="BG144" s="34"/>
      <c r="BH144" s="33"/>
      <c r="BI144" s="35"/>
      <c r="BJ144" s="53" t="s">
        <v>82</v>
      </c>
      <c r="BK144" s="34"/>
      <c r="BL144" s="35"/>
    </row>
    <row r="145" spans="1:65" ht="15" thickBot="1" x14ac:dyDescent="0.35">
      <c r="A145" s="44" t="s">
        <v>74</v>
      </c>
      <c r="B145" s="37">
        <v>945</v>
      </c>
      <c r="C145" s="18">
        <v>1728</v>
      </c>
      <c r="D145" s="36"/>
      <c r="E145" s="38" t="s">
        <v>60</v>
      </c>
      <c r="F145" s="39"/>
      <c r="G145" s="37">
        <v>3666</v>
      </c>
      <c r="H145" s="36">
        <v>17</v>
      </c>
      <c r="I145" s="28" t="s">
        <v>75</v>
      </c>
      <c r="J145" s="11"/>
      <c r="K145" s="28"/>
      <c r="L145" s="32"/>
      <c r="M145" s="34"/>
      <c r="N145" s="34"/>
      <c r="O145" s="33"/>
      <c r="P145" s="34"/>
      <c r="Q145" s="35"/>
      <c r="R145" s="34"/>
      <c r="S145" s="34"/>
      <c r="T145" s="33"/>
      <c r="U145" s="34"/>
      <c r="V145" s="35"/>
      <c r="W145" s="28"/>
      <c r="AB145" s="46"/>
      <c r="AE145" s="47"/>
      <c r="AF145" s="51"/>
      <c r="AG145" s="49"/>
      <c r="AH145" s="28"/>
      <c r="AI145" s="28"/>
      <c r="AJ145" s="62"/>
      <c r="AK145" s="47">
        <v>2</v>
      </c>
      <c r="AL145" s="48" t="s">
        <v>398</v>
      </c>
      <c r="AM145" s="49"/>
      <c r="AP145" s="36" t="s">
        <v>78</v>
      </c>
      <c r="AQ145" s="36">
        <v>18</v>
      </c>
      <c r="AR145" s="39">
        <v>25</v>
      </c>
      <c r="AT145" s="18"/>
      <c r="AU145" s="10"/>
      <c r="AV145" s="37"/>
      <c r="AW145" s="37"/>
      <c r="AX145" s="18" t="s">
        <v>6</v>
      </c>
      <c r="AY145" s="11"/>
      <c r="AZ145" s="28"/>
      <c r="BA145" s="28"/>
      <c r="BB145" s="47" t="s">
        <v>85</v>
      </c>
      <c r="BC145" s="47">
        <v>5</v>
      </c>
      <c r="BD145" s="49">
        <v>5</v>
      </c>
      <c r="BE145" s="48"/>
      <c r="BF145" s="48">
        <v>0</v>
      </c>
      <c r="BG145" s="48">
        <v>0</v>
      </c>
      <c r="BH145" s="47">
        <v>0</v>
      </c>
      <c r="BI145" s="49">
        <v>0</v>
      </c>
      <c r="BJ145" s="51">
        <v>1</v>
      </c>
      <c r="BK145" s="48" t="s">
        <v>86</v>
      </c>
      <c r="BL145" s="49">
        <f>SUM(BJ145)</f>
        <v>1</v>
      </c>
    </row>
    <row r="146" spans="1:65" x14ac:dyDescent="0.3">
      <c r="A146" s="41"/>
      <c r="D146" s="42"/>
      <c r="E146" s="28"/>
      <c r="F146" s="40"/>
      <c r="H146" s="42">
        <v>6</v>
      </c>
      <c r="I146" s="28" t="s">
        <v>79</v>
      </c>
      <c r="J146" s="40"/>
      <c r="K146" s="28"/>
      <c r="L146" s="41"/>
      <c r="M146" s="28"/>
      <c r="N146" s="28"/>
      <c r="O146" s="42"/>
      <c r="P146" s="28"/>
      <c r="Q146" s="40"/>
      <c r="R146" s="28"/>
      <c r="S146" s="28"/>
      <c r="T146" s="42" t="s">
        <v>80</v>
      </c>
      <c r="U146" s="28"/>
      <c r="V146" s="40"/>
      <c r="W146" s="28"/>
      <c r="AB146" s="50" t="s">
        <v>6</v>
      </c>
      <c r="AC146" s="8"/>
      <c r="AD146" s="8"/>
      <c r="AE146" s="6"/>
      <c r="AF146" s="8"/>
      <c r="AG146" s="7"/>
      <c r="AH146" s="6"/>
      <c r="AI146" s="7"/>
      <c r="AJ146" s="8"/>
      <c r="AK146" s="29" t="s">
        <v>71</v>
      </c>
      <c r="AL146" s="8"/>
      <c r="AM146" s="7"/>
      <c r="AP146" s="52" t="s">
        <v>81</v>
      </c>
      <c r="AQ146" s="36">
        <v>0</v>
      </c>
      <c r="AR146" s="39">
        <v>0</v>
      </c>
      <c r="AU146" s="42"/>
      <c r="AV146" s="28"/>
      <c r="AW146" s="28"/>
      <c r="AX146" s="28"/>
      <c r="AY146" s="40"/>
      <c r="AZ146" s="28"/>
      <c r="BA146" s="28"/>
      <c r="BB146" s="50" t="s">
        <v>107</v>
      </c>
      <c r="BC146" s="31">
        <v>112</v>
      </c>
      <c r="BD146" s="31">
        <v>105</v>
      </c>
      <c r="BE146" s="29"/>
      <c r="BF146" s="31"/>
      <c r="BG146" s="30"/>
      <c r="BH146" s="55">
        <v>0</v>
      </c>
      <c r="BI146" s="8">
        <v>0</v>
      </c>
      <c r="BJ146" s="29"/>
      <c r="BK146" s="34" t="s">
        <v>92</v>
      </c>
      <c r="BL146" s="35"/>
    </row>
    <row r="147" spans="1:65" ht="15" thickBot="1" x14ac:dyDescent="0.35">
      <c r="A147" s="46"/>
      <c r="B147" s="48"/>
      <c r="C147" s="48"/>
      <c r="D147" s="47"/>
      <c r="E147" s="48"/>
      <c r="F147" s="49"/>
      <c r="G147" s="48"/>
      <c r="H147" s="47">
        <v>1</v>
      </c>
      <c r="I147" s="28" t="s">
        <v>83</v>
      </c>
      <c r="J147" s="49">
        <f>SUM(H145:H147)</f>
        <v>24</v>
      </c>
      <c r="K147" s="28"/>
      <c r="L147" s="17" t="s">
        <v>74</v>
      </c>
      <c r="M147" s="27">
        <v>2458</v>
      </c>
      <c r="N147" s="27">
        <v>0</v>
      </c>
      <c r="O147" s="13">
        <v>0</v>
      </c>
      <c r="P147" s="27">
        <v>0</v>
      </c>
      <c r="Q147" s="26">
        <v>0</v>
      </c>
      <c r="R147" s="27">
        <v>0</v>
      </c>
      <c r="S147" s="27">
        <v>0</v>
      </c>
      <c r="T147" s="13"/>
      <c r="U147" s="27"/>
      <c r="V147" s="26"/>
      <c r="W147" s="28"/>
      <c r="AB147" s="41" t="s">
        <v>76</v>
      </c>
      <c r="AC147">
        <v>0</v>
      </c>
      <c r="AD147">
        <v>0</v>
      </c>
      <c r="AE147" s="42">
        <v>0</v>
      </c>
      <c r="AF147" s="43">
        <v>0</v>
      </c>
      <c r="AG147" s="40">
        <v>0</v>
      </c>
      <c r="AH147" s="42">
        <v>0</v>
      </c>
      <c r="AI147" s="40">
        <v>0</v>
      </c>
      <c r="AJ147" s="43">
        <v>0</v>
      </c>
      <c r="AK147" s="42"/>
      <c r="AL147" s="28" t="s">
        <v>77</v>
      </c>
      <c r="AM147" s="40"/>
      <c r="AP147" s="52" t="s">
        <v>115</v>
      </c>
      <c r="AQ147" s="52">
        <v>0</v>
      </c>
      <c r="AR147" s="86">
        <v>0</v>
      </c>
      <c r="AU147" s="42"/>
      <c r="AV147" s="28"/>
      <c r="AW147" s="28"/>
      <c r="AX147" s="28"/>
      <c r="AY147" s="40"/>
      <c r="AZ147" s="28"/>
      <c r="BA147" s="28"/>
      <c r="BB147" s="41" t="s">
        <v>99</v>
      </c>
      <c r="BC147" s="45">
        <v>0</v>
      </c>
      <c r="BD147" s="45">
        <v>0</v>
      </c>
      <c r="BE147" s="42">
        <v>0</v>
      </c>
      <c r="BF147" s="45">
        <v>0</v>
      </c>
      <c r="BG147" s="40">
        <v>0</v>
      </c>
      <c r="BH147" s="45">
        <v>53860</v>
      </c>
      <c r="BI147" s="56">
        <f>1818+12498</f>
        <v>14316</v>
      </c>
      <c r="BJ147" s="52">
        <f>56/2</f>
        <v>28</v>
      </c>
      <c r="BK147" s="37" t="s">
        <v>100</v>
      </c>
      <c r="BL147" s="40"/>
    </row>
    <row r="148" spans="1:65" ht="15" thickBot="1" x14ac:dyDescent="0.35">
      <c r="A148" s="33"/>
      <c r="B148" s="33"/>
      <c r="C148" s="35"/>
      <c r="D148" s="34"/>
      <c r="E148" s="34"/>
      <c r="F148" s="34"/>
      <c r="G148" s="32"/>
      <c r="H148" s="6" t="s">
        <v>87</v>
      </c>
      <c r="I148" s="34"/>
      <c r="J148" s="35"/>
      <c r="K148" s="28"/>
      <c r="L148" s="12" t="s">
        <v>88</v>
      </c>
      <c r="M148" s="37">
        <v>0</v>
      </c>
      <c r="N148" s="37">
        <v>0</v>
      </c>
      <c r="O148" s="10"/>
      <c r="P148" s="18"/>
      <c r="Q148" s="11"/>
      <c r="R148" s="18"/>
      <c r="S148" s="18"/>
      <c r="T148" s="33" t="s">
        <v>6</v>
      </c>
      <c r="U148" s="31"/>
      <c r="V148" s="7"/>
      <c r="W148" s="28"/>
      <c r="AB148" s="6" t="s">
        <v>89</v>
      </c>
      <c r="AC148" s="6">
        <v>29</v>
      </c>
      <c r="AD148" s="7">
        <v>40</v>
      </c>
      <c r="AE148" s="8"/>
      <c r="AF148" s="8"/>
      <c r="AG148" s="8"/>
      <c r="AH148" s="6"/>
      <c r="AI148" s="7"/>
      <c r="AJ148" s="9"/>
      <c r="AK148" s="31" t="s">
        <v>90</v>
      </c>
      <c r="AL148" s="8"/>
      <c r="AM148" s="7"/>
      <c r="AP148" s="13" t="s">
        <v>84</v>
      </c>
      <c r="AQ148" s="13">
        <f>SUM(AQ141:AQ147)</f>
        <v>1398</v>
      </c>
      <c r="AR148" s="26">
        <f>SUM(AR141:AR147)</f>
        <v>1459</v>
      </c>
      <c r="AT148" s="18"/>
      <c r="AU148" s="13"/>
      <c r="AV148" s="27"/>
      <c r="AW148" s="27"/>
      <c r="AX148" s="27"/>
      <c r="AY148" s="26">
        <f>SUM(AV143:AV144)</f>
        <v>114</v>
      </c>
      <c r="AZ148" s="28"/>
      <c r="BA148" s="28"/>
      <c r="BB148" s="17" t="s">
        <v>84</v>
      </c>
      <c r="BC148" s="18">
        <f>SUM(BC146:BC147)</f>
        <v>112</v>
      </c>
      <c r="BD148" s="18">
        <f>SUM(BD146:BD147)</f>
        <v>105</v>
      </c>
      <c r="BE148" s="13"/>
      <c r="BF148" s="27"/>
      <c r="BG148" s="26"/>
      <c r="BH148" s="58">
        <f>+BH147+BH146</f>
        <v>53860</v>
      </c>
      <c r="BI148" s="27">
        <f>+BI147+BI146</f>
        <v>14316</v>
      </c>
      <c r="BJ148" s="59">
        <v>1</v>
      </c>
      <c r="BK148" s="48" t="s">
        <v>506</v>
      </c>
      <c r="BL148" s="60">
        <f>SUM(BJ147:BJ148)</f>
        <v>29</v>
      </c>
    </row>
    <row r="149" spans="1:65" x14ac:dyDescent="0.3">
      <c r="A149" s="36" t="s">
        <v>93</v>
      </c>
      <c r="B149" s="36">
        <v>4167</v>
      </c>
      <c r="C149" s="11">
        <v>4725</v>
      </c>
      <c r="D149" s="37"/>
      <c r="E149" s="38" t="s">
        <v>60</v>
      </c>
      <c r="F149" s="37"/>
      <c r="G149" s="12">
        <v>4968</v>
      </c>
      <c r="H149" s="36">
        <v>0</v>
      </c>
      <c r="I149" s="37" t="s">
        <v>94</v>
      </c>
      <c r="J149" s="40"/>
      <c r="K149" s="28"/>
      <c r="L149" s="44" t="s">
        <v>95</v>
      </c>
      <c r="M149" s="37">
        <v>0</v>
      </c>
      <c r="N149" s="37">
        <v>400</v>
      </c>
      <c r="O149" s="10"/>
      <c r="P149" s="18"/>
      <c r="Q149" s="11"/>
      <c r="R149" s="18"/>
      <c r="S149" s="18"/>
      <c r="T149" s="10" t="s">
        <v>96</v>
      </c>
      <c r="U149" s="37"/>
      <c r="V149" s="11"/>
      <c r="W149" s="28"/>
      <c r="AB149" s="36" t="s">
        <v>97</v>
      </c>
      <c r="AC149" s="10">
        <v>0</v>
      </c>
      <c r="AD149" s="11">
        <v>0</v>
      </c>
      <c r="AE149" s="18">
        <v>0</v>
      </c>
      <c r="AF149" s="18">
        <v>0</v>
      </c>
      <c r="AG149" s="18">
        <v>0</v>
      </c>
      <c r="AH149" s="36">
        <v>0</v>
      </c>
      <c r="AI149" s="11">
        <v>0</v>
      </c>
      <c r="AJ149" s="12">
        <v>0</v>
      </c>
      <c r="AK149" s="37">
        <v>1</v>
      </c>
      <c r="AL149" s="37" t="s">
        <v>529</v>
      </c>
      <c r="AM149" s="11"/>
      <c r="AP149" s="32" t="s">
        <v>6</v>
      </c>
      <c r="AQ149" s="43"/>
      <c r="AR149" s="54"/>
      <c r="AS149" s="33"/>
      <c r="AT149" s="35"/>
      <c r="AU149" s="33"/>
      <c r="AV149" s="34" t="s">
        <v>91</v>
      </c>
      <c r="AW149" s="34"/>
      <c r="AX149" s="34"/>
      <c r="AY149" s="35"/>
      <c r="AZ149" s="28" t="s">
        <v>6</v>
      </c>
      <c r="BA149" s="28"/>
      <c r="BB149" s="32" t="s">
        <v>107</v>
      </c>
      <c r="BC149" s="63">
        <v>0</v>
      </c>
      <c r="BD149" s="64">
        <v>0</v>
      </c>
      <c r="BE149" s="33"/>
      <c r="BF149" s="8"/>
      <c r="BG149" s="35"/>
      <c r="BH149" s="65"/>
      <c r="BI149" s="66"/>
      <c r="BJ149" s="29"/>
      <c r="BK149" s="31" t="s">
        <v>57</v>
      </c>
      <c r="BL149" s="35"/>
    </row>
    <row r="150" spans="1:65" ht="15" thickBot="1" x14ac:dyDescent="0.35">
      <c r="A150" s="47"/>
      <c r="B150" s="47"/>
      <c r="C150" s="49"/>
      <c r="D150" s="48"/>
      <c r="E150" s="48"/>
      <c r="F150" s="48"/>
      <c r="G150" s="46"/>
      <c r="H150" s="47">
        <v>31</v>
      </c>
      <c r="I150" s="48" t="s">
        <v>101</v>
      </c>
      <c r="J150" s="49">
        <f>SUM(H149:H150)</f>
        <v>31</v>
      </c>
      <c r="K150" s="28"/>
      <c r="L150" s="12" t="s">
        <v>102</v>
      </c>
      <c r="M150" s="18">
        <v>0</v>
      </c>
      <c r="N150" s="18">
        <v>0</v>
      </c>
      <c r="O150" s="10"/>
      <c r="P150" s="18"/>
      <c r="Q150" s="11"/>
      <c r="R150" s="18"/>
      <c r="S150" s="18"/>
      <c r="T150" s="10"/>
      <c r="U150" s="18"/>
      <c r="V150" s="11"/>
      <c r="W150" s="28"/>
      <c r="AB150" s="47" t="s">
        <v>84</v>
      </c>
      <c r="AC150" s="13">
        <f>SUM(AC148:AC149)</f>
        <v>29</v>
      </c>
      <c r="AD150" s="26">
        <f>SUM(AD148:AD149)</f>
        <v>40</v>
      </c>
      <c r="AE150" s="27"/>
      <c r="AF150" s="27"/>
      <c r="AG150" s="27"/>
      <c r="AH150" s="13"/>
      <c r="AI150" s="26"/>
      <c r="AJ150" s="17"/>
      <c r="AK150" s="57"/>
      <c r="AL150" s="37" t="s">
        <v>145</v>
      </c>
      <c r="AM150" s="11"/>
      <c r="AP150" s="41" t="s">
        <v>56</v>
      </c>
      <c r="AQ150" s="43">
        <v>1015</v>
      </c>
      <c r="AR150" s="54">
        <v>986</v>
      </c>
      <c r="AS150" s="42"/>
      <c r="AT150" s="40"/>
      <c r="AU150" s="42"/>
      <c r="AV150" s="28"/>
      <c r="AW150" s="28"/>
      <c r="AX150" s="28"/>
      <c r="AY150" s="40"/>
      <c r="AZ150" s="28"/>
      <c r="BA150" s="28"/>
      <c r="BB150" s="41" t="s">
        <v>657</v>
      </c>
      <c r="BC150" s="70">
        <v>0</v>
      </c>
      <c r="BD150" s="71">
        <v>0</v>
      </c>
      <c r="BE150" s="42"/>
      <c r="BF150" s="28"/>
      <c r="BG150" s="40"/>
      <c r="BH150" s="42"/>
      <c r="BI150" s="40"/>
      <c r="BJ150" s="42"/>
      <c r="BK150" s="54" t="s">
        <v>530</v>
      </c>
      <c r="BL150" s="40"/>
    </row>
    <row r="151" spans="1:65" ht="15" thickBot="1" x14ac:dyDescent="0.35">
      <c r="A151" s="29" t="s">
        <v>250</v>
      </c>
      <c r="B151" s="29">
        <v>0</v>
      </c>
      <c r="C151" s="7">
        <v>0</v>
      </c>
      <c r="D151" s="8"/>
      <c r="E151" s="8"/>
      <c r="F151" s="8"/>
      <c r="G151" s="9"/>
      <c r="H151" s="8" t="s">
        <v>104</v>
      </c>
      <c r="I151" s="8"/>
      <c r="J151" s="7"/>
      <c r="K151" s="28"/>
      <c r="L151" s="12" t="s">
        <v>84</v>
      </c>
      <c r="M151" s="18">
        <f>SUM(M148:M150)</f>
        <v>0</v>
      </c>
      <c r="N151" s="18">
        <f>SUM(N148:N150)</f>
        <v>400</v>
      </c>
      <c r="O151" s="10">
        <v>0</v>
      </c>
      <c r="P151" s="18">
        <v>0</v>
      </c>
      <c r="Q151" s="11">
        <v>0</v>
      </c>
      <c r="R151" s="18">
        <v>0</v>
      </c>
      <c r="S151" s="18">
        <v>0</v>
      </c>
      <c r="T151" s="13"/>
      <c r="U151" s="27"/>
      <c r="V151" s="26"/>
      <c r="W151" s="28"/>
      <c r="AB151" s="44"/>
      <c r="AC151" s="18"/>
      <c r="AD151" s="18"/>
      <c r="AE151" s="10"/>
      <c r="AF151" s="18"/>
      <c r="AG151" s="11"/>
      <c r="AH151" s="10"/>
      <c r="AI151" s="11"/>
      <c r="AJ151" s="6"/>
      <c r="AK151" s="33" t="s">
        <v>708</v>
      </c>
      <c r="AM151" s="7"/>
      <c r="AP151" s="62" t="s">
        <v>6</v>
      </c>
      <c r="AQ151" s="43"/>
      <c r="AR151" s="43"/>
      <c r="AS151" s="47"/>
      <c r="AT151" s="49"/>
      <c r="AU151" s="47"/>
      <c r="AV151" s="48">
        <f>174/2</f>
        <v>87</v>
      </c>
      <c r="AW151" s="48" t="s">
        <v>73</v>
      </c>
      <c r="AX151" s="48"/>
      <c r="AY151" s="49">
        <f>SUM(AV151)</f>
        <v>87</v>
      </c>
      <c r="AZ151" s="28"/>
      <c r="BA151" s="28" t="s">
        <v>6</v>
      </c>
      <c r="BB151" s="68" t="s">
        <v>84</v>
      </c>
      <c r="BC151">
        <f>SUM(BC149:BC150)</f>
        <v>0</v>
      </c>
      <c r="BD151">
        <f>SUM(BD149:BD150)</f>
        <v>0</v>
      </c>
      <c r="BE151" s="47">
        <v>0</v>
      </c>
      <c r="BF151" s="27">
        <v>0</v>
      </c>
      <c r="BG151" s="49">
        <v>0</v>
      </c>
      <c r="BH151" s="75">
        <v>0</v>
      </c>
      <c r="BI151" s="49">
        <v>0</v>
      </c>
      <c r="BJ151" s="47"/>
      <c r="BK151" s="51" t="s">
        <v>73</v>
      </c>
      <c r="BL151" s="49">
        <f>SUM(BJ150:BJ151)</f>
        <v>0</v>
      </c>
    </row>
    <row r="152" spans="1:65" x14ac:dyDescent="0.3">
      <c r="A152" s="42" t="s">
        <v>105</v>
      </c>
      <c r="B152" s="42">
        <v>298</v>
      </c>
      <c r="C152" s="40">
        <v>259</v>
      </c>
      <c r="D152" s="28"/>
      <c r="E152" s="38" t="s">
        <v>60</v>
      </c>
      <c r="F152" s="28"/>
      <c r="G152" s="41"/>
      <c r="H152" s="67">
        <v>10</v>
      </c>
      <c r="I152" s="43" t="s">
        <v>106</v>
      </c>
      <c r="J152" s="40">
        <f>SUM(H152)</f>
        <v>10</v>
      </c>
      <c r="K152" s="28"/>
      <c r="L152" s="32"/>
      <c r="M152" s="33"/>
      <c r="N152" s="35"/>
      <c r="O152" s="34"/>
      <c r="P152" s="34"/>
      <c r="Q152" s="35"/>
      <c r="R152" s="33"/>
      <c r="S152" s="35"/>
      <c r="T152" s="6" t="s">
        <v>104</v>
      </c>
      <c r="U152" s="34"/>
      <c r="V152" s="35"/>
      <c r="W152" s="28"/>
      <c r="AB152" s="41" t="s">
        <v>388</v>
      </c>
      <c r="AC152" s="18">
        <v>153</v>
      </c>
      <c r="AD152" s="18"/>
      <c r="AE152" s="10">
        <v>0</v>
      </c>
      <c r="AF152" s="18">
        <v>0</v>
      </c>
      <c r="AG152" s="11">
        <v>0</v>
      </c>
      <c r="AH152" s="10"/>
      <c r="AI152" s="11"/>
      <c r="AJ152" s="10">
        <v>0</v>
      </c>
      <c r="AK152" s="10"/>
      <c r="AL152" s="37" t="s">
        <v>6</v>
      </c>
      <c r="AM152" s="11"/>
      <c r="AP152" s="10"/>
      <c r="AQ152" s="29"/>
      <c r="AR152" s="31"/>
      <c r="AS152" s="33"/>
      <c r="AT152" s="7"/>
      <c r="AU152" s="8"/>
      <c r="AV152" s="8"/>
      <c r="AW152" s="8"/>
      <c r="AX152" s="8"/>
      <c r="AY152" s="7"/>
      <c r="AZ152" s="28"/>
      <c r="BA152" s="28" t="s">
        <v>6</v>
      </c>
      <c r="BB152" s="33" t="s">
        <v>89</v>
      </c>
      <c r="BC152" s="78">
        <v>184</v>
      </c>
      <c r="BD152" s="79">
        <v>229</v>
      </c>
      <c r="BE152" s="34"/>
      <c r="BF152" s="8"/>
      <c r="BG152" s="35"/>
      <c r="BH152" s="80"/>
      <c r="BI152" s="34"/>
      <c r="BJ152" s="33"/>
      <c r="BK152" s="34" t="s">
        <v>91</v>
      </c>
      <c r="BL152" s="35"/>
    </row>
    <row r="153" spans="1:65" ht="15" thickBot="1" x14ac:dyDescent="0.35">
      <c r="A153" s="67" t="s">
        <v>84</v>
      </c>
      <c r="B153" s="47">
        <f>SUM(B151:B152)</f>
        <v>298</v>
      </c>
      <c r="C153" s="49">
        <f>SUM(C151:C152)</f>
        <v>259</v>
      </c>
      <c r="G153" s="46">
        <v>700</v>
      </c>
      <c r="H153" s="48"/>
      <c r="I153" s="48"/>
      <c r="J153" s="49"/>
      <c r="K153" s="28"/>
      <c r="L153" s="69" t="s">
        <v>109</v>
      </c>
      <c r="M153" s="42"/>
      <c r="N153" s="40">
        <v>0</v>
      </c>
      <c r="O153" s="28">
        <v>0</v>
      </c>
      <c r="P153" s="43">
        <v>0</v>
      </c>
      <c r="Q153" s="40">
        <v>0</v>
      </c>
      <c r="R153" s="42">
        <v>0</v>
      </c>
      <c r="S153" s="40">
        <v>0</v>
      </c>
      <c r="T153" s="28"/>
      <c r="U153" s="28"/>
      <c r="V153" s="40"/>
      <c r="W153" s="28"/>
      <c r="AA153" s="28"/>
      <c r="AB153" s="44" t="s">
        <v>549</v>
      </c>
      <c r="AC153" s="45">
        <v>0</v>
      </c>
      <c r="AD153" s="45">
        <v>153</v>
      </c>
      <c r="AE153" s="10">
        <v>0</v>
      </c>
      <c r="AF153" s="18">
        <v>0</v>
      </c>
      <c r="AG153" s="11">
        <v>0</v>
      </c>
      <c r="AH153" s="10"/>
      <c r="AI153" s="11"/>
      <c r="AJ153" s="67"/>
      <c r="AK153" s="42">
        <v>1</v>
      </c>
      <c r="AL153" s="54" t="s">
        <v>436</v>
      </c>
      <c r="AM153" s="40"/>
      <c r="AN153" s="28"/>
      <c r="AP153" s="36" t="s">
        <v>63</v>
      </c>
      <c r="AQ153" s="10">
        <v>98</v>
      </c>
      <c r="AR153" s="18">
        <v>89</v>
      </c>
      <c r="AS153" s="42"/>
      <c r="AT153" s="11"/>
      <c r="AU153" s="18"/>
      <c r="AV153" s="18" t="s">
        <v>110</v>
      </c>
      <c r="AW153" s="18" t="s">
        <v>111</v>
      </c>
      <c r="AX153" s="18" t="s">
        <v>112</v>
      </c>
      <c r="AY153" s="11"/>
      <c r="AZ153" s="45"/>
      <c r="BA153" s="28"/>
      <c r="BB153" s="52" t="s">
        <v>85</v>
      </c>
      <c r="BC153" s="42">
        <v>84</v>
      </c>
      <c r="BD153" s="40">
        <v>84</v>
      </c>
      <c r="BE153" s="28"/>
      <c r="BF153" s="28"/>
      <c r="BG153" s="40"/>
      <c r="BJ153" s="42">
        <v>2</v>
      </c>
      <c r="BK153" s="43" t="s">
        <v>284</v>
      </c>
      <c r="BL153" s="40"/>
    </row>
    <row r="154" spans="1:65" ht="15" thickBot="1" x14ac:dyDescent="0.35">
      <c r="A154" s="29" t="s">
        <v>108</v>
      </c>
      <c r="B154" s="29">
        <v>0</v>
      </c>
      <c r="C154" s="7">
        <v>0</v>
      </c>
      <c r="D154" s="8"/>
      <c r="E154" s="8">
        <v>1252</v>
      </c>
      <c r="F154" s="8"/>
      <c r="G154" s="50"/>
      <c r="H154" s="6" t="s">
        <v>104</v>
      </c>
      <c r="I154" s="31"/>
      <c r="J154" s="30"/>
      <c r="K154" s="28"/>
      <c r="L154" s="46"/>
      <c r="M154" s="47"/>
      <c r="N154" s="49"/>
      <c r="O154" s="48"/>
      <c r="P154" s="48"/>
      <c r="Q154" s="49"/>
      <c r="R154" s="72"/>
      <c r="S154" s="73"/>
      <c r="T154" s="48"/>
      <c r="U154" s="48"/>
      <c r="V154" s="49"/>
      <c r="W154" s="28"/>
      <c r="AA154" s="28"/>
      <c r="AB154" s="41" t="s">
        <v>709</v>
      </c>
      <c r="AC154">
        <f>SUM(AC152:AC153)</f>
        <v>153</v>
      </c>
      <c r="AD154">
        <f>SUM(AD153)</f>
        <v>153</v>
      </c>
      <c r="AE154" s="10">
        <v>0</v>
      </c>
      <c r="AF154" s="18">
        <v>0</v>
      </c>
      <c r="AG154" s="11">
        <v>0</v>
      </c>
      <c r="AH154" s="10"/>
      <c r="AI154" s="11"/>
      <c r="AJ154" s="47"/>
      <c r="AK154" s="72"/>
      <c r="AL154" s="74"/>
      <c r="AM154" s="49"/>
      <c r="AN154" s="28"/>
      <c r="AP154" s="10" t="s">
        <v>115</v>
      </c>
      <c r="AQ154" s="36">
        <v>52</v>
      </c>
      <c r="AR154" s="37">
        <v>36</v>
      </c>
      <c r="AS154" s="42"/>
      <c r="AT154" s="11"/>
      <c r="AU154" s="18"/>
      <c r="AV154" s="18"/>
      <c r="AW154" s="18"/>
      <c r="AX154" s="18"/>
      <c r="AY154" s="11"/>
      <c r="AZ154" s="28"/>
      <c r="BA154" s="28" t="s">
        <v>6</v>
      </c>
      <c r="BB154" s="67" t="s">
        <v>113</v>
      </c>
      <c r="BC154" s="42">
        <v>609</v>
      </c>
      <c r="BD154" s="40">
        <v>618</v>
      </c>
      <c r="BE154" s="28"/>
      <c r="BF154" s="28"/>
      <c r="BG154" s="40"/>
      <c r="BH154" s="28"/>
      <c r="BI154" s="28"/>
      <c r="BJ154" s="67">
        <f>124/2</f>
        <v>62</v>
      </c>
      <c r="BK154" s="43" t="s">
        <v>73</v>
      </c>
      <c r="BL154" s="40"/>
    </row>
    <row r="155" spans="1:65" ht="15" thickBot="1" x14ac:dyDescent="0.35">
      <c r="A155" s="52" t="s">
        <v>109</v>
      </c>
      <c r="B155" s="36">
        <v>1046</v>
      </c>
      <c r="C155" s="11">
        <v>1450</v>
      </c>
      <c r="D155" s="45"/>
      <c r="E155" s="45">
        <v>0</v>
      </c>
      <c r="F155" s="45"/>
      <c r="G155" s="69"/>
      <c r="H155" s="45">
        <v>10</v>
      </c>
      <c r="I155" s="28" t="s">
        <v>114</v>
      </c>
      <c r="J155" s="40"/>
      <c r="K155" s="28"/>
      <c r="L155" s="50" t="s">
        <v>93</v>
      </c>
      <c r="M155" s="8">
        <v>0</v>
      </c>
      <c r="N155" s="8">
        <v>0</v>
      </c>
      <c r="O155" s="6"/>
      <c r="P155" s="8"/>
      <c r="Q155" s="7"/>
      <c r="R155" s="8">
        <v>0</v>
      </c>
      <c r="S155" s="8">
        <v>0</v>
      </c>
      <c r="T155" s="10" t="s">
        <v>116</v>
      </c>
      <c r="U155" s="8"/>
      <c r="V155" s="7"/>
      <c r="W155" s="28"/>
      <c r="AA155" s="28"/>
      <c r="AB155" s="33"/>
      <c r="AC155" s="6"/>
      <c r="AD155" s="7"/>
      <c r="AE155" s="8"/>
      <c r="AF155" s="8"/>
      <c r="AG155" s="8"/>
      <c r="AH155" s="6"/>
      <c r="AI155" s="7"/>
      <c r="AJ155" s="8"/>
      <c r="AK155" s="29"/>
      <c r="AL155" s="164" t="s">
        <v>117</v>
      </c>
      <c r="AM155" s="7"/>
      <c r="AN155" s="28"/>
      <c r="AP155" s="52" t="s">
        <v>72</v>
      </c>
      <c r="AQ155" s="52">
        <v>11</v>
      </c>
      <c r="AR155" s="54">
        <v>12</v>
      </c>
      <c r="AS155" s="42"/>
      <c r="AT155" s="40"/>
      <c r="AU155" s="28"/>
      <c r="AV155" s="28"/>
      <c r="AW155" s="28"/>
      <c r="AX155" s="28"/>
      <c r="AY155" s="40"/>
      <c r="AZ155" s="28"/>
      <c r="BA155" s="28"/>
      <c r="BB155" s="47" t="s">
        <v>84</v>
      </c>
      <c r="BC155" s="47">
        <f>SUM(BC152:BC154)</f>
        <v>877</v>
      </c>
      <c r="BD155" s="49">
        <f>SUM(BD152:BD154)</f>
        <v>931</v>
      </c>
      <c r="BE155" s="81">
        <v>0</v>
      </c>
      <c r="BF155" s="27">
        <v>0</v>
      </c>
      <c r="BG155" s="82">
        <f>+BG152</f>
        <v>0</v>
      </c>
      <c r="BH155" s="74">
        <v>0</v>
      </c>
      <c r="BI155" s="74">
        <v>0</v>
      </c>
      <c r="BJ155" s="47"/>
      <c r="BK155" s="51"/>
      <c r="BL155" s="49">
        <f>SUM(BJ154)</f>
        <v>62</v>
      </c>
    </row>
    <row r="156" spans="1:65" ht="15" thickBot="1" x14ac:dyDescent="0.35">
      <c r="A156" s="76" t="s">
        <v>84</v>
      </c>
      <c r="B156" s="42">
        <f>SUM(B154:B155)</f>
        <v>1046</v>
      </c>
      <c r="C156" s="40">
        <f>SUM(C154:C155)</f>
        <v>1450</v>
      </c>
      <c r="D156" s="28"/>
      <c r="E156" s="28">
        <f>SUM(E154:E155)</f>
        <v>1252</v>
      </c>
      <c r="F156" s="28"/>
      <c r="G156" s="46">
        <v>3750</v>
      </c>
      <c r="H156" s="48"/>
      <c r="I156" s="48"/>
      <c r="J156" s="49">
        <f>SUM(H155)</f>
        <v>10</v>
      </c>
      <c r="K156" s="28"/>
      <c r="L156" s="12" t="s">
        <v>99</v>
      </c>
      <c r="M156" s="37">
        <v>50986</v>
      </c>
      <c r="N156" s="37">
        <v>28838</v>
      </c>
      <c r="O156" s="10"/>
      <c r="P156" s="18"/>
      <c r="Q156" s="11"/>
      <c r="R156" s="18">
        <v>5501</v>
      </c>
      <c r="S156" s="18">
        <v>200</v>
      </c>
      <c r="T156" s="10"/>
      <c r="U156" s="18"/>
      <c r="V156" s="11"/>
      <c r="W156" s="28"/>
      <c r="AA156" s="28"/>
      <c r="AB156" s="67"/>
      <c r="AC156" s="42"/>
      <c r="AD156" s="40"/>
      <c r="AE156" s="28"/>
      <c r="AF156" s="28"/>
      <c r="AG156" s="28"/>
      <c r="AH156" s="42"/>
      <c r="AI156" s="40"/>
      <c r="AJ156" s="28"/>
      <c r="AK156" s="42"/>
      <c r="AL156" s="54" t="s">
        <v>558</v>
      </c>
      <c r="AM156" s="40"/>
      <c r="AN156" s="28"/>
      <c r="AP156" s="36" t="s">
        <v>78</v>
      </c>
      <c r="AQ156" s="36">
        <v>63</v>
      </c>
      <c r="AR156" s="37">
        <v>31</v>
      </c>
      <c r="AS156" s="42"/>
      <c r="AT156" s="11"/>
      <c r="AU156" s="18"/>
      <c r="AV156" s="37"/>
      <c r="AW156" s="18"/>
      <c r="AX156" s="37"/>
      <c r="AY156" s="11"/>
      <c r="AZ156" s="28"/>
      <c r="BA156" s="28"/>
      <c r="BB156" s="52" t="s">
        <v>113</v>
      </c>
      <c r="BC156" s="42">
        <v>641</v>
      </c>
      <c r="BD156" s="85">
        <v>645</v>
      </c>
      <c r="BE156" s="37"/>
      <c r="BF156" s="18"/>
      <c r="BG156" s="54"/>
      <c r="BH156" s="52"/>
      <c r="BI156" s="40"/>
      <c r="BJ156" s="67"/>
      <c r="BK156" s="34" t="s">
        <v>130</v>
      </c>
      <c r="BL156" s="40"/>
    </row>
    <row r="157" spans="1:65" x14ac:dyDescent="0.3">
      <c r="A157" s="32" t="s">
        <v>93</v>
      </c>
      <c r="B157" s="33">
        <v>3902</v>
      </c>
      <c r="C157" s="35">
        <v>3670</v>
      </c>
      <c r="D157" s="33"/>
      <c r="E157" s="34"/>
      <c r="F157" s="34"/>
      <c r="G157" s="32">
        <v>8630</v>
      </c>
      <c r="H157" s="33" t="s">
        <v>118</v>
      </c>
      <c r="I157" s="34"/>
      <c r="J157" s="35"/>
      <c r="K157" s="28"/>
      <c r="L157" s="12" t="s">
        <v>120</v>
      </c>
      <c r="M157" s="37">
        <v>9814</v>
      </c>
      <c r="N157" s="37">
        <v>52636</v>
      </c>
      <c r="O157" s="10"/>
      <c r="P157" s="18"/>
      <c r="Q157" s="11"/>
      <c r="R157" s="18">
        <v>645</v>
      </c>
      <c r="S157" s="18">
        <v>0</v>
      </c>
      <c r="T157" s="10"/>
      <c r="U157" s="18"/>
      <c r="V157" s="11"/>
      <c r="W157" s="28"/>
      <c r="AA157" s="28"/>
      <c r="AB157" s="36"/>
      <c r="AC157" s="10"/>
      <c r="AD157" s="11"/>
      <c r="AE157" s="18"/>
      <c r="AF157" s="18"/>
      <c r="AG157" s="18"/>
      <c r="AH157" s="10"/>
      <c r="AI157" s="11"/>
      <c r="AJ157" s="18"/>
      <c r="AK157" s="10"/>
      <c r="AL157" s="37" t="s">
        <v>302</v>
      </c>
      <c r="AM157" s="11"/>
      <c r="AN157" s="28"/>
      <c r="AP157" s="10" t="s">
        <v>122</v>
      </c>
      <c r="AQ157" s="36">
        <v>43</v>
      </c>
      <c r="AR157" s="37">
        <v>36</v>
      </c>
      <c r="AS157" s="42"/>
      <c r="AT157" s="11"/>
      <c r="AU157" s="18"/>
      <c r="AV157" s="18">
        <v>30</v>
      </c>
      <c r="AW157" s="18" t="s">
        <v>123</v>
      </c>
      <c r="AX157" s="18"/>
      <c r="AY157" s="11"/>
      <c r="AZ157" s="28"/>
      <c r="BA157" s="28"/>
      <c r="BB157" s="42" t="s">
        <v>475</v>
      </c>
      <c r="BC157" s="67">
        <v>0</v>
      </c>
      <c r="BD157" s="85">
        <v>0</v>
      </c>
      <c r="BE157" s="28"/>
      <c r="BF157" s="18"/>
      <c r="BG157" s="28"/>
      <c r="BH157" s="52"/>
      <c r="BI157" s="86"/>
      <c r="BJ157" s="52">
        <f>106/2</f>
        <v>53</v>
      </c>
      <c r="BK157" s="43" t="s">
        <v>73</v>
      </c>
      <c r="BL157" s="40"/>
      <c r="BM157" t="s">
        <v>6</v>
      </c>
    </row>
    <row r="158" spans="1:65" ht="15" thickBot="1" x14ac:dyDescent="0.35">
      <c r="A158" s="41" t="s">
        <v>120</v>
      </c>
      <c r="B158" s="42">
        <v>3696</v>
      </c>
      <c r="C158" s="40">
        <v>4005</v>
      </c>
      <c r="D158" s="42"/>
      <c r="E158" s="28" t="s">
        <v>60</v>
      </c>
      <c r="F158" s="28"/>
      <c r="G158" s="41">
        <f>600+600+8100/2</f>
        <v>5250</v>
      </c>
      <c r="H158" s="42">
        <v>97</v>
      </c>
      <c r="I158" s="28" t="s">
        <v>101</v>
      </c>
      <c r="J158" s="40"/>
      <c r="K158" s="28"/>
      <c r="L158" s="12" t="s">
        <v>84</v>
      </c>
      <c r="M158" s="18">
        <f>SUM(M155:M157)</f>
        <v>60800</v>
      </c>
      <c r="N158" s="18">
        <f>SUM(N155:N157)</f>
        <v>81474</v>
      </c>
      <c r="O158" s="10">
        <v>0</v>
      </c>
      <c r="P158" s="18">
        <v>0</v>
      </c>
      <c r="Q158" s="11">
        <v>0</v>
      </c>
      <c r="R158" s="18">
        <f>SUM(R155:R157)</f>
        <v>6146</v>
      </c>
      <c r="S158" s="18">
        <f>SUM(S155:S157)</f>
        <v>200</v>
      </c>
      <c r="T158" s="10"/>
      <c r="U158" s="18"/>
      <c r="V158" s="11"/>
      <c r="W158" s="28"/>
      <c r="AA158" s="28"/>
      <c r="AB158" s="42"/>
      <c r="AC158" s="42"/>
      <c r="AD158" s="40"/>
      <c r="AE158" s="28"/>
      <c r="AF158" s="28"/>
      <c r="AG158" s="28"/>
      <c r="AH158" s="42"/>
      <c r="AI158" s="40"/>
      <c r="AJ158" s="28"/>
      <c r="AK158" s="42"/>
      <c r="AL158" s="28" t="s">
        <v>124</v>
      </c>
      <c r="AM158" s="40"/>
      <c r="AN158" s="28"/>
      <c r="AP158" s="10" t="s">
        <v>125</v>
      </c>
      <c r="AQ158" s="36">
        <v>6</v>
      </c>
      <c r="AR158" s="37">
        <v>0</v>
      </c>
      <c r="AS158" s="42"/>
      <c r="AT158" s="11"/>
      <c r="AU158" s="18"/>
      <c r="AV158" s="18">
        <v>33</v>
      </c>
      <c r="AW158" s="18" t="s">
        <v>126</v>
      </c>
      <c r="AX158" s="18"/>
      <c r="AY158" s="11"/>
      <c r="AZ158" s="28"/>
      <c r="BA158" s="28"/>
      <c r="BB158" s="59" t="s">
        <v>84</v>
      </c>
      <c r="BC158" s="13">
        <f>SUM(BC156:BC157)</f>
        <v>641</v>
      </c>
      <c r="BD158" s="60">
        <f>SUM(BD156:BD157)</f>
        <v>645</v>
      </c>
      <c r="BE158" s="81">
        <v>0</v>
      </c>
      <c r="BF158" s="27">
        <v>0</v>
      </c>
      <c r="BG158" s="27">
        <v>0</v>
      </c>
      <c r="BH158" s="13">
        <v>0</v>
      </c>
      <c r="BI158" s="26">
        <v>0</v>
      </c>
      <c r="BJ158" s="13"/>
      <c r="BK158" s="43"/>
      <c r="BL158" s="26">
        <f>SUM(BJ156:BJ157)</f>
        <v>53</v>
      </c>
    </row>
    <row r="159" spans="1:65" ht="15" thickBot="1" x14ac:dyDescent="0.35">
      <c r="A159" s="46" t="s">
        <v>84</v>
      </c>
      <c r="B159" s="47">
        <f>SUM(B157:B158)</f>
        <v>7598</v>
      </c>
      <c r="C159" s="49">
        <f>SUM(C157:C158)</f>
        <v>7675</v>
      </c>
      <c r="D159" s="47"/>
      <c r="E159" s="48"/>
      <c r="F159" s="48"/>
      <c r="G159" s="46">
        <f>SUM(G157:G158)</f>
        <v>13880</v>
      </c>
      <c r="H159" s="47"/>
      <c r="I159" s="48" t="s">
        <v>127</v>
      </c>
      <c r="J159" s="49">
        <f>SUM(H158:H159)</f>
        <v>97</v>
      </c>
      <c r="K159" s="28"/>
      <c r="L159" s="17"/>
      <c r="M159" s="27"/>
      <c r="N159" s="27"/>
      <c r="O159" s="13"/>
      <c r="P159" s="27"/>
      <c r="Q159" s="26"/>
      <c r="R159" s="27"/>
      <c r="S159" s="27"/>
      <c r="T159" s="13"/>
      <c r="U159" s="27"/>
      <c r="V159" s="26"/>
      <c r="W159" s="28"/>
      <c r="AA159" s="28"/>
      <c r="AB159" s="47"/>
      <c r="AC159" s="47"/>
      <c r="AD159" s="49"/>
      <c r="AE159" s="48"/>
      <c r="AF159" s="48"/>
      <c r="AG159" s="48"/>
      <c r="AH159" s="47"/>
      <c r="AI159" s="49"/>
      <c r="AJ159" s="48"/>
      <c r="AK159" s="165"/>
      <c r="AL159" s="48"/>
      <c r="AM159" s="49"/>
      <c r="AN159" s="28"/>
      <c r="AP159" s="84" t="s">
        <v>128</v>
      </c>
      <c r="AQ159" s="52">
        <v>0</v>
      </c>
      <c r="AR159" s="37">
        <v>0</v>
      </c>
      <c r="AS159" s="42"/>
      <c r="AT159" s="40"/>
      <c r="AU159" s="28"/>
      <c r="AV159" s="28">
        <v>43</v>
      </c>
      <c r="AW159" s="28" t="s">
        <v>129</v>
      </c>
      <c r="AX159" s="28"/>
      <c r="AY159" s="40"/>
      <c r="BA159" s="28"/>
      <c r="BB159" s="88" t="s">
        <v>704</v>
      </c>
      <c r="BC159" s="33">
        <v>6</v>
      </c>
      <c r="BD159" s="34">
        <v>6</v>
      </c>
      <c r="BE159" s="152"/>
      <c r="BF159" s="89"/>
      <c r="BG159" s="66"/>
      <c r="BH159" s="8"/>
      <c r="BI159" s="35"/>
      <c r="BJ159" s="34" t="s">
        <v>140</v>
      </c>
      <c r="BK159" s="34"/>
      <c r="BL159" s="35"/>
    </row>
    <row r="160" spans="1:65" x14ac:dyDescent="0.3">
      <c r="A160" s="41" t="s">
        <v>88</v>
      </c>
      <c r="B160" s="42">
        <v>368</v>
      </c>
      <c r="C160" s="40">
        <v>367</v>
      </c>
      <c r="D160" s="28"/>
      <c r="E160" s="45">
        <v>0</v>
      </c>
      <c r="F160" s="40"/>
      <c r="G160" s="40">
        <v>1216</v>
      </c>
      <c r="H160" s="28" t="s">
        <v>131</v>
      </c>
      <c r="J160" s="40"/>
      <c r="K160" s="28"/>
      <c r="L160" s="12" t="s">
        <v>105</v>
      </c>
      <c r="M160" s="34">
        <v>992</v>
      </c>
      <c r="N160" s="34">
        <v>554</v>
      </c>
      <c r="O160" s="33" t="s">
        <v>6</v>
      </c>
      <c r="P160" s="34"/>
      <c r="Q160" s="35"/>
      <c r="R160" s="34">
        <v>34</v>
      </c>
      <c r="S160" s="34">
        <v>0</v>
      </c>
      <c r="T160" s="33"/>
      <c r="U160" s="34"/>
      <c r="V160" s="35"/>
      <c r="W160" s="28"/>
      <c r="AA160" s="28"/>
      <c r="AB160" s="32" t="s">
        <v>97</v>
      </c>
      <c r="AC160" s="28">
        <v>84</v>
      </c>
      <c r="AD160" s="28">
        <v>95</v>
      </c>
      <c r="AE160" s="33"/>
      <c r="AF160" s="34"/>
      <c r="AG160" s="34"/>
      <c r="AH160" s="33"/>
      <c r="AI160" s="35"/>
      <c r="AJ160" s="35"/>
      <c r="AK160" s="33"/>
      <c r="AL160" s="34"/>
      <c r="AM160" s="35"/>
      <c r="AN160" s="28"/>
      <c r="AP160" s="84" t="s">
        <v>132</v>
      </c>
      <c r="AQ160" s="42">
        <v>0</v>
      </c>
      <c r="AR160" s="37">
        <v>0</v>
      </c>
      <c r="AS160" s="42"/>
      <c r="AT160" s="40"/>
      <c r="AU160" s="28"/>
      <c r="AV160" s="28"/>
      <c r="AW160" s="28"/>
      <c r="AX160" s="28"/>
      <c r="AY160" s="40"/>
      <c r="AZ160" s="28"/>
      <c r="BA160" s="28"/>
      <c r="BB160" s="42" t="s">
        <v>658</v>
      </c>
      <c r="BC160" s="42">
        <v>0</v>
      </c>
      <c r="BD160" s="43">
        <v>2</v>
      </c>
      <c r="BE160" s="42"/>
      <c r="BF160" s="28"/>
      <c r="BG160" s="40"/>
      <c r="BH160" s="28"/>
      <c r="BI160" s="40"/>
      <c r="BJ160" s="28"/>
      <c r="BK160" s="28"/>
      <c r="BL160" s="40"/>
    </row>
    <row r="161" spans="1:64" x14ac:dyDescent="0.3">
      <c r="A161" s="41" t="s">
        <v>102</v>
      </c>
      <c r="B161" s="42">
        <v>307</v>
      </c>
      <c r="C161" s="85">
        <v>462</v>
      </c>
      <c r="D161" s="28"/>
      <c r="E161" s="45">
        <v>0</v>
      </c>
      <c r="F161" s="40"/>
      <c r="G161" s="40">
        <v>1216</v>
      </c>
      <c r="H161" s="43">
        <v>8</v>
      </c>
      <c r="I161" s="28" t="s">
        <v>134</v>
      </c>
      <c r="J161" s="40"/>
      <c r="K161" s="28"/>
      <c r="L161" s="44" t="s">
        <v>99</v>
      </c>
      <c r="M161" s="18">
        <v>33</v>
      </c>
      <c r="N161" s="18">
        <v>0</v>
      </c>
      <c r="O161" s="10"/>
      <c r="P161" s="18"/>
      <c r="Q161" s="11"/>
      <c r="R161" s="18">
        <v>0</v>
      </c>
      <c r="S161" s="18">
        <v>0</v>
      </c>
      <c r="T161" s="10" t="s">
        <v>135</v>
      </c>
      <c r="U161" s="18"/>
      <c r="V161" s="11"/>
      <c r="W161" s="28"/>
      <c r="AA161" s="28"/>
      <c r="AB161" s="41" t="s">
        <v>89</v>
      </c>
      <c r="AC161" s="28">
        <v>519</v>
      </c>
      <c r="AD161" s="28">
        <v>565</v>
      </c>
      <c r="AE161" s="42"/>
      <c r="AF161" s="28"/>
      <c r="AG161" s="28"/>
      <c r="AH161" s="42"/>
      <c r="AI161" s="40"/>
      <c r="AJ161" s="40"/>
      <c r="AK161" s="42" t="s">
        <v>136</v>
      </c>
      <c r="AL161" s="28"/>
      <c r="AM161" s="40"/>
      <c r="AN161" s="28"/>
      <c r="AP161" s="84" t="s">
        <v>81</v>
      </c>
      <c r="AQ161" s="42">
        <v>17</v>
      </c>
      <c r="AR161" s="37">
        <v>37</v>
      </c>
      <c r="AS161" s="42"/>
      <c r="AT161" s="40"/>
      <c r="AU161" s="28"/>
      <c r="AV161" s="28"/>
      <c r="AW161" s="28"/>
      <c r="AX161" s="28"/>
      <c r="AY161" s="40"/>
      <c r="AZ161" s="28"/>
      <c r="BA161" s="28"/>
      <c r="BB161" s="153" t="s">
        <v>214</v>
      </c>
      <c r="BC161" s="42">
        <v>0</v>
      </c>
      <c r="BD161" s="43">
        <v>1</v>
      </c>
      <c r="BE161" s="42"/>
      <c r="BF161" s="28"/>
      <c r="BG161" s="40"/>
      <c r="BH161" s="28"/>
      <c r="BI161" s="40"/>
      <c r="BJ161" s="28"/>
      <c r="BK161" s="28"/>
      <c r="BL161" s="40"/>
    </row>
    <row r="162" spans="1:64" ht="15" thickBot="1" x14ac:dyDescent="0.35">
      <c r="A162" s="87" t="s">
        <v>84</v>
      </c>
      <c r="B162" s="59">
        <f>SUM(B160:B161)</f>
        <v>675</v>
      </c>
      <c r="C162" s="26">
        <f>SUM(C160:C161)</f>
        <v>829</v>
      </c>
      <c r="D162" s="27"/>
      <c r="E162" s="16">
        <f>SUM(E158:E161)</f>
        <v>0</v>
      </c>
      <c r="F162" s="26"/>
      <c r="G162" s="49">
        <f>SUM(G160:G161)</f>
        <v>2432</v>
      </c>
      <c r="H162" s="48"/>
      <c r="I162" s="48"/>
      <c r="J162" s="49">
        <f>SUM(H160:H161)</f>
        <v>8</v>
      </c>
      <c r="K162" s="28"/>
      <c r="L162" s="12"/>
      <c r="M162" s="18"/>
      <c r="N162" s="18"/>
      <c r="O162" s="10"/>
      <c r="P162" s="18"/>
      <c r="Q162" s="11"/>
      <c r="R162" s="18"/>
      <c r="S162" s="18"/>
      <c r="T162" s="10"/>
      <c r="U162" s="18"/>
      <c r="V162" s="11"/>
      <c r="W162" s="28"/>
      <c r="AA162" s="28"/>
      <c r="AB162" s="44" t="s">
        <v>137</v>
      </c>
      <c r="AC162" s="18">
        <v>262</v>
      </c>
      <c r="AD162" s="18">
        <v>259</v>
      </c>
      <c r="AE162" s="10"/>
      <c r="AF162" s="18"/>
      <c r="AG162" s="18"/>
      <c r="AH162" s="52"/>
      <c r="AI162" s="85"/>
      <c r="AJ162" s="40"/>
      <c r="AK162" s="84"/>
      <c r="AL162" s="37"/>
      <c r="AM162" s="40"/>
      <c r="AN162" s="28"/>
      <c r="AP162" s="10" t="s">
        <v>138</v>
      </c>
      <c r="AQ162" s="36">
        <v>1</v>
      </c>
      <c r="AR162" s="37">
        <v>1</v>
      </c>
      <c r="AS162" s="42"/>
      <c r="AT162" s="11"/>
      <c r="AU162" s="18"/>
      <c r="AV162" s="18"/>
      <c r="AW162" s="18"/>
      <c r="AX162" s="18"/>
      <c r="AY162" s="11"/>
      <c r="AZ162" s="28"/>
      <c r="BA162" s="28"/>
      <c r="BB162" s="92" t="s">
        <v>113</v>
      </c>
      <c r="BC162" s="67">
        <f>6+10+38+5+3</f>
        <v>62</v>
      </c>
      <c r="BD162" s="43">
        <f>5+5+2+40+8</f>
        <v>60</v>
      </c>
      <c r="BE162" s="52"/>
      <c r="BF162" s="54"/>
      <c r="BG162" s="85"/>
      <c r="BH162" s="18"/>
      <c r="BI162" s="40"/>
      <c r="BJ162" s="18" t="s">
        <v>142</v>
      </c>
      <c r="BK162" s="18"/>
      <c r="BL162" s="39" t="s">
        <v>251</v>
      </c>
    </row>
    <row r="163" spans="1:64" x14ac:dyDescent="0.3">
      <c r="A163" s="36" t="s">
        <v>93</v>
      </c>
      <c r="B163" s="42">
        <v>8367</v>
      </c>
      <c r="C163" s="90">
        <v>8750</v>
      </c>
      <c r="D163" s="3"/>
      <c r="E163" s="91" t="s">
        <v>60</v>
      </c>
      <c r="F163" s="18"/>
      <c r="G163" s="44">
        <f>1732+16296/2</f>
        <v>9880</v>
      </c>
      <c r="H163" s="10" t="s">
        <v>116</v>
      </c>
      <c r="I163" s="18"/>
      <c r="J163" s="11"/>
      <c r="K163" s="28"/>
      <c r="L163" s="12" t="s">
        <v>84</v>
      </c>
      <c r="M163" s="18">
        <f>SUM(M160:M162)</f>
        <v>1025</v>
      </c>
      <c r="N163" s="18">
        <f>SUM(N160:N162)</f>
        <v>554</v>
      </c>
      <c r="O163" s="10">
        <v>0</v>
      </c>
      <c r="P163" s="18">
        <v>0</v>
      </c>
      <c r="Q163" s="11">
        <v>0</v>
      </c>
      <c r="R163" s="18">
        <f>SUM(R160:R162)</f>
        <v>34</v>
      </c>
      <c r="S163" s="18">
        <f>SUM(S160:S162)</f>
        <v>0</v>
      </c>
      <c r="T163" s="10"/>
      <c r="U163" s="18"/>
      <c r="V163" s="11"/>
      <c r="W163" s="28"/>
      <c r="AA163" s="28"/>
      <c r="AB163" s="41" t="s">
        <v>84</v>
      </c>
      <c r="AC163" s="28">
        <f>SUM(AC160:AC162)</f>
        <v>865</v>
      </c>
      <c r="AD163" s="28">
        <f>SUM(AD160:AD162)</f>
        <v>919</v>
      </c>
      <c r="AE163" s="42">
        <v>0</v>
      </c>
      <c r="AF163" s="28">
        <v>0</v>
      </c>
      <c r="AG163" s="28">
        <v>0</v>
      </c>
      <c r="AH163" s="42">
        <v>0</v>
      </c>
      <c r="AI163" s="40">
        <v>0</v>
      </c>
      <c r="AJ163" s="40">
        <v>0</v>
      </c>
      <c r="AK163" s="67">
        <v>21</v>
      </c>
      <c r="AL163" s="28" t="s">
        <v>141</v>
      </c>
      <c r="AM163" s="40"/>
      <c r="AN163" s="28"/>
      <c r="AP163" s="84" t="s">
        <v>56</v>
      </c>
      <c r="AQ163" s="42">
        <v>1</v>
      </c>
      <c r="AR163" s="54">
        <v>9</v>
      </c>
      <c r="AS163" s="42"/>
      <c r="AT163" s="40"/>
      <c r="AU163" s="28"/>
      <c r="AV163" s="28"/>
      <c r="AW163" s="28"/>
      <c r="AX163" s="28"/>
      <c r="AY163" s="40"/>
      <c r="AZ163" s="28"/>
      <c r="BA163" s="28"/>
      <c r="BB163" s="42" t="s">
        <v>108</v>
      </c>
      <c r="BC163" s="67">
        <v>1</v>
      </c>
      <c r="BD163" s="43">
        <v>5</v>
      </c>
      <c r="BE163" s="52"/>
      <c r="BF163" s="54"/>
      <c r="BG163" s="85"/>
      <c r="BH163" s="18"/>
      <c r="BI163" s="40"/>
      <c r="BJ163" s="154" t="s">
        <v>146</v>
      </c>
      <c r="BK163" s="28"/>
      <c r="BL163" s="94" t="s">
        <v>659</v>
      </c>
    </row>
    <row r="164" spans="1:64" ht="15" thickBot="1" x14ac:dyDescent="0.35">
      <c r="A164" s="10" t="s">
        <v>99</v>
      </c>
      <c r="B164" s="42">
        <v>13966</v>
      </c>
      <c r="C164" s="40">
        <v>13911</v>
      </c>
      <c r="D164" s="3"/>
      <c r="E164" s="91" t="s">
        <v>60</v>
      </c>
      <c r="F164" s="18"/>
      <c r="G164" s="12">
        <f>376+22714+12150+1800/2</f>
        <v>36140</v>
      </c>
      <c r="H164" s="10">
        <v>67</v>
      </c>
      <c r="I164" s="37" t="s">
        <v>144</v>
      </c>
      <c r="J164" s="11"/>
      <c r="K164" s="28"/>
      <c r="L164" s="12"/>
      <c r="M164" s="18"/>
      <c r="N164" s="18"/>
      <c r="O164" s="10"/>
      <c r="P164" s="18"/>
      <c r="Q164" s="11"/>
      <c r="R164" s="18"/>
      <c r="S164" s="18"/>
      <c r="T164" s="10"/>
      <c r="U164" s="18"/>
      <c r="V164" s="11"/>
      <c r="W164" s="28"/>
      <c r="AA164" s="28"/>
      <c r="AB164" s="46"/>
      <c r="AC164" s="48"/>
      <c r="AD164" s="48"/>
      <c r="AE164" s="47"/>
      <c r="AF164" s="48"/>
      <c r="AG164" s="48"/>
      <c r="AH164" s="47"/>
      <c r="AI164" s="49"/>
      <c r="AJ164" s="49"/>
      <c r="AK164" s="47"/>
      <c r="AL164" s="48" t="s">
        <v>145</v>
      </c>
      <c r="AM164" s="49"/>
      <c r="AN164" s="28"/>
      <c r="AP164" s="36" t="s">
        <v>67</v>
      </c>
      <c r="AQ164" s="10">
        <v>27</v>
      </c>
      <c r="AR164" s="18">
        <v>24</v>
      </c>
      <c r="AS164" s="42"/>
      <c r="AT164" s="11"/>
      <c r="AU164" s="18"/>
      <c r="AV164" s="18"/>
      <c r="AW164" s="18"/>
      <c r="AX164" s="18"/>
      <c r="AY164" s="11"/>
      <c r="AZ164" s="28"/>
      <c r="BA164" s="28" t="s">
        <v>6</v>
      </c>
      <c r="BB164" s="127" t="s">
        <v>102</v>
      </c>
      <c r="BC164" s="67">
        <v>0</v>
      </c>
      <c r="BD164" s="43">
        <v>1</v>
      </c>
      <c r="BE164" s="42"/>
      <c r="BF164" s="28"/>
      <c r="BG164" s="40"/>
      <c r="BH164" s="28"/>
      <c r="BI164" s="40"/>
      <c r="BJ164" s="28"/>
      <c r="BK164" s="28"/>
      <c r="BL164" s="40"/>
    </row>
    <row r="165" spans="1:64" ht="15" thickBot="1" x14ac:dyDescent="0.35">
      <c r="A165" s="10" t="s">
        <v>120</v>
      </c>
      <c r="B165" s="42">
        <v>5268</v>
      </c>
      <c r="C165" s="40">
        <v>5370</v>
      </c>
      <c r="D165" s="3"/>
      <c r="E165" s="91" t="s">
        <v>60</v>
      </c>
      <c r="F165" s="18"/>
      <c r="G165" s="12">
        <f>758+11250+1800/2</f>
        <v>12908</v>
      </c>
      <c r="H165" s="84">
        <v>120</v>
      </c>
      <c r="I165" s="37" t="s">
        <v>148</v>
      </c>
      <c r="J165" s="11"/>
      <c r="K165" s="28"/>
      <c r="L165" s="12"/>
      <c r="M165" s="18"/>
      <c r="N165" s="18"/>
      <c r="O165" s="10"/>
      <c r="P165" s="18"/>
      <c r="Q165" s="11"/>
      <c r="R165" s="18"/>
      <c r="S165" s="18"/>
      <c r="T165" s="10"/>
      <c r="U165" s="18"/>
      <c r="V165" s="11"/>
      <c r="W165" s="28"/>
      <c r="AA165" s="28"/>
      <c r="AB165" s="42"/>
      <c r="AC165" s="42"/>
      <c r="AD165" s="40"/>
      <c r="AE165" s="28"/>
      <c r="AF165" s="28"/>
      <c r="AG165" s="28"/>
      <c r="AH165" s="42"/>
      <c r="AI165" s="28"/>
      <c r="AJ165" s="41"/>
      <c r="AK165" s="28" t="s">
        <v>149</v>
      </c>
      <c r="AL165" s="28"/>
      <c r="AM165" s="40"/>
      <c r="AN165" s="28" t="s">
        <v>6</v>
      </c>
      <c r="AO165" s="95"/>
      <c r="AP165" s="13" t="s">
        <v>84</v>
      </c>
      <c r="AQ165" s="13">
        <f>SUM(AQ153:AQ164)</f>
        <v>319</v>
      </c>
      <c r="AR165" s="27">
        <f>SUM(AR153:AR164)</f>
        <v>275</v>
      </c>
      <c r="AS165" s="47"/>
      <c r="AT165" s="26">
        <f>SUM(AT157:AT164)</f>
        <v>0</v>
      </c>
      <c r="AU165" s="27"/>
      <c r="AV165" s="27"/>
      <c r="AW165" s="27"/>
      <c r="AX165" s="27"/>
      <c r="AY165" s="26">
        <f>SUM(AV157:AV159)</f>
        <v>106</v>
      </c>
      <c r="AZ165" s="28"/>
      <c r="BA165" s="28"/>
      <c r="BB165" s="52" t="s">
        <v>133</v>
      </c>
      <c r="BC165" s="67">
        <f>7+32</f>
        <v>39</v>
      </c>
      <c r="BD165" s="43">
        <f>13+46</f>
        <v>59</v>
      </c>
      <c r="BE165" s="52" t="s">
        <v>150</v>
      </c>
      <c r="BF165" s="54"/>
      <c r="BG165" s="85"/>
      <c r="BH165" s="18"/>
      <c r="BI165" s="40"/>
      <c r="BJ165" s="28" t="s">
        <v>151</v>
      </c>
      <c r="BK165" s="28"/>
      <c r="BL165" s="96"/>
    </row>
    <row r="166" spans="1:64" ht="15" thickBot="1" x14ac:dyDescent="0.35">
      <c r="A166" s="10" t="s">
        <v>84</v>
      </c>
      <c r="B166" s="42">
        <f>SUM(B163:B165)</f>
        <v>27601</v>
      </c>
      <c r="C166" s="40">
        <f>SUM(C163:C165)</f>
        <v>28031</v>
      </c>
      <c r="D166" s="3"/>
      <c r="E166" s="91" t="s">
        <v>60</v>
      </c>
      <c r="F166" s="18"/>
      <c r="G166" s="12">
        <f>SUM(G163:G165)</f>
        <v>58928</v>
      </c>
      <c r="H166" s="42">
        <v>63</v>
      </c>
      <c r="I166" s="54" t="s">
        <v>152</v>
      </c>
      <c r="J166" s="40"/>
      <c r="K166" s="28"/>
      <c r="L166" s="44"/>
      <c r="M166" s="18"/>
      <c r="N166" s="18"/>
      <c r="O166" s="10"/>
      <c r="P166" s="18"/>
      <c r="Q166" s="11"/>
      <c r="R166" s="18"/>
      <c r="S166" s="18"/>
      <c r="T166" s="10"/>
      <c r="U166" s="18"/>
      <c r="V166" s="11"/>
      <c r="W166" s="28"/>
      <c r="Y166" t="s">
        <v>6</v>
      </c>
      <c r="AB166" s="36" t="s">
        <v>99</v>
      </c>
      <c r="AC166" s="10">
        <v>0</v>
      </c>
      <c r="AD166" s="11">
        <v>0</v>
      </c>
      <c r="AE166" s="18">
        <v>0</v>
      </c>
      <c r="AF166" s="18">
        <v>0</v>
      </c>
      <c r="AG166" s="18">
        <v>0</v>
      </c>
      <c r="AH166" s="52">
        <v>56768</v>
      </c>
      <c r="AI166" s="45">
        <v>6537</v>
      </c>
      <c r="AJ166" s="41">
        <v>0</v>
      </c>
      <c r="AK166" s="45">
        <v>4</v>
      </c>
      <c r="AL166" s="37" t="s">
        <v>153</v>
      </c>
      <c r="AM166" s="40"/>
      <c r="AP166" s="32"/>
      <c r="AQ166" s="53"/>
      <c r="AR166" s="97"/>
      <c r="AS166" s="33"/>
      <c r="AT166" s="7"/>
      <c r="AU166" s="6"/>
      <c r="AV166" s="8"/>
      <c r="AW166" s="31"/>
      <c r="AX166" s="8"/>
      <c r="AY166" s="7"/>
      <c r="AZ166" s="28"/>
      <c r="BA166" s="28"/>
      <c r="BB166" s="52" t="s">
        <v>85</v>
      </c>
      <c r="BC166" s="42">
        <v>5</v>
      </c>
      <c r="BD166" s="43">
        <v>2</v>
      </c>
      <c r="BE166" s="42"/>
      <c r="BF166" s="54"/>
      <c r="BG166" s="40"/>
      <c r="BH166" s="45"/>
      <c r="BI166" s="56"/>
      <c r="BJ166" s="43" t="s">
        <v>710</v>
      </c>
      <c r="BK166" s="28" t="s">
        <v>711</v>
      </c>
      <c r="BL166" s="40" t="s">
        <v>597</v>
      </c>
    </row>
    <row r="167" spans="1:64" ht="16.2" thickBot="1" x14ac:dyDescent="0.35">
      <c r="A167" s="13"/>
      <c r="B167" s="47"/>
      <c r="C167" s="49"/>
      <c r="D167" s="27"/>
      <c r="E167" s="27"/>
      <c r="F167" s="27"/>
      <c r="G167" s="17"/>
      <c r="H167" s="47"/>
      <c r="I167" s="27"/>
      <c r="J167" s="60">
        <f>SUM(H164:H166)</f>
        <v>250</v>
      </c>
      <c r="K167" s="28"/>
      <c r="L167" s="12"/>
      <c r="M167" s="18"/>
      <c r="N167" s="18"/>
      <c r="O167" s="10"/>
      <c r="P167" s="18"/>
      <c r="Q167" s="11"/>
      <c r="R167" s="18"/>
      <c r="S167" s="18"/>
      <c r="T167" s="10"/>
      <c r="U167" s="18"/>
      <c r="V167" s="11"/>
      <c r="W167" s="28"/>
      <c r="AB167" s="32"/>
      <c r="AC167" s="6"/>
      <c r="AD167" s="7"/>
      <c r="AE167" s="8"/>
      <c r="AF167" s="8"/>
      <c r="AG167" s="8"/>
      <c r="AH167" s="6"/>
      <c r="AI167" s="7"/>
      <c r="AJ167" s="8"/>
      <c r="AK167" s="29" t="s">
        <v>157</v>
      </c>
      <c r="AL167" s="8"/>
      <c r="AM167" s="7"/>
      <c r="AP167" s="62"/>
      <c r="AQ167" s="72"/>
      <c r="AR167" s="73"/>
      <c r="AS167" s="47"/>
      <c r="AT167" s="49"/>
      <c r="AU167" s="47"/>
      <c r="AV167" s="48"/>
      <c r="AW167" s="48"/>
      <c r="AX167" s="48"/>
      <c r="AY167" s="49"/>
      <c r="AZ167" s="28"/>
      <c r="BA167" s="28"/>
      <c r="BB167" s="151" t="s">
        <v>93</v>
      </c>
      <c r="BC167" s="36">
        <v>0</v>
      </c>
      <c r="BD167" s="37">
        <v>3</v>
      </c>
      <c r="BE167" s="10"/>
      <c r="BF167" s="18"/>
      <c r="BG167" s="11"/>
      <c r="BH167" s="18"/>
      <c r="BI167" s="11"/>
      <c r="BJ167" s="158" t="s">
        <v>712</v>
      </c>
      <c r="BK167" s="178" t="s">
        <v>713</v>
      </c>
      <c r="BL167" s="39" t="s">
        <v>540</v>
      </c>
    </row>
    <row r="168" spans="1:64" ht="15" thickBot="1" x14ac:dyDescent="0.35">
      <c r="A168" s="6" t="s">
        <v>105</v>
      </c>
      <c r="B168" s="6">
        <v>1178</v>
      </c>
      <c r="C168" s="7">
        <v>880</v>
      </c>
      <c r="D168" s="8"/>
      <c r="E168" s="80">
        <v>739</v>
      </c>
      <c r="F168" s="66"/>
      <c r="G168" s="8">
        <v>3476</v>
      </c>
      <c r="H168" s="6" t="s">
        <v>162</v>
      </c>
      <c r="I168" s="8"/>
      <c r="J168" s="7"/>
      <c r="K168" s="28"/>
      <c r="L168" s="17"/>
      <c r="M168" s="27"/>
      <c r="N168" s="27"/>
      <c r="O168" s="13"/>
      <c r="P168" s="27"/>
      <c r="Q168" s="26"/>
      <c r="R168" s="27"/>
      <c r="S168" s="27"/>
      <c r="T168" s="13"/>
      <c r="U168" s="27"/>
      <c r="V168" s="26"/>
      <c r="W168" s="28"/>
      <c r="AB168" s="68" t="s">
        <v>99</v>
      </c>
      <c r="AC168" s="42">
        <v>0</v>
      </c>
      <c r="AD168" s="40">
        <v>0</v>
      </c>
      <c r="AE168">
        <v>0</v>
      </c>
      <c r="AF168">
        <v>0</v>
      </c>
      <c r="AG168">
        <v>0</v>
      </c>
      <c r="AH168" s="42">
        <v>137034</v>
      </c>
      <c r="AI168" s="40">
        <v>79013</v>
      </c>
      <c r="AJ168" s="43">
        <v>0</v>
      </c>
      <c r="AK168" s="42">
        <v>7</v>
      </c>
      <c r="AL168" s="54" t="s">
        <v>163</v>
      </c>
      <c r="AM168" s="40"/>
      <c r="AP168" s="67" t="s">
        <v>63</v>
      </c>
      <c r="AQ168" s="33">
        <v>3</v>
      </c>
      <c r="AR168" s="35">
        <v>3</v>
      </c>
      <c r="AU168" s="33"/>
      <c r="AV168" s="34"/>
      <c r="AW168" s="34"/>
      <c r="AX168" s="34"/>
      <c r="AY168" s="35"/>
      <c r="AZ168" s="28"/>
      <c r="BA168" s="28"/>
      <c r="BB168" s="42" t="s">
        <v>164</v>
      </c>
      <c r="BC168" s="42">
        <v>3</v>
      </c>
      <c r="BD168" s="54">
        <v>3</v>
      </c>
      <c r="BE168" s="10"/>
      <c r="BF168" s="18"/>
      <c r="BG168" s="11"/>
      <c r="BH168" s="18"/>
      <c r="BI168" s="11"/>
      <c r="BJ168" s="158" t="s">
        <v>714</v>
      </c>
      <c r="BK168" s="178" t="s">
        <v>715</v>
      </c>
      <c r="BL168" s="39" t="s">
        <v>677</v>
      </c>
    </row>
    <row r="169" spans="1:64" ht="15" thickBot="1" x14ac:dyDescent="0.35">
      <c r="A169" s="36" t="s">
        <v>99</v>
      </c>
      <c r="B169" s="10">
        <v>829</v>
      </c>
      <c r="C169" s="11">
        <v>652</v>
      </c>
      <c r="D169" s="18"/>
      <c r="E169" s="18">
        <v>1015</v>
      </c>
      <c r="F169" s="85"/>
      <c r="G169" s="18">
        <v>3476</v>
      </c>
      <c r="H169" s="42"/>
      <c r="I169" s="54"/>
      <c r="J169" s="11"/>
      <c r="L169" s="101" t="s">
        <v>84</v>
      </c>
      <c r="M169" s="102">
        <f>SUM(M163+M158+M153+M151+M147+M142)</f>
        <v>74114</v>
      </c>
      <c r="N169" s="102">
        <f>SUM(N163+N158+N153+N151+N147+N142)</f>
        <v>108941</v>
      </c>
      <c r="O169" s="103">
        <v>0</v>
      </c>
      <c r="P169" s="102">
        <v>0</v>
      </c>
      <c r="Q169" s="104">
        <v>0</v>
      </c>
      <c r="R169" s="102">
        <f>SUM(R163+R158+R153+R151+R142+R147)</f>
        <v>6180</v>
      </c>
      <c r="S169" s="102">
        <f>SUM(S163+S158+S151+S147+S142)</f>
        <v>200</v>
      </c>
      <c r="T169" s="105"/>
      <c r="U169" s="102"/>
      <c r="V169" s="106"/>
      <c r="AB169" s="44" t="s">
        <v>6</v>
      </c>
      <c r="AC169" s="10"/>
      <c r="AD169" s="11"/>
      <c r="AE169" s="18"/>
      <c r="AF169" s="18"/>
      <c r="AG169" s="18"/>
      <c r="AH169" s="10"/>
      <c r="AI169" s="11"/>
      <c r="AJ169" s="18"/>
      <c r="AK169" s="10">
        <v>9</v>
      </c>
      <c r="AL169" s="37" t="s">
        <v>153</v>
      </c>
      <c r="AM169" s="11"/>
      <c r="AP169" s="67" t="s">
        <v>716</v>
      </c>
      <c r="AQ169" s="42">
        <v>0</v>
      </c>
      <c r="AR169" s="40">
        <v>3</v>
      </c>
      <c r="AU169" s="42"/>
      <c r="AV169" s="28"/>
      <c r="AW169" s="28"/>
      <c r="AX169" s="28"/>
      <c r="AY169" s="40"/>
      <c r="AZ169" s="28"/>
      <c r="BA169" s="28"/>
      <c r="BB169" s="36" t="s">
        <v>169</v>
      </c>
      <c r="BC169" s="36">
        <v>3</v>
      </c>
      <c r="BD169" s="37">
        <v>4</v>
      </c>
      <c r="BE169" s="10"/>
      <c r="BF169" s="18"/>
      <c r="BG169" s="11"/>
      <c r="BH169" s="18"/>
      <c r="BI169" s="11"/>
      <c r="BJ169" s="158" t="s">
        <v>717</v>
      </c>
      <c r="BK169" s="37" t="s">
        <v>623</v>
      </c>
      <c r="BL169" s="39" t="s">
        <v>718</v>
      </c>
    </row>
    <row r="170" spans="1:64" ht="15" thickBot="1" x14ac:dyDescent="0.35">
      <c r="A170" s="10"/>
      <c r="B170" s="10"/>
      <c r="C170" s="39"/>
      <c r="D170" s="18"/>
      <c r="E170" s="18"/>
      <c r="F170" s="85"/>
      <c r="G170" s="18"/>
      <c r="H170" s="42">
        <v>44</v>
      </c>
      <c r="I170" s="37" t="s">
        <v>101</v>
      </c>
      <c r="J170" s="11"/>
      <c r="AB170" s="46" t="s">
        <v>6</v>
      </c>
      <c r="AC170" s="47"/>
      <c r="AD170" s="49"/>
      <c r="AE170" s="48"/>
      <c r="AF170" s="48"/>
      <c r="AG170" s="48"/>
      <c r="AH170" s="47"/>
      <c r="AI170" s="49"/>
      <c r="AJ170" s="48"/>
      <c r="AK170" s="47"/>
      <c r="AL170" s="48"/>
      <c r="AM170" s="49"/>
      <c r="AP170" s="52" t="s">
        <v>56</v>
      </c>
      <c r="AQ170" s="52">
        <v>1</v>
      </c>
      <c r="AR170" s="85">
        <v>1</v>
      </c>
      <c r="AS170" s="28"/>
      <c r="AT170" s="28"/>
      <c r="AU170" s="42"/>
      <c r="AV170" s="28" t="s">
        <v>173</v>
      </c>
      <c r="AW170" s="28"/>
      <c r="AX170" s="28"/>
      <c r="AY170" s="40"/>
      <c r="AZ170" s="28"/>
      <c r="BA170" s="28"/>
      <c r="BB170" s="36" t="s">
        <v>99</v>
      </c>
      <c r="BC170" s="36">
        <v>4</v>
      </c>
      <c r="BD170" s="37">
        <f>1+3</f>
        <v>4</v>
      </c>
      <c r="BE170" s="10"/>
      <c r="BF170" s="18"/>
      <c r="BG170" s="11"/>
      <c r="BH170" s="18"/>
      <c r="BI170" s="11"/>
      <c r="BJ170" s="179" t="s">
        <v>719</v>
      </c>
      <c r="BK170" s="37" t="s">
        <v>260</v>
      </c>
      <c r="BL170" s="39" t="s">
        <v>512</v>
      </c>
    </row>
    <row r="171" spans="1:64" ht="15" thickBot="1" x14ac:dyDescent="0.35">
      <c r="A171" s="13" t="s">
        <v>84</v>
      </c>
      <c r="B171" s="13">
        <f>SUM(B168:B170)</f>
        <v>2007</v>
      </c>
      <c r="C171" s="26">
        <f>SUM(C168:C170)</f>
        <v>1532</v>
      </c>
      <c r="D171" s="27"/>
      <c r="E171" s="27">
        <f>SUM(E168:E170)</f>
        <v>1754</v>
      </c>
      <c r="F171" s="26"/>
      <c r="G171" s="27">
        <f>SUM(G168:G170)</f>
        <v>6952</v>
      </c>
      <c r="H171" s="13"/>
      <c r="I171" s="81"/>
      <c r="J171" s="26">
        <f>SUM(H169:H170)</f>
        <v>44</v>
      </c>
      <c r="L171" t="s">
        <v>6</v>
      </c>
      <c r="M171" s="115"/>
      <c r="AB171" s="6"/>
      <c r="AC171" s="6"/>
      <c r="AD171" s="7"/>
      <c r="AE171" s="8"/>
      <c r="AF171" s="8"/>
      <c r="AG171" s="8"/>
      <c r="AH171" s="6"/>
      <c r="AI171" s="7"/>
      <c r="AJ171" s="8"/>
      <c r="AK171" s="29"/>
      <c r="AL171" s="8"/>
      <c r="AM171" s="7"/>
      <c r="AN171" s="45"/>
      <c r="AP171" s="52" t="s">
        <v>67</v>
      </c>
      <c r="AQ171" s="52">
        <v>21</v>
      </c>
      <c r="AR171" s="56">
        <v>15</v>
      </c>
      <c r="AU171" s="42"/>
      <c r="AV171" s="28">
        <v>2</v>
      </c>
      <c r="AW171" s="28" t="s">
        <v>213</v>
      </c>
      <c r="AX171" s="28"/>
      <c r="AY171" s="40"/>
      <c r="AZ171" s="28"/>
      <c r="BA171" s="28"/>
      <c r="BB171" s="150" t="s">
        <v>64</v>
      </c>
      <c r="BC171" s="36">
        <v>0</v>
      </c>
      <c r="BD171" s="37">
        <v>0</v>
      </c>
      <c r="BE171" s="10"/>
      <c r="BF171" s="37"/>
      <c r="BG171" s="11"/>
      <c r="BH171" s="18"/>
      <c r="BI171" s="11"/>
      <c r="BJ171" s="158" t="s">
        <v>720</v>
      </c>
      <c r="BK171" s="54" t="s">
        <v>721</v>
      </c>
      <c r="BL171" s="39" t="s">
        <v>309</v>
      </c>
    </row>
    <row r="172" spans="1:64" ht="15" thickBot="1" x14ac:dyDescent="0.35">
      <c r="A172" s="42" t="s">
        <v>181</v>
      </c>
      <c r="B172" s="42">
        <v>3751</v>
      </c>
      <c r="C172" s="40">
        <v>3709</v>
      </c>
      <c r="D172" s="28"/>
      <c r="E172" s="107" t="s">
        <v>60</v>
      </c>
      <c r="F172" s="43"/>
      <c r="G172" s="41">
        <f>294+9644+316/2</f>
        <v>10096</v>
      </c>
      <c r="H172" s="18" t="s">
        <v>182</v>
      </c>
      <c r="I172" s="28"/>
      <c r="J172" s="11"/>
      <c r="K172" s="43"/>
      <c r="M172" s="115"/>
      <c r="AB172" s="36"/>
      <c r="AC172" s="10"/>
      <c r="AD172" s="11"/>
      <c r="AE172" s="18"/>
      <c r="AF172" s="18"/>
      <c r="AG172" s="18"/>
      <c r="AH172" s="36"/>
      <c r="AI172" s="11"/>
      <c r="AJ172" s="18"/>
      <c r="AK172" s="36"/>
      <c r="AL172" s="37"/>
      <c r="AM172" s="11"/>
      <c r="AN172" s="45"/>
      <c r="AP172" s="10" t="s">
        <v>78</v>
      </c>
      <c r="AQ172" s="52">
        <v>0</v>
      </c>
      <c r="AR172" s="85">
        <v>9</v>
      </c>
      <c r="AS172" s="28"/>
      <c r="AT172" s="28"/>
      <c r="AU172" s="42"/>
      <c r="AV172" s="28">
        <v>15</v>
      </c>
      <c r="AW172" s="28" t="s">
        <v>183</v>
      </c>
      <c r="AX172" s="28"/>
      <c r="AY172" s="40"/>
      <c r="AZ172" s="37"/>
      <c r="BA172" s="37"/>
      <c r="BB172" s="36" t="s">
        <v>200</v>
      </c>
      <c r="BC172" s="36">
        <v>5</v>
      </c>
      <c r="BD172" s="37">
        <v>0</v>
      </c>
      <c r="BE172" s="10"/>
      <c r="BF172" s="18"/>
      <c r="BG172" s="11"/>
      <c r="BH172" s="18"/>
      <c r="BI172" s="11"/>
      <c r="BJ172" s="162" t="s">
        <v>722</v>
      </c>
      <c r="BK172" s="37" t="s">
        <v>723</v>
      </c>
      <c r="BL172" s="180"/>
    </row>
    <row r="173" spans="1:64" ht="15" thickBot="1" x14ac:dyDescent="0.35">
      <c r="A173" s="42" t="s">
        <v>120</v>
      </c>
      <c r="B173" s="42">
        <v>2991</v>
      </c>
      <c r="C173" s="40">
        <v>3309</v>
      </c>
      <c r="D173" s="28"/>
      <c r="E173" s="107" t="s">
        <v>60</v>
      </c>
      <c r="F173" s="43"/>
      <c r="G173" s="68">
        <f>9018/2</f>
        <v>4509</v>
      </c>
      <c r="H173" s="43">
        <f>56/2</f>
        <v>28</v>
      </c>
      <c r="I173" s="28" t="s">
        <v>188</v>
      </c>
      <c r="J173" s="11"/>
      <c r="K173" s="28"/>
      <c r="M173" s="166"/>
      <c r="AA173" s="28"/>
      <c r="AB173" s="103" t="s">
        <v>84</v>
      </c>
      <c r="AC173" s="103">
        <f>SUM(AC172+AC168+AC166+AC163+AC156+AC158+AC154+AC150+AC147+AC144+AC145)</f>
        <v>1859</v>
      </c>
      <c r="AD173" s="104">
        <f>SUM(AD172+AD168+AD166+AD163+AD156+AD154+AD150+AD147+AD145+AD144)</f>
        <v>2167</v>
      </c>
      <c r="AE173" s="103">
        <v>0</v>
      </c>
      <c r="AF173" s="102">
        <v>0</v>
      </c>
      <c r="AG173" s="102">
        <v>0</v>
      </c>
      <c r="AH173" s="109">
        <f>SUM(AH172+AH168+AH166+AH163+AH160+AH158+AH154+AH150+AH147+AH145+AH144)</f>
        <v>193802</v>
      </c>
      <c r="AI173" s="110">
        <f>SUM(AI172+AI168+AI166+AI163+AI158+AI154+AI149+AI147+AI145+AI144)</f>
        <v>85550</v>
      </c>
      <c r="AJ173" s="110">
        <v>0</v>
      </c>
      <c r="AK173" s="111" t="s">
        <v>189</v>
      </c>
      <c r="AL173" s="111"/>
      <c r="AM173" s="104">
        <f>SUM(AK144:AK172)</f>
        <v>47</v>
      </c>
      <c r="AN173" s="45"/>
      <c r="AP173" s="52" t="s">
        <v>115</v>
      </c>
      <c r="AQ173" s="52">
        <v>0</v>
      </c>
      <c r="AR173" s="85">
        <v>0</v>
      </c>
      <c r="AS173" s="28"/>
      <c r="AT173" s="28"/>
      <c r="AU173" s="42"/>
      <c r="AV173" s="28" t="s">
        <v>6</v>
      </c>
      <c r="AW173" s="28"/>
      <c r="AX173" s="28"/>
      <c r="AY173" s="40"/>
      <c r="AZ173" s="28"/>
      <c r="BA173" s="28"/>
      <c r="BB173" s="150" t="s">
        <v>358</v>
      </c>
      <c r="BC173" s="36">
        <v>10</v>
      </c>
      <c r="BD173" s="37">
        <f>9+5</f>
        <v>14</v>
      </c>
      <c r="BE173" s="10"/>
      <c r="BF173" s="18"/>
      <c r="BG173" s="11"/>
      <c r="BH173" s="18"/>
      <c r="BI173" s="11"/>
      <c r="BJ173" s="159" t="s">
        <v>724</v>
      </c>
      <c r="BK173" s="37" t="s">
        <v>725</v>
      </c>
      <c r="BL173" s="39" t="s">
        <v>276</v>
      </c>
    </row>
    <row r="174" spans="1:64" x14ac:dyDescent="0.3">
      <c r="A174" s="42" t="s">
        <v>84</v>
      </c>
      <c r="B174" s="42">
        <f>SUM(B172:B173)</f>
        <v>6742</v>
      </c>
      <c r="C174" s="40">
        <f>SUM(C172:C173)</f>
        <v>7018</v>
      </c>
      <c r="D174" s="28"/>
      <c r="E174" s="107" t="s">
        <v>60</v>
      </c>
      <c r="F174" s="43"/>
      <c r="G174" s="41">
        <f>SUM(G172:G173)</f>
        <v>14605</v>
      </c>
      <c r="H174" s="28">
        <v>30</v>
      </c>
      <c r="I174" s="43" t="s">
        <v>101</v>
      </c>
      <c r="J174" s="40"/>
      <c r="K174" s="28"/>
      <c r="L174" s="28"/>
      <c r="N174" s="113"/>
      <c r="AA174" s="28"/>
      <c r="AB174" s="52" t="s">
        <v>193</v>
      </c>
      <c r="AC174" s="28"/>
      <c r="AD174" s="28"/>
      <c r="AE174" s="28"/>
      <c r="AF174" s="28"/>
      <c r="AG174" s="28"/>
      <c r="AH174" s="28"/>
      <c r="AI174" s="28"/>
      <c r="AM174" t="s">
        <v>6</v>
      </c>
      <c r="AN174" s="45"/>
      <c r="AP174" s="52" t="s">
        <v>72</v>
      </c>
      <c r="AQ174" s="52">
        <v>0</v>
      </c>
      <c r="AR174" s="85">
        <v>0</v>
      </c>
      <c r="AU174" s="42"/>
      <c r="AV174" s="28"/>
      <c r="AW174" s="28"/>
      <c r="AX174" s="28"/>
      <c r="AY174" s="40"/>
      <c r="AZ174" s="28"/>
      <c r="BB174" s="150" t="s">
        <v>331</v>
      </c>
      <c r="BC174" s="36">
        <v>0</v>
      </c>
      <c r="BD174" s="37">
        <v>0</v>
      </c>
      <c r="BE174" s="10"/>
      <c r="BF174" s="18"/>
      <c r="BG174" s="11"/>
      <c r="BH174" s="18"/>
      <c r="BI174" s="11"/>
      <c r="BJ174" s="128" t="s">
        <v>726</v>
      </c>
      <c r="BK174" s="37" t="s">
        <v>448</v>
      </c>
      <c r="BL174" s="39" t="s">
        <v>180</v>
      </c>
    </row>
    <row r="175" spans="1:64" ht="15" thickBot="1" x14ac:dyDescent="0.35">
      <c r="A175" s="13"/>
      <c r="B175" s="10"/>
      <c r="C175" s="11"/>
      <c r="D175" s="27"/>
      <c r="E175" s="27"/>
      <c r="F175" s="27"/>
      <c r="G175" s="17"/>
      <c r="H175" s="48">
        <v>1</v>
      </c>
      <c r="I175" s="48" t="s">
        <v>727</v>
      </c>
      <c r="J175" s="49">
        <f>SUM(H173:H175)</f>
        <v>59</v>
      </c>
      <c r="L175" s="108"/>
      <c r="M175" s="115"/>
      <c r="O175" s="116"/>
      <c r="AA175" s="28"/>
      <c r="AN175" s="45"/>
      <c r="AP175" s="52" t="s">
        <v>84</v>
      </c>
      <c r="AQ175" s="47">
        <f>SUM(AQ168:AQ174)</f>
        <v>25</v>
      </c>
      <c r="AR175" s="49">
        <f>SUM(AR168:AR174)</f>
        <v>31</v>
      </c>
      <c r="AS175" s="28"/>
      <c r="AT175" s="28"/>
      <c r="AU175" s="47"/>
      <c r="AV175" s="48"/>
      <c r="AW175" s="48"/>
      <c r="AX175" s="48"/>
      <c r="AY175" s="49">
        <f>SUM(AV172)</f>
        <v>15</v>
      </c>
      <c r="AZ175" s="28"/>
      <c r="BB175" s="36" t="s">
        <v>337</v>
      </c>
      <c r="BC175" s="36">
        <v>5</v>
      </c>
      <c r="BD175" s="37">
        <v>1</v>
      </c>
      <c r="BE175" s="10"/>
      <c r="BF175" s="18"/>
      <c r="BG175" s="11"/>
      <c r="BH175" s="18"/>
      <c r="BI175" s="11"/>
      <c r="BJ175" s="128"/>
      <c r="BK175" s="37"/>
      <c r="BL175" s="39"/>
    </row>
    <row r="176" spans="1:64" ht="16.2" thickBot="1" x14ac:dyDescent="0.35">
      <c r="A176" s="117" t="s">
        <v>84</v>
      </c>
      <c r="B176" s="118">
        <f>SUM(B174+B171+B166+B162+B159+B156+B153+B149+B145+B142)</f>
        <v>52526</v>
      </c>
      <c r="C176" s="120">
        <f>SUM(C174+C171+C166+C162+C159+C156+C153+C149+C145+C142)</f>
        <v>55261</v>
      </c>
      <c r="D176" s="119"/>
      <c r="E176" s="119">
        <f>SUM(E171+E156)</f>
        <v>3006</v>
      </c>
      <c r="F176" s="120"/>
      <c r="G176" s="121">
        <f>SUM(G174+G171+G166+G162+G159+G153+G149+G145+G142+G156)</f>
        <v>112349</v>
      </c>
      <c r="H176" s="13" t="s">
        <v>199</v>
      </c>
      <c r="I176" s="81"/>
      <c r="J176" s="26">
        <f>SUM(J143:J175)</f>
        <v>542</v>
      </c>
      <c r="O176" s="122"/>
      <c r="AN176" s="45"/>
      <c r="AP176" s="32" t="s">
        <v>63</v>
      </c>
      <c r="AQ176" s="123">
        <f>17+3</f>
        <v>20</v>
      </c>
      <c r="AR176" s="123">
        <v>3</v>
      </c>
      <c r="AS176" s="33"/>
      <c r="AT176" s="7"/>
      <c r="AU176" s="6"/>
      <c r="AV176" s="34" t="s">
        <v>140</v>
      </c>
      <c r="AW176" s="8"/>
      <c r="AX176" s="8"/>
      <c r="AY176" s="7"/>
      <c r="AZ176" s="28"/>
      <c r="BB176" s="36" t="s">
        <v>574</v>
      </c>
      <c r="BC176" s="10">
        <v>0</v>
      </c>
      <c r="BD176" s="37">
        <v>5</v>
      </c>
      <c r="BE176" s="10"/>
      <c r="BF176" s="18"/>
      <c r="BG176" s="39"/>
      <c r="BH176" s="18"/>
      <c r="BI176" s="11"/>
      <c r="BJ176" s="159"/>
      <c r="BK176" s="37"/>
      <c r="BL176" s="39"/>
    </row>
    <row r="177" spans="1:65" x14ac:dyDescent="0.3">
      <c r="AN177" s="45"/>
      <c r="AP177" s="44" t="s">
        <v>78</v>
      </c>
      <c r="AQ177" s="37">
        <f>8+28</f>
        <v>36</v>
      </c>
      <c r="AR177" s="37">
        <f>10+12</f>
        <v>22</v>
      </c>
      <c r="AS177" s="42"/>
      <c r="AT177" s="11"/>
      <c r="AU177" s="10"/>
      <c r="AV177" s="37">
        <v>4</v>
      </c>
      <c r="AW177" s="37" t="s">
        <v>204</v>
      </c>
      <c r="AX177" s="18"/>
      <c r="AY177" s="11"/>
      <c r="AZ177" s="28"/>
      <c r="BB177" s="150" t="s">
        <v>669</v>
      </c>
      <c r="BC177" s="10">
        <v>10</v>
      </c>
      <c r="BD177" s="37">
        <v>7</v>
      </c>
      <c r="BE177" s="10"/>
      <c r="BF177" s="18"/>
      <c r="BG177" s="11"/>
      <c r="BH177" s="18"/>
      <c r="BI177" s="11"/>
      <c r="BJ177" s="179"/>
      <c r="BK177" s="37"/>
      <c r="BL177" s="39"/>
    </row>
    <row r="178" spans="1:65" x14ac:dyDescent="0.3">
      <c r="AN178" s="45"/>
      <c r="AP178" s="125" t="s">
        <v>209</v>
      </c>
      <c r="AQ178" s="54">
        <v>0</v>
      </c>
      <c r="AR178" s="54">
        <v>0</v>
      </c>
      <c r="AS178" s="42"/>
      <c r="AT178" s="40"/>
      <c r="AU178" s="42"/>
      <c r="AV178" s="28">
        <v>6</v>
      </c>
      <c r="AW178" s="28" t="s">
        <v>210</v>
      </c>
      <c r="AX178" s="28" t="s">
        <v>6</v>
      </c>
      <c r="AY178" s="40"/>
      <c r="AZ178" s="28"/>
      <c r="BB178" s="92" t="s">
        <v>97</v>
      </c>
      <c r="BC178" s="84">
        <v>0</v>
      </c>
      <c r="BD178" s="54">
        <v>0</v>
      </c>
      <c r="BE178" s="84"/>
      <c r="BF178" s="45"/>
      <c r="BG178" s="85"/>
      <c r="BH178" s="18"/>
      <c r="BI178" s="11"/>
      <c r="BJ178" s="179"/>
      <c r="BK178" s="54"/>
      <c r="BL178" s="86"/>
    </row>
    <row r="179" spans="1:65" x14ac:dyDescent="0.3">
      <c r="B179" s="126"/>
      <c r="C179" s="126"/>
      <c r="AN179" s="45"/>
      <c r="AP179" s="44" t="s">
        <v>168</v>
      </c>
      <c r="AQ179" s="54">
        <v>0</v>
      </c>
      <c r="AR179" s="54">
        <v>0</v>
      </c>
      <c r="AS179" s="42"/>
      <c r="AT179" s="11"/>
      <c r="AU179" s="10"/>
      <c r="AV179" s="37">
        <v>24</v>
      </c>
      <c r="AW179" s="37" t="s">
        <v>213</v>
      </c>
      <c r="AX179" s="18" t="s">
        <v>6</v>
      </c>
      <c r="AY179" s="11"/>
      <c r="BB179" s="67" t="s">
        <v>564</v>
      </c>
      <c r="BC179" s="84">
        <v>6</v>
      </c>
      <c r="BD179" s="54">
        <v>0</v>
      </c>
      <c r="BE179" s="84"/>
      <c r="BF179" s="45"/>
      <c r="BG179" s="85"/>
      <c r="BH179" s="45"/>
      <c r="BI179" s="85"/>
      <c r="BJ179" s="179"/>
      <c r="BK179" s="54"/>
      <c r="BL179" s="180"/>
    </row>
    <row r="180" spans="1:65" x14ac:dyDescent="0.3">
      <c r="AN180" s="45"/>
      <c r="AP180" s="125" t="s">
        <v>81</v>
      </c>
      <c r="AQ180" s="54">
        <v>3</v>
      </c>
      <c r="AR180" s="54">
        <f>7+3</f>
        <v>10</v>
      </c>
      <c r="AS180" s="42"/>
      <c r="AT180" s="40"/>
      <c r="AU180" s="42"/>
      <c r="AV180" s="54">
        <v>0</v>
      </c>
      <c r="AW180" s="128" t="s">
        <v>222</v>
      </c>
      <c r="AX180" s="28"/>
      <c r="AY180" s="40" t="s">
        <v>6</v>
      </c>
      <c r="BB180" s="67" t="s">
        <v>88</v>
      </c>
      <c r="BC180" s="84">
        <v>0</v>
      </c>
      <c r="BD180" s="54">
        <v>4</v>
      </c>
      <c r="BE180" s="84"/>
      <c r="BF180" s="45"/>
      <c r="BG180" s="85"/>
      <c r="BH180" s="45"/>
      <c r="BI180" s="85"/>
      <c r="BJ180" s="179"/>
      <c r="BK180" s="54"/>
      <c r="BL180" s="180"/>
    </row>
    <row r="181" spans="1:65" x14ac:dyDescent="0.3">
      <c r="AP181" s="125" t="s">
        <v>72</v>
      </c>
      <c r="AQ181" s="54">
        <f>3+7+15+25</f>
        <v>50</v>
      </c>
      <c r="AR181" s="45">
        <f>5+2+2+4+9+10+21</f>
        <v>53</v>
      </c>
      <c r="AS181" s="42"/>
      <c r="AT181" s="40"/>
      <c r="AU181" s="42"/>
      <c r="AV181" s="54">
        <v>16</v>
      </c>
      <c r="AW181" s="54" t="s">
        <v>216</v>
      </c>
      <c r="AX181" s="45"/>
      <c r="AY181" s="40"/>
      <c r="BB181" s="127" t="s">
        <v>403</v>
      </c>
      <c r="BC181" s="84">
        <f>11+3</f>
        <v>14</v>
      </c>
      <c r="BD181" s="54">
        <f>6+5</f>
        <v>11</v>
      </c>
      <c r="BE181" s="42"/>
      <c r="BF181" s="45"/>
      <c r="BG181" s="40"/>
      <c r="BH181" s="45"/>
      <c r="BI181" s="85"/>
      <c r="BJ181" s="158"/>
      <c r="BK181" s="54"/>
      <c r="BL181" s="86"/>
    </row>
    <row r="182" spans="1:65" x14ac:dyDescent="0.3">
      <c r="AP182" s="125" t="s">
        <v>115</v>
      </c>
      <c r="AQ182" s="54">
        <f>16+15</f>
        <v>31</v>
      </c>
      <c r="AR182" s="45">
        <f>11+12</f>
        <v>23</v>
      </c>
      <c r="AS182" s="42"/>
      <c r="AT182" s="40"/>
      <c r="AU182" s="42"/>
      <c r="AV182" s="54">
        <v>6</v>
      </c>
      <c r="AW182" s="54" t="s">
        <v>217</v>
      </c>
      <c r="AX182" s="28"/>
      <c r="AY182" s="40"/>
      <c r="BB182" s="127" t="s">
        <v>218</v>
      </c>
      <c r="BC182" s="84">
        <v>14</v>
      </c>
      <c r="BD182" s="54">
        <f>5+43</f>
        <v>48</v>
      </c>
      <c r="BE182" s="42"/>
      <c r="BF182" s="45">
        <v>0</v>
      </c>
      <c r="BG182" s="40"/>
      <c r="BH182" s="45"/>
      <c r="BI182" s="85"/>
      <c r="BJ182" s="179"/>
      <c r="BK182" s="54"/>
      <c r="BL182" s="180"/>
    </row>
    <row r="183" spans="1:65" x14ac:dyDescent="0.3">
      <c r="AM183" t="s">
        <v>6</v>
      </c>
      <c r="AP183" s="125" t="s">
        <v>56</v>
      </c>
      <c r="AQ183" s="54">
        <f>2+6+4</f>
        <v>12</v>
      </c>
      <c r="AR183" s="45">
        <f>2+5+1</f>
        <v>8</v>
      </c>
      <c r="AS183" s="42"/>
      <c r="AT183" s="40"/>
      <c r="AU183" s="42"/>
      <c r="AV183" s="54">
        <v>1</v>
      </c>
      <c r="AW183" s="54" t="s">
        <v>681</v>
      </c>
      <c r="AX183" s="28"/>
      <c r="AY183" s="40"/>
      <c r="BB183" s="181" t="s">
        <v>728</v>
      </c>
      <c r="BC183" s="10">
        <v>4</v>
      </c>
      <c r="BD183" s="18">
        <v>0</v>
      </c>
      <c r="BE183" s="10"/>
      <c r="BF183" s="18"/>
      <c r="BG183" s="11"/>
      <c r="BH183" s="18"/>
      <c r="BI183" s="11"/>
      <c r="BJ183" s="179"/>
      <c r="BK183" s="37"/>
      <c r="BL183" s="182"/>
    </row>
    <row r="184" spans="1:65" ht="15" thickBot="1" x14ac:dyDescent="0.35">
      <c r="H184" t="s">
        <v>6</v>
      </c>
      <c r="AP184" s="125" t="s">
        <v>138</v>
      </c>
      <c r="AQ184" s="54">
        <v>0</v>
      </c>
      <c r="AR184" s="45"/>
      <c r="AS184" s="42"/>
      <c r="AT184" s="40"/>
      <c r="AU184" s="42"/>
      <c r="AV184" s="54">
        <v>8</v>
      </c>
      <c r="AW184" s="54" t="s">
        <v>221</v>
      </c>
      <c r="AX184" s="28"/>
      <c r="AY184" s="40"/>
      <c r="BB184" s="13" t="s">
        <v>84</v>
      </c>
      <c r="BC184" s="13">
        <f>SUM(BC159:BC183)</f>
        <v>191</v>
      </c>
      <c r="BD184" s="27">
        <f>SUM(BD159:BD183)</f>
        <v>240</v>
      </c>
      <c r="BE184" s="13">
        <v>0</v>
      </c>
      <c r="BF184" s="27">
        <f>SUM(BF159:BF183)</f>
        <v>0</v>
      </c>
      <c r="BG184" s="26">
        <v>0</v>
      </c>
      <c r="BH184" s="58">
        <v>0</v>
      </c>
      <c r="BI184" s="26">
        <v>0</v>
      </c>
      <c r="BJ184" s="81"/>
      <c r="BK184" s="27"/>
      <c r="BL184" s="26">
        <f>7+10+6+7+11+2+4+13+4+9+2+5+1+1</f>
        <v>82</v>
      </c>
    </row>
    <row r="185" spans="1:65" ht="15" thickBot="1" x14ac:dyDescent="0.35">
      <c r="H185" t="s">
        <v>6</v>
      </c>
      <c r="AP185" s="125" t="s">
        <v>67</v>
      </c>
      <c r="AQ185" s="54">
        <f>12+6+1+2</f>
        <v>21</v>
      </c>
      <c r="AR185" s="45">
        <f>8+3+1+5</f>
        <v>17</v>
      </c>
      <c r="AS185" s="42"/>
      <c r="AT185" s="40"/>
      <c r="AU185" s="42"/>
      <c r="AV185" s="54">
        <v>2</v>
      </c>
      <c r="AW185" s="54" t="s">
        <v>706</v>
      </c>
      <c r="AX185" s="28"/>
      <c r="AY185" s="40"/>
      <c r="BB185" s="13" t="s">
        <v>223</v>
      </c>
      <c r="BC185" s="13">
        <f>SUM(BC184+BC158+BC155+BC151+BC148+BC145+BC143)</f>
        <v>1936</v>
      </c>
      <c r="BD185" s="26">
        <f>SUM(BD184+BD158+BD155+BD151+BD148+BD145+BD143)</f>
        <v>2050</v>
      </c>
      <c r="BE185" s="26">
        <f>SUM(BE184+BE158+BE155+BE151+BE148+BE145+BE143)</f>
        <v>0</v>
      </c>
      <c r="BF185" s="26">
        <f>SUM(BF184+BF158+BF155+BF151+BF148+BF145+BF143)</f>
        <v>0</v>
      </c>
      <c r="BG185" s="26">
        <f>SUM(BG184+BG158+BG155+BG151+BG148+BG145+BG143)</f>
        <v>0</v>
      </c>
      <c r="BH185" s="160">
        <f>SUM(BH184+BH158+BH155+BH151+BH147+BH145+BH143)</f>
        <v>53860</v>
      </c>
      <c r="BI185" s="26">
        <f>SUM(BI184+BI158+BI155+BI151+BI147+BI145+BI143)</f>
        <v>14316</v>
      </c>
      <c r="BJ185" s="81"/>
      <c r="BK185" s="27" t="s">
        <v>247</v>
      </c>
      <c r="BL185" s="26">
        <f>SUM(BL143:BL184)</f>
        <v>238</v>
      </c>
    </row>
    <row r="186" spans="1:65" x14ac:dyDescent="0.3">
      <c r="K186" s="28"/>
      <c r="AP186" s="125" t="s">
        <v>122</v>
      </c>
      <c r="AQ186" s="54">
        <f>1+19</f>
        <v>20</v>
      </c>
      <c r="AR186" s="45">
        <v>0</v>
      </c>
      <c r="AS186" s="42"/>
      <c r="AT186" s="40"/>
      <c r="AU186" s="42"/>
      <c r="AV186" s="54">
        <v>1</v>
      </c>
      <c r="AW186" s="54" t="s">
        <v>618</v>
      </c>
      <c r="AX186" s="28"/>
      <c r="AY186" s="40"/>
      <c r="BB186" s="131" t="s">
        <v>225</v>
      </c>
      <c r="BD186">
        <f>SUM(BL184)</f>
        <v>82</v>
      </c>
      <c r="BG186" s="132"/>
    </row>
    <row r="187" spans="1:65" x14ac:dyDescent="0.3">
      <c r="K187" s="28"/>
      <c r="AP187" s="125" t="s">
        <v>227</v>
      </c>
      <c r="AQ187" s="54">
        <v>0</v>
      </c>
      <c r="AR187" s="45">
        <v>0</v>
      </c>
      <c r="AS187" s="42"/>
      <c r="AT187" s="40"/>
      <c r="AU187" s="42"/>
      <c r="AV187" s="54">
        <v>0</v>
      </c>
      <c r="AW187" s="54" t="s">
        <v>352</v>
      </c>
      <c r="AX187" s="28"/>
      <c r="AY187" s="40"/>
      <c r="BB187" t="s">
        <v>229</v>
      </c>
      <c r="BD187">
        <v>16</v>
      </c>
    </row>
    <row r="188" spans="1:65" x14ac:dyDescent="0.3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AP188" s="41" t="s">
        <v>230</v>
      </c>
      <c r="AQ188" s="54">
        <f>3+4+2</f>
        <v>9</v>
      </c>
      <c r="AR188" s="45">
        <f>3+4+2</f>
        <v>9</v>
      </c>
      <c r="AS188" s="42"/>
      <c r="AT188" s="40"/>
      <c r="AU188" s="42"/>
      <c r="AV188" s="54">
        <v>9</v>
      </c>
      <c r="AW188" s="54" t="s">
        <v>655</v>
      </c>
      <c r="AX188" s="28"/>
      <c r="AY188" s="40"/>
      <c r="BB188" t="s">
        <v>232</v>
      </c>
      <c r="BD188" t="s">
        <v>233</v>
      </c>
      <c r="BF188">
        <f>SUM(AQ193)</f>
        <v>2971</v>
      </c>
      <c r="BH188" t="s">
        <v>234</v>
      </c>
      <c r="BJ188" t="s">
        <v>233</v>
      </c>
      <c r="BL188">
        <f>SUM(BC185)</f>
        <v>1936</v>
      </c>
    </row>
    <row r="189" spans="1:65" ht="18" x14ac:dyDescent="0.35">
      <c r="B189" s="133"/>
      <c r="AP189" s="68" t="s">
        <v>125</v>
      </c>
      <c r="AQ189" s="54">
        <v>0</v>
      </c>
      <c r="AR189" s="45">
        <v>0</v>
      </c>
      <c r="AS189" s="42"/>
      <c r="AT189" s="40"/>
      <c r="AU189" s="42"/>
      <c r="AV189" s="54">
        <v>8</v>
      </c>
      <c r="AW189" s="54" t="s">
        <v>351</v>
      </c>
      <c r="AX189" s="28"/>
      <c r="AY189" s="40"/>
      <c r="BA189" t="s">
        <v>6</v>
      </c>
      <c r="BD189" t="s">
        <v>236</v>
      </c>
      <c r="BF189">
        <f>SUM(AR193)</f>
        <v>2902</v>
      </c>
      <c r="BJ189" t="s">
        <v>236</v>
      </c>
      <c r="BL189">
        <f>SUM(BD185)</f>
        <v>2050</v>
      </c>
    </row>
    <row r="190" spans="1:65" x14ac:dyDescent="0.3">
      <c r="AP190" s="68" t="s">
        <v>132</v>
      </c>
      <c r="AQ190" s="54">
        <v>12</v>
      </c>
      <c r="AR190" s="45">
        <v>6</v>
      </c>
      <c r="AS190" s="42"/>
      <c r="AT190" s="40"/>
      <c r="AU190" s="42"/>
      <c r="AV190" s="54">
        <v>1</v>
      </c>
      <c r="AW190" s="54" t="s">
        <v>472</v>
      </c>
      <c r="AX190" s="28"/>
      <c r="AY190" s="40"/>
      <c r="BB190" s="134" t="s">
        <v>238</v>
      </c>
      <c r="BC190" s="135" t="s">
        <v>239</v>
      </c>
      <c r="BD190" s="136"/>
      <c r="BE190" s="134" t="s">
        <v>240</v>
      </c>
      <c r="BF190" s="135" t="s">
        <v>241</v>
      </c>
      <c r="BG190" s="136"/>
      <c r="BH190" s="134"/>
      <c r="BI190" s="135" t="s">
        <v>242</v>
      </c>
      <c r="BJ190" s="137" t="s">
        <v>243</v>
      </c>
      <c r="BK190" s="135"/>
      <c r="BL190" s="135"/>
      <c r="BM190" s="136"/>
    </row>
    <row r="191" spans="1:65" x14ac:dyDescent="0.3">
      <c r="AP191" s="41" t="s">
        <v>6</v>
      </c>
      <c r="AS191" s="42"/>
      <c r="AT191" s="40"/>
      <c r="AU191" s="42"/>
      <c r="AV191" s="54">
        <v>29</v>
      </c>
      <c r="AW191" s="54" t="s">
        <v>215</v>
      </c>
      <c r="AX191" s="28"/>
      <c r="AY191" s="40"/>
      <c r="BB191" s="138" t="s">
        <v>233</v>
      </c>
      <c r="BC191" s="28"/>
      <c r="BD191" s="139">
        <f>SUM(B176)</f>
        <v>52526</v>
      </c>
      <c r="BE191" s="138" t="s">
        <v>233</v>
      </c>
      <c r="BF191" s="28"/>
      <c r="BG191" s="139">
        <f>SUM(AC173)</f>
        <v>1859</v>
      </c>
      <c r="BH191" s="138" t="s">
        <v>233</v>
      </c>
      <c r="BI191" s="28"/>
      <c r="BJ191" s="140">
        <f>SUM(BL188+BG191)</f>
        <v>3795</v>
      </c>
      <c r="BK191" s="28" t="s">
        <v>245</v>
      </c>
      <c r="BL191" s="28">
        <f>SUM(BJ191+BD191)</f>
        <v>56321</v>
      </c>
      <c r="BM191" s="141"/>
    </row>
    <row r="192" spans="1:65" ht="18.600000000000001" thickBot="1" x14ac:dyDescent="0.4">
      <c r="B192" s="133"/>
      <c r="AP192" s="46" t="s">
        <v>84</v>
      </c>
      <c r="AQ192" s="48">
        <f>SUM(AQ176:AQ191)</f>
        <v>214</v>
      </c>
      <c r="AR192" s="48">
        <f>SUM(AR176:AR191)</f>
        <v>151</v>
      </c>
      <c r="AS192" s="47"/>
      <c r="AT192" s="49"/>
      <c r="AU192" s="47"/>
      <c r="AV192" s="48">
        <v>2</v>
      </c>
      <c r="AW192" s="48" t="s">
        <v>244</v>
      </c>
      <c r="AX192" s="48"/>
      <c r="AY192" s="49">
        <f>SUM(AV177:AV192)+2</f>
        <v>119</v>
      </c>
      <c r="BB192" s="142" t="s">
        <v>236</v>
      </c>
      <c r="BC192" s="143"/>
      <c r="BD192" s="144">
        <f>SUM(C176)</f>
        <v>55261</v>
      </c>
      <c r="BE192" s="142" t="s">
        <v>236</v>
      </c>
      <c r="BF192" s="143"/>
      <c r="BG192" s="144">
        <f>SUM(AD173)</f>
        <v>2167</v>
      </c>
      <c r="BH192" s="142" t="s">
        <v>236</v>
      </c>
      <c r="BI192" s="143"/>
      <c r="BJ192" s="145">
        <f>SUM(BL189+BG192)</f>
        <v>4217</v>
      </c>
      <c r="BK192" s="143"/>
      <c r="BL192" s="143">
        <f>SUM(BJ192+BD192)</f>
        <v>59478</v>
      </c>
      <c r="BM192" s="146"/>
    </row>
    <row r="193" spans="1:64" ht="15" thickBot="1" x14ac:dyDescent="0.35">
      <c r="AP193" s="169" t="s">
        <v>84</v>
      </c>
      <c r="AQ193" s="170">
        <f>SUM(AQ192+AQ175+AQ165+AQ150+AQ148)</f>
        <v>2971</v>
      </c>
      <c r="AR193" s="170">
        <f>SUM(AR192+AR175+AR165+AR150+AR148)</f>
        <v>2902</v>
      </c>
      <c r="AS193" s="171"/>
      <c r="AT193" s="172"/>
      <c r="AU193" s="170"/>
      <c r="AV193" s="170"/>
      <c r="AW193" s="170"/>
      <c r="AX193" s="170"/>
      <c r="AY193" s="172">
        <f>SUM(AY147:AY192)</f>
        <v>441</v>
      </c>
    </row>
    <row r="201" spans="1:64" ht="15.6" x14ac:dyDescent="0.3">
      <c r="C201" s="1" t="s">
        <v>0</v>
      </c>
      <c r="P201" s="1" t="s">
        <v>1</v>
      </c>
    </row>
    <row r="202" spans="1:64" ht="15.6" x14ac:dyDescent="0.3">
      <c r="D202" t="s">
        <v>2</v>
      </c>
      <c r="Q202" t="s">
        <v>3</v>
      </c>
      <c r="AE202" s="2"/>
      <c r="AF202" s="1" t="s">
        <v>0</v>
      </c>
      <c r="AG202" s="1"/>
      <c r="AI202" s="1"/>
      <c r="AJ202" s="1"/>
      <c r="AS202" s="1" t="s">
        <v>4</v>
      </c>
      <c r="BE202" s="1"/>
      <c r="BF202" s="1" t="s">
        <v>5</v>
      </c>
      <c r="BG202" s="1"/>
      <c r="BH202" s="1"/>
      <c r="BI202" s="1"/>
      <c r="BJ202" s="1"/>
    </row>
    <row r="203" spans="1:64" ht="15.6" x14ac:dyDescent="0.3">
      <c r="A203" t="s">
        <v>6</v>
      </c>
      <c r="C203" t="s">
        <v>7</v>
      </c>
      <c r="O203" t="s">
        <v>8</v>
      </c>
      <c r="AE203" s="3"/>
      <c r="AF203" s="2" t="s">
        <v>9</v>
      </c>
      <c r="AG203" s="1"/>
      <c r="AI203" s="1"/>
      <c r="AJ203" s="1"/>
      <c r="AT203" t="s">
        <v>2</v>
      </c>
      <c r="BG203" t="s">
        <v>2</v>
      </c>
    </row>
    <row r="204" spans="1:64" ht="15.6" x14ac:dyDescent="0.3">
      <c r="D204" t="s">
        <v>729</v>
      </c>
      <c r="Q204" t="s">
        <v>729</v>
      </c>
      <c r="AF204" s="3" t="s">
        <v>11</v>
      </c>
      <c r="AG204" s="1"/>
      <c r="AI204" s="1"/>
      <c r="AJ204" s="1"/>
      <c r="AR204" t="s">
        <v>12</v>
      </c>
      <c r="BE204" t="s">
        <v>13</v>
      </c>
    </row>
    <row r="205" spans="1:64" ht="15" thickBot="1" x14ac:dyDescent="0.35">
      <c r="I205" s="4" t="s">
        <v>14</v>
      </c>
      <c r="U205" s="5" t="s">
        <v>15</v>
      </c>
      <c r="AG205" t="s">
        <v>729</v>
      </c>
      <c r="AT205" t="s">
        <v>729</v>
      </c>
      <c r="AY205" s="5"/>
      <c r="BG205" t="s">
        <v>729</v>
      </c>
      <c r="BK205" s="5" t="s">
        <v>16</v>
      </c>
    </row>
    <row r="206" spans="1:64" ht="15" thickBot="1" x14ac:dyDescent="0.35">
      <c r="A206" s="6" t="s">
        <v>17</v>
      </c>
      <c r="B206" s="6" t="s">
        <v>18</v>
      </c>
      <c r="C206" s="7"/>
      <c r="D206" s="8" t="s">
        <v>19</v>
      </c>
      <c r="E206" s="8"/>
      <c r="F206" s="8"/>
      <c r="G206" s="9" t="s">
        <v>20</v>
      </c>
      <c r="H206" s="8" t="s">
        <v>21</v>
      </c>
      <c r="I206" s="8"/>
      <c r="J206" s="7"/>
      <c r="L206" s="6" t="s">
        <v>17</v>
      </c>
      <c r="M206" s="6" t="s">
        <v>22</v>
      </c>
      <c r="N206" s="7"/>
      <c r="O206" s="8" t="s">
        <v>23</v>
      </c>
      <c r="P206" s="8"/>
      <c r="Q206" s="8"/>
      <c r="R206" s="6" t="s">
        <v>24</v>
      </c>
      <c r="S206" s="7"/>
      <c r="T206" s="8" t="s">
        <v>21</v>
      </c>
      <c r="U206" s="8"/>
      <c r="V206" s="7"/>
      <c r="AL206" s="5" t="s">
        <v>25</v>
      </c>
      <c r="AX206" s="5" t="s">
        <v>26</v>
      </c>
      <c r="BB206" s="6" t="s">
        <v>17</v>
      </c>
      <c r="BC206" s="6" t="s">
        <v>27</v>
      </c>
      <c r="BD206" s="7"/>
      <c r="BE206" s="8" t="s">
        <v>28</v>
      </c>
      <c r="BF206" s="8"/>
      <c r="BG206" s="8"/>
      <c r="BH206" s="6" t="s">
        <v>29</v>
      </c>
      <c r="BI206" s="7" t="s">
        <v>30</v>
      </c>
      <c r="BJ206" s="8" t="s">
        <v>31</v>
      </c>
      <c r="BK206" s="8"/>
      <c r="BL206" s="7"/>
    </row>
    <row r="207" spans="1:64" x14ac:dyDescent="0.3">
      <c r="A207" s="10" t="s">
        <v>32</v>
      </c>
      <c r="B207" s="10"/>
      <c r="C207" s="11"/>
      <c r="D207" s="3"/>
      <c r="E207" s="3"/>
      <c r="F207" s="3"/>
      <c r="G207" s="12"/>
      <c r="H207" s="3" t="s">
        <v>33</v>
      </c>
      <c r="I207" s="3"/>
      <c r="J207" s="11"/>
      <c r="L207" s="10"/>
      <c r="M207" s="10"/>
      <c r="N207" s="11"/>
      <c r="O207" s="3"/>
      <c r="P207" s="3"/>
      <c r="Q207" s="3"/>
      <c r="R207" s="10"/>
      <c r="S207" s="11"/>
      <c r="T207" s="3" t="s">
        <v>33</v>
      </c>
      <c r="U207" s="3"/>
      <c r="V207" s="11"/>
      <c r="AB207" s="6" t="s">
        <v>34</v>
      </c>
      <c r="AC207" s="6" t="s">
        <v>35</v>
      </c>
      <c r="AD207" s="7"/>
      <c r="AE207" s="6" t="s">
        <v>36</v>
      </c>
      <c r="AF207" s="8"/>
      <c r="AG207" s="7"/>
      <c r="AH207" s="8" t="s">
        <v>37</v>
      </c>
      <c r="AI207" s="8"/>
      <c r="AJ207" s="9" t="s">
        <v>30</v>
      </c>
      <c r="AK207" s="8" t="s">
        <v>38</v>
      </c>
      <c r="AL207" s="8"/>
      <c r="AM207" s="7"/>
      <c r="AP207" s="6" t="s">
        <v>17</v>
      </c>
      <c r="AQ207" s="6" t="s">
        <v>39</v>
      </c>
      <c r="AR207" s="7"/>
      <c r="AS207" s="6" t="s">
        <v>29</v>
      </c>
      <c r="AT207" s="7" t="s">
        <v>30</v>
      </c>
      <c r="AU207" s="8" t="s">
        <v>40</v>
      </c>
      <c r="AV207" s="8"/>
      <c r="AW207" s="8"/>
      <c r="AX207" s="8"/>
      <c r="AY207" s="7"/>
      <c r="BB207" s="10"/>
      <c r="BC207" s="10"/>
      <c r="BD207" s="11"/>
      <c r="BE207" s="3"/>
      <c r="BF207" s="3"/>
      <c r="BG207" s="3"/>
      <c r="BH207" s="10"/>
      <c r="BI207" s="11" t="s">
        <v>6</v>
      </c>
      <c r="BJ207" s="3" t="s">
        <v>41</v>
      </c>
      <c r="BK207" s="3"/>
      <c r="BL207" s="11"/>
    </row>
    <row r="208" spans="1:64" ht="15" thickBot="1" x14ac:dyDescent="0.35">
      <c r="A208" s="13" t="s">
        <v>42</v>
      </c>
      <c r="B208" s="14" t="s">
        <v>43</v>
      </c>
      <c r="C208" s="15" t="s">
        <v>44</v>
      </c>
      <c r="D208" s="16" t="s">
        <v>45</v>
      </c>
      <c r="E208" s="16" t="s">
        <v>46</v>
      </c>
      <c r="F208" s="16" t="s">
        <v>47</v>
      </c>
      <c r="G208" s="17" t="s">
        <v>48</v>
      </c>
      <c r="H208" s="18" t="s">
        <v>49</v>
      </c>
      <c r="I208" s="18"/>
      <c r="J208" s="11"/>
      <c r="L208" s="10" t="s">
        <v>50</v>
      </c>
      <c r="M208" s="19" t="s">
        <v>43</v>
      </c>
      <c r="N208" s="20" t="s">
        <v>44</v>
      </c>
      <c r="O208" s="21" t="s">
        <v>43</v>
      </c>
      <c r="P208" s="18" t="s">
        <v>51</v>
      </c>
      <c r="Q208" s="21" t="s">
        <v>44</v>
      </c>
      <c r="R208" s="22" t="s">
        <v>43</v>
      </c>
      <c r="S208" s="23" t="s">
        <v>44</v>
      </c>
      <c r="T208" s="18" t="s">
        <v>49</v>
      </c>
      <c r="U208" s="18"/>
      <c r="V208" s="11"/>
      <c r="AB208" s="10" t="s">
        <v>50</v>
      </c>
      <c r="AC208" s="22" t="s">
        <v>43</v>
      </c>
      <c r="AD208" s="23" t="s">
        <v>44</v>
      </c>
      <c r="AE208" s="22" t="s">
        <v>45</v>
      </c>
      <c r="AF208" s="24" t="s">
        <v>46</v>
      </c>
      <c r="AG208" s="23" t="s">
        <v>52</v>
      </c>
      <c r="AH208" s="24" t="s">
        <v>43</v>
      </c>
      <c r="AI208" s="24" t="s">
        <v>44</v>
      </c>
      <c r="AJ208" s="25" t="s">
        <v>43</v>
      </c>
      <c r="AK208" s="3" t="s">
        <v>53</v>
      </c>
      <c r="AL208" s="3"/>
      <c r="AM208" s="11"/>
      <c r="AP208" s="13" t="s">
        <v>42</v>
      </c>
      <c r="AQ208" s="13" t="s">
        <v>43</v>
      </c>
      <c r="AR208" s="26" t="s">
        <v>44</v>
      </c>
      <c r="AS208" s="13" t="s">
        <v>43</v>
      </c>
      <c r="AT208" s="26" t="s">
        <v>44</v>
      </c>
      <c r="AU208" s="27"/>
      <c r="AV208" s="27"/>
      <c r="AW208" s="27"/>
      <c r="AX208" s="27"/>
      <c r="AY208" s="26"/>
      <c r="BB208" s="13" t="s">
        <v>42</v>
      </c>
      <c r="BC208" s="13" t="s">
        <v>43</v>
      </c>
      <c r="BD208" s="26" t="s">
        <v>44</v>
      </c>
      <c r="BE208" s="27" t="s">
        <v>45</v>
      </c>
      <c r="BF208" s="27" t="s">
        <v>46</v>
      </c>
      <c r="BG208" s="27" t="s">
        <v>52</v>
      </c>
      <c r="BH208" s="13" t="s">
        <v>43</v>
      </c>
      <c r="BI208" s="26" t="s">
        <v>44</v>
      </c>
      <c r="BJ208" s="27" t="s">
        <v>54</v>
      </c>
      <c r="BK208" s="27"/>
      <c r="BL208" s="26"/>
    </row>
    <row r="209" spans="1:64" ht="15" thickBot="1" x14ac:dyDescent="0.35">
      <c r="A209" s="6"/>
      <c r="B209" s="6"/>
      <c r="C209" s="7"/>
      <c r="D209" s="8"/>
      <c r="E209" s="8"/>
      <c r="F209" s="7"/>
      <c r="G209" s="8"/>
      <c r="H209" s="6" t="s">
        <v>396</v>
      </c>
      <c r="I209" s="8"/>
      <c r="J209" s="7"/>
      <c r="K209" s="28"/>
      <c r="L209" s="9"/>
      <c r="M209" s="8"/>
      <c r="N209" s="8"/>
      <c r="O209" s="6"/>
      <c r="P209" s="8"/>
      <c r="Q209" s="7"/>
      <c r="R209" s="8"/>
      <c r="S209" s="8"/>
      <c r="T209" s="6" t="s">
        <v>396</v>
      </c>
      <c r="U209" s="8"/>
      <c r="V209" s="7"/>
      <c r="W209" s="28"/>
      <c r="AB209" s="13"/>
      <c r="AC209" s="13"/>
      <c r="AD209" s="26"/>
      <c r="AE209" s="13"/>
      <c r="AF209" s="27"/>
      <c r="AG209" s="26"/>
      <c r="AH209" s="27"/>
      <c r="AI209" s="27"/>
      <c r="AJ209" s="17"/>
      <c r="AK209" s="27"/>
      <c r="AL209" s="27"/>
      <c r="AM209" s="26"/>
      <c r="AP209" s="32" t="s">
        <v>6</v>
      </c>
      <c r="AQ209" s="43"/>
      <c r="AR209" s="54"/>
      <c r="AS209" s="33"/>
      <c r="AT209" s="35"/>
      <c r="AU209" s="33"/>
      <c r="AV209" s="34" t="s">
        <v>91</v>
      </c>
      <c r="AW209" s="34"/>
      <c r="AX209" s="34"/>
      <c r="AY209" s="35"/>
      <c r="AZ209" s="28"/>
      <c r="BB209" s="32" t="s">
        <v>85</v>
      </c>
      <c r="BC209">
        <v>19</v>
      </c>
      <c r="BD209">
        <v>20</v>
      </c>
      <c r="BE209" s="33"/>
      <c r="BF209" s="34"/>
      <c r="BG209" s="34"/>
      <c r="BH209" s="33"/>
      <c r="BI209" s="35"/>
      <c r="BJ209" s="34" t="s">
        <v>58</v>
      </c>
      <c r="BK209" s="8"/>
      <c r="BL209" s="7"/>
    </row>
    <row r="210" spans="1:64" x14ac:dyDescent="0.3">
      <c r="A210" s="10" t="s">
        <v>59</v>
      </c>
      <c r="B210" s="36">
        <v>971</v>
      </c>
      <c r="C210" s="11">
        <v>1087</v>
      </c>
      <c r="D210" s="37"/>
      <c r="E210" s="38" t="s">
        <v>60</v>
      </c>
      <c r="F210" s="39"/>
      <c r="G210" s="37">
        <v>1120</v>
      </c>
      <c r="H210" s="36">
        <v>4</v>
      </c>
      <c r="I210" s="37" t="s">
        <v>61</v>
      </c>
      <c r="J210" s="40"/>
      <c r="K210" s="28"/>
      <c r="L210" s="41" t="s">
        <v>59</v>
      </c>
      <c r="M210" s="28">
        <v>9270</v>
      </c>
      <c r="N210" s="28">
        <v>23392</v>
      </c>
      <c r="O210" s="42">
        <v>0</v>
      </c>
      <c r="P210" s="43">
        <v>0</v>
      </c>
      <c r="Q210" s="40">
        <v>0</v>
      </c>
      <c r="R210" s="43">
        <v>0</v>
      </c>
      <c r="S210" s="43">
        <v>0</v>
      </c>
      <c r="T210" s="42"/>
      <c r="U210" s="28"/>
      <c r="V210" s="40"/>
      <c r="W210" s="28"/>
      <c r="AB210" s="9"/>
      <c r="AC210" s="8"/>
      <c r="AD210" s="8"/>
      <c r="AE210" s="6"/>
      <c r="AF210" s="8"/>
      <c r="AG210" s="7"/>
      <c r="AH210" s="8"/>
      <c r="AI210" s="8"/>
      <c r="AJ210" s="9"/>
      <c r="AK210" s="6" t="s">
        <v>62</v>
      </c>
      <c r="AL210" s="8"/>
      <c r="AM210" s="7"/>
      <c r="AP210" s="41" t="s">
        <v>56</v>
      </c>
      <c r="AQ210" s="43">
        <v>1445</v>
      </c>
      <c r="AR210" s="54">
        <v>1542</v>
      </c>
      <c r="AS210" s="42"/>
      <c r="AT210" s="40"/>
      <c r="AU210" s="42"/>
      <c r="AV210" s="28"/>
      <c r="AW210" s="28"/>
      <c r="AX210" s="28"/>
      <c r="AY210" s="40"/>
      <c r="AZ210" s="28"/>
      <c r="BB210" s="44" t="s">
        <v>64</v>
      </c>
      <c r="BC210" s="18">
        <v>121</v>
      </c>
      <c r="BD210" s="18">
        <v>121</v>
      </c>
      <c r="BE210" s="10">
        <v>0</v>
      </c>
      <c r="BF210" s="18">
        <v>0</v>
      </c>
      <c r="BG210" s="18">
        <v>0</v>
      </c>
      <c r="BH210" s="10">
        <v>0</v>
      </c>
      <c r="BI210" s="11">
        <v>0</v>
      </c>
      <c r="BJ210" s="45">
        <v>11</v>
      </c>
      <c r="BK210" s="28" t="s">
        <v>474</v>
      </c>
      <c r="BL210" s="11" t="s">
        <v>6</v>
      </c>
    </row>
    <row r="211" spans="1:64" ht="15" thickBot="1" x14ac:dyDescent="0.35">
      <c r="A211" s="36" t="s">
        <v>6</v>
      </c>
      <c r="B211" s="10"/>
      <c r="C211" s="11"/>
      <c r="D211" s="18"/>
      <c r="E211" s="18"/>
      <c r="F211" s="18"/>
      <c r="G211" s="36"/>
      <c r="H211" s="42"/>
      <c r="I211" s="28" t="s">
        <v>528</v>
      </c>
      <c r="J211" s="40">
        <f>SUM(H210+H211)</f>
        <v>4</v>
      </c>
      <c r="K211" s="28"/>
      <c r="L211" s="12"/>
      <c r="M211" s="37"/>
      <c r="N211" s="37"/>
      <c r="O211" s="10"/>
      <c r="P211" s="18"/>
      <c r="Q211" s="11"/>
      <c r="R211" s="18"/>
      <c r="S211" s="18"/>
      <c r="T211" s="10"/>
      <c r="U211" s="18"/>
      <c r="V211" s="11"/>
      <c r="W211" s="28"/>
      <c r="AB211" s="41"/>
      <c r="AE211" s="42"/>
      <c r="AF211" s="28"/>
      <c r="AG211" s="40"/>
      <c r="AJ211" s="41"/>
      <c r="AK211" s="42"/>
      <c r="AL211" s="37" t="s">
        <v>6</v>
      </c>
      <c r="AM211" s="40"/>
      <c r="AP211" s="62" t="s">
        <v>6</v>
      </c>
      <c r="AQ211" s="43"/>
      <c r="AR211" s="43"/>
      <c r="AS211" s="47"/>
      <c r="AT211" s="49"/>
      <c r="AU211" s="47"/>
      <c r="AV211" s="48">
        <v>105</v>
      </c>
      <c r="AW211" s="48" t="s">
        <v>73</v>
      </c>
      <c r="AX211" s="48"/>
      <c r="AY211" s="49">
        <f>SUM(AV211)</f>
        <v>105</v>
      </c>
      <c r="AZ211" s="28"/>
      <c r="BA211" s="28"/>
      <c r="BB211" s="46" t="s">
        <v>84</v>
      </c>
      <c r="BC211">
        <f>SUM(BC209:BC210)</f>
        <v>140</v>
      </c>
      <c r="BD211">
        <f>SUM(BD209:BD210)</f>
        <v>141</v>
      </c>
      <c r="BE211" s="47"/>
      <c r="BF211" s="48"/>
      <c r="BG211" s="48"/>
      <c r="BH211" s="47"/>
      <c r="BI211" s="49"/>
      <c r="BJ211" s="48">
        <v>1</v>
      </c>
      <c r="BK211" s="48" t="s">
        <v>69</v>
      </c>
      <c r="BL211" s="49">
        <f>SUM(BJ210:BJ211)</f>
        <v>12</v>
      </c>
    </row>
    <row r="212" spans="1:64" ht="15" thickBot="1" x14ac:dyDescent="0.35">
      <c r="A212" s="32"/>
      <c r="B212" s="34"/>
      <c r="C212" s="34"/>
      <c r="D212" s="33"/>
      <c r="E212" s="34"/>
      <c r="F212" s="35"/>
      <c r="G212" s="34"/>
      <c r="H212" s="6" t="s">
        <v>70</v>
      </c>
      <c r="I212" s="8"/>
      <c r="J212" s="7"/>
      <c r="K212" s="28"/>
      <c r="L212" s="17"/>
      <c r="M212" s="27"/>
      <c r="N212" s="27"/>
      <c r="O212" s="13"/>
      <c r="P212" s="27"/>
      <c r="Q212" s="26"/>
      <c r="R212" s="27"/>
      <c r="S212" s="27"/>
      <c r="T212" s="13"/>
      <c r="U212" s="27"/>
      <c r="V212" s="26"/>
      <c r="W212" s="28"/>
      <c r="AB212" s="44" t="s">
        <v>59</v>
      </c>
      <c r="AC212" s="37">
        <v>1106</v>
      </c>
      <c r="AD212" s="37">
        <v>1217</v>
      </c>
      <c r="AE212" s="10">
        <v>0</v>
      </c>
      <c r="AF212" s="18">
        <v>0</v>
      </c>
      <c r="AG212" s="39">
        <v>0</v>
      </c>
      <c r="AH212" s="2">
        <v>0</v>
      </c>
      <c r="AI212" s="2">
        <v>0</v>
      </c>
      <c r="AJ212" s="12">
        <v>0</v>
      </c>
      <c r="AK212" s="36">
        <v>5</v>
      </c>
      <c r="AL212" t="s">
        <v>398</v>
      </c>
      <c r="AM212" s="11"/>
      <c r="AP212" s="10"/>
      <c r="AQ212" s="29"/>
      <c r="AR212" s="31"/>
      <c r="AS212" s="33"/>
      <c r="AT212" s="7"/>
      <c r="AU212" s="8"/>
      <c r="AV212" s="8"/>
      <c r="AW212" s="8"/>
      <c r="AX212" s="8"/>
      <c r="AY212" s="7"/>
      <c r="AZ212" s="28"/>
      <c r="BA212" s="28"/>
      <c r="BB212" s="33"/>
      <c r="BC212" s="33"/>
      <c r="BD212" s="35"/>
      <c r="BE212" s="34"/>
      <c r="BF212" s="34"/>
      <c r="BG212" s="34"/>
      <c r="BH212" s="33"/>
      <c r="BI212" s="35"/>
      <c r="BJ212" s="53" t="s">
        <v>82</v>
      </c>
      <c r="BK212" s="34"/>
      <c r="BL212" s="35"/>
    </row>
    <row r="213" spans="1:64" ht="15" thickBot="1" x14ac:dyDescent="0.35">
      <c r="A213" s="44" t="s">
        <v>74</v>
      </c>
      <c r="B213" s="37">
        <v>1015</v>
      </c>
      <c r="C213" s="18">
        <v>1861</v>
      </c>
      <c r="D213" s="36"/>
      <c r="E213" s="38" t="s">
        <v>60</v>
      </c>
      <c r="F213" s="39"/>
      <c r="G213" s="37">
        <v>2122</v>
      </c>
      <c r="H213" s="36">
        <v>9</v>
      </c>
      <c r="I213" s="28" t="s">
        <v>75</v>
      </c>
      <c r="J213" s="11"/>
      <c r="K213" s="28"/>
      <c r="L213" s="32"/>
      <c r="M213" s="34"/>
      <c r="N213" s="34"/>
      <c r="O213" s="33"/>
      <c r="P213" s="34"/>
      <c r="Q213" s="35"/>
      <c r="R213" s="34"/>
      <c r="S213" s="34"/>
      <c r="T213" s="33"/>
      <c r="U213" s="34"/>
      <c r="V213" s="35"/>
      <c r="W213" s="28"/>
      <c r="AB213" s="46"/>
      <c r="AE213" s="47"/>
      <c r="AF213" s="51"/>
      <c r="AG213" s="49"/>
      <c r="AH213" s="28"/>
      <c r="AI213" s="28"/>
      <c r="AJ213" s="62"/>
      <c r="AK213" s="47"/>
      <c r="AL213" s="48" t="s">
        <v>66</v>
      </c>
      <c r="AM213" s="49"/>
      <c r="AP213" s="36" t="s">
        <v>63</v>
      </c>
      <c r="AQ213" s="10">
        <v>18</v>
      </c>
      <c r="AR213" s="18">
        <v>31</v>
      </c>
      <c r="AS213" s="42"/>
      <c r="AT213" s="11"/>
      <c r="AU213" s="18"/>
      <c r="AV213" s="18" t="s">
        <v>110</v>
      </c>
      <c r="AW213" s="18" t="s">
        <v>111</v>
      </c>
      <c r="AX213" s="18" t="s">
        <v>112</v>
      </c>
      <c r="AY213" s="11"/>
      <c r="AZ213" s="28"/>
      <c r="BA213" s="28"/>
      <c r="BB213" s="47" t="s">
        <v>85</v>
      </c>
      <c r="BC213" s="47">
        <v>0</v>
      </c>
      <c r="BD213" s="49">
        <v>0</v>
      </c>
      <c r="BE213" s="48"/>
      <c r="BF213" s="48">
        <v>0</v>
      </c>
      <c r="BG213" s="48">
        <v>0</v>
      </c>
      <c r="BH213" s="47">
        <v>0</v>
      </c>
      <c r="BI213" s="49">
        <v>0</v>
      </c>
      <c r="BJ213" s="51"/>
      <c r="BK213" s="48" t="s">
        <v>86</v>
      </c>
      <c r="BL213" s="49">
        <f>SUM(BJ213)</f>
        <v>0</v>
      </c>
    </row>
    <row r="214" spans="1:64" x14ac:dyDescent="0.3">
      <c r="A214" s="41"/>
      <c r="D214" s="42"/>
      <c r="E214" s="28"/>
      <c r="F214" s="40"/>
      <c r="H214" s="42">
        <v>9</v>
      </c>
      <c r="I214" s="28" t="s">
        <v>79</v>
      </c>
      <c r="J214" s="40"/>
      <c r="K214" s="28"/>
      <c r="L214" s="41"/>
      <c r="M214" s="28"/>
      <c r="N214" s="28"/>
      <c r="O214" s="42"/>
      <c r="P214" s="28"/>
      <c r="Q214" s="40"/>
      <c r="R214" s="28"/>
      <c r="S214" s="28"/>
      <c r="T214" s="42" t="s">
        <v>80</v>
      </c>
      <c r="U214" s="28"/>
      <c r="V214" s="40"/>
      <c r="W214" s="28"/>
      <c r="AB214" s="50" t="s">
        <v>6</v>
      </c>
      <c r="AC214" s="8"/>
      <c r="AD214" s="8"/>
      <c r="AE214" s="6"/>
      <c r="AF214" s="8"/>
      <c r="AG214" s="7"/>
      <c r="AH214" s="6"/>
      <c r="AI214" s="7"/>
      <c r="AJ214" s="8"/>
      <c r="AK214" s="29" t="s">
        <v>71</v>
      </c>
      <c r="AL214" s="8"/>
      <c r="AM214" s="7"/>
      <c r="AP214" s="10" t="s">
        <v>115</v>
      </c>
      <c r="AQ214" s="36">
        <v>79</v>
      </c>
      <c r="AR214" s="37">
        <v>45</v>
      </c>
      <c r="AS214" s="42"/>
      <c r="AT214" s="11"/>
      <c r="AU214" s="18"/>
      <c r="AV214" s="18"/>
      <c r="AW214" s="18"/>
      <c r="AX214" s="18"/>
      <c r="AY214" s="11"/>
      <c r="AZ214" s="28"/>
      <c r="BA214" s="28"/>
      <c r="BB214" s="50" t="s">
        <v>107</v>
      </c>
      <c r="BC214" s="31">
        <v>67</v>
      </c>
      <c r="BD214" s="31">
        <v>65</v>
      </c>
      <c r="BE214" s="29"/>
      <c r="BF214" s="31"/>
      <c r="BG214" s="30"/>
      <c r="BH214" s="55">
        <v>0</v>
      </c>
      <c r="BI214" s="8">
        <v>0</v>
      </c>
      <c r="BJ214" s="29"/>
      <c r="BK214" s="34" t="s">
        <v>92</v>
      </c>
      <c r="BL214" s="35"/>
    </row>
    <row r="215" spans="1:64" ht="15" thickBot="1" x14ac:dyDescent="0.35">
      <c r="A215" s="46"/>
      <c r="B215" s="48"/>
      <c r="C215" s="48"/>
      <c r="D215" s="47"/>
      <c r="E215" s="48"/>
      <c r="F215" s="49"/>
      <c r="G215" s="48"/>
      <c r="H215" s="47">
        <v>2</v>
      </c>
      <c r="I215" s="28" t="s">
        <v>83</v>
      </c>
      <c r="J215" s="49">
        <f>SUM(H213:H215)</f>
        <v>20</v>
      </c>
      <c r="K215" s="28"/>
      <c r="L215" s="17" t="s">
        <v>74</v>
      </c>
      <c r="M215" s="27">
        <v>7610</v>
      </c>
      <c r="N215" s="27">
        <v>134</v>
      </c>
      <c r="O215" s="13">
        <v>0</v>
      </c>
      <c r="P215" s="27">
        <v>0</v>
      </c>
      <c r="Q215" s="26">
        <v>0</v>
      </c>
      <c r="R215" s="27">
        <v>0</v>
      </c>
      <c r="S215" s="27">
        <v>0</v>
      </c>
      <c r="T215" s="13"/>
      <c r="U215" s="27"/>
      <c r="V215" s="26"/>
      <c r="W215" s="28"/>
      <c r="AB215" s="41" t="s">
        <v>76</v>
      </c>
      <c r="AC215">
        <v>0</v>
      </c>
      <c r="AD215">
        <v>0</v>
      </c>
      <c r="AE215" s="42">
        <v>0</v>
      </c>
      <c r="AF215" s="43">
        <v>0</v>
      </c>
      <c r="AG215" s="40">
        <v>0</v>
      </c>
      <c r="AH215" s="42">
        <v>0</v>
      </c>
      <c r="AI215" s="40">
        <v>0</v>
      </c>
      <c r="AJ215" s="43">
        <v>0</v>
      </c>
      <c r="AK215" s="42"/>
      <c r="AL215" s="28" t="s">
        <v>77</v>
      </c>
      <c r="AM215" s="40"/>
      <c r="AP215" s="52" t="s">
        <v>72</v>
      </c>
      <c r="AQ215" s="52">
        <v>2</v>
      </c>
      <c r="AR215" s="54">
        <v>4</v>
      </c>
      <c r="AS215" s="42"/>
      <c r="AT215" s="40"/>
      <c r="AU215" s="28"/>
      <c r="AV215" s="28"/>
      <c r="AW215" s="28"/>
      <c r="AX215" s="28"/>
      <c r="AY215" s="40"/>
      <c r="AZ215" s="28"/>
      <c r="BA215" s="28"/>
      <c r="BB215" s="41" t="s">
        <v>99</v>
      </c>
      <c r="BC215" s="45">
        <v>0</v>
      </c>
      <c r="BD215" s="45">
        <v>0</v>
      </c>
      <c r="BE215" s="42">
        <v>0</v>
      </c>
      <c r="BF215" s="45">
        <v>0</v>
      </c>
      <c r="BG215" s="40">
        <v>0</v>
      </c>
      <c r="BH215" s="45">
        <v>59052</v>
      </c>
      <c r="BI215" s="56">
        <v>15205</v>
      </c>
      <c r="BJ215" s="52">
        <v>24</v>
      </c>
      <c r="BK215" s="37" t="s">
        <v>100</v>
      </c>
      <c r="BL215" s="40"/>
    </row>
    <row r="216" spans="1:64" ht="15" thickBot="1" x14ac:dyDescent="0.35">
      <c r="A216" s="33"/>
      <c r="B216" s="33"/>
      <c r="C216" s="35"/>
      <c r="D216" s="34"/>
      <c r="E216" s="34"/>
      <c r="F216" s="34"/>
      <c r="G216" s="32"/>
      <c r="H216" s="6" t="s">
        <v>87</v>
      </c>
      <c r="I216" s="34"/>
      <c r="J216" s="35"/>
      <c r="K216" s="28"/>
      <c r="L216" s="12" t="s">
        <v>88</v>
      </c>
      <c r="M216" s="37">
        <v>0</v>
      </c>
      <c r="N216" s="37">
        <v>0</v>
      </c>
      <c r="O216" s="10"/>
      <c r="P216" s="18"/>
      <c r="Q216" s="11"/>
      <c r="R216" s="18"/>
      <c r="S216" s="18"/>
      <c r="T216" s="33" t="s">
        <v>6</v>
      </c>
      <c r="U216" s="31"/>
      <c r="V216" s="7"/>
      <c r="W216" s="28"/>
      <c r="AB216" s="6" t="s">
        <v>89</v>
      </c>
      <c r="AC216" s="6">
        <v>35</v>
      </c>
      <c r="AD216" s="7">
        <v>36</v>
      </c>
      <c r="AE216" s="8"/>
      <c r="AF216" s="8"/>
      <c r="AG216" s="8"/>
      <c r="AH216" s="6"/>
      <c r="AI216" s="7"/>
      <c r="AJ216" s="9"/>
      <c r="AK216" s="31" t="s">
        <v>90</v>
      </c>
      <c r="AL216" s="8"/>
      <c r="AM216" s="7"/>
      <c r="AP216" s="36" t="s">
        <v>78</v>
      </c>
      <c r="AQ216" s="36">
        <v>34</v>
      </c>
      <c r="AR216" s="37">
        <v>27</v>
      </c>
      <c r="AS216" s="42"/>
      <c r="AT216" s="11"/>
      <c r="AU216" s="18"/>
      <c r="AV216" s="37"/>
      <c r="AW216" s="18"/>
      <c r="AX216" s="37"/>
      <c r="AY216" s="11"/>
      <c r="AZ216" s="28"/>
      <c r="BA216" s="28"/>
      <c r="BB216" s="17" t="s">
        <v>84</v>
      </c>
      <c r="BC216" s="18">
        <f>SUM(BC214:BC215)</f>
        <v>67</v>
      </c>
      <c r="BD216" s="18">
        <f>SUM(BD214:BD215)</f>
        <v>65</v>
      </c>
      <c r="BE216" s="13"/>
      <c r="BF216" s="27"/>
      <c r="BG216" s="26"/>
      <c r="BH216" s="58">
        <f>+BH215+BH214</f>
        <v>59052</v>
      </c>
      <c r="BI216" s="27">
        <f>+BI215+BI214</f>
        <v>15205</v>
      </c>
      <c r="BJ216" s="59">
        <v>2</v>
      </c>
      <c r="BK216" s="48" t="s">
        <v>506</v>
      </c>
      <c r="BL216" s="60">
        <f>SUM(BJ215:BJ216)</f>
        <v>26</v>
      </c>
    </row>
    <row r="217" spans="1:64" x14ac:dyDescent="0.3">
      <c r="A217" s="36" t="s">
        <v>93</v>
      </c>
      <c r="B217" s="36">
        <v>4052</v>
      </c>
      <c r="C217" s="11">
        <v>5146</v>
      </c>
      <c r="D217" s="37"/>
      <c r="E217" s="38" t="s">
        <v>60</v>
      </c>
      <c r="F217" s="37"/>
      <c r="G217" s="12">
        <v>5340</v>
      </c>
      <c r="H217" s="36">
        <v>0</v>
      </c>
      <c r="I217" s="37" t="s">
        <v>94</v>
      </c>
      <c r="J217" s="40"/>
      <c r="K217" s="28"/>
      <c r="L217" s="44" t="s">
        <v>95</v>
      </c>
      <c r="M217" s="37">
        <v>0</v>
      </c>
      <c r="N217" s="37">
        <v>0</v>
      </c>
      <c r="O217" s="10"/>
      <c r="P217" s="18"/>
      <c r="Q217" s="11"/>
      <c r="R217" s="18"/>
      <c r="S217" s="18"/>
      <c r="T217" s="10" t="s">
        <v>96</v>
      </c>
      <c r="U217" s="37"/>
      <c r="V217" s="11"/>
      <c r="W217" s="28"/>
      <c r="AB217" s="36" t="s">
        <v>97</v>
      </c>
      <c r="AC217" s="10">
        <v>0</v>
      </c>
      <c r="AD217" s="11">
        <v>0</v>
      </c>
      <c r="AE217" s="18">
        <v>0</v>
      </c>
      <c r="AF217" s="18">
        <v>0</v>
      </c>
      <c r="AG217" s="18">
        <v>0</v>
      </c>
      <c r="AH217" s="36">
        <v>0</v>
      </c>
      <c r="AI217" s="11">
        <v>0</v>
      </c>
      <c r="AJ217" s="12">
        <v>0</v>
      </c>
      <c r="AK217" s="37">
        <v>1</v>
      </c>
      <c r="AL217" s="37" t="s">
        <v>145</v>
      </c>
      <c r="AM217" s="11"/>
      <c r="AP217" s="10" t="s">
        <v>122</v>
      </c>
      <c r="AQ217" s="36">
        <v>16</v>
      </c>
      <c r="AR217" s="37">
        <v>17</v>
      </c>
      <c r="AS217" s="42"/>
      <c r="AT217" s="11"/>
      <c r="AU217" s="18"/>
      <c r="AV217" s="18">
        <v>28</v>
      </c>
      <c r="AW217" s="18" t="s">
        <v>123</v>
      </c>
      <c r="AX217" s="18"/>
      <c r="AY217" s="11"/>
      <c r="AZ217" s="28" t="s">
        <v>6</v>
      </c>
      <c r="BA217" s="28"/>
      <c r="BB217" s="32"/>
      <c r="BC217" s="63">
        <v>0</v>
      </c>
      <c r="BD217" s="64">
        <v>0</v>
      </c>
      <c r="BE217" s="33"/>
      <c r="BF217" s="8"/>
      <c r="BG217" s="35"/>
      <c r="BH217" s="65"/>
      <c r="BI217" s="66"/>
      <c r="BJ217" s="29"/>
      <c r="BK217" s="31"/>
      <c r="BL217" s="35"/>
    </row>
    <row r="218" spans="1:64" ht="15" thickBot="1" x14ac:dyDescent="0.35">
      <c r="A218" s="47"/>
      <c r="B218" s="47"/>
      <c r="C218" s="49"/>
      <c r="D218" s="48"/>
      <c r="E218" s="48"/>
      <c r="F218" s="48"/>
      <c r="G218" s="46"/>
      <c r="H218" s="47">
        <v>30</v>
      </c>
      <c r="I218" s="48" t="s">
        <v>101</v>
      </c>
      <c r="J218" s="49">
        <f>SUM(H217:H218)</f>
        <v>30</v>
      </c>
      <c r="K218" s="28"/>
      <c r="L218" s="12" t="s">
        <v>102</v>
      </c>
      <c r="M218" s="18">
        <v>0</v>
      </c>
      <c r="N218" s="18">
        <v>1330</v>
      </c>
      <c r="O218" s="10"/>
      <c r="P218" s="18"/>
      <c r="Q218" s="11"/>
      <c r="R218" s="18"/>
      <c r="S218" s="18"/>
      <c r="T218" s="10"/>
      <c r="U218" s="18"/>
      <c r="V218" s="11"/>
      <c r="W218" s="28"/>
      <c r="AB218" s="47" t="s">
        <v>84</v>
      </c>
      <c r="AC218" s="13">
        <f>SUM(AC216:AC217)</f>
        <v>35</v>
      </c>
      <c r="AD218" s="26">
        <f>SUM(AD216:AD217)</f>
        <v>36</v>
      </c>
      <c r="AE218" s="27"/>
      <c r="AF218" s="27"/>
      <c r="AG218" s="27"/>
      <c r="AH218" s="13"/>
      <c r="AI218" s="26"/>
      <c r="AJ218" s="17"/>
      <c r="AK218" s="57"/>
      <c r="AL218" s="183" t="s">
        <v>6</v>
      </c>
      <c r="AM218" s="11"/>
      <c r="AP218" s="10" t="s">
        <v>125</v>
      </c>
      <c r="AQ218" s="36">
        <v>0</v>
      </c>
      <c r="AR218" s="37">
        <v>1</v>
      </c>
      <c r="AS218" s="42"/>
      <c r="AT218" s="11"/>
      <c r="AU218" s="18"/>
      <c r="AV218" s="18">
        <v>31</v>
      </c>
      <c r="AW218" s="18" t="s">
        <v>126</v>
      </c>
      <c r="AX218" s="18"/>
      <c r="AY218" s="11"/>
      <c r="AZ218" s="28"/>
      <c r="BA218" s="28"/>
      <c r="BB218" s="41"/>
      <c r="BC218" s="70">
        <v>0</v>
      </c>
      <c r="BD218" s="71">
        <v>0</v>
      </c>
      <c r="BE218" s="42"/>
      <c r="BF218" s="28"/>
      <c r="BG218" s="40"/>
      <c r="BH218" s="42"/>
      <c r="BI218" s="40"/>
      <c r="BJ218" s="42"/>
      <c r="BK218" s="54"/>
      <c r="BL218" s="40"/>
    </row>
    <row r="219" spans="1:64" ht="15" thickBot="1" x14ac:dyDescent="0.35">
      <c r="A219" s="29" t="s">
        <v>250</v>
      </c>
      <c r="B219" s="29">
        <v>0</v>
      </c>
      <c r="C219" s="7">
        <v>0</v>
      </c>
      <c r="D219" s="8"/>
      <c r="E219" s="8"/>
      <c r="F219" s="8"/>
      <c r="G219" s="9"/>
      <c r="H219" s="8" t="s">
        <v>104</v>
      </c>
      <c r="I219" s="8"/>
      <c r="J219" s="7"/>
      <c r="K219" s="28"/>
      <c r="L219" s="12" t="s">
        <v>84</v>
      </c>
      <c r="M219" s="18">
        <f>SUM(M216:M218)</f>
        <v>0</v>
      </c>
      <c r="N219" s="18">
        <f>SUM(N216:N218)</f>
        <v>1330</v>
      </c>
      <c r="O219" s="10">
        <v>0</v>
      </c>
      <c r="P219" s="18">
        <v>0</v>
      </c>
      <c r="Q219" s="11">
        <v>0</v>
      </c>
      <c r="R219" s="18">
        <v>0</v>
      </c>
      <c r="S219" s="18">
        <v>0</v>
      </c>
      <c r="T219" s="13"/>
      <c r="U219" s="27"/>
      <c r="V219" s="26"/>
      <c r="W219" s="28"/>
      <c r="AB219" s="44"/>
      <c r="AC219" s="18"/>
      <c r="AD219" s="18"/>
      <c r="AE219" s="10"/>
      <c r="AF219" s="18"/>
      <c r="AG219" s="11"/>
      <c r="AH219" s="10"/>
      <c r="AI219" s="11"/>
      <c r="AJ219" s="6"/>
      <c r="AK219" s="33"/>
      <c r="AM219" s="7"/>
      <c r="AP219" s="84" t="s">
        <v>128</v>
      </c>
      <c r="AQ219" s="52">
        <v>0</v>
      </c>
      <c r="AR219" s="37">
        <v>0</v>
      </c>
      <c r="AS219" s="42"/>
      <c r="AT219" s="40"/>
      <c r="AU219" s="28"/>
      <c r="AV219" s="28">
        <v>26</v>
      </c>
      <c r="AW219" s="28" t="s">
        <v>129</v>
      </c>
      <c r="AX219" s="28"/>
      <c r="AY219" s="40"/>
      <c r="AZ219" s="28"/>
      <c r="BA219" s="28" t="s">
        <v>6</v>
      </c>
      <c r="BB219" s="68" t="s">
        <v>84</v>
      </c>
      <c r="BC219">
        <f>SUM(BC217:BC218)</f>
        <v>0</v>
      </c>
      <c r="BD219">
        <f>SUM(BD217:BD218)</f>
        <v>0</v>
      </c>
      <c r="BE219" s="47">
        <v>0</v>
      </c>
      <c r="BF219" s="27">
        <v>0</v>
      </c>
      <c r="BG219" s="49">
        <v>0</v>
      </c>
      <c r="BH219" s="75">
        <v>0</v>
      </c>
      <c r="BI219" s="49">
        <v>0</v>
      </c>
      <c r="BJ219" s="47"/>
      <c r="BK219" s="51"/>
      <c r="BL219" s="49">
        <f>SUM(BJ218:BJ219)</f>
        <v>0</v>
      </c>
    </row>
    <row r="220" spans="1:64" x14ac:dyDescent="0.3">
      <c r="A220" s="42" t="s">
        <v>105</v>
      </c>
      <c r="B220" s="42">
        <v>221</v>
      </c>
      <c r="C220" s="40">
        <v>417</v>
      </c>
      <c r="D220" s="28"/>
      <c r="E220" s="38" t="s">
        <v>60</v>
      </c>
      <c r="F220" s="28"/>
      <c r="G220" s="41"/>
      <c r="H220" s="67">
        <v>8</v>
      </c>
      <c r="I220" s="43" t="s">
        <v>106</v>
      </c>
      <c r="J220" s="40">
        <f>SUM(H220)</f>
        <v>8</v>
      </c>
      <c r="K220" s="28"/>
      <c r="L220" s="32"/>
      <c r="M220" s="33"/>
      <c r="N220" s="35"/>
      <c r="O220" s="34"/>
      <c r="P220" s="34"/>
      <c r="Q220" s="35"/>
      <c r="R220" s="33"/>
      <c r="S220" s="35"/>
      <c r="T220" s="6" t="s">
        <v>104</v>
      </c>
      <c r="U220" s="34"/>
      <c r="V220" s="35"/>
      <c r="W220" s="28"/>
      <c r="AB220" s="41"/>
      <c r="AC220" s="18"/>
      <c r="AD220" s="18"/>
      <c r="AE220" s="10">
        <v>0</v>
      </c>
      <c r="AF220" s="18">
        <v>0</v>
      </c>
      <c r="AG220" s="11">
        <v>0</v>
      </c>
      <c r="AH220" s="10"/>
      <c r="AI220" s="11"/>
      <c r="AJ220" s="10">
        <v>0</v>
      </c>
      <c r="AK220" s="10"/>
      <c r="AL220" s="37" t="s">
        <v>6</v>
      </c>
      <c r="AM220" s="11"/>
      <c r="AP220" s="84" t="s">
        <v>132</v>
      </c>
      <c r="AQ220" s="42">
        <v>0</v>
      </c>
      <c r="AR220" s="37">
        <v>1</v>
      </c>
      <c r="AS220" s="42"/>
      <c r="AT220" s="40"/>
      <c r="AU220" s="28"/>
      <c r="AV220" s="28"/>
      <c r="AW220" s="28"/>
      <c r="AX220" s="28"/>
      <c r="AY220" s="40"/>
      <c r="AZ220" s="28"/>
      <c r="BA220" s="28" t="s">
        <v>6</v>
      </c>
      <c r="BB220" s="33" t="s">
        <v>89</v>
      </c>
      <c r="BC220" s="78">
        <v>223</v>
      </c>
      <c r="BD220" s="79">
        <v>235</v>
      </c>
      <c r="BE220" s="34"/>
      <c r="BF220" s="8"/>
      <c r="BG220" s="35"/>
      <c r="BH220" s="80"/>
      <c r="BI220" s="34"/>
      <c r="BJ220" s="33"/>
      <c r="BK220" s="34" t="s">
        <v>91</v>
      </c>
      <c r="BL220" s="35"/>
    </row>
    <row r="221" spans="1:64" ht="15" thickBot="1" x14ac:dyDescent="0.35">
      <c r="A221" s="67" t="s">
        <v>84</v>
      </c>
      <c r="B221" s="47">
        <f>SUM(B219:B220)</f>
        <v>221</v>
      </c>
      <c r="C221" s="49">
        <f>SUM(C219:C220)</f>
        <v>417</v>
      </c>
      <c r="G221" s="46">
        <v>800</v>
      </c>
      <c r="H221" s="48"/>
      <c r="I221" s="48"/>
      <c r="J221" s="49"/>
      <c r="K221" s="28"/>
      <c r="L221" s="69" t="s">
        <v>109</v>
      </c>
      <c r="M221" s="42">
        <v>2910</v>
      </c>
      <c r="N221" s="40">
        <v>0</v>
      </c>
      <c r="O221" s="28">
        <v>0</v>
      </c>
      <c r="P221" s="43">
        <v>0</v>
      </c>
      <c r="Q221" s="40">
        <v>0</v>
      </c>
      <c r="R221" s="42">
        <v>0</v>
      </c>
      <c r="S221" s="40">
        <v>0</v>
      </c>
      <c r="T221" s="28"/>
      <c r="U221" s="28"/>
      <c r="V221" s="40"/>
      <c r="W221" s="28"/>
      <c r="AA221" s="28"/>
      <c r="AB221" s="44"/>
      <c r="AC221" s="45"/>
      <c r="AD221" s="45"/>
      <c r="AE221" s="10">
        <v>0</v>
      </c>
      <c r="AF221" s="18">
        <v>0</v>
      </c>
      <c r="AG221" s="11">
        <v>0</v>
      </c>
      <c r="AH221" s="10"/>
      <c r="AI221" s="11"/>
      <c r="AJ221" s="67"/>
      <c r="AK221" s="42"/>
      <c r="AL221" s="54"/>
      <c r="AM221" s="40"/>
      <c r="AN221" s="28"/>
      <c r="AP221" s="84" t="s">
        <v>81</v>
      </c>
      <c r="AQ221" s="42">
        <v>53</v>
      </c>
      <c r="AR221" s="37">
        <v>19</v>
      </c>
      <c r="AS221" s="42"/>
      <c r="AT221" s="40"/>
      <c r="AU221" s="28"/>
      <c r="AV221" s="28"/>
      <c r="AW221" s="28"/>
      <c r="AX221" s="28"/>
      <c r="AY221" s="40"/>
      <c r="AZ221" s="45"/>
      <c r="BA221" s="28"/>
      <c r="BB221" s="52" t="s">
        <v>85</v>
      </c>
      <c r="BC221" s="42">
        <v>0</v>
      </c>
      <c r="BD221" s="40">
        <v>0</v>
      </c>
      <c r="BE221" s="28"/>
      <c r="BF221" s="28"/>
      <c r="BG221" s="40"/>
      <c r="BJ221" s="42"/>
      <c r="BK221" s="43"/>
      <c r="BL221" s="40"/>
    </row>
    <row r="222" spans="1:64" ht="15" thickBot="1" x14ac:dyDescent="0.35">
      <c r="A222" s="29" t="s">
        <v>108</v>
      </c>
      <c r="B222" s="29">
        <v>0</v>
      </c>
      <c r="C222" s="7">
        <v>0</v>
      </c>
      <c r="D222" s="8"/>
      <c r="E222" s="8">
        <v>1052</v>
      </c>
      <c r="F222" s="8"/>
      <c r="G222" s="50"/>
      <c r="H222" s="6" t="s">
        <v>104</v>
      </c>
      <c r="I222" s="31"/>
      <c r="J222" s="30"/>
      <c r="K222" s="28"/>
      <c r="L222" s="46"/>
      <c r="M222" s="47"/>
      <c r="N222" s="49"/>
      <c r="O222" s="48"/>
      <c r="P222" s="48"/>
      <c r="Q222" s="49"/>
      <c r="R222" s="72"/>
      <c r="S222" s="73"/>
      <c r="T222" s="48"/>
      <c r="U222" s="48"/>
      <c r="V222" s="49"/>
      <c r="W222" s="28"/>
      <c r="AA222" s="28"/>
      <c r="AB222" s="41"/>
      <c r="AE222" s="10">
        <v>0</v>
      </c>
      <c r="AF222" s="18">
        <v>0</v>
      </c>
      <c r="AG222" s="11">
        <v>0</v>
      </c>
      <c r="AH222" s="10"/>
      <c r="AI222" s="11"/>
      <c r="AJ222" s="47"/>
      <c r="AK222" s="72"/>
      <c r="AL222" s="74"/>
      <c r="AM222" s="49"/>
      <c r="AN222" s="28"/>
      <c r="AP222" s="10" t="s">
        <v>138</v>
      </c>
      <c r="AQ222" s="36">
        <v>0</v>
      </c>
      <c r="AR222" s="37">
        <v>1</v>
      </c>
      <c r="AS222" s="42"/>
      <c r="AT222" s="11"/>
      <c r="AU222" s="18"/>
      <c r="AV222" s="18"/>
      <c r="AW222" s="18"/>
      <c r="AX222" s="18"/>
      <c r="AY222" s="11"/>
      <c r="AZ222" s="28"/>
      <c r="BA222" s="28" t="s">
        <v>6</v>
      </c>
      <c r="BB222" s="67" t="s">
        <v>113</v>
      </c>
      <c r="BC222" s="42">
        <v>548</v>
      </c>
      <c r="BD222" s="40">
        <v>597</v>
      </c>
      <c r="BE222" s="28"/>
      <c r="BF222" s="28"/>
      <c r="BG222" s="40"/>
      <c r="BH222" s="28"/>
      <c r="BI222" s="28"/>
      <c r="BJ222" s="67">
        <v>56</v>
      </c>
      <c r="BK222" s="43" t="s">
        <v>73</v>
      </c>
      <c r="BL222" s="40"/>
    </row>
    <row r="223" spans="1:64" ht="15" thickBot="1" x14ac:dyDescent="0.35">
      <c r="A223" s="52" t="s">
        <v>109</v>
      </c>
      <c r="B223" s="36">
        <v>978</v>
      </c>
      <c r="C223" s="11">
        <v>1052</v>
      </c>
      <c r="D223" s="45"/>
      <c r="E223" s="45">
        <v>0</v>
      </c>
      <c r="F223" s="45"/>
      <c r="G223" s="69"/>
      <c r="H223" s="45">
        <v>8</v>
      </c>
      <c r="I223" s="28" t="s">
        <v>114</v>
      </c>
      <c r="J223" s="40"/>
      <c r="K223" s="28"/>
      <c r="L223" s="50" t="s">
        <v>93</v>
      </c>
      <c r="M223" s="8">
        <v>0</v>
      </c>
      <c r="N223" s="8">
        <v>0</v>
      </c>
      <c r="O223" s="6"/>
      <c r="P223" s="8"/>
      <c r="Q223" s="7"/>
      <c r="R223" s="8">
        <v>0</v>
      </c>
      <c r="S223" s="8">
        <v>0</v>
      </c>
      <c r="T223" s="10" t="s">
        <v>116</v>
      </c>
      <c r="U223" s="8"/>
      <c r="V223" s="7"/>
      <c r="W223" s="28"/>
      <c r="AA223" s="28"/>
      <c r="AB223" s="33"/>
      <c r="AC223" s="6"/>
      <c r="AD223" s="7"/>
      <c r="AE223" s="8"/>
      <c r="AF223" s="8"/>
      <c r="AG223" s="8"/>
      <c r="AH223" s="6"/>
      <c r="AI223" s="7"/>
      <c r="AJ223" s="8"/>
      <c r="AK223" s="29"/>
      <c r="AL223" s="164" t="s">
        <v>117</v>
      </c>
      <c r="AM223" s="7"/>
      <c r="AN223" s="28"/>
      <c r="AP223" s="84" t="s">
        <v>56</v>
      </c>
      <c r="AQ223" s="42">
        <v>3</v>
      </c>
      <c r="AR223" s="54">
        <v>0</v>
      </c>
      <c r="AS223" s="42"/>
      <c r="AT223" s="40"/>
      <c r="AU223" s="28"/>
      <c r="AV223" s="28"/>
      <c r="AW223" s="28"/>
      <c r="AX223" s="28"/>
      <c r="AY223" s="40"/>
      <c r="AZ223" s="28"/>
      <c r="BA223" s="28"/>
      <c r="BB223" s="47" t="s">
        <v>84</v>
      </c>
      <c r="BC223" s="47">
        <f>SUM(BC220:BC222)</f>
        <v>771</v>
      </c>
      <c r="BD223" s="49">
        <f>SUM(BD220:BD222)</f>
        <v>832</v>
      </c>
      <c r="BE223" s="81">
        <v>0</v>
      </c>
      <c r="BF223" s="27">
        <v>0</v>
      </c>
      <c r="BG223" s="82">
        <f>+BG220</f>
        <v>0</v>
      </c>
      <c r="BH223" s="74">
        <v>0</v>
      </c>
      <c r="BI223" s="74">
        <v>0</v>
      </c>
      <c r="BJ223" s="47"/>
      <c r="BK223" s="51"/>
      <c r="BL223" s="49">
        <f>SUM(BJ222)</f>
        <v>56</v>
      </c>
    </row>
    <row r="224" spans="1:64" ht="15" thickBot="1" x14ac:dyDescent="0.35">
      <c r="A224" s="76" t="s">
        <v>84</v>
      </c>
      <c r="B224" s="42">
        <f>SUM(B222:B223)</f>
        <v>978</v>
      </c>
      <c r="C224" s="40">
        <f>SUM(C222:C223)</f>
        <v>1052</v>
      </c>
      <c r="D224" s="28"/>
      <c r="E224" s="28">
        <f>SUM(E222:E223)</f>
        <v>1052</v>
      </c>
      <c r="F224" s="28"/>
      <c r="G224" s="46">
        <f>375*8</f>
        <v>3000</v>
      </c>
      <c r="H224" s="48"/>
      <c r="I224" s="48"/>
      <c r="J224" s="49">
        <f>SUM(H223)</f>
        <v>8</v>
      </c>
      <c r="K224" s="28"/>
      <c r="L224" s="12" t="s">
        <v>99</v>
      </c>
      <c r="M224" s="37">
        <v>62131</v>
      </c>
      <c r="N224" s="37">
        <v>22249</v>
      </c>
      <c r="O224" s="10"/>
      <c r="P224" s="18"/>
      <c r="Q224" s="11"/>
      <c r="R224" s="18">
        <v>5064</v>
      </c>
      <c r="S224" s="18">
        <v>227</v>
      </c>
      <c r="T224" s="10"/>
      <c r="U224" s="18"/>
      <c r="V224" s="11"/>
      <c r="W224" s="28"/>
      <c r="AA224" s="28"/>
      <c r="AB224" s="67"/>
      <c r="AC224" s="42"/>
      <c r="AD224" s="40"/>
      <c r="AE224" s="28"/>
      <c r="AF224" s="28"/>
      <c r="AG224" s="28"/>
      <c r="AH224" s="42"/>
      <c r="AI224" s="40"/>
      <c r="AJ224" s="28"/>
      <c r="AK224" s="42"/>
      <c r="AL224" s="54" t="s">
        <v>558</v>
      </c>
      <c r="AM224" s="40"/>
      <c r="AN224" s="28"/>
      <c r="AP224" s="36" t="s">
        <v>67</v>
      </c>
      <c r="AQ224" s="10">
        <v>106</v>
      </c>
      <c r="AR224" s="18">
        <v>48</v>
      </c>
      <c r="AS224" s="42"/>
      <c r="AT224" s="11"/>
      <c r="AU224" s="18"/>
      <c r="AV224" s="18"/>
      <c r="AW224" s="18"/>
      <c r="AX224" s="18"/>
      <c r="AY224" s="11"/>
      <c r="AZ224" s="28"/>
      <c r="BA224" s="28"/>
      <c r="BB224" s="52" t="s">
        <v>113</v>
      </c>
      <c r="BC224" s="42">
        <v>666</v>
      </c>
      <c r="BD224" s="85">
        <v>610</v>
      </c>
      <c r="BE224" s="37"/>
      <c r="BF224" s="18"/>
      <c r="BG224" s="54"/>
      <c r="BH224" s="52"/>
      <c r="BI224" s="40"/>
      <c r="BJ224" s="67"/>
      <c r="BK224" s="34" t="s">
        <v>130</v>
      </c>
      <c r="BL224" s="40"/>
    </row>
    <row r="225" spans="1:65" ht="15" thickBot="1" x14ac:dyDescent="0.35">
      <c r="A225" s="32" t="s">
        <v>93</v>
      </c>
      <c r="B225" s="33">
        <v>3747</v>
      </c>
      <c r="C225" s="35">
        <v>4126</v>
      </c>
      <c r="D225" s="33"/>
      <c r="E225" s="34"/>
      <c r="F225" s="34"/>
      <c r="G225" s="32">
        <v>4580</v>
      </c>
      <c r="H225" s="33" t="s">
        <v>118</v>
      </c>
      <c r="I225" s="34"/>
      <c r="J225" s="35"/>
      <c r="K225" s="28"/>
      <c r="L225" s="12" t="s">
        <v>120</v>
      </c>
      <c r="M225" s="37">
        <v>7177</v>
      </c>
      <c r="N225" s="37">
        <v>67409</v>
      </c>
      <c r="O225" s="10"/>
      <c r="P225" s="18"/>
      <c r="Q225" s="11"/>
      <c r="R225" s="18">
        <v>486</v>
      </c>
      <c r="S225" s="18">
        <v>0</v>
      </c>
      <c r="T225" s="10"/>
      <c r="U225" s="18"/>
      <c r="V225" s="11"/>
      <c r="W225" s="28"/>
      <c r="AA225" s="28"/>
      <c r="AB225" s="36"/>
      <c r="AC225" s="10"/>
      <c r="AD225" s="11"/>
      <c r="AE225" s="18"/>
      <c r="AF225" s="18"/>
      <c r="AG225" s="18"/>
      <c r="AH225" s="10"/>
      <c r="AI225" s="11"/>
      <c r="AJ225" s="18"/>
      <c r="AK225" s="10"/>
      <c r="AL225" s="37" t="s">
        <v>302</v>
      </c>
      <c r="AM225" s="11"/>
      <c r="AN225" s="28"/>
      <c r="AP225" s="13" t="s">
        <v>84</v>
      </c>
      <c r="AQ225" s="13">
        <f>SUM(AQ213:AQ224)</f>
        <v>311</v>
      </c>
      <c r="AR225" s="27">
        <f>SUM(AR213:AR224)</f>
        <v>194</v>
      </c>
      <c r="AS225" s="47"/>
      <c r="AT225" s="26">
        <f>SUM(AT217:AT224)</f>
        <v>0</v>
      </c>
      <c r="AU225" s="27"/>
      <c r="AV225" s="27"/>
      <c r="AW225" s="27"/>
      <c r="AX225" s="27"/>
      <c r="AY225" s="26">
        <f>SUM(AV217:AV219)</f>
        <v>85</v>
      </c>
      <c r="AZ225" s="28"/>
      <c r="BA225" s="28"/>
      <c r="BB225" s="42" t="s">
        <v>475</v>
      </c>
      <c r="BC225" s="67">
        <v>0</v>
      </c>
      <c r="BD225" s="85">
        <v>0</v>
      </c>
      <c r="BE225" s="28"/>
      <c r="BF225" s="18"/>
      <c r="BG225" s="28"/>
      <c r="BH225" s="52"/>
      <c r="BI225" s="86"/>
      <c r="BJ225" s="52">
        <v>50</v>
      </c>
      <c r="BK225" s="43" t="s">
        <v>73</v>
      </c>
      <c r="BL225" s="40"/>
      <c r="BM225" t="s">
        <v>6</v>
      </c>
    </row>
    <row r="226" spans="1:65" ht="15" thickBot="1" x14ac:dyDescent="0.35">
      <c r="A226" s="41" t="s">
        <v>120</v>
      </c>
      <c r="B226" s="42">
        <v>3775</v>
      </c>
      <c r="C226" s="40">
        <v>4318</v>
      </c>
      <c r="D226" s="42"/>
      <c r="E226" s="107" t="s">
        <v>60</v>
      </c>
      <c r="F226" s="28"/>
      <c r="G226" s="41">
        <v>4550</v>
      </c>
      <c r="H226" s="42">
        <v>60</v>
      </c>
      <c r="I226" s="28" t="s">
        <v>101</v>
      </c>
      <c r="J226" s="40"/>
      <c r="K226" s="28"/>
      <c r="L226" s="12" t="s">
        <v>84</v>
      </c>
      <c r="M226" s="18">
        <f>SUM(M223:M225)</f>
        <v>69308</v>
      </c>
      <c r="N226" s="18">
        <f>SUM(N223:N225)</f>
        <v>89658</v>
      </c>
      <c r="O226" s="10">
        <v>0</v>
      </c>
      <c r="P226" s="18">
        <v>0</v>
      </c>
      <c r="Q226" s="11">
        <v>0</v>
      </c>
      <c r="R226" s="18">
        <f>SUM(R223:R225)</f>
        <v>5550</v>
      </c>
      <c r="S226" s="18">
        <f>SUM(S223:S225)</f>
        <v>227</v>
      </c>
      <c r="T226" s="10"/>
      <c r="U226" s="18"/>
      <c r="V226" s="11"/>
      <c r="W226" s="28"/>
      <c r="AA226" s="28"/>
      <c r="AB226" s="42"/>
      <c r="AC226" s="42"/>
      <c r="AD226" s="40"/>
      <c r="AE226" s="28"/>
      <c r="AF226" s="28"/>
      <c r="AG226" s="28"/>
      <c r="AH226" s="42"/>
      <c r="AI226" s="40"/>
      <c r="AJ226" s="28"/>
      <c r="AK226" s="42">
        <v>1</v>
      </c>
      <c r="AL226" s="28" t="s">
        <v>124</v>
      </c>
      <c r="AM226" s="40"/>
      <c r="AN226" s="28"/>
      <c r="AP226" s="32"/>
      <c r="AQ226" s="53"/>
      <c r="AR226" s="97"/>
      <c r="AS226" s="33"/>
      <c r="AT226" s="7"/>
      <c r="AU226" s="6"/>
      <c r="AV226" s="8"/>
      <c r="AW226" s="31"/>
      <c r="AX226" s="8"/>
      <c r="AY226" s="7"/>
      <c r="AZ226" s="28"/>
      <c r="BA226" s="28"/>
      <c r="BB226" s="59" t="s">
        <v>84</v>
      </c>
      <c r="BC226" s="13">
        <f>SUM(BC224:BC225)</f>
        <v>666</v>
      </c>
      <c r="BD226" s="60">
        <f>SUM(BD224:BD225)</f>
        <v>610</v>
      </c>
      <c r="BE226" s="81">
        <v>0</v>
      </c>
      <c r="BF226" s="27">
        <v>0</v>
      </c>
      <c r="BG226" s="27">
        <v>0</v>
      </c>
      <c r="BH226" s="13">
        <v>0</v>
      </c>
      <c r="BI226" s="26">
        <v>0</v>
      </c>
      <c r="BJ226" s="13"/>
      <c r="BK226" s="43"/>
      <c r="BL226" s="26">
        <f>SUM(BJ224:BJ225)</f>
        <v>50</v>
      </c>
    </row>
    <row r="227" spans="1:65" ht="15" thickBot="1" x14ac:dyDescent="0.35">
      <c r="A227" s="46" t="s">
        <v>84</v>
      </c>
      <c r="B227" s="47">
        <f>SUM(B225:B226)</f>
        <v>7522</v>
      </c>
      <c r="C227" s="49">
        <f>SUM(C225:C226)</f>
        <v>8444</v>
      </c>
      <c r="D227" s="47"/>
      <c r="E227" s="48"/>
      <c r="F227" s="48"/>
      <c r="G227" s="46">
        <f>SUM(G225:G226)</f>
        <v>9130</v>
      </c>
      <c r="H227" s="47"/>
      <c r="I227" s="48" t="s">
        <v>127</v>
      </c>
      <c r="J227" s="49">
        <f>SUM(H226:H227)</f>
        <v>60</v>
      </c>
      <c r="K227" s="28"/>
      <c r="L227" s="17"/>
      <c r="M227" s="27"/>
      <c r="N227" s="27"/>
      <c r="O227" s="13"/>
      <c r="P227" s="27"/>
      <c r="Q227" s="26"/>
      <c r="R227" s="27"/>
      <c r="S227" s="27"/>
      <c r="T227" s="13"/>
      <c r="U227" s="27"/>
      <c r="V227" s="26"/>
      <c r="W227" s="28"/>
      <c r="AA227" s="28"/>
      <c r="AB227" s="47"/>
      <c r="AC227" s="47"/>
      <c r="AD227" s="49"/>
      <c r="AE227" s="48"/>
      <c r="AF227" s="48"/>
      <c r="AG227" s="48"/>
      <c r="AH227" s="47"/>
      <c r="AI227" s="49"/>
      <c r="AJ227" s="48"/>
      <c r="AK227" s="165"/>
      <c r="AL227" s="48"/>
      <c r="AM227" s="49"/>
      <c r="AN227" s="28"/>
      <c r="AP227" s="62"/>
      <c r="AQ227" s="72"/>
      <c r="AR227" s="73"/>
      <c r="AS227" s="47"/>
      <c r="AT227" s="49"/>
      <c r="AU227" s="47"/>
      <c r="AV227" s="48"/>
      <c r="AW227" s="48"/>
      <c r="AX227" s="48"/>
      <c r="AY227" s="49"/>
      <c r="BA227" s="28"/>
      <c r="BB227" s="88" t="s">
        <v>158</v>
      </c>
      <c r="BC227" s="33">
        <v>16</v>
      </c>
      <c r="BD227" s="34">
        <v>32</v>
      </c>
      <c r="BE227" s="152"/>
      <c r="BF227" s="89"/>
      <c r="BG227" s="66"/>
      <c r="BH227" s="8"/>
      <c r="BI227" s="35"/>
      <c r="BJ227" s="34" t="s">
        <v>140</v>
      </c>
      <c r="BK227" s="34"/>
      <c r="BL227" s="35"/>
    </row>
    <row r="228" spans="1:65" x14ac:dyDescent="0.3">
      <c r="A228" s="41" t="s">
        <v>88</v>
      </c>
      <c r="B228" s="42">
        <v>387</v>
      </c>
      <c r="C228" s="40">
        <v>427</v>
      </c>
      <c r="D228" s="28"/>
      <c r="E228" s="45">
        <v>0</v>
      </c>
      <c r="F228" s="40"/>
      <c r="G228" s="40">
        <v>1216</v>
      </c>
      <c r="H228" s="28" t="s">
        <v>131</v>
      </c>
      <c r="J228" s="40"/>
      <c r="K228" s="28"/>
      <c r="L228" s="12" t="s">
        <v>105</v>
      </c>
      <c r="M228" s="34">
        <v>1363</v>
      </c>
      <c r="N228" s="34">
        <v>935</v>
      </c>
      <c r="O228" s="33" t="s">
        <v>6</v>
      </c>
      <c r="P228" s="34"/>
      <c r="Q228" s="35"/>
      <c r="R228" s="34">
        <v>38</v>
      </c>
      <c r="S228" s="34">
        <v>9</v>
      </c>
      <c r="T228" s="33"/>
      <c r="U228" s="34"/>
      <c r="V228" s="35"/>
      <c r="W228" s="28"/>
      <c r="AA228" s="28"/>
      <c r="AB228" s="32" t="s">
        <v>97</v>
      </c>
      <c r="AC228" s="28">
        <v>166</v>
      </c>
      <c r="AD228" s="28">
        <v>138</v>
      </c>
      <c r="AE228" s="33"/>
      <c r="AF228" s="34"/>
      <c r="AG228" s="34"/>
      <c r="AH228" s="33"/>
      <c r="AI228" s="35"/>
      <c r="AJ228" s="35"/>
      <c r="AK228" s="33"/>
      <c r="AL228" s="34"/>
      <c r="AM228" s="35"/>
      <c r="AN228" s="28"/>
      <c r="AP228" s="67" t="s">
        <v>63</v>
      </c>
      <c r="AQ228" s="33">
        <v>3</v>
      </c>
      <c r="AR228" s="35">
        <v>3</v>
      </c>
      <c r="AU228" s="33"/>
      <c r="AV228" s="34"/>
      <c r="AW228" s="34"/>
      <c r="AX228" s="34"/>
      <c r="AY228" s="35"/>
      <c r="AZ228" s="28"/>
      <c r="BA228" s="28"/>
      <c r="BB228" s="42" t="s">
        <v>174</v>
      </c>
      <c r="BC228" s="42">
        <v>6</v>
      </c>
      <c r="BD228" s="43">
        <v>10</v>
      </c>
      <c r="BE228" s="42"/>
      <c r="BF228" s="28"/>
      <c r="BG228" s="40"/>
      <c r="BH228" s="28"/>
      <c r="BI228" s="40"/>
      <c r="BJ228" s="28"/>
      <c r="BK228" s="28"/>
      <c r="BL228" s="40"/>
    </row>
    <row r="229" spans="1:65" x14ac:dyDescent="0.3">
      <c r="A229" s="41" t="s">
        <v>102</v>
      </c>
      <c r="B229" s="42">
        <v>355</v>
      </c>
      <c r="C229" s="85">
        <v>461</v>
      </c>
      <c r="D229" s="28"/>
      <c r="E229" s="45">
        <v>0</v>
      </c>
      <c r="F229" s="40"/>
      <c r="G229" s="40">
        <v>1216</v>
      </c>
      <c r="H229" s="43">
        <v>9</v>
      </c>
      <c r="I229" s="28" t="s">
        <v>134</v>
      </c>
      <c r="J229" s="40"/>
      <c r="K229" s="28"/>
      <c r="L229" s="44" t="s">
        <v>99</v>
      </c>
      <c r="M229" s="18">
        <v>62</v>
      </c>
      <c r="N229" s="18">
        <v>0</v>
      </c>
      <c r="O229" s="10"/>
      <c r="P229" s="18"/>
      <c r="Q229" s="11"/>
      <c r="R229" s="18">
        <v>0</v>
      </c>
      <c r="S229" s="18">
        <v>0</v>
      </c>
      <c r="T229" s="10" t="s">
        <v>135</v>
      </c>
      <c r="U229" s="18"/>
      <c r="V229" s="11"/>
      <c r="W229" s="28"/>
      <c r="AA229" s="28"/>
      <c r="AB229" s="41" t="s">
        <v>89</v>
      </c>
      <c r="AC229" s="28">
        <v>484</v>
      </c>
      <c r="AD229" s="28">
        <v>438</v>
      </c>
      <c r="AE229" s="42"/>
      <c r="AF229" s="28"/>
      <c r="AG229" s="28"/>
      <c r="AH229" s="42"/>
      <c r="AI229" s="40"/>
      <c r="AJ229" s="40"/>
      <c r="AK229" s="42" t="s">
        <v>136</v>
      </c>
      <c r="AL229" s="28"/>
      <c r="AM229" s="40"/>
      <c r="AN229" s="28"/>
      <c r="AP229" s="67" t="s">
        <v>716</v>
      </c>
      <c r="AQ229" s="42">
        <v>0</v>
      </c>
      <c r="AR229" s="40">
        <v>0</v>
      </c>
      <c r="AU229" s="42"/>
      <c r="AV229" s="28"/>
      <c r="AW229" s="28"/>
      <c r="AX229" s="28"/>
      <c r="AY229" s="40"/>
      <c r="AZ229" s="28"/>
      <c r="BA229" s="28"/>
      <c r="BB229" s="153" t="s">
        <v>214</v>
      </c>
      <c r="BC229" s="42">
        <v>5</v>
      </c>
      <c r="BD229" s="43">
        <v>5</v>
      </c>
      <c r="BE229" s="42"/>
      <c r="BF229" s="28"/>
      <c r="BG229" s="40"/>
      <c r="BH229" s="28"/>
      <c r="BI229" s="40"/>
      <c r="BJ229" s="28"/>
      <c r="BK229" s="28"/>
      <c r="BL229" s="40"/>
    </row>
    <row r="230" spans="1:65" ht="15" thickBot="1" x14ac:dyDescent="0.35">
      <c r="A230" s="87" t="s">
        <v>84</v>
      </c>
      <c r="B230" s="59">
        <f>SUM(B228:B229)</f>
        <v>742</v>
      </c>
      <c r="C230" s="26">
        <f>SUM(C228:C229)</f>
        <v>888</v>
      </c>
      <c r="D230" s="27"/>
      <c r="E230" s="16">
        <f>SUM(E226:E229)</f>
        <v>0</v>
      </c>
      <c r="F230" s="26"/>
      <c r="G230" s="49">
        <f>SUM(G228:G229)</f>
        <v>2432</v>
      </c>
      <c r="H230" s="48"/>
      <c r="I230" s="48"/>
      <c r="J230" s="49">
        <f>SUM(H228:H229)</f>
        <v>9</v>
      </c>
      <c r="K230" s="28"/>
      <c r="L230" s="12"/>
      <c r="M230" s="18"/>
      <c r="N230" s="18"/>
      <c r="O230" s="10"/>
      <c r="P230" s="18"/>
      <c r="Q230" s="11"/>
      <c r="R230" s="18"/>
      <c r="S230" s="18"/>
      <c r="T230" s="10"/>
      <c r="U230" s="18"/>
      <c r="V230" s="11"/>
      <c r="W230" s="28"/>
      <c r="AA230" s="28"/>
      <c r="AB230" s="44" t="s">
        <v>137</v>
      </c>
      <c r="AC230" s="18">
        <v>209</v>
      </c>
      <c r="AD230" s="18">
        <v>238</v>
      </c>
      <c r="AE230" s="10"/>
      <c r="AF230" s="18"/>
      <c r="AG230" s="18"/>
      <c r="AH230" s="52"/>
      <c r="AI230" s="85"/>
      <c r="AJ230" s="40"/>
      <c r="AK230" s="84"/>
      <c r="AL230" s="37"/>
      <c r="AM230" s="40"/>
      <c r="AN230" s="28"/>
      <c r="AP230" s="52" t="s">
        <v>56</v>
      </c>
      <c r="AQ230" s="52">
        <v>0</v>
      </c>
      <c r="AR230" s="85">
        <v>1</v>
      </c>
      <c r="AS230" s="28"/>
      <c r="AT230" s="28"/>
      <c r="AU230" s="42"/>
      <c r="AV230" s="28" t="s">
        <v>173</v>
      </c>
      <c r="AW230" s="28"/>
      <c r="AX230" s="28"/>
      <c r="AY230" s="40"/>
      <c r="AZ230" s="28"/>
      <c r="BA230" s="28"/>
      <c r="BB230" s="92" t="s">
        <v>113</v>
      </c>
      <c r="BC230" s="67">
        <f>4+16+3+32+1+3</f>
        <v>59</v>
      </c>
      <c r="BD230" s="43">
        <f>4+2+22+1+1+16+3+21</f>
        <v>70</v>
      </c>
      <c r="BE230" s="52"/>
      <c r="BF230" s="54"/>
      <c r="BG230" s="85"/>
      <c r="BH230" s="18"/>
      <c r="BI230" s="40"/>
      <c r="BJ230" s="18" t="s">
        <v>142</v>
      </c>
      <c r="BK230" s="18"/>
      <c r="BL230" s="39" t="s">
        <v>730</v>
      </c>
    </row>
    <row r="231" spans="1:65" x14ac:dyDescent="0.3">
      <c r="A231" s="36" t="s">
        <v>93</v>
      </c>
      <c r="B231" s="42">
        <v>7551</v>
      </c>
      <c r="C231" s="90">
        <v>8296</v>
      </c>
      <c r="D231" s="3"/>
      <c r="E231" s="91" t="s">
        <v>60</v>
      </c>
      <c r="F231" s="18"/>
      <c r="G231" s="44">
        <v>9681</v>
      </c>
      <c r="H231" s="10" t="s">
        <v>116</v>
      </c>
      <c r="I231" s="18"/>
      <c r="J231" s="11"/>
      <c r="K231" s="28"/>
      <c r="L231" s="12" t="s">
        <v>84</v>
      </c>
      <c r="M231" s="18">
        <f>SUM(M228:M230)</f>
        <v>1425</v>
      </c>
      <c r="N231" s="18">
        <f>SUM(N228:N230)</f>
        <v>935</v>
      </c>
      <c r="O231" s="10">
        <v>0</v>
      </c>
      <c r="P231" s="18">
        <v>0</v>
      </c>
      <c r="Q231" s="11">
        <v>0</v>
      </c>
      <c r="R231" s="18">
        <f>SUM(R228:R230)</f>
        <v>38</v>
      </c>
      <c r="S231" s="18">
        <f>SUM(S228:S230)</f>
        <v>9</v>
      </c>
      <c r="T231" s="10"/>
      <c r="U231" s="18"/>
      <c r="V231" s="11"/>
      <c r="W231" s="28"/>
      <c r="AA231" s="28"/>
      <c r="AB231" s="41" t="s">
        <v>84</v>
      </c>
      <c r="AC231" s="28">
        <f>SUM(AC228:AC230)</f>
        <v>859</v>
      </c>
      <c r="AD231" s="28">
        <f>SUM(AD228:AD230)</f>
        <v>814</v>
      </c>
      <c r="AE231" s="42">
        <v>0</v>
      </c>
      <c r="AF231" s="28">
        <v>0</v>
      </c>
      <c r="AG231" s="28">
        <v>0</v>
      </c>
      <c r="AH231" s="42">
        <v>0</v>
      </c>
      <c r="AI231" s="40">
        <v>0</v>
      </c>
      <c r="AJ231" s="40">
        <v>0</v>
      </c>
      <c r="AK231" s="67">
        <v>23</v>
      </c>
      <c r="AL231" s="28" t="s">
        <v>141</v>
      </c>
      <c r="AM231" s="40"/>
      <c r="AN231" s="28"/>
      <c r="AP231" s="52" t="s">
        <v>67</v>
      </c>
      <c r="AQ231" s="52">
        <v>5</v>
      </c>
      <c r="AR231" s="56">
        <v>5</v>
      </c>
      <c r="AU231" s="42"/>
      <c r="AV231" s="28"/>
      <c r="AW231" s="28" t="s">
        <v>213</v>
      </c>
      <c r="AX231" s="28"/>
      <c r="AY231" s="40"/>
      <c r="AZ231" s="28"/>
      <c r="BA231" s="28"/>
      <c r="BB231" s="42" t="s">
        <v>108</v>
      </c>
      <c r="BC231" s="67">
        <v>19</v>
      </c>
      <c r="BD231" s="43">
        <v>19</v>
      </c>
      <c r="BE231" s="52"/>
      <c r="BF231" s="54"/>
      <c r="BG231" s="85"/>
      <c r="BH231" s="18"/>
      <c r="BI231" s="40"/>
      <c r="BJ231" s="154" t="s">
        <v>146</v>
      </c>
      <c r="BK231" s="28"/>
      <c r="BL231" s="94" t="s">
        <v>591</v>
      </c>
    </row>
    <row r="232" spans="1:65" ht="15" thickBot="1" x14ac:dyDescent="0.35">
      <c r="A232" s="10" t="s">
        <v>99</v>
      </c>
      <c r="B232" s="42">
        <v>11599</v>
      </c>
      <c r="C232" s="40">
        <v>14317</v>
      </c>
      <c r="D232" s="3"/>
      <c r="E232" s="91" t="s">
        <v>60</v>
      </c>
      <c r="F232" s="18"/>
      <c r="G232" s="12">
        <v>18121</v>
      </c>
      <c r="H232" s="10">
        <v>60</v>
      </c>
      <c r="I232" s="37" t="s">
        <v>144</v>
      </c>
      <c r="J232" s="11"/>
      <c r="K232" s="28"/>
      <c r="L232" s="12"/>
      <c r="M232" s="18"/>
      <c r="N232" s="18"/>
      <c r="O232" s="10"/>
      <c r="P232" s="18"/>
      <c r="Q232" s="11"/>
      <c r="R232" s="18"/>
      <c r="S232" s="18"/>
      <c r="T232" s="10"/>
      <c r="U232" s="18"/>
      <c r="V232" s="11"/>
      <c r="W232" s="28"/>
      <c r="AA232" s="28"/>
      <c r="AB232" s="46"/>
      <c r="AC232" s="48"/>
      <c r="AD232" s="48"/>
      <c r="AE232" s="47"/>
      <c r="AF232" s="48"/>
      <c r="AG232" s="48"/>
      <c r="AH232" s="47"/>
      <c r="AI232" s="49"/>
      <c r="AJ232" s="49"/>
      <c r="AK232" s="47"/>
      <c r="AL232" s="48" t="s">
        <v>145</v>
      </c>
      <c r="AM232" s="49"/>
      <c r="AN232" s="28"/>
      <c r="AP232" s="10" t="s">
        <v>78</v>
      </c>
      <c r="AQ232" s="52">
        <v>0</v>
      </c>
      <c r="AR232" s="85">
        <v>0</v>
      </c>
      <c r="AS232" s="28"/>
      <c r="AT232" s="28"/>
      <c r="AU232" s="42"/>
      <c r="AV232" s="28">
        <v>11</v>
      </c>
      <c r="AW232" s="28" t="s">
        <v>183</v>
      </c>
      <c r="AX232" s="28"/>
      <c r="AY232" s="40"/>
      <c r="AZ232" s="28"/>
      <c r="BA232" s="28" t="s">
        <v>6</v>
      </c>
      <c r="BB232" s="127" t="s">
        <v>64</v>
      </c>
      <c r="BC232" s="67">
        <v>0</v>
      </c>
      <c r="BD232" s="43">
        <v>2</v>
      </c>
      <c r="BE232" s="42"/>
      <c r="BF232" s="28"/>
      <c r="BG232" s="40"/>
      <c r="BH232" s="28"/>
      <c r="BI232" s="40"/>
      <c r="BJ232" s="28"/>
      <c r="BK232" s="28"/>
      <c r="BL232" s="40"/>
    </row>
    <row r="233" spans="1:65" x14ac:dyDescent="0.3">
      <c r="A233" s="10" t="s">
        <v>120</v>
      </c>
      <c r="B233" s="42">
        <v>5385</v>
      </c>
      <c r="C233" s="40">
        <v>5877</v>
      </c>
      <c r="D233" s="3"/>
      <c r="E233" s="91" t="s">
        <v>60</v>
      </c>
      <c r="F233" s="18"/>
      <c r="G233" s="12">
        <v>6713</v>
      </c>
      <c r="H233" s="84">
        <v>57</v>
      </c>
      <c r="I233" s="37" t="s">
        <v>148</v>
      </c>
      <c r="J233" s="11"/>
      <c r="K233" s="28"/>
      <c r="L233" s="12"/>
      <c r="M233" s="18"/>
      <c r="N233" s="18"/>
      <c r="O233" s="10"/>
      <c r="P233" s="18"/>
      <c r="Q233" s="11"/>
      <c r="R233" s="18"/>
      <c r="S233" s="18"/>
      <c r="T233" s="10"/>
      <c r="U233" s="18"/>
      <c r="V233" s="11"/>
      <c r="W233" s="28"/>
      <c r="AA233" s="28"/>
      <c r="AB233" s="42"/>
      <c r="AC233" s="42"/>
      <c r="AD233" s="40"/>
      <c r="AE233" s="28"/>
      <c r="AF233" s="28"/>
      <c r="AG233" s="28"/>
      <c r="AH233" s="42"/>
      <c r="AI233" s="28"/>
      <c r="AJ233" s="41"/>
      <c r="AK233" s="28" t="s">
        <v>149</v>
      </c>
      <c r="AL233" s="28"/>
      <c r="AM233" s="40"/>
      <c r="AN233" s="28" t="s">
        <v>6</v>
      </c>
      <c r="AO233" s="95"/>
      <c r="AP233" s="52" t="s">
        <v>115</v>
      </c>
      <c r="AQ233" s="52">
        <v>0</v>
      </c>
      <c r="AR233" s="85">
        <v>0</v>
      </c>
      <c r="AS233" s="28"/>
      <c r="AT233" s="28"/>
      <c r="AU233" s="42"/>
      <c r="AV233" s="28" t="s">
        <v>6</v>
      </c>
      <c r="AW233" s="28"/>
      <c r="AX233" s="28"/>
      <c r="AY233" s="40"/>
      <c r="AZ233" s="28"/>
      <c r="BA233" s="28"/>
      <c r="BB233" s="52" t="s">
        <v>133</v>
      </c>
      <c r="BC233" s="67">
        <f>24+3</f>
        <v>27</v>
      </c>
      <c r="BD233" s="43">
        <v>27</v>
      </c>
      <c r="BE233" s="52" t="s">
        <v>150</v>
      </c>
      <c r="BF233" s="54"/>
      <c r="BG233" s="85"/>
      <c r="BH233" s="18"/>
      <c r="BI233" s="40"/>
      <c r="BJ233" s="28" t="s">
        <v>151</v>
      </c>
      <c r="BK233" s="28"/>
      <c r="BL233" s="96"/>
    </row>
    <row r="234" spans="1:65" ht="15" thickBot="1" x14ac:dyDescent="0.35">
      <c r="A234" s="10" t="s">
        <v>84</v>
      </c>
      <c r="B234" s="42">
        <f>SUM(B231:B233)</f>
        <v>24535</v>
      </c>
      <c r="C234" s="40">
        <f>SUM(C231:C233)</f>
        <v>28490</v>
      </c>
      <c r="D234" s="3"/>
      <c r="E234" s="91" t="s">
        <v>60</v>
      </c>
      <c r="F234" s="18"/>
      <c r="G234" s="12">
        <f>SUM(G231:G233)</f>
        <v>34515</v>
      </c>
      <c r="H234" s="42">
        <v>63</v>
      </c>
      <c r="I234" s="54" t="s">
        <v>152</v>
      </c>
      <c r="J234" s="40"/>
      <c r="K234" s="28"/>
      <c r="L234" s="44"/>
      <c r="M234" s="18"/>
      <c r="N234" s="18"/>
      <c r="O234" s="10"/>
      <c r="P234" s="18"/>
      <c r="Q234" s="11"/>
      <c r="R234" s="18"/>
      <c r="S234" s="18"/>
      <c r="T234" s="10"/>
      <c r="U234" s="18"/>
      <c r="V234" s="11"/>
      <c r="W234" s="28"/>
      <c r="Y234" t="s">
        <v>6</v>
      </c>
      <c r="AB234" s="36" t="s">
        <v>99</v>
      </c>
      <c r="AC234" s="10">
        <v>0</v>
      </c>
      <c r="AD234" s="11">
        <v>0</v>
      </c>
      <c r="AE234" s="18">
        <v>0</v>
      </c>
      <c r="AF234" s="18">
        <v>0</v>
      </c>
      <c r="AG234" s="18">
        <v>0</v>
      </c>
      <c r="AH234" s="52">
        <v>59338</v>
      </c>
      <c r="AI234" s="45">
        <v>849</v>
      </c>
      <c r="AJ234" s="41">
        <v>0</v>
      </c>
      <c r="AK234" s="45">
        <v>3</v>
      </c>
      <c r="AL234" s="37" t="s">
        <v>153</v>
      </c>
      <c r="AM234" s="40"/>
      <c r="AP234" s="52" t="s">
        <v>72</v>
      </c>
      <c r="AQ234" s="52">
        <v>0</v>
      </c>
      <c r="AR234" s="85">
        <v>0</v>
      </c>
      <c r="AU234" s="42"/>
      <c r="AV234" s="28"/>
      <c r="AW234" s="28"/>
      <c r="AX234" s="28"/>
      <c r="AY234" s="40"/>
      <c r="AZ234" s="28"/>
      <c r="BA234" s="28"/>
      <c r="BB234" s="52" t="s">
        <v>85</v>
      </c>
      <c r="BC234" s="42">
        <f>8+7</f>
        <v>15</v>
      </c>
      <c r="BD234" s="43">
        <v>7</v>
      </c>
      <c r="BE234" s="42"/>
      <c r="BF234" s="54"/>
      <c r="BG234" s="40"/>
      <c r="BH234" s="45"/>
      <c r="BI234" s="56"/>
      <c r="BJ234" s="43" t="s">
        <v>731</v>
      </c>
      <c r="BK234" s="28" t="s">
        <v>732</v>
      </c>
      <c r="BL234" s="40" t="s">
        <v>309</v>
      </c>
    </row>
    <row r="235" spans="1:65" ht="16.2" thickBot="1" x14ac:dyDescent="0.35">
      <c r="A235" s="13"/>
      <c r="B235" s="47"/>
      <c r="C235" s="49"/>
      <c r="D235" s="27"/>
      <c r="E235" s="27"/>
      <c r="F235" s="27"/>
      <c r="G235" s="17"/>
      <c r="H235" s="47"/>
      <c r="I235" s="27"/>
      <c r="J235" s="60">
        <f>SUM(H232:H234)</f>
        <v>180</v>
      </c>
      <c r="K235" s="28"/>
      <c r="L235" s="12"/>
      <c r="M235" s="18"/>
      <c r="N235" s="18"/>
      <c r="O235" s="10"/>
      <c r="P235" s="18"/>
      <c r="Q235" s="11"/>
      <c r="R235" s="18"/>
      <c r="S235" s="18"/>
      <c r="T235" s="10"/>
      <c r="U235" s="18"/>
      <c r="V235" s="11"/>
      <c r="W235" s="28"/>
      <c r="AB235" s="32"/>
      <c r="AC235" s="6"/>
      <c r="AD235" s="7"/>
      <c r="AE235" s="8"/>
      <c r="AF235" s="8"/>
      <c r="AG235" s="8"/>
      <c r="AH235" s="6"/>
      <c r="AI235" s="7"/>
      <c r="AJ235" s="8"/>
      <c r="AK235" s="29" t="s">
        <v>157</v>
      </c>
      <c r="AL235" s="8"/>
      <c r="AM235" s="7"/>
      <c r="AP235" s="52" t="s">
        <v>84</v>
      </c>
      <c r="AQ235" s="47">
        <f>SUM(AQ228:AQ234)</f>
        <v>8</v>
      </c>
      <c r="AR235" s="49">
        <f>SUM(AR228:AR234)</f>
        <v>9</v>
      </c>
      <c r="AS235" s="28"/>
      <c r="AT235" s="28"/>
      <c r="AU235" s="47"/>
      <c r="AV235" s="48"/>
      <c r="AW235" s="48"/>
      <c r="AX235" s="48"/>
      <c r="AY235" s="49">
        <f>SUM(AV232)</f>
        <v>11</v>
      </c>
      <c r="AZ235" s="28"/>
      <c r="BA235" s="28"/>
      <c r="BB235" s="151" t="s">
        <v>93</v>
      </c>
      <c r="BC235" s="36">
        <v>0</v>
      </c>
      <c r="BD235" s="37">
        <v>4</v>
      </c>
      <c r="BE235" s="10"/>
      <c r="BF235" s="18"/>
      <c r="BG235" s="11"/>
      <c r="BH235" s="18"/>
      <c r="BI235" s="11"/>
      <c r="BJ235" s="158" t="s">
        <v>322</v>
      </c>
      <c r="BK235" s="178" t="s">
        <v>733</v>
      </c>
      <c r="BL235" s="39" t="s">
        <v>455</v>
      </c>
    </row>
    <row r="236" spans="1:65" ht="15" thickBot="1" x14ac:dyDescent="0.35">
      <c r="A236" s="6" t="s">
        <v>105</v>
      </c>
      <c r="B236" s="6">
        <v>1254</v>
      </c>
      <c r="C236" s="7">
        <v>1333</v>
      </c>
      <c r="D236" s="8"/>
      <c r="E236" s="80">
        <v>866</v>
      </c>
      <c r="F236" s="66"/>
      <c r="G236" s="8">
        <v>3239</v>
      </c>
      <c r="H236" s="6" t="s">
        <v>162</v>
      </c>
      <c r="I236" s="8"/>
      <c r="J236" s="7"/>
      <c r="K236" s="28"/>
      <c r="L236" s="17"/>
      <c r="M236" s="27"/>
      <c r="N236" s="27"/>
      <c r="O236" s="13"/>
      <c r="P236" s="27"/>
      <c r="Q236" s="26"/>
      <c r="R236" s="27"/>
      <c r="S236" s="27"/>
      <c r="T236" s="13"/>
      <c r="U236" s="27"/>
      <c r="V236" s="26"/>
      <c r="W236" s="28"/>
      <c r="AB236" s="68" t="s">
        <v>99</v>
      </c>
      <c r="AC236" s="42">
        <v>0</v>
      </c>
      <c r="AD236" s="40">
        <v>0</v>
      </c>
      <c r="AE236">
        <v>0</v>
      </c>
      <c r="AF236">
        <v>0</v>
      </c>
      <c r="AG236">
        <v>0</v>
      </c>
      <c r="AH236" s="42">
        <v>196939</v>
      </c>
      <c r="AI236" s="40">
        <v>156066</v>
      </c>
      <c r="AJ236" s="43">
        <v>0</v>
      </c>
      <c r="AK236" s="42"/>
      <c r="AL236" s="54" t="s">
        <v>163</v>
      </c>
      <c r="AM236" s="40"/>
      <c r="AP236" s="32" t="s">
        <v>63</v>
      </c>
      <c r="AQ236" s="123">
        <v>3</v>
      </c>
      <c r="AR236" s="123">
        <v>3</v>
      </c>
      <c r="AS236" s="33"/>
      <c r="AT236" s="7"/>
      <c r="AU236" s="6"/>
      <c r="AV236" s="34" t="s">
        <v>140</v>
      </c>
      <c r="AW236" s="8"/>
      <c r="AX236" s="8"/>
      <c r="AY236" s="7"/>
      <c r="AZ236" s="28"/>
      <c r="BA236" s="28"/>
      <c r="BB236" s="42" t="s">
        <v>164</v>
      </c>
      <c r="BC236" s="42">
        <f>7+6</f>
        <v>13</v>
      </c>
      <c r="BD236" s="54">
        <v>11</v>
      </c>
      <c r="BE236" s="10"/>
      <c r="BF236" s="18"/>
      <c r="BG236" s="11"/>
      <c r="BH236" s="18"/>
      <c r="BI236" s="11"/>
      <c r="BJ236" s="158" t="s">
        <v>734</v>
      </c>
      <c r="BK236" s="178" t="s">
        <v>273</v>
      </c>
      <c r="BL236" s="39" t="s">
        <v>604</v>
      </c>
    </row>
    <row r="237" spans="1:65" ht="15" thickBot="1" x14ac:dyDescent="0.35">
      <c r="A237" s="36" t="s">
        <v>99</v>
      </c>
      <c r="B237" s="10">
        <v>943</v>
      </c>
      <c r="C237" s="11">
        <v>1209</v>
      </c>
      <c r="D237" s="18"/>
      <c r="E237" s="18">
        <v>1066</v>
      </c>
      <c r="F237" s="85"/>
      <c r="G237" s="18">
        <v>3239</v>
      </c>
      <c r="H237" s="42"/>
      <c r="I237" s="54"/>
      <c r="J237" s="11"/>
      <c r="L237" s="101" t="s">
        <v>84</v>
      </c>
      <c r="M237" s="102">
        <f>SUM(M231+M226+M221+M219+M215+M210)</f>
        <v>90523</v>
      </c>
      <c r="N237" s="102">
        <f>SUM(N231+N226+N221+N219+N215+N210)</f>
        <v>115449</v>
      </c>
      <c r="O237" s="103">
        <v>0</v>
      </c>
      <c r="P237" s="102">
        <v>0</v>
      </c>
      <c r="Q237" s="104">
        <v>0</v>
      </c>
      <c r="R237" s="102">
        <f>SUM(R231+R226+R221+R219+R210+R215)</f>
        <v>5588</v>
      </c>
      <c r="S237" s="102">
        <f>SUM(S231+S226+S219+S215+S210)</f>
        <v>236</v>
      </c>
      <c r="T237" s="105"/>
      <c r="U237" s="102"/>
      <c r="V237" s="106"/>
      <c r="AB237" s="44" t="s">
        <v>6</v>
      </c>
      <c r="AC237" s="10"/>
      <c r="AD237" s="11"/>
      <c r="AE237" s="18"/>
      <c r="AF237" s="18"/>
      <c r="AG237" s="18"/>
      <c r="AH237" s="10"/>
      <c r="AI237" s="11"/>
      <c r="AJ237" s="18"/>
      <c r="AK237" s="10">
        <v>14</v>
      </c>
      <c r="AL237" s="37" t="s">
        <v>153</v>
      </c>
      <c r="AM237" s="11"/>
      <c r="AP237" s="44" t="s">
        <v>78</v>
      </c>
      <c r="AQ237" s="37">
        <f>3+18+51</f>
        <v>72</v>
      </c>
      <c r="AR237" s="37">
        <f>14+5+5+1+6</f>
        <v>31</v>
      </c>
      <c r="AS237" s="42"/>
      <c r="AT237" s="11"/>
      <c r="AU237" s="10"/>
      <c r="AV237" s="37">
        <v>8</v>
      </c>
      <c r="AW237" s="37" t="s">
        <v>204</v>
      </c>
      <c r="AX237" s="18"/>
      <c r="AY237" s="11"/>
      <c r="AZ237" s="28"/>
      <c r="BA237" s="28"/>
      <c r="BB237" s="36" t="s">
        <v>169</v>
      </c>
      <c r="BC237" s="36">
        <f>4+5+2</f>
        <v>11</v>
      </c>
      <c r="BD237" s="37">
        <v>6</v>
      </c>
      <c r="BE237" s="10"/>
      <c r="BF237" s="18"/>
      <c r="BG237" s="11"/>
      <c r="BH237" s="18"/>
      <c r="BI237" s="11"/>
      <c r="BJ237" s="158" t="s">
        <v>546</v>
      </c>
      <c r="BK237" s="37" t="s">
        <v>735</v>
      </c>
      <c r="BL237" s="39" t="s">
        <v>736</v>
      </c>
    </row>
    <row r="238" spans="1:65" ht="15" thickBot="1" x14ac:dyDescent="0.35">
      <c r="A238" s="10"/>
      <c r="B238" s="10"/>
      <c r="C238" s="39"/>
      <c r="D238" s="18"/>
      <c r="E238" s="18"/>
      <c r="F238" s="85"/>
      <c r="G238" s="18"/>
      <c r="H238" s="42">
        <v>41</v>
      </c>
      <c r="I238" s="37" t="s">
        <v>101</v>
      </c>
      <c r="J238" s="11"/>
      <c r="AB238" s="46" t="s">
        <v>6</v>
      </c>
      <c r="AC238" s="47"/>
      <c r="AD238" s="49"/>
      <c r="AE238" s="48"/>
      <c r="AF238" s="48"/>
      <c r="AG238" s="48"/>
      <c r="AH238" s="47"/>
      <c r="AI238" s="49"/>
      <c r="AJ238" s="48"/>
      <c r="AK238" s="47"/>
      <c r="AL238" s="48"/>
      <c r="AM238" s="49"/>
      <c r="AP238" s="125" t="s">
        <v>209</v>
      </c>
      <c r="AQ238" s="54">
        <v>0</v>
      </c>
      <c r="AR238" s="54">
        <v>0</v>
      </c>
      <c r="AS238" s="42"/>
      <c r="AT238" s="40"/>
      <c r="AU238" s="42"/>
      <c r="AV238" s="28">
        <v>2</v>
      </c>
      <c r="AW238" s="28" t="s">
        <v>210</v>
      </c>
      <c r="AX238" s="28" t="s">
        <v>6</v>
      </c>
      <c r="AY238" s="40"/>
      <c r="AZ238" s="28"/>
      <c r="BA238" s="28"/>
      <c r="BB238" s="36" t="s">
        <v>99</v>
      </c>
      <c r="BC238" s="36">
        <v>0</v>
      </c>
      <c r="BD238" s="37">
        <v>3</v>
      </c>
      <c r="BE238" s="10"/>
      <c r="BF238" s="18"/>
      <c r="BG238" s="11"/>
      <c r="BH238" s="18"/>
      <c r="BI238" s="11"/>
      <c r="BJ238" s="179" t="s">
        <v>737</v>
      </c>
      <c r="BK238" s="37" t="s">
        <v>738</v>
      </c>
      <c r="BL238" s="39" t="s">
        <v>739</v>
      </c>
    </row>
    <row r="239" spans="1:65" ht="15" thickBot="1" x14ac:dyDescent="0.35">
      <c r="A239" s="13" t="s">
        <v>84</v>
      </c>
      <c r="B239" s="13">
        <f>SUM(B236:B238)</f>
        <v>2197</v>
      </c>
      <c r="C239" s="26">
        <f>SUM(C236:C238)</f>
        <v>2542</v>
      </c>
      <c r="D239" s="27"/>
      <c r="E239" s="27">
        <f>SUM(E236:E238)</f>
        <v>1932</v>
      </c>
      <c r="F239" s="26"/>
      <c r="G239" s="27">
        <f>SUM(G236:G238)</f>
        <v>6478</v>
      </c>
      <c r="H239" s="13"/>
      <c r="I239" s="81"/>
      <c r="J239" s="26">
        <f>SUM(H237:H238)</f>
        <v>41</v>
      </c>
      <c r="M239" s="115"/>
      <c r="AB239" s="6"/>
      <c r="AC239" s="6"/>
      <c r="AD239" s="7"/>
      <c r="AE239" s="8"/>
      <c r="AF239" s="8"/>
      <c r="AG239" s="8"/>
      <c r="AH239" s="6"/>
      <c r="AI239" s="7"/>
      <c r="AJ239" s="8"/>
      <c r="AK239" s="29"/>
      <c r="AL239" s="8"/>
      <c r="AM239" s="7"/>
      <c r="AN239" s="45"/>
      <c r="AP239" s="44" t="s">
        <v>168</v>
      </c>
      <c r="AQ239" s="54">
        <v>0</v>
      </c>
      <c r="AR239" s="54">
        <v>0</v>
      </c>
      <c r="AS239" s="42"/>
      <c r="AT239" s="11"/>
      <c r="AU239" s="10"/>
      <c r="AV239" s="37">
        <f>3+15+2</f>
        <v>20</v>
      </c>
      <c r="AW239" s="37" t="s">
        <v>213</v>
      </c>
      <c r="AX239" s="18" t="s">
        <v>6</v>
      </c>
      <c r="AY239" s="11"/>
      <c r="AZ239" s="28"/>
      <c r="BA239" s="28"/>
      <c r="BB239" s="150" t="s">
        <v>613</v>
      </c>
      <c r="BC239" s="36">
        <v>1</v>
      </c>
      <c r="BD239" s="37">
        <v>0</v>
      </c>
      <c r="BE239" s="10"/>
      <c r="BF239" s="37"/>
      <c r="BG239" s="11"/>
      <c r="BH239" s="18"/>
      <c r="BI239" s="11"/>
      <c r="BJ239" s="158" t="s">
        <v>415</v>
      </c>
      <c r="BK239" s="54" t="s">
        <v>448</v>
      </c>
      <c r="BL239" s="39" t="s">
        <v>740</v>
      </c>
    </row>
    <row r="240" spans="1:65" ht="15" thickBot="1" x14ac:dyDescent="0.35">
      <c r="A240" s="42" t="s">
        <v>181</v>
      </c>
      <c r="B240" s="42">
        <v>3228</v>
      </c>
      <c r="C240" s="40">
        <v>3977</v>
      </c>
      <c r="D240" s="28"/>
      <c r="E240" s="107" t="s">
        <v>60</v>
      </c>
      <c r="F240" s="43"/>
      <c r="G240" s="41">
        <v>4917</v>
      </c>
      <c r="H240" s="18" t="s">
        <v>182</v>
      </c>
      <c r="I240" s="28"/>
      <c r="J240" s="11"/>
      <c r="K240" s="43"/>
      <c r="M240" s="115"/>
      <c r="N240" s="115"/>
      <c r="O240" s="115"/>
      <c r="P240" s="115"/>
      <c r="Q240" s="115"/>
      <c r="R240" s="115"/>
      <c r="S240" s="115"/>
      <c r="AB240" s="36"/>
      <c r="AC240" s="10"/>
      <c r="AD240" s="11"/>
      <c r="AE240" s="18"/>
      <c r="AF240" s="18"/>
      <c r="AG240" s="18"/>
      <c r="AH240" s="36"/>
      <c r="AI240" s="11"/>
      <c r="AJ240" s="18"/>
      <c r="AK240" s="36"/>
      <c r="AL240" s="37"/>
      <c r="AM240" s="11"/>
      <c r="AN240" s="45"/>
      <c r="AP240" s="125" t="s">
        <v>81</v>
      </c>
      <c r="AQ240" s="54">
        <f>7+9</f>
        <v>16</v>
      </c>
      <c r="AR240" s="54">
        <f>4+5</f>
        <v>9</v>
      </c>
      <c r="AS240" s="42"/>
      <c r="AT240" s="40"/>
      <c r="AU240" s="42"/>
      <c r="AV240" s="54">
        <v>0</v>
      </c>
      <c r="AW240" s="128" t="s">
        <v>222</v>
      </c>
      <c r="AX240" s="28"/>
      <c r="AY240" s="40" t="s">
        <v>6</v>
      </c>
      <c r="AZ240" s="37"/>
      <c r="BA240" s="37"/>
      <c r="BB240" s="36" t="s">
        <v>200</v>
      </c>
      <c r="BC240" s="36">
        <v>7</v>
      </c>
      <c r="BD240" s="37">
        <v>0</v>
      </c>
      <c r="BE240" s="10"/>
      <c r="BF240" s="18"/>
      <c r="BG240" s="11"/>
      <c r="BH240" s="18"/>
      <c r="BI240" s="11"/>
      <c r="BJ240" s="37" t="s">
        <v>691</v>
      </c>
      <c r="BK240" s="37" t="s">
        <v>741</v>
      </c>
      <c r="BL240" s="180" t="s">
        <v>742</v>
      </c>
    </row>
    <row r="241" spans="1:64" ht="15" thickBot="1" x14ac:dyDescent="0.35">
      <c r="A241" s="42" t="s">
        <v>120</v>
      </c>
      <c r="B241" s="42">
        <v>470</v>
      </c>
      <c r="C241" s="40">
        <v>603</v>
      </c>
      <c r="D241" s="28"/>
      <c r="E241" s="107" t="s">
        <v>60</v>
      </c>
      <c r="F241" s="43"/>
      <c r="G241" s="68">
        <v>640</v>
      </c>
      <c r="H241" s="43">
        <v>4</v>
      </c>
      <c r="I241" s="28" t="s">
        <v>188</v>
      </c>
      <c r="J241" s="11"/>
      <c r="K241" s="28"/>
      <c r="M241" s="166"/>
      <c r="AA241" s="28"/>
      <c r="AB241" s="103" t="s">
        <v>84</v>
      </c>
      <c r="AC241" s="103">
        <f>SUM(AC240+AC236+AC234+AC231+AC224+AC226+AC222+AC218+AC215+AC212+AC213)</f>
        <v>2000</v>
      </c>
      <c r="AD241" s="104">
        <f>SUM(AD240+AD236+AD234+AD231+AD224+AD222+AD218+AD215+AD213+AD212)</f>
        <v>2067</v>
      </c>
      <c r="AE241" s="103">
        <v>0</v>
      </c>
      <c r="AF241" s="102">
        <v>0</v>
      </c>
      <c r="AG241" s="102">
        <v>0</v>
      </c>
      <c r="AH241" s="109">
        <f>SUM(AH240+AH236+AH234+AH231+AH228+AH226+AH222+AH218+AH215+AH213+AH212)</f>
        <v>256277</v>
      </c>
      <c r="AI241" s="110">
        <f>SUM(AI240+AI236+AI234+AI231+AI226+AI222+AI217+AI215+AI213+AI212)</f>
        <v>156915</v>
      </c>
      <c r="AJ241" s="110">
        <v>0</v>
      </c>
      <c r="AK241" s="111" t="s">
        <v>743</v>
      </c>
      <c r="AL241" s="111"/>
      <c r="AM241" s="104">
        <f>SUM(AK212:AK240)</f>
        <v>47</v>
      </c>
      <c r="AN241" s="45"/>
      <c r="AP241" s="125" t="s">
        <v>72</v>
      </c>
      <c r="AQ241" s="54">
        <f>9+6+3</f>
        <v>18</v>
      </c>
      <c r="AR241" s="45">
        <f>1+7+8+5+5</f>
        <v>26</v>
      </c>
      <c r="AS241" s="42"/>
      <c r="AT241" s="40"/>
      <c r="AU241" s="42"/>
      <c r="AV241" s="54">
        <v>1</v>
      </c>
      <c r="AW241" s="54" t="s">
        <v>216</v>
      </c>
      <c r="AX241" s="45"/>
      <c r="AY241" s="40"/>
      <c r="AZ241" s="28"/>
      <c r="BA241" s="28"/>
      <c r="BB241" s="150" t="s">
        <v>211</v>
      </c>
      <c r="BC241" s="36">
        <v>3</v>
      </c>
      <c r="BD241" s="37">
        <v>26</v>
      </c>
      <c r="BE241" s="10"/>
      <c r="BF241" s="18"/>
      <c r="BG241" s="11"/>
      <c r="BH241" s="18"/>
      <c r="BI241" s="11"/>
      <c r="BJ241" s="159" t="s">
        <v>744</v>
      </c>
      <c r="BK241" s="37" t="s">
        <v>745</v>
      </c>
      <c r="BL241" s="39" t="s">
        <v>746</v>
      </c>
    </row>
    <row r="242" spans="1:64" x14ac:dyDescent="0.3">
      <c r="A242" s="42" t="s">
        <v>84</v>
      </c>
      <c r="B242" s="42">
        <f>SUM(B240:B241)</f>
        <v>3698</v>
      </c>
      <c r="C242" s="40">
        <f>SUM(C240:C241)</f>
        <v>4580</v>
      </c>
      <c r="D242" s="28"/>
      <c r="E242" s="107" t="s">
        <v>60</v>
      </c>
      <c r="F242" s="43"/>
      <c r="G242" s="41">
        <f>SUM(G240:G241)</f>
        <v>5557</v>
      </c>
      <c r="H242" s="28">
        <v>30</v>
      </c>
      <c r="I242" s="43" t="s">
        <v>101</v>
      </c>
      <c r="J242" s="40"/>
      <c r="K242" s="28"/>
      <c r="L242" s="28"/>
      <c r="N242" s="113"/>
      <c r="AA242" s="28"/>
      <c r="AB242" s="52" t="s">
        <v>193</v>
      </c>
      <c r="AC242" s="28"/>
      <c r="AD242" s="28"/>
      <c r="AE242" s="28"/>
      <c r="AF242" s="28"/>
      <c r="AG242" s="28"/>
      <c r="AH242" s="28"/>
      <c r="AI242" s="28"/>
      <c r="AM242" t="s">
        <v>6</v>
      </c>
      <c r="AN242" s="45"/>
      <c r="AP242" s="125" t="s">
        <v>115</v>
      </c>
      <c r="AQ242" s="54">
        <f>1+7+4</f>
        <v>12</v>
      </c>
      <c r="AR242" s="45">
        <f>1+1+2</f>
        <v>4</v>
      </c>
      <c r="AS242" s="42"/>
      <c r="AT242" s="40"/>
      <c r="AU242" s="42"/>
      <c r="AV242" s="54">
        <v>0</v>
      </c>
      <c r="AW242" s="54" t="s">
        <v>217</v>
      </c>
      <c r="AX242" s="28"/>
      <c r="AY242" s="40"/>
      <c r="AZ242" s="28"/>
      <c r="BB242" s="150" t="s">
        <v>331</v>
      </c>
      <c r="BC242" s="36">
        <v>0</v>
      </c>
      <c r="BD242" s="37">
        <v>1</v>
      </c>
      <c r="BE242" s="10"/>
      <c r="BF242" s="18"/>
      <c r="BG242" s="11"/>
      <c r="BH242" s="18"/>
      <c r="BI242" s="11"/>
      <c r="BJ242" s="128" t="s">
        <v>310</v>
      </c>
      <c r="BK242" s="37" t="s">
        <v>207</v>
      </c>
      <c r="BL242" s="39" t="s">
        <v>747</v>
      </c>
    </row>
    <row r="243" spans="1:64" ht="15" thickBot="1" x14ac:dyDescent="0.35">
      <c r="A243" s="13"/>
      <c r="B243" s="10"/>
      <c r="C243" s="11"/>
      <c r="D243" s="27"/>
      <c r="E243" s="27"/>
      <c r="F243" s="27"/>
      <c r="G243" s="17"/>
      <c r="H243" s="48"/>
      <c r="I243" s="48" t="s">
        <v>727</v>
      </c>
      <c r="J243" s="49">
        <f>SUM(H241:H243)</f>
        <v>34</v>
      </c>
      <c r="L243" s="108"/>
      <c r="M243" s="115"/>
      <c r="O243" s="116"/>
      <c r="AA243" s="28"/>
      <c r="AN243" s="45"/>
      <c r="AP243" s="125" t="s">
        <v>56</v>
      </c>
      <c r="AQ243" s="54">
        <f>12+19+8+4+1</f>
        <v>44</v>
      </c>
      <c r="AR243" s="45">
        <f>22+4+5+3+5</f>
        <v>39</v>
      </c>
      <c r="AS243" s="42"/>
      <c r="AT243" s="40"/>
      <c r="AU243" s="42"/>
      <c r="AV243" s="54">
        <v>0</v>
      </c>
      <c r="AW243" s="54" t="s">
        <v>681</v>
      </c>
      <c r="AX243" s="28"/>
      <c r="AY243" s="40"/>
      <c r="AZ243" s="28"/>
      <c r="BB243" s="36" t="s">
        <v>184</v>
      </c>
      <c r="BC243" s="36">
        <v>2</v>
      </c>
      <c r="BD243" s="37">
        <v>4</v>
      </c>
      <c r="BE243" s="10"/>
      <c r="BF243" s="18"/>
      <c r="BG243" s="11"/>
      <c r="BH243" s="18"/>
      <c r="BI243" s="11"/>
      <c r="BJ243" s="128" t="s">
        <v>748</v>
      </c>
      <c r="BK243" s="37" t="s">
        <v>304</v>
      </c>
      <c r="BL243" s="39" t="s">
        <v>749</v>
      </c>
    </row>
    <row r="244" spans="1:64" ht="16.2" thickBot="1" x14ac:dyDescent="0.35">
      <c r="A244" s="117" t="s">
        <v>84</v>
      </c>
      <c r="B244" s="118">
        <f>SUM(B242+B239+B234+B230+B227+B224+B221+B217+B213+B210)</f>
        <v>45931</v>
      </c>
      <c r="C244" s="120">
        <f>SUM(C242+C239+C234+C230+C227+C224+C221+C217+C213+C210)</f>
        <v>54507</v>
      </c>
      <c r="D244" s="119"/>
      <c r="E244" s="119">
        <f>SUM(E239+E224)</f>
        <v>2984</v>
      </c>
      <c r="F244" s="120"/>
      <c r="G244" s="121">
        <f>SUM(G242+G239+G234+G230+G227+G221+G217+G213+G210+G224)</f>
        <v>70494</v>
      </c>
      <c r="H244" s="13" t="s">
        <v>199</v>
      </c>
      <c r="I244" s="81"/>
      <c r="J244" s="26">
        <f>SUM(J211:J243)</f>
        <v>394</v>
      </c>
      <c r="O244" s="122"/>
      <c r="AN244" s="45"/>
      <c r="AP244" s="125" t="s">
        <v>138</v>
      </c>
      <c r="AQ244" s="54">
        <v>0</v>
      </c>
      <c r="AR244" s="45">
        <v>0</v>
      </c>
      <c r="AS244" s="42"/>
      <c r="AT244" s="40"/>
      <c r="AU244" s="42"/>
      <c r="AV244" s="54">
        <v>9</v>
      </c>
      <c r="AW244" s="54" t="s">
        <v>221</v>
      </c>
      <c r="AX244" s="28"/>
      <c r="AY244" s="40"/>
      <c r="AZ244" s="28"/>
      <c r="BB244" s="36" t="s">
        <v>190</v>
      </c>
      <c r="BC244" s="10">
        <v>1</v>
      </c>
      <c r="BD244" s="37">
        <v>0</v>
      </c>
      <c r="BE244" s="10"/>
      <c r="BF244" s="18"/>
      <c r="BG244" s="39"/>
      <c r="BH244" s="18"/>
      <c r="BI244" s="11"/>
      <c r="BJ244" s="159"/>
      <c r="BK244" s="37"/>
      <c r="BL244" s="39"/>
    </row>
    <row r="245" spans="1:64" x14ac:dyDescent="0.3">
      <c r="AN245" s="45"/>
      <c r="AP245" s="125" t="s">
        <v>67</v>
      </c>
      <c r="AQ245" s="54">
        <f>2+12</f>
        <v>14</v>
      </c>
      <c r="AR245" s="45">
        <f>4+11</f>
        <v>15</v>
      </c>
      <c r="AS245" s="42"/>
      <c r="AT245" s="40"/>
      <c r="AU245" s="42"/>
      <c r="AV245" s="54">
        <v>0</v>
      </c>
      <c r="AW245" s="54" t="s">
        <v>706</v>
      </c>
      <c r="AX245" s="28"/>
      <c r="AY245" s="40"/>
      <c r="AZ245" s="28"/>
      <c r="BB245" s="150" t="s">
        <v>669</v>
      </c>
      <c r="BC245" s="10">
        <v>9</v>
      </c>
      <c r="BD245" s="37">
        <v>7</v>
      </c>
      <c r="BE245" s="10"/>
      <c r="BF245" s="18"/>
      <c r="BG245" s="11"/>
      <c r="BH245" s="18"/>
      <c r="BI245" s="11"/>
      <c r="BJ245" s="179"/>
      <c r="BK245" s="37"/>
      <c r="BL245" s="39"/>
    </row>
    <row r="246" spans="1:64" x14ac:dyDescent="0.3">
      <c r="AN246" s="45"/>
      <c r="AP246" s="125" t="s">
        <v>122</v>
      </c>
      <c r="AQ246" s="54">
        <v>4</v>
      </c>
      <c r="AR246" s="45">
        <v>0</v>
      </c>
      <c r="AS246" s="42"/>
      <c r="AT246" s="40"/>
      <c r="AU246" s="42"/>
      <c r="AV246" s="54">
        <v>3</v>
      </c>
      <c r="AW246" s="54" t="s">
        <v>618</v>
      </c>
      <c r="AX246" s="28"/>
      <c r="AY246" s="40"/>
      <c r="AZ246" s="28"/>
      <c r="BB246" s="92" t="s">
        <v>605</v>
      </c>
      <c r="BC246" s="84">
        <v>1</v>
      </c>
      <c r="BD246" s="54">
        <v>0</v>
      </c>
      <c r="BE246" s="84"/>
      <c r="BF246" s="45"/>
      <c r="BG246" s="85"/>
      <c r="BH246" s="18"/>
      <c r="BI246" s="11"/>
      <c r="BJ246" s="179"/>
      <c r="BK246" s="54"/>
      <c r="BL246" s="86"/>
    </row>
    <row r="247" spans="1:64" x14ac:dyDescent="0.3">
      <c r="B247" s="126"/>
      <c r="C247" s="126"/>
      <c r="AN247" s="45"/>
      <c r="AP247" s="125" t="s">
        <v>227</v>
      </c>
      <c r="AQ247" s="54">
        <v>0</v>
      </c>
      <c r="AR247" s="45">
        <v>0</v>
      </c>
      <c r="AS247" s="42"/>
      <c r="AT247" s="40"/>
      <c r="AU247" s="42"/>
      <c r="AV247" s="54">
        <v>1</v>
      </c>
      <c r="AW247" s="54" t="s">
        <v>352</v>
      </c>
      <c r="AX247" s="28"/>
      <c r="AY247" s="40"/>
      <c r="BB247" s="67" t="s">
        <v>564</v>
      </c>
      <c r="BC247" s="84">
        <v>5</v>
      </c>
      <c r="BD247" s="54">
        <v>3</v>
      </c>
      <c r="BE247" s="84"/>
      <c r="BF247" s="45"/>
      <c r="BG247" s="85"/>
      <c r="BH247" s="45"/>
      <c r="BI247" s="85"/>
      <c r="BJ247" s="179"/>
      <c r="BK247" s="54"/>
      <c r="BL247" s="180"/>
    </row>
    <row r="248" spans="1:64" x14ac:dyDescent="0.3">
      <c r="AN248" s="45"/>
      <c r="AP248" s="41" t="s">
        <v>230</v>
      </c>
      <c r="AQ248" s="54">
        <v>16</v>
      </c>
      <c r="AR248" s="45">
        <v>16</v>
      </c>
      <c r="AS248" s="42"/>
      <c r="AT248" s="40"/>
      <c r="AU248" s="42"/>
      <c r="AV248" s="54">
        <v>10</v>
      </c>
      <c r="AW248" s="54" t="s">
        <v>655</v>
      </c>
      <c r="AX248" s="28"/>
      <c r="AY248" s="40"/>
      <c r="BB248" s="67" t="s">
        <v>220</v>
      </c>
      <c r="BC248" s="84">
        <v>2</v>
      </c>
      <c r="BD248" s="54">
        <v>1</v>
      </c>
      <c r="BE248" s="84"/>
      <c r="BF248" s="45"/>
      <c r="BG248" s="85"/>
      <c r="BH248" s="45"/>
      <c r="BI248" s="85"/>
      <c r="BJ248" s="179"/>
      <c r="BK248" s="54"/>
      <c r="BL248" s="180"/>
    </row>
    <row r="249" spans="1:64" x14ac:dyDescent="0.3">
      <c r="AP249" s="68" t="s">
        <v>125</v>
      </c>
      <c r="AQ249" s="54">
        <v>0</v>
      </c>
      <c r="AR249" s="45">
        <v>0</v>
      </c>
      <c r="AS249" s="42"/>
      <c r="AT249" s="40"/>
      <c r="AU249" s="42"/>
      <c r="AV249" s="54">
        <v>0</v>
      </c>
      <c r="AW249" s="54" t="s">
        <v>351</v>
      </c>
      <c r="AX249" s="28"/>
      <c r="AY249" s="40"/>
      <c r="BB249" s="127" t="s">
        <v>403</v>
      </c>
      <c r="BC249" s="84">
        <v>0</v>
      </c>
      <c r="BD249" s="54">
        <v>1</v>
      </c>
      <c r="BE249" s="42"/>
      <c r="BF249" s="45"/>
      <c r="BG249" s="40"/>
      <c r="BH249" s="45"/>
      <c r="BI249" s="85"/>
      <c r="BJ249" s="158"/>
      <c r="BK249" s="54"/>
      <c r="BL249" s="86"/>
    </row>
    <row r="250" spans="1:64" x14ac:dyDescent="0.3">
      <c r="AP250" s="68" t="s">
        <v>132</v>
      </c>
      <c r="AQ250" s="54">
        <v>5</v>
      </c>
      <c r="AR250" s="45">
        <v>7</v>
      </c>
      <c r="AS250" s="42"/>
      <c r="AT250" s="40"/>
      <c r="AU250" s="42"/>
      <c r="AV250" s="54">
        <v>26</v>
      </c>
      <c r="AW250" s="54" t="s">
        <v>472</v>
      </c>
      <c r="AX250" s="28"/>
      <c r="AY250" s="40"/>
      <c r="BB250" s="127" t="s">
        <v>218</v>
      </c>
      <c r="BC250" s="84">
        <v>0</v>
      </c>
      <c r="BD250" s="54">
        <v>33</v>
      </c>
      <c r="BE250" s="42"/>
      <c r="BF250" s="45">
        <v>0</v>
      </c>
      <c r="BG250" s="40"/>
      <c r="BH250" s="45"/>
      <c r="BI250" s="85"/>
      <c r="BJ250" s="179"/>
      <c r="BK250" s="54"/>
      <c r="BL250" s="180"/>
    </row>
    <row r="251" spans="1:64" x14ac:dyDescent="0.3">
      <c r="AM251" t="s">
        <v>6</v>
      </c>
      <c r="AP251" s="41" t="s">
        <v>6</v>
      </c>
      <c r="AS251" s="42"/>
      <c r="AT251" s="40"/>
      <c r="AU251" s="42"/>
      <c r="AV251" s="54">
        <v>26</v>
      </c>
      <c r="AW251" s="54" t="s">
        <v>215</v>
      </c>
      <c r="AX251" s="28"/>
      <c r="AY251" s="40"/>
      <c r="BB251" s="181" t="s">
        <v>358</v>
      </c>
      <c r="BC251" s="10">
        <v>0</v>
      </c>
      <c r="BD251" s="18">
        <v>5</v>
      </c>
      <c r="BE251" s="10"/>
      <c r="BF251" s="18"/>
      <c r="BG251" s="11"/>
      <c r="BH251" s="18"/>
      <c r="BI251" s="11"/>
      <c r="BJ251" s="179"/>
      <c r="BK251" s="37"/>
      <c r="BL251" s="182"/>
    </row>
    <row r="252" spans="1:64" ht="15" thickBot="1" x14ac:dyDescent="0.35">
      <c r="H252" t="s">
        <v>6</v>
      </c>
      <c r="AP252" s="46" t="s">
        <v>84</v>
      </c>
      <c r="AQ252" s="48">
        <f>SUM(AQ236:AQ251)</f>
        <v>204</v>
      </c>
      <c r="AR252" s="48">
        <f>SUM(AR236:AR251)</f>
        <v>150</v>
      </c>
      <c r="AS252" s="47"/>
      <c r="AT252" s="49"/>
      <c r="AU252" s="47"/>
      <c r="AV252" s="48">
        <v>5</v>
      </c>
      <c r="AW252" s="48" t="s">
        <v>244</v>
      </c>
      <c r="AX252" s="48"/>
      <c r="AY252" s="49">
        <f>SUM(AV237:AV252)+2</f>
        <v>113</v>
      </c>
      <c r="BB252" s="13" t="s">
        <v>84</v>
      </c>
      <c r="BC252" s="13">
        <f>SUM(BC227:BC251)</f>
        <v>202</v>
      </c>
      <c r="BD252" s="27">
        <f>SUM(BD227:BD251)</f>
        <v>277</v>
      </c>
      <c r="BE252" s="13">
        <v>0</v>
      </c>
      <c r="BF252" s="27">
        <f>SUM(BF227:BF251)</f>
        <v>0</v>
      </c>
      <c r="BG252" s="26">
        <v>0</v>
      </c>
      <c r="BH252" s="58">
        <v>0</v>
      </c>
      <c r="BI252" s="26">
        <v>0</v>
      </c>
      <c r="BJ252" s="81"/>
      <c r="BK252" s="27"/>
      <c r="BL252" s="26">
        <f>5+4+4+4+11+6+15+7+7+5+4+3+6+4+3</f>
        <v>88</v>
      </c>
    </row>
    <row r="253" spans="1:64" ht="15" thickBot="1" x14ac:dyDescent="0.35">
      <c r="H253" t="s">
        <v>6</v>
      </c>
      <c r="AP253" s="169" t="s">
        <v>84</v>
      </c>
      <c r="AQ253" s="170">
        <f>SUM(AQ252+AQ235+AQ225+AQ210)</f>
        <v>1968</v>
      </c>
      <c r="AR253" s="170">
        <f>SUM(AR252+AR235+AR225+AR210)</f>
        <v>1895</v>
      </c>
      <c r="AS253" s="171"/>
      <c r="AT253" s="172"/>
      <c r="AU253" s="170"/>
      <c r="AV253" s="170"/>
      <c r="AW253" s="170"/>
      <c r="AX253" s="170"/>
      <c r="AY253" s="172">
        <f>SUM(AY209:AY252)</f>
        <v>314</v>
      </c>
      <c r="BB253" s="13" t="s">
        <v>223</v>
      </c>
      <c r="BC253" s="13">
        <f>SUM(BC252+BC226+BC223+BC219+BC216+BC213+BC211)</f>
        <v>1846</v>
      </c>
      <c r="BD253" s="26">
        <f>SUM(BD252+BD226+BD223+BD219+BD216+BD213+BD211)</f>
        <v>1925</v>
      </c>
      <c r="BE253" s="26">
        <f>SUM(BE252+BE226+BE223+BE219+BE216+BE213+BE211)</f>
        <v>0</v>
      </c>
      <c r="BF253" s="26">
        <f>SUM(BF252+BF226+BF223+BF219+BF216+BF213+BF211)</f>
        <v>0</v>
      </c>
      <c r="BG253" s="26">
        <f>SUM(BG252+BG226+BG223+BG219+BG216+BG213+BG211)</f>
        <v>0</v>
      </c>
      <c r="BH253" s="160">
        <f>SUM(BH252+BH226+BH223+BH219+BH215+BH213+BH211)</f>
        <v>59052</v>
      </c>
      <c r="BI253" s="26">
        <f>SUM(BI252+BI226+BI223+BI219+BI215+BI213+BI211)</f>
        <v>15205</v>
      </c>
      <c r="BJ253" s="81"/>
      <c r="BK253" s="27" t="s">
        <v>247</v>
      </c>
      <c r="BL253" s="26">
        <f>SUM(BL211:BL252)</f>
        <v>232</v>
      </c>
    </row>
    <row r="254" spans="1:64" x14ac:dyDescent="0.3">
      <c r="K254" s="28"/>
      <c r="BB254" s="131" t="s">
        <v>225</v>
      </c>
      <c r="BD254">
        <f>SUM(BL252)</f>
        <v>88</v>
      </c>
      <c r="BF254" t="s">
        <v>750</v>
      </c>
      <c r="BG254" s="132"/>
    </row>
    <row r="255" spans="1:64" x14ac:dyDescent="0.3">
      <c r="K255" s="28"/>
      <c r="BB255" t="s">
        <v>229</v>
      </c>
      <c r="BD255">
        <f>12+7+7</f>
        <v>26</v>
      </c>
    </row>
    <row r="256" spans="1:64" x14ac:dyDescent="0.3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BB256" t="s">
        <v>232</v>
      </c>
      <c r="BD256" t="s">
        <v>233</v>
      </c>
      <c r="BF256">
        <f>SUM(AQ253)</f>
        <v>1968</v>
      </c>
      <c r="BH256" t="s">
        <v>234</v>
      </c>
      <c r="BJ256" t="s">
        <v>233</v>
      </c>
      <c r="BL256">
        <f>SUM(BC253)</f>
        <v>1846</v>
      </c>
    </row>
    <row r="257" spans="1:65" ht="18" x14ac:dyDescent="0.35">
      <c r="B257" s="133"/>
      <c r="BA257" t="s">
        <v>6</v>
      </c>
      <c r="BD257" t="s">
        <v>236</v>
      </c>
      <c r="BF257">
        <f>SUM(AR253)</f>
        <v>1895</v>
      </c>
      <c r="BJ257" t="s">
        <v>236</v>
      </c>
      <c r="BL257">
        <f>SUM(BD253)</f>
        <v>1925</v>
      </c>
    </row>
    <row r="258" spans="1:65" x14ac:dyDescent="0.3">
      <c r="BB258" s="134" t="s">
        <v>238</v>
      </c>
      <c r="BC258" s="135" t="s">
        <v>239</v>
      </c>
      <c r="BD258" s="136"/>
      <c r="BE258" s="134" t="s">
        <v>240</v>
      </c>
      <c r="BF258" s="135" t="s">
        <v>241</v>
      </c>
      <c r="BG258" s="136"/>
      <c r="BH258" s="134"/>
      <c r="BI258" s="135" t="s">
        <v>242</v>
      </c>
      <c r="BJ258" s="137" t="s">
        <v>243</v>
      </c>
      <c r="BK258" s="135"/>
      <c r="BL258" s="135"/>
      <c r="BM258" s="136"/>
    </row>
    <row r="259" spans="1:65" x14ac:dyDescent="0.3">
      <c r="BB259" s="138" t="s">
        <v>233</v>
      </c>
      <c r="BC259" s="28"/>
      <c r="BD259" s="139">
        <f>SUM(B244)</f>
        <v>45931</v>
      </c>
      <c r="BE259" s="138" t="s">
        <v>233</v>
      </c>
      <c r="BF259" s="28"/>
      <c r="BG259" s="139">
        <f>SUM(AC241)</f>
        <v>2000</v>
      </c>
      <c r="BH259" s="138" t="s">
        <v>233</v>
      </c>
      <c r="BI259" s="28"/>
      <c r="BJ259" s="140">
        <f>SUM(BL256+BG259)</f>
        <v>3846</v>
      </c>
      <c r="BK259" s="28" t="s">
        <v>245</v>
      </c>
      <c r="BL259" s="140">
        <f>SUM(BJ259+BD259)</f>
        <v>49777</v>
      </c>
      <c r="BM259" s="139"/>
    </row>
    <row r="260" spans="1:65" ht="18" x14ac:dyDescent="0.35">
      <c r="B260" s="133"/>
      <c r="BB260" s="142" t="s">
        <v>236</v>
      </c>
      <c r="BC260" s="143"/>
      <c r="BD260" s="144">
        <f>SUM(C244)</f>
        <v>54507</v>
      </c>
      <c r="BE260" s="142" t="s">
        <v>236</v>
      </c>
      <c r="BF260" s="143"/>
      <c r="BG260" s="144">
        <f>SUM(AD241)</f>
        <v>2067</v>
      </c>
      <c r="BH260" s="142" t="s">
        <v>236</v>
      </c>
      <c r="BI260" s="143"/>
      <c r="BJ260" s="145">
        <f>SUM(BL257+BG260)</f>
        <v>3992</v>
      </c>
      <c r="BK260" s="143"/>
      <c r="BL260" s="145">
        <f>SUM(BJ260+BD260)</f>
        <v>58499</v>
      </c>
      <c r="BM260" s="144"/>
    </row>
    <row r="261" spans="1:65" x14ac:dyDescent="0.3">
      <c r="BL261" s="184"/>
      <c r="BM261" s="184"/>
    </row>
    <row r="265" spans="1:65" ht="15.6" x14ac:dyDescent="0.3">
      <c r="D265" s="1" t="s">
        <v>0</v>
      </c>
      <c r="O265" s="1" t="s">
        <v>1</v>
      </c>
    </row>
    <row r="266" spans="1:65" ht="15.6" x14ac:dyDescent="0.3">
      <c r="E266" t="s">
        <v>2</v>
      </c>
      <c r="P266" t="s">
        <v>3</v>
      </c>
      <c r="AE266" s="2"/>
      <c r="AF266" s="1" t="s">
        <v>0</v>
      </c>
      <c r="AG266" s="1"/>
      <c r="AI266" s="1"/>
      <c r="AJ266" s="1"/>
      <c r="AS266" s="1" t="s">
        <v>4</v>
      </c>
      <c r="BE266" s="1"/>
      <c r="BF266" s="1" t="s">
        <v>5</v>
      </c>
      <c r="BG266" s="1"/>
      <c r="BH266" s="1"/>
      <c r="BI266" s="1"/>
      <c r="BJ266" s="1"/>
    </row>
    <row r="267" spans="1:65" ht="15.6" x14ac:dyDescent="0.3">
      <c r="A267" t="s">
        <v>6</v>
      </c>
      <c r="D267" t="s">
        <v>7</v>
      </c>
      <c r="N267" t="s">
        <v>751</v>
      </c>
      <c r="AE267" s="3"/>
      <c r="AF267" s="2" t="s">
        <v>9</v>
      </c>
      <c r="AG267" s="1"/>
      <c r="AI267" s="1"/>
      <c r="AJ267" s="1"/>
      <c r="AT267" t="s">
        <v>2</v>
      </c>
      <c r="BG267" t="s">
        <v>2</v>
      </c>
    </row>
    <row r="268" spans="1:65" ht="15.6" x14ac:dyDescent="0.3">
      <c r="E268" t="s">
        <v>752</v>
      </c>
      <c r="P268" t="s">
        <v>752</v>
      </c>
      <c r="AF268" s="3" t="s">
        <v>11</v>
      </c>
      <c r="AG268" s="1"/>
      <c r="AI268" s="1"/>
      <c r="AJ268" s="1"/>
      <c r="AR268" t="s">
        <v>12</v>
      </c>
      <c r="BE268" t="s">
        <v>13</v>
      </c>
    </row>
    <row r="269" spans="1:65" ht="15" thickBot="1" x14ac:dyDescent="0.35">
      <c r="I269" s="4" t="s">
        <v>14</v>
      </c>
      <c r="U269" s="5" t="s">
        <v>15</v>
      </c>
      <c r="AG269" t="s">
        <v>752</v>
      </c>
      <c r="AT269" t="s">
        <v>752</v>
      </c>
      <c r="AY269" s="5"/>
      <c r="BG269" t="s">
        <v>752</v>
      </c>
      <c r="BK269" s="5" t="s">
        <v>16</v>
      </c>
    </row>
    <row r="270" spans="1:65" ht="15" thickBot="1" x14ac:dyDescent="0.35">
      <c r="A270" s="6" t="s">
        <v>17</v>
      </c>
      <c r="B270" s="6" t="s">
        <v>18</v>
      </c>
      <c r="C270" s="7"/>
      <c r="D270" s="8" t="s">
        <v>19</v>
      </c>
      <c r="E270" s="8"/>
      <c r="F270" s="8"/>
      <c r="G270" s="9" t="s">
        <v>20</v>
      </c>
      <c r="H270" s="8" t="s">
        <v>21</v>
      </c>
      <c r="I270" s="8"/>
      <c r="J270" s="7"/>
      <c r="L270" s="6" t="s">
        <v>17</v>
      </c>
      <c r="M270" s="6" t="s">
        <v>22</v>
      </c>
      <c r="N270" s="7"/>
      <c r="O270" s="8" t="s">
        <v>23</v>
      </c>
      <c r="P270" s="8"/>
      <c r="Q270" s="8"/>
      <c r="R270" s="6" t="s">
        <v>24</v>
      </c>
      <c r="S270" s="7"/>
      <c r="T270" s="8" t="s">
        <v>21</v>
      </c>
      <c r="U270" s="8"/>
      <c r="V270" s="7"/>
      <c r="AL270" s="5" t="s">
        <v>25</v>
      </c>
      <c r="AX270" s="5" t="s">
        <v>26</v>
      </c>
      <c r="BB270" s="6" t="s">
        <v>17</v>
      </c>
      <c r="BC270" s="6" t="s">
        <v>27</v>
      </c>
      <c r="BD270" s="7"/>
      <c r="BE270" s="8" t="s">
        <v>28</v>
      </c>
      <c r="BF270" s="8"/>
      <c r="BG270" s="8"/>
      <c r="BH270" s="6" t="s">
        <v>29</v>
      </c>
      <c r="BI270" s="7" t="s">
        <v>30</v>
      </c>
      <c r="BJ270" s="8" t="s">
        <v>31</v>
      </c>
      <c r="BK270" s="8"/>
      <c r="BL270" s="7"/>
    </row>
    <row r="271" spans="1:65" x14ac:dyDescent="0.3">
      <c r="A271" s="10" t="s">
        <v>32</v>
      </c>
      <c r="B271" s="10"/>
      <c r="C271" s="11"/>
      <c r="D271" s="3"/>
      <c r="E271" s="3"/>
      <c r="F271" s="3"/>
      <c r="G271" s="12"/>
      <c r="H271" s="3" t="s">
        <v>33</v>
      </c>
      <c r="I271" s="3"/>
      <c r="J271" s="11"/>
      <c r="L271" s="10"/>
      <c r="M271" s="10"/>
      <c r="N271" s="11"/>
      <c r="O271" s="3"/>
      <c r="P271" s="3"/>
      <c r="Q271" s="3"/>
      <c r="R271" s="10"/>
      <c r="S271" s="11"/>
      <c r="T271" s="3" t="s">
        <v>33</v>
      </c>
      <c r="U271" s="3"/>
      <c r="V271" s="11"/>
      <c r="AB271" s="6" t="s">
        <v>34</v>
      </c>
      <c r="AC271" s="6" t="s">
        <v>35</v>
      </c>
      <c r="AD271" s="7"/>
      <c r="AE271" s="6" t="s">
        <v>36</v>
      </c>
      <c r="AF271" s="8"/>
      <c r="AG271" s="7"/>
      <c r="AH271" s="8" t="s">
        <v>37</v>
      </c>
      <c r="AI271" s="8"/>
      <c r="AJ271" s="9" t="s">
        <v>30</v>
      </c>
      <c r="AK271" s="8" t="s">
        <v>38</v>
      </c>
      <c r="AL271" s="8"/>
      <c r="AM271" s="7"/>
      <c r="AP271" s="6" t="s">
        <v>17</v>
      </c>
      <c r="AQ271" s="6" t="s">
        <v>39</v>
      </c>
      <c r="AR271" s="7"/>
      <c r="AS271" s="6" t="s">
        <v>29</v>
      </c>
      <c r="AT271" s="7" t="s">
        <v>30</v>
      </c>
      <c r="AU271" s="8" t="s">
        <v>40</v>
      </c>
      <c r="AV271" s="8"/>
      <c r="AW271" s="8"/>
      <c r="AX271" s="8"/>
      <c r="AY271" s="7"/>
      <c r="BB271" s="10"/>
      <c r="BC271" s="10"/>
      <c r="BD271" s="11"/>
      <c r="BE271" s="3"/>
      <c r="BF271" s="3"/>
      <c r="BG271" s="3"/>
      <c r="BH271" s="10"/>
      <c r="BI271" s="11" t="s">
        <v>6</v>
      </c>
      <c r="BJ271" s="3" t="s">
        <v>41</v>
      </c>
      <c r="BK271" s="3"/>
      <c r="BL271" s="11"/>
    </row>
    <row r="272" spans="1:65" ht="15" thickBot="1" x14ac:dyDescent="0.35">
      <c r="A272" s="13" t="s">
        <v>42</v>
      </c>
      <c r="B272" s="14" t="s">
        <v>43</v>
      </c>
      <c r="C272" s="15" t="s">
        <v>44</v>
      </c>
      <c r="D272" s="16" t="s">
        <v>45</v>
      </c>
      <c r="E272" s="16" t="s">
        <v>46</v>
      </c>
      <c r="F272" s="16" t="s">
        <v>47</v>
      </c>
      <c r="G272" s="17" t="s">
        <v>48</v>
      </c>
      <c r="H272" s="18" t="s">
        <v>49</v>
      </c>
      <c r="I272" s="18"/>
      <c r="J272" s="11"/>
      <c r="L272" s="10" t="s">
        <v>50</v>
      </c>
      <c r="M272" s="19" t="s">
        <v>43</v>
      </c>
      <c r="N272" s="20" t="s">
        <v>44</v>
      </c>
      <c r="O272" s="21" t="s">
        <v>43</v>
      </c>
      <c r="P272" s="18" t="s">
        <v>51</v>
      </c>
      <c r="Q272" s="21" t="s">
        <v>44</v>
      </c>
      <c r="R272" s="22" t="s">
        <v>43</v>
      </c>
      <c r="S272" s="23" t="s">
        <v>44</v>
      </c>
      <c r="T272" s="18" t="s">
        <v>49</v>
      </c>
      <c r="U272" s="18"/>
      <c r="V272" s="11"/>
      <c r="AB272" s="10" t="s">
        <v>50</v>
      </c>
      <c r="AC272" s="22" t="s">
        <v>43</v>
      </c>
      <c r="AD272" s="23" t="s">
        <v>44</v>
      </c>
      <c r="AE272" s="22" t="s">
        <v>45</v>
      </c>
      <c r="AF272" s="24" t="s">
        <v>46</v>
      </c>
      <c r="AG272" s="23" t="s">
        <v>52</v>
      </c>
      <c r="AH272" s="24" t="s">
        <v>43</v>
      </c>
      <c r="AI272" s="24" t="s">
        <v>44</v>
      </c>
      <c r="AJ272" s="25" t="s">
        <v>43</v>
      </c>
      <c r="AK272" s="3" t="s">
        <v>53</v>
      </c>
      <c r="AL272" s="3"/>
      <c r="AM272" s="11"/>
      <c r="AP272" s="13" t="s">
        <v>42</v>
      </c>
      <c r="AQ272" s="13" t="s">
        <v>43</v>
      </c>
      <c r="AR272" s="26" t="s">
        <v>44</v>
      </c>
      <c r="AS272" s="13" t="s">
        <v>43</v>
      </c>
      <c r="AT272" s="26" t="s">
        <v>44</v>
      </c>
      <c r="AU272" s="27"/>
      <c r="AV272" s="27"/>
      <c r="AW272" s="27"/>
      <c r="AX272" s="27"/>
      <c r="AY272" s="26"/>
      <c r="BB272" s="13" t="s">
        <v>42</v>
      </c>
      <c r="BC272" s="13" t="s">
        <v>43</v>
      </c>
      <c r="BD272" s="26" t="s">
        <v>44</v>
      </c>
      <c r="BE272" s="27" t="s">
        <v>45</v>
      </c>
      <c r="BF272" s="27" t="s">
        <v>46</v>
      </c>
      <c r="BG272" s="27" t="s">
        <v>52</v>
      </c>
      <c r="BH272" s="13" t="s">
        <v>43</v>
      </c>
      <c r="BI272" s="26" t="s">
        <v>44</v>
      </c>
      <c r="BJ272" s="27" t="s">
        <v>54</v>
      </c>
      <c r="BK272" s="27"/>
      <c r="BL272" s="26"/>
    </row>
    <row r="273" spans="1:64" ht="15" thickBot="1" x14ac:dyDescent="0.35">
      <c r="A273" s="6"/>
      <c r="B273" s="6"/>
      <c r="C273" s="7"/>
      <c r="D273" s="8"/>
      <c r="E273" s="8"/>
      <c r="F273" s="7"/>
      <c r="G273" s="8"/>
      <c r="H273" s="6" t="s">
        <v>396</v>
      </c>
      <c r="I273" s="8"/>
      <c r="J273" s="7"/>
      <c r="K273" s="28"/>
      <c r="L273" s="9"/>
      <c r="M273" s="8"/>
      <c r="N273" s="8"/>
      <c r="O273" s="6"/>
      <c r="P273" s="8"/>
      <c r="Q273" s="7"/>
      <c r="R273" s="8"/>
      <c r="S273" s="8"/>
      <c r="T273" s="6" t="s">
        <v>396</v>
      </c>
      <c r="U273" s="8"/>
      <c r="V273" s="7"/>
      <c r="W273" s="28"/>
      <c r="AB273" s="13"/>
      <c r="AC273" s="13"/>
      <c r="AD273" s="26"/>
      <c r="AE273" s="13"/>
      <c r="AF273" s="27"/>
      <c r="AG273" s="26"/>
      <c r="AH273" s="27"/>
      <c r="AI273" s="27"/>
      <c r="AJ273" s="17"/>
      <c r="AK273" s="27"/>
      <c r="AL273" s="27"/>
      <c r="AM273" s="26"/>
      <c r="AP273" s="32" t="s">
        <v>6</v>
      </c>
      <c r="AQ273" s="43"/>
      <c r="AR273" s="54"/>
      <c r="AS273" s="33"/>
      <c r="AT273" s="35"/>
      <c r="AU273" s="33"/>
      <c r="AV273" s="34" t="s">
        <v>91</v>
      </c>
      <c r="AW273" s="34"/>
      <c r="AX273" s="34"/>
      <c r="AY273" s="35"/>
      <c r="AZ273" s="28"/>
      <c r="BB273" s="32" t="s">
        <v>85</v>
      </c>
      <c r="BC273">
        <v>14</v>
      </c>
      <c r="BD273">
        <v>11</v>
      </c>
      <c r="BE273" s="33"/>
      <c r="BF273" s="34"/>
      <c r="BG273" s="34"/>
      <c r="BH273" s="33"/>
      <c r="BI273" s="35"/>
      <c r="BJ273" s="34" t="s">
        <v>58</v>
      </c>
      <c r="BK273" s="8"/>
      <c r="BL273" s="7"/>
    </row>
    <row r="274" spans="1:64" x14ac:dyDescent="0.3">
      <c r="A274" s="10" t="s">
        <v>59</v>
      </c>
      <c r="B274" s="36">
        <v>687</v>
      </c>
      <c r="C274" s="11">
        <v>1093</v>
      </c>
      <c r="D274" s="37"/>
      <c r="E274" s="38" t="s">
        <v>60</v>
      </c>
      <c r="F274" s="39"/>
      <c r="G274" s="37">
        <f>4*280</f>
        <v>1120</v>
      </c>
      <c r="H274" s="36">
        <v>4</v>
      </c>
      <c r="I274" s="37" t="s">
        <v>61</v>
      </c>
      <c r="J274" s="40"/>
      <c r="K274" s="28"/>
      <c r="L274" s="41" t="s">
        <v>59</v>
      </c>
      <c r="M274" s="28">
        <v>8921</v>
      </c>
      <c r="N274" s="28">
        <v>28901</v>
      </c>
      <c r="O274" s="42">
        <v>0</v>
      </c>
      <c r="P274" s="43">
        <v>0</v>
      </c>
      <c r="Q274" s="40">
        <v>0</v>
      </c>
      <c r="R274" s="43">
        <v>0</v>
      </c>
      <c r="S274" s="43">
        <v>0</v>
      </c>
      <c r="T274" s="42"/>
      <c r="U274" s="28"/>
      <c r="V274" s="40"/>
      <c r="W274" s="28"/>
      <c r="AB274" s="9"/>
      <c r="AC274" s="8"/>
      <c r="AD274" s="8"/>
      <c r="AE274" s="6"/>
      <c r="AF274" s="8"/>
      <c r="AG274" s="7"/>
      <c r="AH274" s="8"/>
      <c r="AI274" s="8"/>
      <c r="AJ274" s="9"/>
      <c r="AK274" s="6" t="s">
        <v>62</v>
      </c>
      <c r="AL274" s="8"/>
      <c r="AM274" s="7"/>
      <c r="AP274" s="41" t="s">
        <v>56</v>
      </c>
      <c r="AQ274" s="43">
        <v>1381</v>
      </c>
      <c r="AR274" s="54">
        <v>1434</v>
      </c>
      <c r="AS274" s="42"/>
      <c r="AT274" s="40"/>
      <c r="AU274" s="42"/>
      <c r="AV274" s="28"/>
      <c r="AW274" s="28"/>
      <c r="AX274" s="28"/>
      <c r="AY274" s="40"/>
      <c r="AZ274" s="28"/>
      <c r="BB274" s="44" t="s">
        <v>64</v>
      </c>
      <c r="BC274" s="18">
        <v>111</v>
      </c>
      <c r="BD274" s="18">
        <v>111</v>
      </c>
      <c r="BE274" s="10">
        <v>0</v>
      </c>
      <c r="BF274" s="18">
        <v>0</v>
      </c>
      <c r="BG274" s="18">
        <v>0</v>
      </c>
      <c r="BH274" s="10">
        <v>0</v>
      </c>
      <c r="BI274" s="11">
        <v>0</v>
      </c>
      <c r="BJ274" s="45">
        <v>9</v>
      </c>
      <c r="BK274" s="28" t="s">
        <v>474</v>
      </c>
      <c r="BL274" s="11" t="s">
        <v>753</v>
      </c>
    </row>
    <row r="275" spans="1:64" ht="15" thickBot="1" x14ac:dyDescent="0.35">
      <c r="A275" s="36" t="s">
        <v>6</v>
      </c>
      <c r="B275" s="10"/>
      <c r="C275" s="11"/>
      <c r="D275" s="18"/>
      <c r="E275" s="18"/>
      <c r="F275" s="18"/>
      <c r="G275" s="36"/>
      <c r="H275" s="42"/>
      <c r="I275" s="28" t="s">
        <v>528</v>
      </c>
      <c r="J275" s="40">
        <f>SUM(H274+H275)</f>
        <v>4</v>
      </c>
      <c r="K275" s="28"/>
      <c r="L275" s="12"/>
      <c r="M275" s="37"/>
      <c r="N275" s="37"/>
      <c r="O275" s="10"/>
      <c r="P275" s="18"/>
      <c r="Q275" s="11"/>
      <c r="R275" s="18"/>
      <c r="S275" s="18"/>
      <c r="T275" s="10"/>
      <c r="U275" s="18"/>
      <c r="V275" s="11"/>
      <c r="W275" s="28"/>
      <c r="AB275" s="41"/>
      <c r="AE275" s="42"/>
      <c r="AF275" s="28"/>
      <c r="AG275" s="40"/>
      <c r="AJ275" s="41"/>
      <c r="AK275" s="42"/>
      <c r="AL275" s="37" t="s">
        <v>6</v>
      </c>
      <c r="AM275" s="40"/>
      <c r="AP275" s="62" t="s">
        <v>6</v>
      </c>
      <c r="AQ275" s="43"/>
      <c r="AR275" s="43"/>
      <c r="AS275" s="47"/>
      <c r="AT275" s="49"/>
      <c r="AU275" s="47"/>
      <c r="AV275" s="48">
        <v>113</v>
      </c>
      <c r="AW275" s="48" t="s">
        <v>73</v>
      </c>
      <c r="AX275" s="48"/>
      <c r="AY275" s="49">
        <f>SUM(AV275)</f>
        <v>113</v>
      </c>
      <c r="AZ275" s="28"/>
      <c r="BA275" s="28"/>
      <c r="BB275" s="46" t="s">
        <v>84</v>
      </c>
      <c r="BC275">
        <f>SUM(BC273:BC274)</f>
        <v>125</v>
      </c>
      <c r="BD275">
        <f>SUM(BD273:BD274)</f>
        <v>122</v>
      </c>
      <c r="BE275" s="47"/>
      <c r="BF275" s="48"/>
      <c r="BG275" s="48"/>
      <c r="BH275" s="47"/>
      <c r="BI275" s="49"/>
      <c r="BJ275" s="48">
        <v>1</v>
      </c>
      <c r="BK275" s="48" t="s">
        <v>249</v>
      </c>
      <c r="BL275" s="49">
        <f>SUM(BJ274:BJ275)+3</f>
        <v>13</v>
      </c>
    </row>
    <row r="276" spans="1:64" ht="15" thickBot="1" x14ac:dyDescent="0.35">
      <c r="A276" s="32"/>
      <c r="B276" s="34"/>
      <c r="C276" s="34"/>
      <c r="D276" s="33"/>
      <c r="E276" s="34"/>
      <c r="F276" s="35"/>
      <c r="G276" s="34"/>
      <c r="H276" s="6" t="s">
        <v>70</v>
      </c>
      <c r="I276" s="8"/>
      <c r="J276" s="7"/>
      <c r="K276" s="28"/>
      <c r="L276" s="17"/>
      <c r="M276" s="27"/>
      <c r="N276" s="27"/>
      <c r="O276" s="13"/>
      <c r="P276" s="27"/>
      <c r="Q276" s="26"/>
      <c r="R276" s="27"/>
      <c r="S276" s="27"/>
      <c r="T276" s="13"/>
      <c r="U276" s="27"/>
      <c r="V276" s="26"/>
      <c r="W276" s="28"/>
      <c r="AB276" s="44" t="s">
        <v>59</v>
      </c>
      <c r="AC276" s="37">
        <v>869</v>
      </c>
      <c r="AD276" s="37">
        <v>987</v>
      </c>
      <c r="AE276" s="10">
        <v>0</v>
      </c>
      <c r="AF276" s="18">
        <v>0</v>
      </c>
      <c r="AG276" s="39">
        <v>0</v>
      </c>
      <c r="AH276" s="2">
        <v>0</v>
      </c>
      <c r="AI276" s="2">
        <v>0</v>
      </c>
      <c r="AJ276" s="12">
        <v>0</v>
      </c>
      <c r="AK276" s="36">
        <v>4</v>
      </c>
      <c r="AL276" t="s">
        <v>398</v>
      </c>
      <c r="AM276" s="11"/>
      <c r="AP276" s="10"/>
      <c r="AQ276" s="29"/>
      <c r="AR276" s="31"/>
      <c r="AS276" s="33"/>
      <c r="AT276" s="7"/>
      <c r="AU276" s="8"/>
      <c r="AV276" s="8"/>
      <c r="AW276" s="8"/>
      <c r="AX276" s="8"/>
      <c r="AY276" s="7"/>
      <c r="AZ276" s="28"/>
      <c r="BA276" s="28"/>
      <c r="BB276" s="33"/>
      <c r="BC276" s="33"/>
      <c r="BD276" s="35"/>
      <c r="BE276" s="34"/>
      <c r="BF276" s="34"/>
      <c r="BG276" s="34"/>
      <c r="BH276" s="33"/>
      <c r="BI276" s="35"/>
      <c r="BJ276" s="53" t="s">
        <v>82</v>
      </c>
      <c r="BK276" s="34"/>
      <c r="BL276" s="35"/>
    </row>
    <row r="277" spans="1:64" ht="15" thickBot="1" x14ac:dyDescent="0.35">
      <c r="A277" s="44" t="s">
        <v>74</v>
      </c>
      <c r="B277" s="37">
        <v>1019</v>
      </c>
      <c r="C277" s="18">
        <v>1629</v>
      </c>
      <c r="D277" s="36"/>
      <c r="E277" s="38" t="s">
        <v>60</v>
      </c>
      <c r="F277" s="39"/>
      <c r="G277" s="37">
        <v>1844</v>
      </c>
      <c r="H277" s="36">
        <v>10</v>
      </c>
      <c r="I277" s="28" t="s">
        <v>75</v>
      </c>
      <c r="J277" s="11"/>
      <c r="K277" s="28"/>
      <c r="L277" s="32"/>
      <c r="M277" s="34"/>
      <c r="N277" s="34"/>
      <c r="O277" s="33"/>
      <c r="P277" s="34"/>
      <c r="Q277" s="35"/>
      <c r="R277" s="34"/>
      <c r="S277" s="34"/>
      <c r="T277" s="33"/>
      <c r="U277" s="34"/>
      <c r="V277" s="35"/>
      <c r="W277" s="28"/>
      <c r="AB277" s="46"/>
      <c r="AE277" s="47"/>
      <c r="AF277" s="51"/>
      <c r="AG277" s="49"/>
      <c r="AH277" s="28"/>
      <c r="AI277" s="28"/>
      <c r="AJ277" s="62"/>
      <c r="AK277" s="47"/>
      <c r="AL277" s="48" t="s">
        <v>66</v>
      </c>
      <c r="AM277" s="49"/>
      <c r="AP277" s="36" t="s">
        <v>63</v>
      </c>
      <c r="AQ277" s="10">
        <v>73</v>
      </c>
      <c r="AR277" s="18">
        <v>61</v>
      </c>
      <c r="AS277" s="42"/>
      <c r="AT277" s="11"/>
      <c r="AU277" s="18"/>
      <c r="AV277" s="18" t="s">
        <v>110</v>
      </c>
      <c r="AW277" s="18" t="s">
        <v>111</v>
      </c>
      <c r="AX277" s="18" t="s">
        <v>112</v>
      </c>
      <c r="AY277" s="11"/>
      <c r="AZ277" s="28"/>
      <c r="BA277" s="28"/>
      <c r="BB277" s="47" t="s">
        <v>85</v>
      </c>
      <c r="BC277" s="47">
        <v>9</v>
      </c>
      <c r="BD277" s="49">
        <v>7</v>
      </c>
      <c r="BE277" s="48"/>
      <c r="BF277" s="48">
        <v>0</v>
      </c>
      <c r="BG277" s="48">
        <v>0</v>
      </c>
      <c r="BH277" s="47">
        <v>0</v>
      </c>
      <c r="BI277" s="49">
        <v>0</v>
      </c>
      <c r="BJ277" s="51">
        <v>2</v>
      </c>
      <c r="BK277" s="48" t="s">
        <v>86</v>
      </c>
      <c r="BL277" s="49">
        <f>SUM(BJ277)</f>
        <v>2</v>
      </c>
    </row>
    <row r="278" spans="1:64" x14ac:dyDescent="0.3">
      <c r="A278" s="41"/>
      <c r="D278" s="42"/>
      <c r="E278" s="28"/>
      <c r="F278" s="40"/>
      <c r="H278" s="42">
        <v>6</v>
      </c>
      <c r="I278" s="28" t="s">
        <v>79</v>
      </c>
      <c r="J278" s="40"/>
      <c r="K278" s="28"/>
      <c r="L278" s="41"/>
      <c r="M278" s="28"/>
      <c r="N278" s="28"/>
      <c r="O278" s="42"/>
      <c r="P278" s="28"/>
      <c r="Q278" s="40"/>
      <c r="R278" s="28"/>
      <c r="S278" s="28"/>
      <c r="T278" s="42" t="s">
        <v>80</v>
      </c>
      <c r="U278" s="28"/>
      <c r="V278" s="40"/>
      <c r="W278" s="28"/>
      <c r="AB278" s="50" t="s">
        <v>6</v>
      </c>
      <c r="AC278" s="8"/>
      <c r="AD278" s="8"/>
      <c r="AE278" s="6"/>
      <c r="AF278" s="8"/>
      <c r="AG278" s="7"/>
      <c r="AH278" s="6"/>
      <c r="AI278" s="7"/>
      <c r="AJ278" s="8"/>
      <c r="AK278" s="29" t="s">
        <v>71</v>
      </c>
      <c r="AL278" s="8"/>
      <c r="AM278" s="7"/>
      <c r="AP278" s="10" t="s">
        <v>115</v>
      </c>
      <c r="AQ278" s="36">
        <v>77</v>
      </c>
      <c r="AR278" s="37">
        <v>67</v>
      </c>
      <c r="AS278" s="42"/>
      <c r="AT278" s="11"/>
      <c r="AU278" s="18"/>
      <c r="AV278" s="18"/>
      <c r="AW278" s="18"/>
      <c r="AX278" s="18"/>
      <c r="AY278" s="11"/>
      <c r="AZ278" s="28"/>
      <c r="BA278" s="28"/>
      <c r="BB278" s="50" t="s">
        <v>107</v>
      </c>
      <c r="BC278" s="31">
        <v>56</v>
      </c>
      <c r="BD278" s="31">
        <v>49</v>
      </c>
      <c r="BE278" s="29"/>
      <c r="BF278" s="31"/>
      <c r="BG278" s="30"/>
      <c r="BH278" s="55">
        <v>0</v>
      </c>
      <c r="BI278" s="8">
        <v>0</v>
      </c>
      <c r="BJ278" s="29"/>
      <c r="BK278" s="34" t="s">
        <v>92</v>
      </c>
      <c r="BL278" s="35"/>
    </row>
    <row r="279" spans="1:64" ht="15" thickBot="1" x14ac:dyDescent="0.35">
      <c r="A279" s="46"/>
      <c r="B279" s="48"/>
      <c r="C279" s="48"/>
      <c r="D279" s="47"/>
      <c r="E279" s="48"/>
      <c r="F279" s="49"/>
      <c r="G279" s="48"/>
      <c r="H279" s="47">
        <v>1</v>
      </c>
      <c r="I279" s="28" t="s">
        <v>83</v>
      </c>
      <c r="J279" s="49">
        <f>SUM(H277:H279)</f>
        <v>17</v>
      </c>
      <c r="K279" s="28"/>
      <c r="L279" s="17" t="s">
        <v>74</v>
      </c>
      <c r="M279" s="27">
        <v>2342</v>
      </c>
      <c r="N279" s="27">
        <v>23</v>
      </c>
      <c r="O279" s="13">
        <v>0</v>
      </c>
      <c r="P279" s="27">
        <v>0</v>
      </c>
      <c r="Q279" s="26">
        <v>0</v>
      </c>
      <c r="R279" s="27">
        <v>0</v>
      </c>
      <c r="S279" s="27">
        <v>0</v>
      </c>
      <c r="T279" s="13"/>
      <c r="U279" s="27"/>
      <c r="V279" s="26"/>
      <c r="W279" s="28"/>
      <c r="AB279" s="41" t="s">
        <v>76</v>
      </c>
      <c r="AC279">
        <v>0</v>
      </c>
      <c r="AD279">
        <v>0</v>
      </c>
      <c r="AE279" s="42">
        <v>0</v>
      </c>
      <c r="AF279" s="43">
        <v>0</v>
      </c>
      <c r="AG279" s="40">
        <v>0</v>
      </c>
      <c r="AH279" s="42">
        <v>0</v>
      </c>
      <c r="AI279" s="40">
        <v>0</v>
      </c>
      <c r="AJ279" s="43">
        <v>0</v>
      </c>
      <c r="AK279" s="42"/>
      <c r="AL279" s="28" t="s">
        <v>77</v>
      </c>
      <c r="AM279" s="40"/>
      <c r="AP279" s="52" t="s">
        <v>72</v>
      </c>
      <c r="AQ279" s="52">
        <v>13</v>
      </c>
      <c r="AR279" s="54">
        <v>14</v>
      </c>
      <c r="AS279" s="42"/>
      <c r="AT279" s="40"/>
      <c r="AU279" s="28"/>
      <c r="AV279" s="28"/>
      <c r="AW279" s="28"/>
      <c r="AX279" s="28"/>
      <c r="AY279" s="40"/>
      <c r="AZ279" s="28"/>
      <c r="BA279" s="28"/>
      <c r="BB279" s="41" t="s">
        <v>99</v>
      </c>
      <c r="BC279" s="45">
        <v>0</v>
      </c>
      <c r="BD279" s="45">
        <v>0</v>
      </c>
      <c r="BE279" s="42">
        <v>0</v>
      </c>
      <c r="BF279" s="45">
        <v>0</v>
      </c>
      <c r="BG279" s="40">
        <v>0</v>
      </c>
      <c r="BH279" s="45">
        <v>52067</v>
      </c>
      <c r="BI279" s="56">
        <v>10085</v>
      </c>
      <c r="BJ279" s="52">
        <v>25</v>
      </c>
      <c r="BK279" s="37" t="s">
        <v>100</v>
      </c>
      <c r="BL279" s="40"/>
    </row>
    <row r="280" spans="1:64" ht="15" thickBot="1" x14ac:dyDescent="0.35">
      <c r="A280" s="33"/>
      <c r="B280" s="33"/>
      <c r="C280" s="35"/>
      <c r="D280" s="34"/>
      <c r="E280" s="34"/>
      <c r="F280" s="34"/>
      <c r="G280" s="32"/>
      <c r="H280" s="6" t="s">
        <v>87</v>
      </c>
      <c r="I280" s="34"/>
      <c r="J280" s="35"/>
      <c r="K280" s="28"/>
      <c r="L280" s="12" t="s">
        <v>88</v>
      </c>
      <c r="M280" s="37">
        <v>0</v>
      </c>
      <c r="N280" s="37">
        <v>0</v>
      </c>
      <c r="O280" s="10"/>
      <c r="P280" s="18"/>
      <c r="Q280" s="11"/>
      <c r="R280" s="18"/>
      <c r="S280" s="18"/>
      <c r="T280" s="33" t="s">
        <v>6</v>
      </c>
      <c r="U280" s="31"/>
      <c r="V280" s="7"/>
      <c r="W280" s="28"/>
      <c r="AB280" s="6" t="s">
        <v>89</v>
      </c>
      <c r="AC280" s="6">
        <v>34</v>
      </c>
      <c r="AD280" s="7">
        <v>36</v>
      </c>
      <c r="AE280" s="8"/>
      <c r="AF280" s="8"/>
      <c r="AG280" s="8"/>
      <c r="AH280" s="6"/>
      <c r="AI280" s="7"/>
      <c r="AJ280" s="9"/>
      <c r="AK280" s="31" t="s">
        <v>90</v>
      </c>
      <c r="AL280" s="8"/>
      <c r="AM280" s="7"/>
      <c r="AP280" s="36" t="s">
        <v>78</v>
      </c>
      <c r="AQ280" s="36">
        <v>75</v>
      </c>
      <c r="AR280" s="37">
        <v>39</v>
      </c>
      <c r="AS280" s="42"/>
      <c r="AT280" s="11"/>
      <c r="AU280" s="18"/>
      <c r="AV280" s="37"/>
      <c r="AW280" s="18"/>
      <c r="AX280" s="37"/>
      <c r="AY280" s="11"/>
      <c r="AZ280" s="28"/>
      <c r="BA280" s="28"/>
      <c r="BB280" s="17" t="s">
        <v>84</v>
      </c>
      <c r="BC280" s="18">
        <f>SUM(BC278:BC279)</f>
        <v>56</v>
      </c>
      <c r="BD280" s="18">
        <f>SUM(BD278:BD279)</f>
        <v>49</v>
      </c>
      <c r="BE280" s="13"/>
      <c r="BF280" s="27"/>
      <c r="BG280" s="26"/>
      <c r="BH280" s="58">
        <f>+BH279+BH278</f>
        <v>52067</v>
      </c>
      <c r="BI280" s="27">
        <f>+BI279+BI278</f>
        <v>10085</v>
      </c>
      <c r="BJ280" s="59"/>
      <c r="BK280" s="48" t="s">
        <v>506</v>
      </c>
      <c r="BL280" s="60">
        <f>SUM(BJ279:BJ280)</f>
        <v>25</v>
      </c>
    </row>
    <row r="281" spans="1:64" x14ac:dyDescent="0.3">
      <c r="A281" s="36" t="s">
        <v>93</v>
      </c>
      <c r="B281" s="36">
        <v>3338</v>
      </c>
      <c r="C281" s="11">
        <v>4287</v>
      </c>
      <c r="D281" s="37"/>
      <c r="E281" s="38" t="s">
        <v>60</v>
      </c>
      <c r="F281" s="37"/>
      <c r="G281" s="12">
        <v>5305</v>
      </c>
      <c r="H281" s="36">
        <v>4</v>
      </c>
      <c r="I281" s="37" t="s">
        <v>94</v>
      </c>
      <c r="J281" s="40"/>
      <c r="K281" s="28"/>
      <c r="L281" s="44" t="s">
        <v>95</v>
      </c>
      <c r="M281" s="37">
        <v>0</v>
      </c>
      <c r="N281" s="37">
        <v>0</v>
      </c>
      <c r="O281" s="10"/>
      <c r="P281" s="18"/>
      <c r="Q281" s="11"/>
      <c r="R281" s="18"/>
      <c r="S281" s="18"/>
      <c r="T281" s="10" t="s">
        <v>96</v>
      </c>
      <c r="U281" s="37"/>
      <c r="V281" s="11"/>
      <c r="W281" s="28"/>
      <c r="AB281" s="36" t="s">
        <v>97</v>
      </c>
      <c r="AC281" s="10">
        <v>6</v>
      </c>
      <c r="AD281" s="11">
        <v>2</v>
      </c>
      <c r="AE281" s="18">
        <v>0</v>
      </c>
      <c r="AF281" s="18">
        <v>0</v>
      </c>
      <c r="AG281" s="18">
        <v>0</v>
      </c>
      <c r="AH281" s="36">
        <v>0</v>
      </c>
      <c r="AI281" s="11">
        <v>0</v>
      </c>
      <c r="AJ281" s="12">
        <v>0</v>
      </c>
      <c r="AK281" s="37">
        <v>1</v>
      </c>
      <c r="AL281" s="37" t="s">
        <v>754</v>
      </c>
      <c r="AM281" s="11"/>
      <c r="AP281" s="10" t="s">
        <v>122</v>
      </c>
      <c r="AQ281" s="36">
        <v>10</v>
      </c>
      <c r="AR281" s="37">
        <v>14</v>
      </c>
      <c r="AS281" s="42"/>
      <c r="AT281" s="11"/>
      <c r="AU281" s="18"/>
      <c r="AV281" s="18">
        <v>34</v>
      </c>
      <c r="AW281" s="18" t="s">
        <v>123</v>
      </c>
      <c r="AX281" s="18"/>
      <c r="AY281" s="11"/>
      <c r="AZ281" s="28" t="s">
        <v>6</v>
      </c>
      <c r="BA281" s="28"/>
      <c r="BB281" s="32"/>
      <c r="BC281" s="63">
        <v>0</v>
      </c>
      <c r="BD281" s="64">
        <v>0</v>
      </c>
      <c r="BE281" s="33"/>
      <c r="BF281" s="8"/>
      <c r="BG281" s="35"/>
      <c r="BH281" s="65"/>
      <c r="BI281" s="66"/>
      <c r="BJ281" s="29"/>
      <c r="BK281" s="31"/>
      <c r="BL281" s="35"/>
    </row>
    <row r="282" spans="1:64" ht="15" thickBot="1" x14ac:dyDescent="0.35">
      <c r="A282" s="47"/>
      <c r="B282" s="47"/>
      <c r="C282" s="49"/>
      <c r="D282" s="48"/>
      <c r="E282" s="48"/>
      <c r="F282" s="48"/>
      <c r="G282" s="46"/>
      <c r="H282" s="47">
        <v>27</v>
      </c>
      <c r="I282" s="48" t="s">
        <v>101</v>
      </c>
      <c r="J282" s="49">
        <f>SUM(H281:H282)</f>
        <v>31</v>
      </c>
      <c r="K282" s="28"/>
      <c r="L282" s="12" t="s">
        <v>102</v>
      </c>
      <c r="M282" s="18">
        <v>0</v>
      </c>
      <c r="N282" s="18"/>
      <c r="O282" s="10"/>
      <c r="P282" s="18"/>
      <c r="Q282" s="11"/>
      <c r="R282" s="18"/>
      <c r="S282" s="18"/>
      <c r="T282" s="10"/>
      <c r="U282" s="18"/>
      <c r="V282" s="11"/>
      <c r="W282" s="28"/>
      <c r="AB282" s="47" t="s">
        <v>84</v>
      </c>
      <c r="AC282" s="13">
        <f>SUM(AC280:AC281)</f>
        <v>40</v>
      </c>
      <c r="AD282" s="26">
        <f>SUM(AD280:AD281)</f>
        <v>38</v>
      </c>
      <c r="AE282" s="27"/>
      <c r="AF282" s="27"/>
      <c r="AG282" s="27"/>
      <c r="AH282" s="13"/>
      <c r="AI282" s="26"/>
      <c r="AJ282" s="17"/>
      <c r="AK282" s="57"/>
      <c r="AL282" s="183" t="s">
        <v>6</v>
      </c>
      <c r="AM282" s="11"/>
      <c r="AP282" s="10" t="s">
        <v>125</v>
      </c>
      <c r="AQ282" s="36">
        <v>19</v>
      </c>
      <c r="AR282" s="37">
        <v>12</v>
      </c>
      <c r="AS282" s="42"/>
      <c r="AT282" s="11"/>
      <c r="AU282" s="18"/>
      <c r="AV282" s="18">
        <v>30</v>
      </c>
      <c r="AW282" s="18" t="s">
        <v>126</v>
      </c>
      <c r="AX282" s="18"/>
      <c r="AY282" s="11"/>
      <c r="AZ282" s="28"/>
      <c r="BA282" s="28"/>
      <c r="BB282" s="41"/>
      <c r="BC282" s="70">
        <v>0</v>
      </c>
      <c r="BD282" s="71">
        <v>0</v>
      </c>
      <c r="BE282" s="42"/>
      <c r="BF282" s="28"/>
      <c r="BG282" s="40"/>
      <c r="BH282" s="42"/>
      <c r="BI282" s="40"/>
      <c r="BJ282" s="42"/>
      <c r="BK282" s="54"/>
      <c r="BL282" s="40"/>
    </row>
    <row r="283" spans="1:64" ht="15" thickBot="1" x14ac:dyDescent="0.35">
      <c r="A283" s="29" t="s">
        <v>250</v>
      </c>
      <c r="B283" s="29">
        <v>0</v>
      </c>
      <c r="C283" s="7">
        <v>0</v>
      </c>
      <c r="D283" s="8"/>
      <c r="E283" s="8"/>
      <c r="F283" s="8"/>
      <c r="G283" s="9"/>
      <c r="H283" s="8" t="s">
        <v>104</v>
      </c>
      <c r="I283" s="8"/>
      <c r="J283" s="7"/>
      <c r="K283" s="28"/>
      <c r="L283" s="12" t="s">
        <v>84</v>
      </c>
      <c r="M283" s="18">
        <f>SUM(M280:M282)</f>
        <v>0</v>
      </c>
      <c r="N283" s="18">
        <f>SUM(N280:N282)</f>
        <v>0</v>
      </c>
      <c r="O283" s="10">
        <v>0</v>
      </c>
      <c r="P283" s="18">
        <v>0</v>
      </c>
      <c r="Q283" s="11">
        <v>0</v>
      </c>
      <c r="R283" s="18">
        <v>0</v>
      </c>
      <c r="S283" s="18">
        <v>0</v>
      </c>
      <c r="T283" s="13"/>
      <c r="U283" s="27"/>
      <c r="V283" s="26"/>
      <c r="W283" s="28"/>
      <c r="AB283" s="44"/>
      <c r="AC283" s="18"/>
      <c r="AD283" s="18"/>
      <c r="AE283" s="10"/>
      <c r="AF283" s="18"/>
      <c r="AG283" s="11"/>
      <c r="AH283" s="10"/>
      <c r="AI283" s="11"/>
      <c r="AJ283" s="6"/>
      <c r="AK283" s="33"/>
      <c r="AM283" s="7"/>
      <c r="AP283" s="84" t="s">
        <v>128</v>
      </c>
      <c r="AQ283" s="52">
        <v>0</v>
      </c>
      <c r="AR283" s="37">
        <v>0</v>
      </c>
      <c r="AS283" s="42"/>
      <c r="AT283" s="40"/>
      <c r="AU283" s="28"/>
      <c r="AV283" s="28">
        <v>41</v>
      </c>
      <c r="AW283" s="28" t="s">
        <v>129</v>
      </c>
      <c r="AX283" s="28"/>
      <c r="AY283" s="40"/>
      <c r="AZ283" s="28"/>
      <c r="BA283" s="28" t="s">
        <v>6</v>
      </c>
      <c r="BB283" s="68"/>
      <c r="BC283">
        <f>SUM(BC281:BC282)</f>
        <v>0</v>
      </c>
      <c r="BD283">
        <f>SUM(BD281:BD282)</f>
        <v>0</v>
      </c>
      <c r="BE283" s="47">
        <v>0</v>
      </c>
      <c r="BF283" s="27">
        <v>0</v>
      </c>
      <c r="BG283" s="49">
        <v>0</v>
      </c>
      <c r="BH283" s="75">
        <v>0</v>
      </c>
      <c r="BI283" s="49">
        <v>0</v>
      </c>
      <c r="BJ283" s="47"/>
      <c r="BK283" s="51"/>
      <c r="BL283" s="49">
        <f>SUM(BJ282:BJ283)</f>
        <v>0</v>
      </c>
    </row>
    <row r="284" spans="1:64" x14ac:dyDescent="0.3">
      <c r="A284" s="42" t="s">
        <v>105</v>
      </c>
      <c r="B284" s="42">
        <v>235</v>
      </c>
      <c r="C284" s="40">
        <v>293</v>
      </c>
      <c r="D284" s="28"/>
      <c r="E284" s="38" t="s">
        <v>60</v>
      </c>
      <c r="F284" s="28"/>
      <c r="G284" s="41"/>
      <c r="H284" s="67">
        <v>9</v>
      </c>
      <c r="I284" s="43" t="s">
        <v>106</v>
      </c>
      <c r="J284" s="40">
        <f>SUM(H284)</f>
        <v>9</v>
      </c>
      <c r="K284" s="28"/>
      <c r="L284" s="32"/>
      <c r="M284" s="33"/>
      <c r="N284" s="35"/>
      <c r="O284" s="34"/>
      <c r="P284" s="34"/>
      <c r="Q284" s="35"/>
      <c r="R284" s="33"/>
      <c r="S284" s="35"/>
      <c r="T284" s="6" t="s">
        <v>104</v>
      </c>
      <c r="U284" s="34"/>
      <c r="V284" s="35"/>
      <c r="W284" s="28"/>
      <c r="AB284" s="41"/>
      <c r="AC284" s="18"/>
      <c r="AD284" s="18"/>
      <c r="AE284" s="10">
        <v>0</v>
      </c>
      <c r="AF284" s="18">
        <v>0</v>
      </c>
      <c r="AG284" s="11">
        <v>0</v>
      </c>
      <c r="AH284" s="10"/>
      <c r="AI284" s="11"/>
      <c r="AJ284" s="10">
        <v>0</v>
      </c>
      <c r="AK284" s="10"/>
      <c r="AL284" s="37" t="s">
        <v>6</v>
      </c>
      <c r="AM284" s="11"/>
      <c r="AP284" s="84" t="s">
        <v>132</v>
      </c>
      <c r="AQ284" s="42">
        <v>0</v>
      </c>
      <c r="AR284" s="37">
        <v>4</v>
      </c>
      <c r="AS284" s="42"/>
      <c r="AT284" s="40"/>
      <c r="AU284" s="28"/>
      <c r="AV284" s="28"/>
      <c r="AW284" s="28"/>
      <c r="AX284" s="28"/>
      <c r="AY284" s="40"/>
      <c r="AZ284" s="28"/>
      <c r="BA284" s="28" t="s">
        <v>6</v>
      </c>
      <c r="BB284" s="33" t="s">
        <v>89</v>
      </c>
      <c r="BC284" s="78">
        <v>259</v>
      </c>
      <c r="BD284" s="79">
        <v>282</v>
      </c>
      <c r="BE284" s="34"/>
      <c r="BF284" s="8"/>
      <c r="BG284" s="35"/>
      <c r="BH284" s="80"/>
      <c r="BI284" s="34"/>
      <c r="BJ284" s="33"/>
      <c r="BK284" s="34" t="s">
        <v>91</v>
      </c>
      <c r="BL284" s="35"/>
    </row>
    <row r="285" spans="1:64" ht="15" thickBot="1" x14ac:dyDescent="0.35">
      <c r="A285" s="67" t="s">
        <v>84</v>
      </c>
      <c r="B285" s="47">
        <f>SUM(B283:B284)</f>
        <v>235</v>
      </c>
      <c r="C285" s="49">
        <f>SUM(C283:C284)</f>
        <v>293</v>
      </c>
      <c r="G285" s="46">
        <f>9*70</f>
        <v>630</v>
      </c>
      <c r="H285" s="48"/>
      <c r="I285" s="48"/>
      <c r="J285" s="49"/>
      <c r="K285" s="28"/>
      <c r="L285" s="69" t="s">
        <v>109</v>
      </c>
      <c r="M285" s="42">
        <v>1555</v>
      </c>
      <c r="N285" s="40">
        <v>0</v>
      </c>
      <c r="O285" s="28">
        <v>0</v>
      </c>
      <c r="P285" s="43">
        <v>0</v>
      </c>
      <c r="Q285" s="40">
        <v>0</v>
      </c>
      <c r="R285" s="42">
        <v>0</v>
      </c>
      <c r="S285" s="40">
        <v>0</v>
      </c>
      <c r="T285" s="28"/>
      <c r="U285" s="28"/>
      <c r="V285" s="40"/>
      <c r="W285" s="28"/>
      <c r="AA285" s="28"/>
      <c r="AB285" s="44"/>
      <c r="AC285" s="45"/>
      <c r="AD285" s="45"/>
      <c r="AE285" s="10">
        <v>0</v>
      </c>
      <c r="AF285" s="18">
        <v>0</v>
      </c>
      <c r="AG285" s="11">
        <v>0</v>
      </c>
      <c r="AH285" s="10"/>
      <c r="AI285" s="11"/>
      <c r="AJ285" s="67"/>
      <c r="AK285" s="42"/>
      <c r="AL285" s="54"/>
      <c r="AM285" s="40"/>
      <c r="AN285" s="28"/>
      <c r="AP285" s="84" t="s">
        <v>81</v>
      </c>
      <c r="AQ285" s="42">
        <v>15</v>
      </c>
      <c r="AR285" s="37">
        <v>22</v>
      </c>
      <c r="AS285" s="42"/>
      <c r="AT285" s="40"/>
      <c r="AU285" s="28"/>
      <c r="AV285" s="28"/>
      <c r="AW285" s="28"/>
      <c r="AX285" s="28"/>
      <c r="AY285" s="40"/>
      <c r="AZ285" s="45"/>
      <c r="BA285" s="28"/>
      <c r="BB285" s="52" t="s">
        <v>85</v>
      </c>
      <c r="BC285" s="42">
        <v>0</v>
      </c>
      <c r="BD285" s="40">
        <v>0</v>
      </c>
      <c r="BE285" s="28"/>
      <c r="BF285" s="28"/>
      <c r="BG285" s="40"/>
      <c r="BJ285" s="42"/>
      <c r="BK285" s="43"/>
      <c r="BL285" s="40"/>
    </row>
    <row r="286" spans="1:64" ht="15" thickBot="1" x14ac:dyDescent="0.35">
      <c r="A286" s="29" t="s">
        <v>108</v>
      </c>
      <c r="B286" s="29">
        <v>0</v>
      </c>
      <c r="C286" s="7">
        <v>0</v>
      </c>
      <c r="D286" s="8"/>
      <c r="E286" s="8">
        <v>761</v>
      </c>
      <c r="F286" s="8"/>
      <c r="G286" s="50"/>
      <c r="H286" s="6" t="s">
        <v>104</v>
      </c>
      <c r="I286" s="31"/>
      <c r="J286" s="30"/>
      <c r="K286" s="28"/>
      <c r="L286" s="46"/>
      <c r="M286" s="47"/>
      <c r="N286" s="49"/>
      <c r="O286" s="48"/>
      <c r="P286" s="48"/>
      <c r="Q286" s="49"/>
      <c r="R286" s="72"/>
      <c r="S286" s="73"/>
      <c r="T286" s="48"/>
      <c r="U286" s="48"/>
      <c r="V286" s="49"/>
      <c r="W286" s="28"/>
      <c r="AA286" s="28"/>
      <c r="AB286" s="41"/>
      <c r="AE286" s="10">
        <v>0</v>
      </c>
      <c r="AF286" s="18">
        <v>0</v>
      </c>
      <c r="AG286" s="11">
        <v>0</v>
      </c>
      <c r="AH286" s="10"/>
      <c r="AI286" s="11"/>
      <c r="AJ286" s="47"/>
      <c r="AK286" s="72"/>
      <c r="AL286" s="74"/>
      <c r="AM286" s="49"/>
      <c r="AN286" s="28"/>
      <c r="AP286" s="10" t="s">
        <v>138</v>
      </c>
      <c r="AQ286" s="36">
        <v>0</v>
      </c>
      <c r="AR286" s="37">
        <v>5</v>
      </c>
      <c r="AS286" s="42"/>
      <c r="AT286" s="11"/>
      <c r="AU286" s="18"/>
      <c r="AV286" s="18"/>
      <c r="AW286" s="18"/>
      <c r="AX286" s="18"/>
      <c r="AY286" s="11"/>
      <c r="AZ286" s="28"/>
      <c r="BA286" s="28" t="s">
        <v>6</v>
      </c>
      <c r="BB286" s="67" t="s">
        <v>113</v>
      </c>
      <c r="BC286" s="42">
        <v>593</v>
      </c>
      <c r="BD286" s="40">
        <v>570</v>
      </c>
      <c r="BE286" s="28"/>
      <c r="BF286" s="28"/>
      <c r="BG286" s="40"/>
      <c r="BH286" s="28"/>
      <c r="BI286" s="28"/>
      <c r="BJ286" s="67">
        <v>64</v>
      </c>
      <c r="BK286" s="43" t="s">
        <v>73</v>
      </c>
      <c r="BL286" s="40"/>
    </row>
    <row r="287" spans="1:64" ht="15" thickBot="1" x14ac:dyDescent="0.35">
      <c r="A287" s="52" t="s">
        <v>109</v>
      </c>
      <c r="B287" s="36">
        <v>657</v>
      </c>
      <c r="C287" s="11">
        <v>929</v>
      </c>
      <c r="D287" s="45"/>
      <c r="E287" s="45">
        <v>0</v>
      </c>
      <c r="F287" s="45"/>
      <c r="G287" s="69"/>
      <c r="H287" s="45">
        <v>6</v>
      </c>
      <c r="I287" s="28" t="s">
        <v>114</v>
      </c>
      <c r="J287" s="40"/>
      <c r="K287" s="28"/>
      <c r="L287" s="50" t="s">
        <v>93</v>
      </c>
      <c r="M287" s="8">
        <v>0</v>
      </c>
      <c r="N287" s="8">
        <v>0</v>
      </c>
      <c r="O287" s="6"/>
      <c r="P287" s="8"/>
      <c r="Q287" s="7"/>
      <c r="R287" s="8">
        <v>0</v>
      </c>
      <c r="S287" s="8">
        <v>0</v>
      </c>
      <c r="T287" s="10" t="s">
        <v>116</v>
      </c>
      <c r="U287" s="8"/>
      <c r="V287" s="7"/>
      <c r="W287" s="28"/>
      <c r="AA287" s="28"/>
      <c r="AB287" s="33"/>
      <c r="AC287" s="6"/>
      <c r="AD287" s="7"/>
      <c r="AE287" s="8"/>
      <c r="AF287" s="8"/>
      <c r="AG287" s="8"/>
      <c r="AH287" s="6"/>
      <c r="AI287" s="7"/>
      <c r="AJ287" s="8"/>
      <c r="AK287" s="29"/>
      <c r="AL287" s="164" t="s">
        <v>117</v>
      </c>
      <c r="AM287" s="7"/>
      <c r="AN287" s="28"/>
      <c r="AP287" s="84" t="s">
        <v>56</v>
      </c>
      <c r="AQ287" s="42">
        <v>0</v>
      </c>
      <c r="AR287" s="54">
        <v>0</v>
      </c>
      <c r="AS287" s="42"/>
      <c r="AT287" s="40"/>
      <c r="AU287" s="28"/>
      <c r="AV287" s="28"/>
      <c r="AW287" s="28"/>
      <c r="AX287" s="28"/>
      <c r="AY287" s="40"/>
      <c r="AZ287" s="28"/>
      <c r="BA287" s="28"/>
      <c r="BB287" s="47" t="s">
        <v>84</v>
      </c>
      <c r="BC287" s="47">
        <f>SUM(BC284:BC286)</f>
        <v>852</v>
      </c>
      <c r="BD287" s="49">
        <f>SUM(BD284:BD286)</f>
        <v>852</v>
      </c>
      <c r="BE287" s="81">
        <v>0</v>
      </c>
      <c r="BF287" s="27">
        <v>0</v>
      </c>
      <c r="BG287" s="82">
        <f>+BG284</f>
        <v>0</v>
      </c>
      <c r="BH287" s="74">
        <v>0</v>
      </c>
      <c r="BI287" s="74">
        <v>0</v>
      </c>
      <c r="BJ287" s="47"/>
      <c r="BK287" s="51"/>
      <c r="BL287" s="49">
        <f>SUM(BJ286)</f>
        <v>64</v>
      </c>
    </row>
    <row r="288" spans="1:64" ht="15" thickBot="1" x14ac:dyDescent="0.35">
      <c r="A288" s="76" t="s">
        <v>84</v>
      </c>
      <c r="B288" s="42">
        <f>SUM(B286:B287)</f>
        <v>657</v>
      </c>
      <c r="C288" s="40">
        <f>SUM(C286:C287)</f>
        <v>929</v>
      </c>
      <c r="D288" s="28"/>
      <c r="E288" s="28">
        <f>SUM(E286:E287)</f>
        <v>761</v>
      </c>
      <c r="F288" s="28"/>
      <c r="G288" s="46">
        <f>375*6</f>
        <v>2250</v>
      </c>
      <c r="H288" s="48"/>
      <c r="I288" s="48"/>
      <c r="J288" s="49">
        <f>SUM(H287)</f>
        <v>6</v>
      </c>
      <c r="K288" s="28"/>
      <c r="L288" s="12" t="s">
        <v>99</v>
      </c>
      <c r="M288" s="37">
        <v>99999</v>
      </c>
      <c r="N288" s="37">
        <v>24683</v>
      </c>
      <c r="O288" s="10"/>
      <c r="P288" s="18"/>
      <c r="Q288" s="11"/>
      <c r="R288" s="18">
        <v>5182</v>
      </c>
      <c r="S288" s="18">
        <v>201</v>
      </c>
      <c r="T288" s="10"/>
      <c r="U288" s="18"/>
      <c r="V288" s="11"/>
      <c r="W288" s="28"/>
      <c r="AA288" s="28"/>
      <c r="AB288" s="67"/>
      <c r="AC288" s="42"/>
      <c r="AD288" s="40"/>
      <c r="AE288" s="28"/>
      <c r="AF288" s="28"/>
      <c r="AG288" s="28"/>
      <c r="AH288" s="42"/>
      <c r="AI288" s="40"/>
      <c r="AJ288" s="28"/>
      <c r="AK288" s="42"/>
      <c r="AL288" s="54" t="s">
        <v>558</v>
      </c>
      <c r="AM288" s="40"/>
      <c r="AN288" s="28"/>
      <c r="AP288" s="36" t="s">
        <v>67</v>
      </c>
      <c r="AQ288" s="10">
        <v>78</v>
      </c>
      <c r="AR288" s="18">
        <v>71</v>
      </c>
      <c r="AS288" s="42"/>
      <c r="AT288" s="11"/>
      <c r="AU288" s="18"/>
      <c r="AV288" s="18"/>
      <c r="AW288" s="18"/>
      <c r="AX288" s="18"/>
      <c r="AY288" s="11"/>
      <c r="AZ288" s="28"/>
      <c r="BA288" s="28"/>
      <c r="BB288" s="52" t="s">
        <v>113</v>
      </c>
      <c r="BC288" s="42">
        <v>667</v>
      </c>
      <c r="BD288" s="85">
        <v>625</v>
      </c>
      <c r="BE288" s="37"/>
      <c r="BF288" s="18"/>
      <c r="BG288" s="54"/>
      <c r="BH288" s="52"/>
      <c r="BI288" s="40"/>
      <c r="BJ288" s="67"/>
      <c r="BK288" s="34" t="s">
        <v>130</v>
      </c>
      <c r="BL288" s="40"/>
    </row>
    <row r="289" spans="1:65" ht="15" thickBot="1" x14ac:dyDescent="0.35">
      <c r="A289" s="32" t="s">
        <v>93</v>
      </c>
      <c r="B289" s="33">
        <v>6042</v>
      </c>
      <c r="C289" s="35">
        <v>6927</v>
      </c>
      <c r="D289" s="33"/>
      <c r="E289" s="34"/>
      <c r="F289" s="34"/>
      <c r="G289" s="32">
        <f>62*150</f>
        <v>9300</v>
      </c>
      <c r="H289" s="33" t="s">
        <v>118</v>
      </c>
      <c r="I289" s="34"/>
      <c r="J289" s="35"/>
      <c r="K289" s="28"/>
      <c r="L289" s="12" t="s">
        <v>120</v>
      </c>
      <c r="M289" s="37">
        <v>2392</v>
      </c>
      <c r="N289" s="37">
        <v>12186</v>
      </c>
      <c r="O289" s="10"/>
      <c r="P289" s="18"/>
      <c r="Q289" s="11"/>
      <c r="R289" s="18">
        <v>563</v>
      </c>
      <c r="S289" s="18">
        <v>19</v>
      </c>
      <c r="T289" s="10"/>
      <c r="U289" s="18"/>
      <c r="V289" s="11"/>
      <c r="W289" s="28"/>
      <c r="AA289" s="28"/>
      <c r="AB289" s="36"/>
      <c r="AC289" s="10"/>
      <c r="AD289" s="11"/>
      <c r="AE289" s="18"/>
      <c r="AF289" s="18"/>
      <c r="AG289" s="18"/>
      <c r="AH289" s="10"/>
      <c r="AI289" s="11"/>
      <c r="AJ289" s="18"/>
      <c r="AK289" s="10"/>
      <c r="AL289" s="37" t="s">
        <v>302</v>
      </c>
      <c r="AM289" s="11"/>
      <c r="AN289" s="28"/>
      <c r="AP289" s="13" t="s">
        <v>84</v>
      </c>
      <c r="AQ289" s="13">
        <f>SUM(AQ277:AQ288)</f>
        <v>360</v>
      </c>
      <c r="AR289" s="27">
        <f>SUM(AR277:AR288)</f>
        <v>309</v>
      </c>
      <c r="AS289" s="47"/>
      <c r="AT289" s="26">
        <f>SUM(AT281:AT288)</f>
        <v>0</v>
      </c>
      <c r="AU289" s="27"/>
      <c r="AV289" s="27"/>
      <c r="AW289" s="27"/>
      <c r="AX289" s="27"/>
      <c r="AY289" s="26">
        <f>SUM(AV281:AV283)</f>
        <v>105</v>
      </c>
      <c r="AZ289" s="28"/>
      <c r="BA289" s="28"/>
      <c r="BB289" s="42" t="s">
        <v>475</v>
      </c>
      <c r="BC289" s="67">
        <v>0</v>
      </c>
      <c r="BD289" s="85">
        <v>0</v>
      </c>
      <c r="BE289" s="28"/>
      <c r="BF289" s="18"/>
      <c r="BG289" s="28"/>
      <c r="BH289" s="52"/>
      <c r="BI289" s="86"/>
      <c r="BJ289" s="52">
        <v>53</v>
      </c>
      <c r="BK289" s="43" t="s">
        <v>73</v>
      </c>
      <c r="BL289" s="40"/>
      <c r="BM289" t="s">
        <v>6</v>
      </c>
    </row>
    <row r="290" spans="1:65" ht="15" thickBot="1" x14ac:dyDescent="0.35">
      <c r="A290" s="41" t="s">
        <v>120</v>
      </c>
      <c r="B290" s="42">
        <v>3834</v>
      </c>
      <c r="C290" s="40">
        <v>4275</v>
      </c>
      <c r="D290" s="42"/>
      <c r="E290" s="107" t="s">
        <v>60</v>
      </c>
      <c r="F290" s="28"/>
      <c r="G290" s="41">
        <f>31*150</f>
        <v>4650</v>
      </c>
      <c r="H290" s="42">
        <v>93</v>
      </c>
      <c r="I290" s="28" t="s">
        <v>101</v>
      </c>
      <c r="J290" s="40"/>
      <c r="K290" s="28"/>
      <c r="L290" s="12" t="s">
        <v>84</v>
      </c>
      <c r="M290" s="18">
        <f>SUM(M287:M289)</f>
        <v>102391</v>
      </c>
      <c r="N290" s="18">
        <f>SUM(N287:N289)</f>
        <v>36869</v>
      </c>
      <c r="O290" s="10">
        <v>0</v>
      </c>
      <c r="P290" s="18">
        <v>0</v>
      </c>
      <c r="Q290" s="11">
        <v>0</v>
      </c>
      <c r="R290" s="18">
        <f>SUM(R287:R289)</f>
        <v>5745</v>
      </c>
      <c r="S290" s="18">
        <f>SUM(S287:S289)</f>
        <v>220</v>
      </c>
      <c r="T290" s="10"/>
      <c r="U290" s="18"/>
      <c r="V290" s="11"/>
      <c r="W290" s="28"/>
      <c r="AA290" s="28"/>
      <c r="AB290" s="42"/>
      <c r="AC290" s="42"/>
      <c r="AD290" s="40"/>
      <c r="AE290" s="28"/>
      <c r="AF290" s="28"/>
      <c r="AG290" s="28"/>
      <c r="AH290" s="42"/>
      <c r="AI290" s="40"/>
      <c r="AJ290" s="28"/>
      <c r="AK290" s="42">
        <v>6</v>
      </c>
      <c r="AL290" s="28" t="s">
        <v>124</v>
      </c>
      <c r="AM290" s="40"/>
      <c r="AN290" s="28"/>
      <c r="AP290" s="32"/>
      <c r="AQ290" s="53"/>
      <c r="AR290" s="97"/>
      <c r="AS290" s="33"/>
      <c r="AT290" s="7"/>
      <c r="AU290" s="6"/>
      <c r="AV290" s="8"/>
      <c r="AW290" s="31"/>
      <c r="AX290" s="8"/>
      <c r="AY290" s="7"/>
      <c r="AZ290" s="28"/>
      <c r="BA290" s="28"/>
      <c r="BB290" s="59" t="s">
        <v>84</v>
      </c>
      <c r="BC290" s="13">
        <f>SUM(BC288:BC289)</f>
        <v>667</v>
      </c>
      <c r="BD290" s="60">
        <f>SUM(BD288:BD289)</f>
        <v>625</v>
      </c>
      <c r="BE290" s="81">
        <v>0</v>
      </c>
      <c r="BF290" s="27">
        <v>0</v>
      </c>
      <c r="BG290" s="27">
        <v>0</v>
      </c>
      <c r="BH290" s="13">
        <v>0</v>
      </c>
      <c r="BI290" s="26">
        <v>0</v>
      </c>
      <c r="BJ290" s="13"/>
      <c r="BK290" s="43"/>
      <c r="BL290" s="26">
        <f>SUM(BJ288:BJ289)</f>
        <v>53</v>
      </c>
    </row>
    <row r="291" spans="1:65" ht="15" thickBot="1" x14ac:dyDescent="0.35">
      <c r="A291" s="46" t="s">
        <v>84</v>
      </c>
      <c r="B291" s="47">
        <f>SUM(B289:B290)</f>
        <v>9876</v>
      </c>
      <c r="C291" s="49">
        <f>SUM(C289:C290)</f>
        <v>11202</v>
      </c>
      <c r="D291" s="47"/>
      <c r="E291" s="48"/>
      <c r="F291" s="48"/>
      <c r="G291" s="46">
        <f>SUM(G289:G290)</f>
        <v>13950</v>
      </c>
      <c r="H291" s="47"/>
      <c r="I291" s="48" t="s">
        <v>127</v>
      </c>
      <c r="J291" s="49">
        <f>SUM(H290:H291)</f>
        <v>93</v>
      </c>
      <c r="K291" s="28"/>
      <c r="L291" s="17"/>
      <c r="M291" s="27"/>
      <c r="N291" s="27"/>
      <c r="O291" s="13"/>
      <c r="P291" s="27"/>
      <c r="Q291" s="26"/>
      <c r="R291" s="27"/>
      <c r="S291" s="27"/>
      <c r="T291" s="13"/>
      <c r="U291" s="27"/>
      <c r="V291" s="26"/>
      <c r="W291" s="28"/>
      <c r="AA291" s="28"/>
      <c r="AB291" s="47"/>
      <c r="AC291" s="47"/>
      <c r="AD291" s="49"/>
      <c r="AE291" s="48"/>
      <c r="AF291" s="48"/>
      <c r="AG291" s="48"/>
      <c r="AH291" s="47"/>
      <c r="AI291" s="49"/>
      <c r="AJ291" s="48"/>
      <c r="AK291" s="165"/>
      <c r="AL291" s="48"/>
      <c r="AM291" s="49"/>
      <c r="AN291" s="28"/>
      <c r="AP291" s="62"/>
      <c r="AQ291" s="72"/>
      <c r="AR291" s="73"/>
      <c r="AS291" s="47"/>
      <c r="AT291" s="49"/>
      <c r="AU291" s="47"/>
      <c r="AV291" s="48"/>
      <c r="AW291" s="48"/>
      <c r="AX291" s="48"/>
      <c r="AY291" s="49"/>
      <c r="BA291" s="28"/>
      <c r="BB291" s="88" t="s">
        <v>139</v>
      </c>
      <c r="BC291" s="33">
        <v>5</v>
      </c>
      <c r="BD291" s="34">
        <v>3</v>
      </c>
      <c r="BE291" s="152"/>
      <c r="BF291" s="89"/>
      <c r="BG291" s="66"/>
      <c r="BH291" s="8"/>
      <c r="BI291" s="35"/>
      <c r="BJ291" s="34" t="s">
        <v>140</v>
      </c>
      <c r="BK291" s="34"/>
      <c r="BL291" s="35"/>
    </row>
    <row r="292" spans="1:65" x14ac:dyDescent="0.3">
      <c r="A292" s="41" t="s">
        <v>88</v>
      </c>
      <c r="B292" s="42">
        <v>355</v>
      </c>
      <c r="C292" s="40">
        <v>365</v>
      </c>
      <c r="D292" s="28"/>
      <c r="E292" s="45">
        <v>0</v>
      </c>
      <c r="F292" s="40"/>
      <c r="G292" s="40">
        <v>1216</v>
      </c>
      <c r="H292" s="28" t="s">
        <v>131</v>
      </c>
      <c r="J292" s="40"/>
      <c r="K292" s="28"/>
      <c r="L292" s="12" t="s">
        <v>105</v>
      </c>
      <c r="M292" s="34">
        <v>2978</v>
      </c>
      <c r="N292" s="34">
        <v>146</v>
      </c>
      <c r="O292" s="33"/>
      <c r="P292" s="34"/>
      <c r="Q292" s="35"/>
      <c r="R292" s="34">
        <v>0</v>
      </c>
      <c r="S292" s="34">
        <v>0</v>
      </c>
      <c r="T292" s="33"/>
      <c r="U292" s="34"/>
      <c r="V292" s="35"/>
      <c r="W292" s="28"/>
      <c r="AA292" s="28"/>
      <c r="AB292" s="32" t="s">
        <v>97</v>
      </c>
      <c r="AC292" s="28">
        <v>149</v>
      </c>
      <c r="AD292" s="28">
        <v>119</v>
      </c>
      <c r="AE292" s="33"/>
      <c r="AF292" s="34"/>
      <c r="AG292" s="34"/>
      <c r="AH292" s="33"/>
      <c r="AI292" s="35"/>
      <c r="AJ292" s="35"/>
      <c r="AK292" s="33"/>
      <c r="AL292" s="34"/>
      <c r="AM292" s="35"/>
      <c r="AN292" s="28"/>
      <c r="AP292" s="67" t="s">
        <v>63</v>
      </c>
      <c r="AQ292" s="33">
        <v>4</v>
      </c>
      <c r="AR292" s="35">
        <v>4</v>
      </c>
      <c r="AU292" s="33"/>
      <c r="AV292" s="34"/>
      <c r="AW292" s="34"/>
      <c r="AX292" s="34"/>
      <c r="AY292" s="35"/>
      <c r="AZ292" s="28"/>
      <c r="BA292" s="28"/>
      <c r="BB292" s="42" t="s">
        <v>755</v>
      </c>
      <c r="BC292" s="42">
        <v>2</v>
      </c>
      <c r="BD292" s="43">
        <v>0</v>
      </c>
      <c r="BE292" s="42"/>
      <c r="BF292" s="28"/>
      <c r="BG292" s="40"/>
      <c r="BH292" s="28"/>
      <c r="BI292" s="40"/>
      <c r="BJ292" s="28"/>
      <c r="BK292" s="28"/>
      <c r="BL292" s="40"/>
    </row>
    <row r="293" spans="1:65" x14ac:dyDescent="0.3">
      <c r="A293" s="41" t="s">
        <v>102</v>
      </c>
      <c r="B293" s="42">
        <v>360</v>
      </c>
      <c r="C293" s="85">
        <v>336</v>
      </c>
      <c r="D293" s="28"/>
      <c r="E293" s="45">
        <v>0</v>
      </c>
      <c r="F293" s="40"/>
      <c r="G293" s="40">
        <v>1216</v>
      </c>
      <c r="H293" s="43">
        <v>9</v>
      </c>
      <c r="I293" s="28" t="s">
        <v>134</v>
      </c>
      <c r="J293" s="40"/>
      <c r="K293" s="28"/>
      <c r="L293" s="44" t="s">
        <v>99</v>
      </c>
      <c r="M293" s="18">
        <v>1408</v>
      </c>
      <c r="N293" s="18">
        <v>0</v>
      </c>
      <c r="O293" s="10"/>
      <c r="P293" s="18"/>
      <c r="Q293" s="11"/>
      <c r="R293" s="18">
        <v>0</v>
      </c>
      <c r="S293" s="18">
        <v>0</v>
      </c>
      <c r="T293" s="10" t="s">
        <v>135</v>
      </c>
      <c r="U293" s="18"/>
      <c r="V293" s="11"/>
      <c r="W293" s="28"/>
      <c r="AA293" s="28"/>
      <c r="AB293" s="41" t="s">
        <v>89</v>
      </c>
      <c r="AC293" s="28">
        <v>362</v>
      </c>
      <c r="AD293" s="28">
        <v>307</v>
      </c>
      <c r="AE293" s="42"/>
      <c r="AF293" s="28"/>
      <c r="AG293" s="28"/>
      <c r="AH293" s="42"/>
      <c r="AI293" s="40"/>
      <c r="AJ293" s="40"/>
      <c r="AK293" s="42" t="s">
        <v>136</v>
      </c>
      <c r="AL293" s="28"/>
      <c r="AM293" s="40"/>
      <c r="AN293" s="28"/>
      <c r="AP293" s="67" t="s">
        <v>716</v>
      </c>
      <c r="AQ293" s="42">
        <v>0</v>
      </c>
      <c r="AR293" s="40">
        <v>0</v>
      </c>
      <c r="AU293" s="42"/>
      <c r="AV293" s="28"/>
      <c r="AW293" s="28"/>
      <c r="AX293" s="28"/>
      <c r="AY293" s="40"/>
      <c r="AZ293" s="28"/>
      <c r="BA293" s="28"/>
      <c r="BB293" s="153" t="s">
        <v>214</v>
      </c>
      <c r="BC293" s="42">
        <v>0</v>
      </c>
      <c r="BD293" s="43">
        <v>15</v>
      </c>
      <c r="BE293" s="42"/>
      <c r="BF293" s="28"/>
      <c r="BG293" s="40"/>
      <c r="BH293" s="28"/>
      <c r="BI293" s="40"/>
      <c r="BJ293" s="28"/>
      <c r="BK293" s="28"/>
      <c r="BL293" s="40"/>
    </row>
    <row r="294" spans="1:65" ht="15" thickBot="1" x14ac:dyDescent="0.35">
      <c r="A294" s="87" t="s">
        <v>84</v>
      </c>
      <c r="B294" s="59">
        <f>SUM(B292:B293)</f>
        <v>715</v>
      </c>
      <c r="C294" s="26">
        <f>SUM(C292:C293)</f>
        <v>701</v>
      </c>
      <c r="D294" s="27"/>
      <c r="E294" s="16">
        <f>SUM(E290:E293)</f>
        <v>0</v>
      </c>
      <c r="F294" s="26"/>
      <c r="G294" s="49">
        <f>SUM(G292:G293)</f>
        <v>2432</v>
      </c>
      <c r="H294" s="48"/>
      <c r="I294" s="48"/>
      <c r="J294" s="49">
        <f>SUM(H292:H293)</f>
        <v>9</v>
      </c>
      <c r="K294" s="28"/>
      <c r="L294" s="12"/>
      <c r="M294" s="18"/>
      <c r="N294" s="18"/>
      <c r="O294" s="10"/>
      <c r="P294" s="18"/>
      <c r="Q294" s="11"/>
      <c r="R294" s="18"/>
      <c r="S294" s="18"/>
      <c r="T294" s="10"/>
      <c r="U294" s="18"/>
      <c r="V294" s="11"/>
      <c r="W294" s="28"/>
      <c r="AA294" s="28"/>
      <c r="AB294" s="44" t="s">
        <v>137</v>
      </c>
      <c r="AC294" s="18">
        <v>306</v>
      </c>
      <c r="AD294" s="18">
        <v>362</v>
      </c>
      <c r="AE294" s="10"/>
      <c r="AF294" s="18"/>
      <c r="AG294" s="18"/>
      <c r="AH294" s="52"/>
      <c r="AI294" s="85"/>
      <c r="AJ294" s="40"/>
      <c r="AK294" s="84"/>
      <c r="AL294" s="37"/>
      <c r="AM294" s="40"/>
      <c r="AN294" s="28"/>
      <c r="AP294" s="52" t="s">
        <v>56</v>
      </c>
      <c r="AQ294" s="52">
        <v>0</v>
      </c>
      <c r="AR294" s="85">
        <v>0</v>
      </c>
      <c r="AS294" s="28"/>
      <c r="AT294" s="28"/>
      <c r="AU294" s="42"/>
      <c r="AV294" s="28" t="s">
        <v>173</v>
      </c>
      <c r="AW294" s="28"/>
      <c r="AX294" s="28"/>
      <c r="AY294" s="40"/>
      <c r="AZ294" s="28"/>
      <c r="BA294" s="28"/>
      <c r="BB294" s="92" t="s">
        <v>113</v>
      </c>
      <c r="BC294" s="67">
        <f>3+47+3+1+19+6+2+4</f>
        <v>85</v>
      </c>
      <c r="BD294" s="43">
        <f>49+1+17+2+5+2+8+6</f>
        <v>90</v>
      </c>
      <c r="BE294" s="52"/>
      <c r="BF294" s="54"/>
      <c r="BG294" s="85"/>
      <c r="BH294" s="18"/>
      <c r="BI294" s="40"/>
      <c r="BJ294" s="18" t="s">
        <v>142</v>
      </c>
      <c r="BK294" s="18"/>
      <c r="BL294" s="39" t="s">
        <v>730</v>
      </c>
    </row>
    <row r="295" spans="1:65" x14ac:dyDescent="0.3">
      <c r="A295" s="36" t="s">
        <v>93</v>
      </c>
      <c r="B295" s="42">
        <v>7239</v>
      </c>
      <c r="C295" s="90">
        <v>7687</v>
      </c>
      <c r="D295" s="3"/>
      <c r="E295" s="91" t="s">
        <v>60</v>
      </c>
      <c r="F295" s="18"/>
      <c r="G295" s="44">
        <v>9440</v>
      </c>
      <c r="H295" s="10" t="s">
        <v>116</v>
      </c>
      <c r="I295" s="18"/>
      <c r="J295" s="11"/>
      <c r="K295" s="28"/>
      <c r="L295" s="12" t="s">
        <v>84</v>
      </c>
      <c r="M295" s="18">
        <f>SUM(M292:M294)</f>
        <v>4386</v>
      </c>
      <c r="N295" s="18">
        <f>SUM(N292:N294)</f>
        <v>146</v>
      </c>
      <c r="O295" s="10">
        <v>0</v>
      </c>
      <c r="P295" s="18">
        <v>0</v>
      </c>
      <c r="Q295" s="11">
        <v>0</v>
      </c>
      <c r="R295" s="18">
        <f>SUM(R292:R294)</f>
        <v>0</v>
      </c>
      <c r="S295" s="18">
        <f>SUM(S292:S294)</f>
        <v>0</v>
      </c>
      <c r="T295" s="10"/>
      <c r="U295" s="18"/>
      <c r="V295" s="11"/>
      <c r="W295" s="28"/>
      <c r="AA295" s="28"/>
      <c r="AB295" s="41" t="s">
        <v>84</v>
      </c>
      <c r="AC295" s="28">
        <f>SUM(AC292:AC294)</f>
        <v>817</v>
      </c>
      <c r="AD295" s="28">
        <f>SUM(AD292:AD294)</f>
        <v>788</v>
      </c>
      <c r="AE295" s="42">
        <v>0</v>
      </c>
      <c r="AF295" s="28">
        <v>0</v>
      </c>
      <c r="AG295" s="28">
        <v>0</v>
      </c>
      <c r="AH295" s="42">
        <v>0</v>
      </c>
      <c r="AI295" s="40">
        <v>0</v>
      </c>
      <c r="AJ295" s="40">
        <v>0</v>
      </c>
      <c r="AK295" s="67">
        <v>21</v>
      </c>
      <c r="AL295" s="28" t="s">
        <v>141</v>
      </c>
      <c r="AM295" s="40"/>
      <c r="AN295" s="28"/>
      <c r="AP295" s="52" t="s">
        <v>67</v>
      </c>
      <c r="AQ295" s="52">
        <v>7</v>
      </c>
      <c r="AR295" s="56">
        <v>7</v>
      </c>
      <c r="AU295" s="42"/>
      <c r="AV295" s="28"/>
      <c r="AW295" s="28" t="s">
        <v>213</v>
      </c>
      <c r="AX295" s="28"/>
      <c r="AY295" s="40"/>
      <c r="AZ295" s="28"/>
      <c r="BA295" s="28"/>
      <c r="BB295" s="42" t="s">
        <v>108</v>
      </c>
      <c r="BC295" s="67">
        <v>0</v>
      </c>
      <c r="BD295" s="43">
        <v>2</v>
      </c>
      <c r="BE295" s="52"/>
      <c r="BF295" s="54"/>
      <c r="BG295" s="85"/>
      <c r="BH295" s="18"/>
      <c r="BI295" s="40"/>
      <c r="BJ295" s="154" t="s">
        <v>146</v>
      </c>
      <c r="BK295" s="28"/>
      <c r="BL295" s="94" t="s">
        <v>591</v>
      </c>
    </row>
    <row r="296" spans="1:65" ht="15" thickBot="1" x14ac:dyDescent="0.35">
      <c r="A296" s="10" t="s">
        <v>99</v>
      </c>
      <c r="B296" s="42">
        <v>11965</v>
      </c>
      <c r="C296" s="40">
        <v>13561</v>
      </c>
      <c r="D296" s="3"/>
      <c r="E296" s="91" t="s">
        <v>60</v>
      </c>
      <c r="F296" s="18"/>
      <c r="G296" s="12">
        <v>16954</v>
      </c>
      <c r="H296" s="10">
        <v>134</v>
      </c>
      <c r="I296" s="37" t="s">
        <v>144</v>
      </c>
      <c r="J296" s="11"/>
      <c r="K296" s="28"/>
      <c r="L296" s="12"/>
      <c r="M296" s="18"/>
      <c r="N296" s="18"/>
      <c r="O296" s="10"/>
      <c r="P296" s="18"/>
      <c r="Q296" s="11"/>
      <c r="R296" s="18"/>
      <c r="S296" s="18"/>
      <c r="T296" s="10"/>
      <c r="U296" s="18"/>
      <c r="V296" s="11"/>
      <c r="W296" s="28"/>
      <c r="AA296" s="28"/>
      <c r="AB296" s="46"/>
      <c r="AC296" s="48"/>
      <c r="AD296" s="48"/>
      <c r="AE296" s="47"/>
      <c r="AF296" s="48"/>
      <c r="AG296" s="48"/>
      <c r="AH296" s="47"/>
      <c r="AI296" s="49"/>
      <c r="AJ296" s="49"/>
      <c r="AK296" s="47"/>
      <c r="AL296" s="48" t="s">
        <v>145</v>
      </c>
      <c r="AM296" s="49"/>
      <c r="AN296" s="28"/>
      <c r="AP296" s="10" t="s">
        <v>78</v>
      </c>
      <c r="AQ296" s="52">
        <v>1</v>
      </c>
      <c r="AR296" s="85">
        <v>11</v>
      </c>
      <c r="AS296" s="28"/>
      <c r="AT296" s="28"/>
      <c r="AU296" s="42"/>
      <c r="AV296" s="28">
        <v>18</v>
      </c>
      <c r="AW296" s="28" t="s">
        <v>183</v>
      </c>
      <c r="AX296" s="28"/>
      <c r="AY296" s="40"/>
      <c r="AZ296" s="28"/>
      <c r="BA296" s="28" t="s">
        <v>6</v>
      </c>
      <c r="BB296" s="127" t="s">
        <v>756</v>
      </c>
      <c r="BC296" s="67">
        <v>3</v>
      </c>
      <c r="BD296" s="43">
        <v>0</v>
      </c>
      <c r="BE296" s="42"/>
      <c r="BF296" s="28"/>
      <c r="BG296" s="40"/>
      <c r="BH296" s="28"/>
      <c r="BI296" s="40"/>
      <c r="BJ296" s="28"/>
      <c r="BK296" s="28"/>
      <c r="BL296" s="40"/>
    </row>
    <row r="297" spans="1:65" x14ac:dyDescent="0.3">
      <c r="A297" s="10" t="s">
        <v>120</v>
      </c>
      <c r="B297" s="42">
        <v>4405</v>
      </c>
      <c r="C297" s="40">
        <v>4874</v>
      </c>
      <c r="D297" s="3"/>
      <c r="E297" s="91" t="s">
        <v>60</v>
      </c>
      <c r="F297" s="18"/>
      <c r="G297" s="12">
        <v>5308</v>
      </c>
      <c r="H297" s="84">
        <v>34</v>
      </c>
      <c r="I297" s="37" t="s">
        <v>148</v>
      </c>
      <c r="J297" s="11"/>
      <c r="K297" s="28"/>
      <c r="L297" s="12"/>
      <c r="M297" s="18"/>
      <c r="N297" s="18"/>
      <c r="O297" s="10"/>
      <c r="P297" s="18"/>
      <c r="Q297" s="11"/>
      <c r="R297" s="18"/>
      <c r="S297" s="18"/>
      <c r="T297" s="10"/>
      <c r="U297" s="18"/>
      <c r="V297" s="11"/>
      <c r="W297" s="28"/>
      <c r="AA297" s="28"/>
      <c r="AB297" s="42"/>
      <c r="AC297" s="42"/>
      <c r="AD297" s="40"/>
      <c r="AE297" s="28"/>
      <c r="AF297" s="28"/>
      <c r="AG297" s="28"/>
      <c r="AH297" s="42"/>
      <c r="AI297" s="28"/>
      <c r="AJ297" s="41"/>
      <c r="AK297" s="28" t="s">
        <v>149</v>
      </c>
      <c r="AL297" s="28"/>
      <c r="AM297" s="40"/>
      <c r="AN297" s="28" t="s">
        <v>6</v>
      </c>
      <c r="AO297" s="95"/>
      <c r="AP297" s="52" t="s">
        <v>115</v>
      </c>
      <c r="AQ297" s="52">
        <v>1</v>
      </c>
      <c r="AR297" s="85">
        <v>2</v>
      </c>
      <c r="AS297" s="28"/>
      <c r="AT297" s="28"/>
      <c r="AU297" s="42"/>
      <c r="AV297" s="28" t="s">
        <v>6</v>
      </c>
      <c r="AW297" s="28"/>
      <c r="AX297" s="28"/>
      <c r="AY297" s="40"/>
      <c r="AZ297" s="28"/>
      <c r="BA297" s="28"/>
      <c r="BB297" s="52" t="s">
        <v>133</v>
      </c>
      <c r="BC297" s="67">
        <f>30+2</f>
        <v>32</v>
      </c>
      <c r="BD297" s="43">
        <f>54+1</f>
        <v>55</v>
      </c>
      <c r="BE297" s="52" t="s">
        <v>150</v>
      </c>
      <c r="BF297" s="54"/>
      <c r="BG297" s="85"/>
      <c r="BH297" s="18"/>
      <c r="BI297" s="40"/>
      <c r="BJ297" s="28" t="s">
        <v>151</v>
      </c>
      <c r="BK297" s="28" t="s">
        <v>757</v>
      </c>
      <c r="BL297" s="185" t="s">
        <v>758</v>
      </c>
    </row>
    <row r="298" spans="1:65" ht="15" thickBot="1" x14ac:dyDescent="0.35">
      <c r="A298" s="10" t="s">
        <v>84</v>
      </c>
      <c r="B298" s="42">
        <f>SUM(B295:B297)</f>
        <v>23609</v>
      </c>
      <c r="C298" s="40">
        <f>SUM(C295:C297)</f>
        <v>26122</v>
      </c>
      <c r="D298" s="3"/>
      <c r="E298" s="91" t="s">
        <v>60</v>
      </c>
      <c r="F298" s="18"/>
      <c r="G298" s="12">
        <f>SUM(G295:G297)</f>
        <v>31702</v>
      </c>
      <c r="H298" s="42">
        <v>15</v>
      </c>
      <c r="I298" s="54" t="s">
        <v>152</v>
      </c>
      <c r="J298" s="40"/>
      <c r="K298" s="28"/>
      <c r="L298" s="44"/>
      <c r="M298" s="18"/>
      <c r="N298" s="18"/>
      <c r="O298" s="10"/>
      <c r="P298" s="18"/>
      <c r="Q298" s="11"/>
      <c r="R298" s="18"/>
      <c r="S298" s="18"/>
      <c r="T298" s="10"/>
      <c r="U298" s="18"/>
      <c r="V298" s="11"/>
      <c r="W298" s="28"/>
      <c r="Y298" t="s">
        <v>6</v>
      </c>
      <c r="AB298" s="36" t="s">
        <v>99</v>
      </c>
      <c r="AC298" s="10">
        <v>0</v>
      </c>
      <c r="AD298" s="11">
        <v>0</v>
      </c>
      <c r="AE298" s="18">
        <v>0</v>
      </c>
      <c r="AF298" s="18">
        <v>0</v>
      </c>
      <c r="AG298" s="18">
        <v>0</v>
      </c>
      <c r="AH298" s="52">
        <v>59970</v>
      </c>
      <c r="AI298" s="45">
        <v>5681</v>
      </c>
      <c r="AJ298" s="41">
        <v>0</v>
      </c>
      <c r="AK298" s="45">
        <v>4</v>
      </c>
      <c r="AL298" s="37" t="s">
        <v>153</v>
      </c>
      <c r="AM298" s="40"/>
      <c r="AP298" s="52" t="s">
        <v>72</v>
      </c>
      <c r="AQ298" s="52">
        <v>1</v>
      </c>
      <c r="AR298" s="85">
        <v>1</v>
      </c>
      <c r="AU298" s="42"/>
      <c r="AV298" s="28"/>
      <c r="AW298" s="28"/>
      <c r="AX298" s="28"/>
      <c r="AY298" s="40"/>
      <c r="AZ298" s="28"/>
      <c r="BA298" s="28"/>
      <c r="BB298" s="52" t="s">
        <v>85</v>
      </c>
      <c r="BC298" s="42">
        <v>4</v>
      </c>
      <c r="BD298" s="43">
        <f>27+2</f>
        <v>29</v>
      </c>
      <c r="BE298" s="42"/>
      <c r="BF298" s="54"/>
      <c r="BG298" s="40"/>
      <c r="BH298" s="45"/>
      <c r="BI298" s="56"/>
      <c r="BJ298" s="43" t="s">
        <v>466</v>
      </c>
      <c r="BK298" s="28" t="s">
        <v>159</v>
      </c>
      <c r="BL298" s="40" t="s">
        <v>533</v>
      </c>
    </row>
    <row r="299" spans="1:65" ht="16.2" thickBot="1" x14ac:dyDescent="0.35">
      <c r="A299" s="13"/>
      <c r="B299" s="47"/>
      <c r="C299" s="49"/>
      <c r="D299" s="27"/>
      <c r="E299" s="27"/>
      <c r="F299" s="27"/>
      <c r="G299" s="17"/>
      <c r="H299" s="47"/>
      <c r="I299" s="27"/>
      <c r="J299" s="60">
        <f>SUM(H296:H298)</f>
        <v>183</v>
      </c>
      <c r="K299" s="28"/>
      <c r="L299" s="12"/>
      <c r="M299" s="18"/>
      <c r="N299" s="18"/>
      <c r="O299" s="10"/>
      <c r="P299" s="18"/>
      <c r="Q299" s="11"/>
      <c r="R299" s="18"/>
      <c r="S299" s="18"/>
      <c r="T299" s="10"/>
      <c r="U299" s="18"/>
      <c r="V299" s="11"/>
      <c r="W299" s="28"/>
      <c r="AB299" s="32"/>
      <c r="AC299" s="6"/>
      <c r="AD299" s="7"/>
      <c r="AE299" s="8"/>
      <c r="AF299" s="8"/>
      <c r="AG299" s="8"/>
      <c r="AH299" s="6"/>
      <c r="AI299" s="7"/>
      <c r="AJ299" s="8"/>
      <c r="AK299" s="29" t="s">
        <v>157</v>
      </c>
      <c r="AL299" s="8"/>
      <c r="AM299" s="7"/>
      <c r="AP299" s="52" t="s">
        <v>84</v>
      </c>
      <c r="AQ299" s="47">
        <f>SUM(AQ292:AQ298)</f>
        <v>14</v>
      </c>
      <c r="AR299" s="49">
        <f>SUM(AR292:AR298)</f>
        <v>25</v>
      </c>
      <c r="AS299" s="28"/>
      <c r="AT299" s="28"/>
      <c r="AU299" s="47"/>
      <c r="AV299" s="48"/>
      <c r="AW299" s="48"/>
      <c r="AX299" s="48"/>
      <c r="AY299" s="49">
        <f>SUM(AV296)</f>
        <v>18</v>
      </c>
      <c r="AZ299" s="28"/>
      <c r="BA299" s="28"/>
      <c r="BB299" s="151" t="s">
        <v>93</v>
      </c>
      <c r="BC299" s="36">
        <v>3</v>
      </c>
      <c r="BD299" s="37">
        <v>1</v>
      </c>
      <c r="BE299" s="10"/>
      <c r="BF299" s="18"/>
      <c r="BG299" s="11"/>
      <c r="BH299" s="18"/>
      <c r="BI299" s="11"/>
      <c r="BJ299" s="158" t="s">
        <v>714</v>
      </c>
      <c r="BK299" s="178" t="s">
        <v>595</v>
      </c>
      <c r="BL299" s="94" t="s">
        <v>759</v>
      </c>
    </row>
    <row r="300" spans="1:65" ht="15" thickBot="1" x14ac:dyDescent="0.35">
      <c r="A300" s="6" t="s">
        <v>105</v>
      </c>
      <c r="B300" s="6">
        <v>1210</v>
      </c>
      <c r="C300" s="7">
        <v>1272</v>
      </c>
      <c r="D300" s="8"/>
      <c r="E300" s="80">
        <v>1056</v>
      </c>
      <c r="F300" s="66"/>
      <c r="G300" s="8">
        <v>3476</v>
      </c>
      <c r="H300" s="6" t="s">
        <v>162</v>
      </c>
      <c r="I300" s="8"/>
      <c r="J300" s="7"/>
      <c r="K300" s="28"/>
      <c r="L300" s="17"/>
      <c r="M300" s="27"/>
      <c r="N300" s="27"/>
      <c r="O300" s="13"/>
      <c r="P300" s="27"/>
      <c r="Q300" s="26"/>
      <c r="R300" s="27"/>
      <c r="S300" s="27"/>
      <c r="T300" s="13"/>
      <c r="U300" s="27"/>
      <c r="V300" s="26"/>
      <c r="W300" s="28"/>
      <c r="AB300" s="68" t="s">
        <v>99</v>
      </c>
      <c r="AC300" s="42">
        <v>0</v>
      </c>
      <c r="AD300" s="40">
        <v>0</v>
      </c>
      <c r="AE300">
        <v>0</v>
      </c>
      <c r="AF300">
        <v>0</v>
      </c>
      <c r="AG300">
        <v>0</v>
      </c>
      <c r="AH300" s="42">
        <v>136484</v>
      </c>
      <c r="AI300" s="40">
        <v>61961</v>
      </c>
      <c r="AJ300" s="43">
        <v>0</v>
      </c>
      <c r="AK300" s="42">
        <v>2</v>
      </c>
      <c r="AL300" s="54" t="s">
        <v>163</v>
      </c>
      <c r="AM300" s="40"/>
      <c r="AP300" s="32" t="s">
        <v>63</v>
      </c>
      <c r="AQ300" s="123">
        <f>6+1</f>
        <v>7</v>
      </c>
      <c r="AR300" s="123">
        <f>4+1</f>
        <v>5</v>
      </c>
      <c r="AS300" s="33"/>
      <c r="AT300" s="7"/>
      <c r="AU300" s="6"/>
      <c r="AV300" s="34" t="s">
        <v>140</v>
      </c>
      <c r="AW300" s="8"/>
      <c r="AX300" s="8"/>
      <c r="AY300" s="7"/>
      <c r="AZ300" s="28"/>
      <c r="BA300" s="28"/>
      <c r="BB300" s="42" t="s">
        <v>760</v>
      </c>
      <c r="BC300" s="42">
        <v>2</v>
      </c>
      <c r="BD300" s="54">
        <v>4</v>
      </c>
      <c r="BE300" s="10"/>
      <c r="BF300" s="18"/>
      <c r="BG300" s="11"/>
      <c r="BH300" s="18"/>
      <c r="BI300" s="11"/>
      <c r="BJ300" s="158" t="s">
        <v>761</v>
      </c>
      <c r="BK300" s="186" t="s">
        <v>273</v>
      </c>
      <c r="BL300" s="39" t="s">
        <v>692</v>
      </c>
    </row>
    <row r="301" spans="1:65" ht="15" thickBot="1" x14ac:dyDescent="0.35">
      <c r="A301" s="36" t="s">
        <v>99</v>
      </c>
      <c r="B301" s="10">
        <v>506</v>
      </c>
      <c r="C301" s="11">
        <v>519</v>
      </c>
      <c r="D301" s="18"/>
      <c r="E301" s="18">
        <v>947</v>
      </c>
      <c r="F301" s="85"/>
      <c r="G301" s="18">
        <v>3476</v>
      </c>
      <c r="H301" s="42"/>
      <c r="I301" s="54"/>
      <c r="J301" s="11"/>
      <c r="L301" s="101" t="s">
        <v>84</v>
      </c>
      <c r="M301" s="102">
        <f>SUM(M295+M290+M285+M283+M279+M274)</f>
        <v>119595</v>
      </c>
      <c r="N301" s="102">
        <f>SUM(N295+N290+N285+N283+N279+N274)</f>
        <v>65939</v>
      </c>
      <c r="O301" s="103">
        <v>0</v>
      </c>
      <c r="P301" s="102">
        <v>0</v>
      </c>
      <c r="Q301" s="104">
        <v>0</v>
      </c>
      <c r="R301" s="102">
        <f>SUM(R295+R290+R285+R283+R274+R279)</f>
        <v>5745</v>
      </c>
      <c r="S301" s="102">
        <f>SUM(S295+S290+S283+S279+S274)</f>
        <v>220</v>
      </c>
      <c r="T301" s="105"/>
      <c r="U301" s="102"/>
      <c r="V301" s="106"/>
      <c r="AB301" s="44" t="s">
        <v>6</v>
      </c>
      <c r="AC301" s="10"/>
      <c r="AD301" s="11"/>
      <c r="AE301" s="18"/>
      <c r="AF301" s="18"/>
      <c r="AG301" s="18"/>
      <c r="AH301" s="10"/>
      <c r="AI301" s="11"/>
      <c r="AJ301" s="18"/>
      <c r="AK301" s="10">
        <v>9</v>
      </c>
      <c r="AL301" s="37" t="s">
        <v>153</v>
      </c>
      <c r="AM301" s="11"/>
      <c r="AP301" s="44" t="s">
        <v>78</v>
      </c>
      <c r="AQ301" s="37">
        <f>22+5+20</f>
        <v>47</v>
      </c>
      <c r="AR301" s="37">
        <f>11+9+17</f>
        <v>37</v>
      </c>
      <c r="AS301" s="42"/>
      <c r="AT301" s="11"/>
      <c r="AU301" s="10"/>
      <c r="AV301" s="37">
        <v>8</v>
      </c>
      <c r="AW301" s="37" t="s">
        <v>204</v>
      </c>
      <c r="AX301" s="18"/>
      <c r="AY301" s="11"/>
      <c r="AZ301" s="28"/>
      <c r="BA301" s="28"/>
      <c r="BB301" s="36" t="s">
        <v>169</v>
      </c>
      <c r="BC301" s="36">
        <f>1+3</f>
        <v>4</v>
      </c>
      <c r="BD301" s="37">
        <f>1+2</f>
        <v>3</v>
      </c>
      <c r="BE301" s="10"/>
      <c r="BF301" s="18"/>
      <c r="BG301" s="11"/>
      <c r="BH301" s="18"/>
      <c r="BI301" s="11"/>
      <c r="BJ301" s="158" t="s">
        <v>762</v>
      </c>
      <c r="BK301" s="37" t="s">
        <v>627</v>
      </c>
      <c r="BL301" s="39" t="s">
        <v>763</v>
      </c>
    </row>
    <row r="302" spans="1:65" ht="15" thickBot="1" x14ac:dyDescent="0.35">
      <c r="A302" s="10"/>
      <c r="B302" s="10"/>
      <c r="C302" s="39"/>
      <c r="D302" s="18"/>
      <c r="E302" s="18"/>
      <c r="F302" s="85"/>
      <c r="G302" s="18"/>
      <c r="H302" s="42">
        <v>44</v>
      </c>
      <c r="I302" s="37" t="s">
        <v>101</v>
      </c>
      <c r="J302" s="11"/>
      <c r="AB302" s="46" t="s">
        <v>6</v>
      </c>
      <c r="AC302" s="47"/>
      <c r="AD302" s="49"/>
      <c r="AE302" s="48"/>
      <c r="AF302" s="48"/>
      <c r="AG302" s="48"/>
      <c r="AH302" s="47"/>
      <c r="AI302" s="49"/>
      <c r="AJ302" s="48"/>
      <c r="AK302" s="47"/>
      <c r="AL302" s="48"/>
      <c r="AM302" s="49"/>
      <c r="AP302" s="125" t="s">
        <v>209</v>
      </c>
      <c r="AQ302" s="54">
        <v>0</v>
      </c>
      <c r="AR302" s="54">
        <v>0</v>
      </c>
      <c r="AS302" s="42"/>
      <c r="AT302" s="40"/>
      <c r="AU302" s="42"/>
      <c r="AV302" s="28">
        <v>4</v>
      </c>
      <c r="AW302" s="28" t="s">
        <v>210</v>
      </c>
      <c r="AX302" s="28" t="s">
        <v>6</v>
      </c>
      <c r="AY302" s="40"/>
      <c r="AZ302" s="28"/>
      <c r="BA302" s="28"/>
      <c r="BB302" s="36" t="s">
        <v>99</v>
      </c>
      <c r="BC302" s="36">
        <v>0</v>
      </c>
      <c r="BD302" s="37">
        <v>2</v>
      </c>
      <c r="BE302" s="10"/>
      <c r="BF302" s="18"/>
      <c r="BG302" s="11"/>
      <c r="BH302" s="18"/>
      <c r="BI302" s="11"/>
      <c r="BJ302" s="179" t="s">
        <v>309</v>
      </c>
      <c r="BK302" s="37" t="s">
        <v>736</v>
      </c>
      <c r="BL302" s="39" t="s">
        <v>764</v>
      </c>
    </row>
    <row r="303" spans="1:65" ht="15" thickBot="1" x14ac:dyDescent="0.35">
      <c r="A303" s="13" t="s">
        <v>84</v>
      </c>
      <c r="B303" s="13">
        <f>SUM(B300:B302)</f>
        <v>1716</v>
      </c>
      <c r="C303" s="26">
        <f>SUM(C300:C302)</f>
        <v>1791</v>
      </c>
      <c r="D303" s="27"/>
      <c r="E303" s="27">
        <f>SUM(E300:E302)</f>
        <v>2003</v>
      </c>
      <c r="F303" s="26"/>
      <c r="G303" s="27">
        <f>SUM(G300:G302)</f>
        <v>6952</v>
      </c>
      <c r="H303" s="13"/>
      <c r="I303" s="81"/>
      <c r="J303" s="26">
        <f>SUM(H301:H302)</f>
        <v>44</v>
      </c>
      <c r="M303" s="115"/>
      <c r="AB303" s="6"/>
      <c r="AC303" s="6"/>
      <c r="AD303" s="7"/>
      <c r="AE303" s="8"/>
      <c r="AF303" s="8"/>
      <c r="AG303" s="8"/>
      <c r="AH303" s="6"/>
      <c r="AI303" s="7"/>
      <c r="AJ303" s="8"/>
      <c r="AK303" s="29"/>
      <c r="AL303" s="8"/>
      <c r="AM303" s="7"/>
      <c r="AN303" s="45"/>
      <c r="AP303" s="44" t="s">
        <v>168</v>
      </c>
      <c r="AQ303" s="54">
        <v>2</v>
      </c>
      <c r="AR303" s="54">
        <v>2</v>
      </c>
      <c r="AS303" s="42"/>
      <c r="AT303" s="11"/>
      <c r="AU303" s="10"/>
      <c r="AV303" s="37">
        <v>15</v>
      </c>
      <c r="AW303" s="37" t="s">
        <v>213</v>
      </c>
      <c r="AX303" s="18" t="s">
        <v>6</v>
      </c>
      <c r="AY303" s="11"/>
      <c r="AZ303" s="28"/>
      <c r="BA303" s="28"/>
      <c r="BB303" s="150" t="s">
        <v>765</v>
      </c>
      <c r="BC303" s="36">
        <v>6</v>
      </c>
      <c r="BD303" s="37">
        <v>0</v>
      </c>
      <c r="BE303" s="10"/>
      <c r="BF303" s="37"/>
      <c r="BG303" s="11"/>
      <c r="BH303" s="18"/>
      <c r="BI303" s="11"/>
      <c r="BJ303" s="158" t="s">
        <v>327</v>
      </c>
      <c r="BK303" s="54" t="s">
        <v>444</v>
      </c>
      <c r="BL303" s="39" t="s">
        <v>766</v>
      </c>
    </row>
    <row r="304" spans="1:65" ht="15" thickBot="1" x14ac:dyDescent="0.35">
      <c r="A304" s="42" t="s">
        <v>181</v>
      </c>
      <c r="B304" s="42">
        <v>3440</v>
      </c>
      <c r="C304" s="40">
        <v>3216</v>
      </c>
      <c r="D304" s="28"/>
      <c r="E304" s="107" t="s">
        <v>60</v>
      </c>
      <c r="F304" s="43"/>
      <c r="G304" s="41">
        <v>4833</v>
      </c>
      <c r="H304" s="18" t="s">
        <v>182</v>
      </c>
      <c r="I304" s="28"/>
      <c r="J304" s="11"/>
      <c r="K304" s="43"/>
      <c r="M304" s="115"/>
      <c r="N304" s="115"/>
      <c r="O304" s="115"/>
      <c r="P304" s="115"/>
      <c r="Q304" s="115"/>
      <c r="R304" s="115"/>
      <c r="S304" s="115"/>
      <c r="AB304" s="36"/>
      <c r="AC304" s="10"/>
      <c r="AD304" s="11"/>
      <c r="AE304" s="18"/>
      <c r="AF304" s="18"/>
      <c r="AG304" s="18"/>
      <c r="AH304" s="36"/>
      <c r="AI304" s="11"/>
      <c r="AJ304" s="18"/>
      <c r="AK304" s="36"/>
      <c r="AL304" s="37"/>
      <c r="AM304" s="11"/>
      <c r="AN304" s="45"/>
      <c r="AP304" s="125" t="s">
        <v>81</v>
      </c>
      <c r="AQ304" s="54">
        <v>5</v>
      </c>
      <c r="AR304" s="54">
        <f>4+4</f>
        <v>8</v>
      </c>
      <c r="AS304" s="42"/>
      <c r="AT304" s="40"/>
      <c r="AU304" s="42"/>
      <c r="AV304" s="54">
        <v>32</v>
      </c>
      <c r="AW304" s="128" t="s">
        <v>222</v>
      </c>
      <c r="AX304" s="28"/>
      <c r="AY304" s="40" t="s">
        <v>6</v>
      </c>
      <c r="AZ304" s="37"/>
      <c r="BA304" s="37"/>
      <c r="BB304" s="36" t="s">
        <v>200</v>
      </c>
      <c r="BC304" s="36">
        <v>8</v>
      </c>
      <c r="BD304" s="37">
        <v>4</v>
      </c>
      <c r="BE304" s="10"/>
      <c r="BF304" s="18"/>
      <c r="BG304" s="11"/>
      <c r="BH304" s="18"/>
      <c r="BI304" s="11"/>
      <c r="BJ304" s="37" t="s">
        <v>371</v>
      </c>
      <c r="BK304" s="37" t="s">
        <v>332</v>
      </c>
      <c r="BL304" s="180" t="s">
        <v>767</v>
      </c>
    </row>
    <row r="305" spans="1:64" ht="15" thickBot="1" x14ac:dyDescent="0.35">
      <c r="A305" s="42" t="s">
        <v>120</v>
      </c>
      <c r="B305" s="42">
        <v>0</v>
      </c>
      <c r="C305" s="40">
        <v>0</v>
      </c>
      <c r="D305" s="28"/>
      <c r="E305" s="107" t="s">
        <v>60</v>
      </c>
      <c r="F305" s="43"/>
      <c r="G305" s="68"/>
      <c r="H305" s="43">
        <v>1</v>
      </c>
      <c r="I305" s="28" t="s">
        <v>188</v>
      </c>
      <c r="J305" s="11"/>
      <c r="K305" s="28"/>
      <c r="M305" s="166"/>
      <c r="AA305" s="28"/>
      <c r="AB305" s="103" t="s">
        <v>84</v>
      </c>
      <c r="AC305" s="103">
        <f>SUM(AC304+AC300+AC298+AC295+AC288+AC290+AC286+AC282+AC279+AC276+AC277)</f>
        <v>1726</v>
      </c>
      <c r="AD305" s="104">
        <f>SUM(AD304+AD300+AD298+AD295+AD288+AD286+AD282+AD279+AD277+AD276)</f>
        <v>1813</v>
      </c>
      <c r="AE305" s="103">
        <v>0</v>
      </c>
      <c r="AF305" s="102">
        <v>0</v>
      </c>
      <c r="AG305" s="102">
        <v>0</v>
      </c>
      <c r="AH305" s="109">
        <f>SUM(AH304+AH300+AH298+AH295+AH292+AH290+AH286+AH282+AH279+AH277+AH276)</f>
        <v>196454</v>
      </c>
      <c r="AI305" s="110">
        <f>SUM(AI304+AI300+AI298+AI295+AI290+AI286+AI281+AI279+AI277+AI276)</f>
        <v>67642</v>
      </c>
      <c r="AJ305" s="110">
        <v>0</v>
      </c>
      <c r="AK305" s="111" t="s">
        <v>743</v>
      </c>
      <c r="AL305" s="111"/>
      <c r="AM305" s="104">
        <f>SUM(AK276:AK304)</f>
        <v>47</v>
      </c>
      <c r="AN305" s="45"/>
      <c r="AP305" s="125" t="s">
        <v>72</v>
      </c>
      <c r="AQ305" s="54">
        <f>21+5+4+3+5</f>
        <v>38</v>
      </c>
      <c r="AR305" s="45">
        <f>16+2+11+6+3</f>
        <v>38</v>
      </c>
      <c r="AS305" s="42"/>
      <c r="AT305" s="40"/>
      <c r="AU305" s="42"/>
      <c r="AV305" s="54">
        <v>2</v>
      </c>
      <c r="AW305" s="54" t="s">
        <v>216</v>
      </c>
      <c r="AX305" s="45"/>
      <c r="AY305" s="40"/>
      <c r="AZ305" s="28"/>
      <c r="BA305" s="28"/>
      <c r="BB305" s="150" t="s">
        <v>211</v>
      </c>
      <c r="BC305" s="36">
        <v>2</v>
      </c>
      <c r="BD305" s="37">
        <v>0</v>
      </c>
      <c r="BE305" s="10"/>
      <c r="BF305" s="18"/>
      <c r="BG305" s="11"/>
      <c r="BH305" s="18"/>
      <c r="BI305" s="11"/>
      <c r="BJ305" s="159" t="s">
        <v>568</v>
      </c>
      <c r="BK305" s="37" t="s">
        <v>768</v>
      </c>
      <c r="BL305" s="39" t="s">
        <v>269</v>
      </c>
    </row>
    <row r="306" spans="1:64" x14ac:dyDescent="0.3">
      <c r="A306" s="42" t="s">
        <v>84</v>
      </c>
      <c r="B306" s="42">
        <f>SUM(B304:B305)</f>
        <v>3440</v>
      </c>
      <c r="C306" s="40">
        <f>SUM(C304:C305)</f>
        <v>3216</v>
      </c>
      <c r="D306" s="28"/>
      <c r="E306" s="107" t="s">
        <v>60</v>
      </c>
      <c r="F306" s="43"/>
      <c r="G306" s="41">
        <f>SUM(G304:G305)</f>
        <v>4833</v>
      </c>
      <c r="H306" s="28">
        <v>27</v>
      </c>
      <c r="I306" s="43" t="s">
        <v>101</v>
      </c>
      <c r="J306" s="40"/>
      <c r="K306" s="28"/>
      <c r="L306" s="28"/>
      <c r="N306" s="113"/>
      <c r="AA306" s="28"/>
      <c r="AB306" s="52" t="s">
        <v>193</v>
      </c>
      <c r="AC306" s="28"/>
      <c r="AD306" s="28"/>
      <c r="AE306" s="28"/>
      <c r="AF306" s="28"/>
      <c r="AG306" s="28"/>
      <c r="AH306" s="28"/>
      <c r="AI306" s="28"/>
      <c r="AM306" t="s">
        <v>6</v>
      </c>
      <c r="AN306" s="45"/>
      <c r="AP306" s="125" t="s">
        <v>115</v>
      </c>
      <c r="AQ306" s="54">
        <v>0</v>
      </c>
      <c r="AR306" s="45">
        <f>3+2</f>
        <v>5</v>
      </c>
      <c r="AS306" s="42"/>
      <c r="AT306" s="40"/>
      <c r="AU306" s="42"/>
      <c r="AV306" s="54">
        <v>0</v>
      </c>
      <c r="AW306" s="54" t="s">
        <v>217</v>
      </c>
      <c r="AX306" s="28"/>
      <c r="AY306" s="40"/>
      <c r="AZ306" s="28"/>
      <c r="BB306" s="150" t="s">
        <v>549</v>
      </c>
      <c r="BC306" s="36">
        <v>4</v>
      </c>
      <c r="BD306" s="37">
        <v>0</v>
      </c>
      <c r="BE306" s="10"/>
      <c r="BF306" s="18"/>
      <c r="BG306" s="11"/>
      <c r="BH306" s="18"/>
      <c r="BI306" s="11"/>
      <c r="BJ306" s="128" t="s">
        <v>507</v>
      </c>
      <c r="BK306" s="37" t="s">
        <v>318</v>
      </c>
      <c r="BL306" s="39" t="s">
        <v>307</v>
      </c>
    </row>
    <row r="307" spans="1:64" ht="15" thickBot="1" x14ac:dyDescent="0.35">
      <c r="A307" s="13"/>
      <c r="B307" s="10"/>
      <c r="C307" s="11"/>
      <c r="D307" s="27"/>
      <c r="E307" s="27"/>
      <c r="F307" s="27"/>
      <c r="G307" s="17"/>
      <c r="H307" s="48"/>
      <c r="I307" s="48" t="s">
        <v>727</v>
      </c>
      <c r="J307" s="49">
        <f>SUM(H305:H307)</f>
        <v>28</v>
      </c>
      <c r="L307" s="108"/>
      <c r="M307" s="115"/>
      <c r="O307" s="116"/>
      <c r="AA307" s="28"/>
      <c r="AN307" s="45"/>
      <c r="AP307" s="125" t="s">
        <v>56</v>
      </c>
      <c r="AQ307" s="54">
        <f>6+6+7</f>
        <v>19</v>
      </c>
      <c r="AR307" s="45">
        <f>8+2+4+6</f>
        <v>20</v>
      </c>
      <c r="AS307" s="42"/>
      <c r="AT307" s="40"/>
      <c r="AU307" s="42"/>
      <c r="AV307" s="54">
        <v>2</v>
      </c>
      <c r="AW307" s="54" t="s">
        <v>769</v>
      </c>
      <c r="AX307" s="28"/>
      <c r="AY307" s="40"/>
      <c r="AZ307" s="28"/>
      <c r="BB307" s="36" t="s">
        <v>184</v>
      </c>
      <c r="BC307" s="36">
        <v>0</v>
      </c>
      <c r="BD307" s="37">
        <v>0</v>
      </c>
      <c r="BE307" s="10"/>
      <c r="BF307" s="18"/>
      <c r="BG307" s="11"/>
      <c r="BH307" s="18"/>
      <c r="BI307" s="11"/>
      <c r="BJ307" s="128" t="s">
        <v>522</v>
      </c>
      <c r="BK307" s="37" t="s">
        <v>258</v>
      </c>
      <c r="BL307" s="39" t="s">
        <v>208</v>
      </c>
    </row>
    <row r="308" spans="1:64" ht="16.2" thickBot="1" x14ac:dyDescent="0.35">
      <c r="A308" s="117" t="s">
        <v>84</v>
      </c>
      <c r="B308" s="118">
        <f>SUM(B306+B303+B298+B294+B291+B288+B285+B281+B277+B274)</f>
        <v>45292</v>
      </c>
      <c r="C308" s="120">
        <f>SUM(C306+C303+C298+C294+C291+C288+C285+C281+C277+C274)</f>
        <v>51263</v>
      </c>
      <c r="D308" s="119"/>
      <c r="E308" s="119">
        <f>SUM(E303+E288)</f>
        <v>2764</v>
      </c>
      <c r="F308" s="120"/>
      <c r="G308" s="121">
        <f>SUM(G306+G303+G298+G294+G291+G285+G281+G277+G274+G288)</f>
        <v>71018</v>
      </c>
      <c r="H308" s="13" t="s">
        <v>199</v>
      </c>
      <c r="I308" s="81"/>
      <c r="J308" s="26">
        <f>SUM(J275:J307)</f>
        <v>424</v>
      </c>
      <c r="O308" s="122"/>
      <c r="AN308" s="45"/>
      <c r="AP308" s="125" t="s">
        <v>138</v>
      </c>
      <c r="AQ308" s="54">
        <v>0</v>
      </c>
      <c r="AR308" s="45">
        <v>0</v>
      </c>
      <c r="AS308" s="42"/>
      <c r="AT308" s="40"/>
      <c r="AU308" s="42"/>
      <c r="AV308" s="54">
        <v>9</v>
      </c>
      <c r="AW308" s="54" t="s">
        <v>221</v>
      </c>
      <c r="AX308" s="28"/>
      <c r="AY308" s="40"/>
      <c r="AZ308" s="28"/>
      <c r="BB308" s="36" t="s">
        <v>770</v>
      </c>
      <c r="BC308" s="10">
        <v>5</v>
      </c>
      <c r="BD308" s="37">
        <v>4</v>
      </c>
      <c r="BE308" s="10"/>
      <c r="BF308" s="18"/>
      <c r="BG308" s="39"/>
      <c r="BH308" s="18"/>
      <c r="BI308" s="11"/>
      <c r="BJ308" s="159" t="s">
        <v>771</v>
      </c>
      <c r="BK308" s="37"/>
      <c r="BL308" s="39"/>
    </row>
    <row r="309" spans="1:64" x14ac:dyDescent="0.3">
      <c r="AN309" s="45"/>
      <c r="AP309" s="125" t="s">
        <v>67</v>
      </c>
      <c r="AQ309" s="54">
        <f>2+16</f>
        <v>18</v>
      </c>
      <c r="AR309" s="45">
        <f>2+1+9</f>
        <v>12</v>
      </c>
      <c r="AS309" s="42"/>
      <c r="AT309" s="40"/>
      <c r="AU309" s="42"/>
      <c r="AV309" s="54">
        <v>1</v>
      </c>
      <c r="AW309" s="54" t="s">
        <v>246</v>
      </c>
      <c r="AX309" s="28"/>
      <c r="AY309" s="40"/>
      <c r="AZ309" s="28"/>
      <c r="BB309" s="150" t="s">
        <v>772</v>
      </c>
      <c r="BC309" s="10">
        <v>1</v>
      </c>
      <c r="BD309" s="37">
        <v>3</v>
      </c>
      <c r="BE309" s="10"/>
      <c r="BF309" s="18"/>
      <c r="BG309" s="11"/>
      <c r="BH309" s="18"/>
      <c r="BI309" s="11"/>
      <c r="BJ309" s="179"/>
      <c r="BK309" s="37"/>
      <c r="BL309" s="39"/>
    </row>
    <row r="310" spans="1:64" x14ac:dyDescent="0.3">
      <c r="AN310" s="45"/>
      <c r="AP310" s="125" t="s">
        <v>122</v>
      </c>
      <c r="AQ310" s="54">
        <f>8+4</f>
        <v>12</v>
      </c>
      <c r="AR310" s="45">
        <v>18</v>
      </c>
      <c r="AS310" s="42"/>
      <c r="AT310" s="40"/>
      <c r="AU310" s="42"/>
      <c r="AV310" s="54">
        <v>1</v>
      </c>
      <c r="AW310" s="54" t="s">
        <v>618</v>
      </c>
      <c r="AX310" s="28"/>
      <c r="AY310" s="40"/>
      <c r="AZ310" s="28"/>
      <c r="BB310" s="92" t="s">
        <v>105</v>
      </c>
      <c r="BC310" s="84">
        <f>7+5</f>
        <v>12</v>
      </c>
      <c r="BD310" s="54">
        <v>5</v>
      </c>
      <c r="BE310" s="84"/>
      <c r="BF310" s="45"/>
      <c r="BG310" s="85"/>
      <c r="BH310" s="18"/>
      <c r="BI310" s="11"/>
      <c r="BJ310" s="179"/>
      <c r="BK310" s="54"/>
      <c r="BL310" s="86"/>
    </row>
    <row r="311" spans="1:64" x14ac:dyDescent="0.3">
      <c r="B311" s="126"/>
      <c r="C311" s="126"/>
      <c r="M311" t="s">
        <v>6</v>
      </c>
      <c r="AN311" s="45"/>
      <c r="AP311" s="125" t="s">
        <v>227</v>
      </c>
      <c r="AQ311" s="54">
        <v>0</v>
      </c>
      <c r="AR311" s="45">
        <v>0</v>
      </c>
      <c r="AS311" s="42"/>
      <c r="AT311" s="40"/>
      <c r="AU311" s="42"/>
      <c r="AV311" s="54">
        <v>1</v>
      </c>
      <c r="AW311" s="54" t="s">
        <v>773</v>
      </c>
      <c r="AX311" s="28"/>
      <c r="AY311" s="40"/>
      <c r="BB311" s="67" t="s">
        <v>564</v>
      </c>
      <c r="BC311" s="84">
        <v>8</v>
      </c>
      <c r="BD311" s="54">
        <v>6</v>
      </c>
      <c r="BE311" s="84"/>
      <c r="BF311" s="45"/>
      <c r="BG311" s="85"/>
      <c r="BH311" s="45"/>
      <c r="BI311" s="85"/>
      <c r="BJ311" s="179"/>
      <c r="BK311" s="54"/>
      <c r="BL311" s="180"/>
    </row>
    <row r="312" spans="1:64" x14ac:dyDescent="0.3">
      <c r="AN312" s="45"/>
      <c r="AP312" s="41" t="s">
        <v>230</v>
      </c>
      <c r="AQ312" s="54">
        <f>2+4+5+4+12</f>
        <v>27</v>
      </c>
      <c r="AR312" s="45">
        <f>2+6+5+12+2</f>
        <v>27</v>
      </c>
      <c r="AS312" s="42"/>
      <c r="AT312" s="40"/>
      <c r="AU312" s="42"/>
      <c r="AV312" s="54">
        <v>12</v>
      </c>
      <c r="AW312" s="54" t="s">
        <v>655</v>
      </c>
      <c r="AX312" s="28"/>
      <c r="AY312" s="40"/>
      <c r="BB312" s="67" t="s">
        <v>220</v>
      </c>
      <c r="BC312" s="84">
        <v>3</v>
      </c>
      <c r="BD312" s="54">
        <f>3+8</f>
        <v>11</v>
      </c>
      <c r="BE312" s="84"/>
      <c r="BF312" s="45"/>
      <c r="BG312" s="85"/>
      <c r="BH312" s="45"/>
      <c r="BI312" s="85"/>
      <c r="BJ312" s="179"/>
      <c r="BK312" s="54"/>
      <c r="BL312" s="180"/>
    </row>
    <row r="313" spans="1:64" x14ac:dyDescent="0.3">
      <c r="AP313" s="68" t="s">
        <v>125</v>
      </c>
      <c r="AQ313" s="54">
        <v>0</v>
      </c>
      <c r="AR313" s="45">
        <v>0</v>
      </c>
      <c r="AS313" s="42"/>
      <c r="AT313" s="40"/>
      <c r="AU313" s="42"/>
      <c r="AV313" s="54">
        <v>1</v>
      </c>
      <c r="AW313" s="54" t="s">
        <v>774</v>
      </c>
      <c r="AX313" s="28"/>
      <c r="AY313" s="40"/>
      <c r="BB313" s="127" t="s">
        <v>775</v>
      </c>
      <c r="BC313" s="84">
        <v>4</v>
      </c>
      <c r="BD313" s="54">
        <v>0</v>
      </c>
      <c r="BE313" s="42"/>
      <c r="BF313" s="45"/>
      <c r="BG313" s="40"/>
      <c r="BH313" s="45"/>
      <c r="BI313" s="85"/>
      <c r="BJ313" s="158"/>
      <c r="BK313" s="54"/>
      <c r="BL313" s="86"/>
    </row>
    <row r="314" spans="1:64" x14ac:dyDescent="0.3">
      <c r="AP314" s="68" t="s">
        <v>132</v>
      </c>
      <c r="AQ314" s="54">
        <v>2</v>
      </c>
      <c r="AR314" s="45">
        <v>3</v>
      </c>
      <c r="AS314" s="42"/>
      <c r="AT314" s="40"/>
      <c r="AU314" s="42"/>
      <c r="AV314" s="54">
        <v>2</v>
      </c>
      <c r="AW314" s="54" t="s">
        <v>472</v>
      </c>
      <c r="AX314" s="28"/>
      <c r="AY314" s="40"/>
      <c r="BB314" s="127" t="s">
        <v>218</v>
      </c>
      <c r="BC314" s="84">
        <v>25</v>
      </c>
      <c r="BD314" s="54">
        <v>10</v>
      </c>
      <c r="BE314" s="42"/>
      <c r="BF314" s="45">
        <v>0</v>
      </c>
      <c r="BG314" s="40"/>
      <c r="BH314" s="45"/>
      <c r="BI314" s="85"/>
      <c r="BJ314" s="179"/>
      <c r="BK314" s="54"/>
      <c r="BL314" s="180"/>
    </row>
    <row r="315" spans="1:64" x14ac:dyDescent="0.3">
      <c r="AM315" t="s">
        <v>6</v>
      </c>
      <c r="AP315" s="41" t="s">
        <v>6</v>
      </c>
      <c r="AS315" s="42"/>
      <c r="AT315" s="40"/>
      <c r="AU315" s="42"/>
      <c r="AV315" s="54">
        <v>24</v>
      </c>
      <c r="AW315" s="54" t="s">
        <v>215</v>
      </c>
      <c r="AX315" s="28"/>
      <c r="AY315" s="40"/>
      <c r="BB315" s="181" t="s">
        <v>358</v>
      </c>
      <c r="BC315" s="10">
        <v>6</v>
      </c>
      <c r="BD315" s="18">
        <v>4</v>
      </c>
      <c r="BE315" s="10"/>
      <c r="BF315" s="18"/>
      <c r="BG315" s="11"/>
      <c r="BH315" s="18"/>
      <c r="BI315" s="11"/>
      <c r="BJ315" s="179"/>
      <c r="BK315" s="37"/>
      <c r="BL315" s="182"/>
    </row>
    <row r="316" spans="1:64" ht="15" thickBot="1" x14ac:dyDescent="0.35">
      <c r="H316" t="s">
        <v>6</v>
      </c>
      <c r="AP316" s="46" t="s">
        <v>84</v>
      </c>
      <c r="AQ316" s="48">
        <f>SUM(AQ300:AQ315)</f>
        <v>177</v>
      </c>
      <c r="AR316" s="48">
        <f>SUM(AR300:AR315)</f>
        <v>175</v>
      </c>
      <c r="AS316" s="47"/>
      <c r="AT316" s="49"/>
      <c r="AU316" s="47"/>
      <c r="AV316" s="48">
        <v>5</v>
      </c>
      <c r="AW316" s="48" t="s">
        <v>244</v>
      </c>
      <c r="AX316" s="48"/>
      <c r="AY316" s="49">
        <f>SUM(AV301:AV316)</f>
        <v>119</v>
      </c>
      <c r="BB316" s="13" t="s">
        <v>84</v>
      </c>
      <c r="BC316" s="13">
        <f>SUM(BC291:BC315)</f>
        <v>224</v>
      </c>
      <c r="BD316" s="27">
        <f>SUM(BD291:BD315)</f>
        <v>251</v>
      </c>
      <c r="BE316" s="13">
        <v>0</v>
      </c>
      <c r="BF316" s="27">
        <f>SUM(BF291:BF315)</f>
        <v>0</v>
      </c>
      <c r="BG316" s="26">
        <v>0</v>
      </c>
      <c r="BH316" s="58">
        <v>0</v>
      </c>
      <c r="BI316" s="26">
        <v>0</v>
      </c>
      <c r="BJ316" s="81"/>
      <c r="BK316" s="27"/>
      <c r="BL316" s="26">
        <f>5+4+10+10+3+13+12+6+5+17+7+4+4+1</f>
        <v>101</v>
      </c>
    </row>
    <row r="317" spans="1:64" ht="15" thickBot="1" x14ac:dyDescent="0.35">
      <c r="H317" t="s">
        <v>6</v>
      </c>
      <c r="AP317" s="169" t="s">
        <v>84</v>
      </c>
      <c r="AQ317" s="170">
        <f>SUM(AQ316+AQ299+AQ289+AQ274)</f>
        <v>1932</v>
      </c>
      <c r="AR317" s="170">
        <f>SUM(AR316+AR299+AR289+AR274)</f>
        <v>1943</v>
      </c>
      <c r="AS317" s="171"/>
      <c r="AT317" s="172"/>
      <c r="AU317" s="170"/>
      <c r="AV317" s="170"/>
      <c r="AW317" s="170"/>
      <c r="AX317" s="170"/>
      <c r="AY317" s="172">
        <f>SUM(AY273:AY316)</f>
        <v>355</v>
      </c>
      <c r="BB317" s="13" t="s">
        <v>223</v>
      </c>
      <c r="BC317" s="13">
        <f>SUM(BC316+BC290+BC287+BC283+BC280+BC277+BC275)</f>
        <v>1933</v>
      </c>
      <c r="BD317" s="26">
        <f>SUM(BD316+BD290+BD287+BD283+BD280+BD277+BD275)</f>
        <v>1906</v>
      </c>
      <c r="BE317" s="26">
        <f>SUM(BE316+BE290+BE287+BE283+BE280+BE277+BE275)</f>
        <v>0</v>
      </c>
      <c r="BF317" s="26">
        <f>SUM(BF316+BF290+BF287+BF283+BF280+BF277+BF275)</f>
        <v>0</v>
      </c>
      <c r="BG317" s="26">
        <f>SUM(BG316+BG290+BG287+BG283+BG280+BG277+BG275)</f>
        <v>0</v>
      </c>
      <c r="BH317" s="160">
        <f>SUM(BH316+BH290+BH287+BH283+BH279+BH277+BH275)</f>
        <v>52067</v>
      </c>
      <c r="BI317" s="26">
        <f>SUM(BI316+BI290+BI287+BI283+BI279+BI277+BI275)</f>
        <v>10085</v>
      </c>
      <c r="BJ317" s="81"/>
      <c r="BK317" s="27" t="s">
        <v>247</v>
      </c>
      <c r="BL317" s="26">
        <f>SUM(BL275:BL316)</f>
        <v>258</v>
      </c>
    </row>
    <row r="318" spans="1:64" x14ac:dyDescent="0.3">
      <c r="K318" s="28"/>
      <c r="BB318" s="131" t="s">
        <v>225</v>
      </c>
      <c r="BD318">
        <f>SUM(BL316)</f>
        <v>101</v>
      </c>
      <c r="BF318" t="s">
        <v>776</v>
      </c>
      <c r="BG318" s="132"/>
    </row>
    <row r="319" spans="1:64" x14ac:dyDescent="0.3">
      <c r="K319" s="28"/>
      <c r="BB319" t="s">
        <v>229</v>
      </c>
      <c r="BD319">
        <v>20</v>
      </c>
    </row>
    <row r="320" spans="1:64" x14ac:dyDescent="0.3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BB320" t="s">
        <v>232</v>
      </c>
      <c r="BD320" t="s">
        <v>233</v>
      </c>
      <c r="BF320">
        <f>SUM(AQ317)</f>
        <v>1932</v>
      </c>
      <c r="BH320" t="s">
        <v>234</v>
      </c>
      <c r="BJ320" t="s">
        <v>233</v>
      </c>
      <c r="BL320">
        <f>SUM(BC317)</f>
        <v>1933</v>
      </c>
    </row>
    <row r="321" spans="1:65" ht="18" x14ac:dyDescent="0.35">
      <c r="B321" s="133"/>
      <c r="BA321" t="s">
        <v>6</v>
      </c>
      <c r="BD321" t="s">
        <v>236</v>
      </c>
      <c r="BF321">
        <f>SUM(AR317)</f>
        <v>1943</v>
      </c>
      <c r="BJ321" t="s">
        <v>236</v>
      </c>
      <c r="BL321">
        <f>SUM(BD317)</f>
        <v>1906</v>
      </c>
    </row>
    <row r="322" spans="1:65" x14ac:dyDescent="0.3">
      <c r="BB322" s="134" t="s">
        <v>238</v>
      </c>
      <c r="BC322" s="135" t="s">
        <v>239</v>
      </c>
      <c r="BD322" s="136"/>
      <c r="BE322" s="134" t="s">
        <v>240</v>
      </c>
      <c r="BF322" s="135" t="s">
        <v>241</v>
      </c>
      <c r="BG322" s="136"/>
      <c r="BH322" s="134"/>
      <c r="BI322" s="135" t="s">
        <v>242</v>
      </c>
      <c r="BJ322" s="137" t="s">
        <v>243</v>
      </c>
      <c r="BK322" s="135"/>
      <c r="BL322" s="135"/>
      <c r="BM322" s="136"/>
    </row>
    <row r="323" spans="1:65" x14ac:dyDescent="0.3">
      <c r="BB323" s="138" t="s">
        <v>233</v>
      </c>
      <c r="BC323" s="28"/>
      <c r="BD323" s="139">
        <f>SUM(B308)</f>
        <v>45292</v>
      </c>
      <c r="BE323" s="138" t="s">
        <v>233</v>
      </c>
      <c r="BF323" s="28"/>
      <c r="BG323" s="139">
        <f>SUM(AC305)</f>
        <v>1726</v>
      </c>
      <c r="BH323" s="138" t="s">
        <v>233</v>
      </c>
      <c r="BI323" s="28"/>
      <c r="BJ323" s="140">
        <f>SUM(BL320+BG323)</f>
        <v>3659</v>
      </c>
      <c r="BK323" s="28" t="s">
        <v>245</v>
      </c>
      <c r="BL323" s="140">
        <f>SUM(BJ323+BD323)</f>
        <v>48951</v>
      </c>
      <c r="BM323" s="139"/>
    </row>
    <row r="324" spans="1:65" ht="18" x14ac:dyDescent="0.35">
      <c r="B324" s="133"/>
      <c r="BB324" s="142" t="s">
        <v>236</v>
      </c>
      <c r="BC324" s="143"/>
      <c r="BD324" s="144">
        <f>SUM(C308)</f>
        <v>51263</v>
      </c>
      <c r="BE324" s="142" t="s">
        <v>236</v>
      </c>
      <c r="BF324" s="143"/>
      <c r="BG324" s="144">
        <f>SUM(AD305)</f>
        <v>1813</v>
      </c>
      <c r="BH324" s="142" t="s">
        <v>236</v>
      </c>
      <c r="BI324" s="143"/>
      <c r="BJ324" s="145">
        <f>SUM(BL321+BG324)</f>
        <v>3719</v>
      </c>
      <c r="BK324" s="143"/>
      <c r="BL324" s="145">
        <f>SUM(BJ324+BD324)</f>
        <v>54982</v>
      </c>
      <c r="BM324" s="144"/>
    </row>
    <row r="325" spans="1:65" x14ac:dyDescent="0.3">
      <c r="BL325" s="184"/>
      <c r="BM325" s="184"/>
    </row>
    <row r="329" spans="1:65" ht="15.6" x14ac:dyDescent="0.3">
      <c r="D329" s="1" t="s">
        <v>0</v>
      </c>
      <c r="P329" s="1" t="s">
        <v>1</v>
      </c>
    </row>
    <row r="330" spans="1:65" ht="15.6" x14ac:dyDescent="0.3">
      <c r="E330" t="s">
        <v>2</v>
      </c>
      <c r="Q330" t="s">
        <v>3</v>
      </c>
      <c r="AE330" s="2"/>
      <c r="AF330" s="1" t="s">
        <v>0</v>
      </c>
      <c r="AG330" s="1"/>
      <c r="AI330" s="1"/>
      <c r="AJ330" s="1"/>
      <c r="AS330" s="1" t="s">
        <v>4</v>
      </c>
      <c r="BE330" s="1"/>
      <c r="BF330" s="1" t="s">
        <v>5</v>
      </c>
      <c r="BG330" s="1"/>
      <c r="BH330" s="1"/>
      <c r="BI330" s="1"/>
      <c r="BJ330" s="1"/>
    </row>
    <row r="331" spans="1:65" ht="15.6" x14ac:dyDescent="0.3">
      <c r="A331" t="s">
        <v>6</v>
      </c>
      <c r="D331" t="s">
        <v>7</v>
      </c>
      <c r="O331" t="s">
        <v>8</v>
      </c>
      <c r="AE331" s="3"/>
      <c r="AF331" s="2" t="s">
        <v>9</v>
      </c>
      <c r="AG331" s="1"/>
      <c r="AI331" s="1"/>
      <c r="AJ331" s="1"/>
      <c r="AT331" t="s">
        <v>2</v>
      </c>
      <c r="BG331" t="s">
        <v>2</v>
      </c>
    </row>
    <row r="332" spans="1:65" ht="15.6" x14ac:dyDescent="0.3">
      <c r="E332" t="s">
        <v>777</v>
      </c>
      <c r="Q332" t="s">
        <v>777</v>
      </c>
      <c r="AF332" s="3" t="s">
        <v>11</v>
      </c>
      <c r="AG332" s="1"/>
      <c r="AI332" s="1"/>
      <c r="AJ332" s="1"/>
      <c r="AR332" t="s">
        <v>12</v>
      </c>
      <c r="BE332" t="s">
        <v>13</v>
      </c>
    </row>
    <row r="333" spans="1:65" ht="15" thickBot="1" x14ac:dyDescent="0.35">
      <c r="I333" s="4" t="s">
        <v>14</v>
      </c>
      <c r="U333" s="5" t="s">
        <v>15</v>
      </c>
      <c r="AG333" t="s">
        <v>777</v>
      </c>
      <c r="AT333" t="s">
        <v>777</v>
      </c>
      <c r="AY333" s="5"/>
      <c r="BG333" t="s">
        <v>777</v>
      </c>
      <c r="BK333" s="5" t="s">
        <v>16</v>
      </c>
    </row>
    <row r="334" spans="1:65" ht="15" thickBot="1" x14ac:dyDescent="0.35">
      <c r="A334" s="6" t="s">
        <v>17</v>
      </c>
      <c r="B334" s="6" t="s">
        <v>18</v>
      </c>
      <c r="C334" s="7"/>
      <c r="D334" s="8" t="s">
        <v>19</v>
      </c>
      <c r="E334" s="8"/>
      <c r="F334" s="8"/>
      <c r="G334" s="9" t="s">
        <v>20</v>
      </c>
      <c r="H334" s="8" t="s">
        <v>21</v>
      </c>
      <c r="I334" s="8"/>
      <c r="J334" s="7"/>
      <c r="L334" s="6" t="s">
        <v>17</v>
      </c>
      <c r="M334" s="187" t="s">
        <v>778</v>
      </c>
      <c r="N334" s="7"/>
      <c r="O334" s="8" t="s">
        <v>779</v>
      </c>
      <c r="P334" s="8"/>
      <c r="Q334" s="8"/>
      <c r="R334" s="6" t="s">
        <v>24</v>
      </c>
      <c r="S334" s="7"/>
      <c r="T334" s="8" t="s">
        <v>21</v>
      </c>
      <c r="U334" s="8"/>
      <c r="V334" s="7"/>
      <c r="AL334" s="5" t="s">
        <v>25</v>
      </c>
      <c r="AX334" s="5" t="s">
        <v>26</v>
      </c>
      <c r="BB334" s="6" t="s">
        <v>17</v>
      </c>
      <c r="BC334" s="6" t="s">
        <v>27</v>
      </c>
      <c r="BD334" s="7"/>
      <c r="BE334" s="8" t="s">
        <v>28</v>
      </c>
      <c r="BF334" s="8"/>
      <c r="BG334" s="8"/>
      <c r="BH334" s="6" t="s">
        <v>29</v>
      </c>
      <c r="BI334" s="7" t="s">
        <v>30</v>
      </c>
      <c r="BJ334" s="8" t="s">
        <v>31</v>
      </c>
      <c r="BK334" s="8"/>
      <c r="BL334" s="7"/>
    </row>
    <row r="335" spans="1:65" x14ac:dyDescent="0.3">
      <c r="A335" s="10" t="s">
        <v>32</v>
      </c>
      <c r="B335" s="10"/>
      <c r="C335" s="11"/>
      <c r="D335" s="3"/>
      <c r="E335" s="3"/>
      <c r="F335" s="3"/>
      <c r="G335" s="12"/>
      <c r="H335" s="3" t="s">
        <v>33</v>
      </c>
      <c r="I335" s="3"/>
      <c r="J335" s="11"/>
      <c r="L335" s="10"/>
      <c r="M335" s="10"/>
      <c r="N335" s="11"/>
      <c r="O335" s="3"/>
      <c r="P335" s="3"/>
      <c r="Q335" s="3"/>
      <c r="R335" s="10"/>
      <c r="S335" s="11"/>
      <c r="T335" s="3" t="s">
        <v>33</v>
      </c>
      <c r="U335" s="3"/>
      <c r="V335" s="11"/>
      <c r="AB335" s="6" t="s">
        <v>34</v>
      </c>
      <c r="AC335" s="6" t="s">
        <v>35</v>
      </c>
      <c r="AD335" s="7"/>
      <c r="AE335" s="6" t="s">
        <v>36</v>
      </c>
      <c r="AF335" s="8"/>
      <c r="AG335" s="7"/>
      <c r="AH335" s="8" t="s">
        <v>37</v>
      </c>
      <c r="AI335" s="8"/>
      <c r="AJ335" s="9" t="s">
        <v>30</v>
      </c>
      <c r="AK335" s="8" t="s">
        <v>38</v>
      </c>
      <c r="AL335" s="8"/>
      <c r="AM335" s="7"/>
      <c r="AP335" s="6" t="s">
        <v>17</v>
      </c>
      <c r="AQ335" s="6" t="s">
        <v>39</v>
      </c>
      <c r="AR335" s="7"/>
      <c r="AS335" s="6" t="s">
        <v>29</v>
      </c>
      <c r="AT335" s="7" t="s">
        <v>30</v>
      </c>
      <c r="AU335" s="8" t="s">
        <v>40</v>
      </c>
      <c r="AV335" s="8"/>
      <c r="AW335" s="8"/>
      <c r="AX335" s="8"/>
      <c r="AY335" s="7"/>
      <c r="BB335" s="10"/>
      <c r="BC335" s="10"/>
      <c r="BD335" s="11"/>
      <c r="BE335" s="3"/>
      <c r="BF335" s="3"/>
      <c r="BG335" s="3"/>
      <c r="BH335" s="10"/>
      <c r="BI335" s="11" t="s">
        <v>6</v>
      </c>
      <c r="BJ335" s="3" t="s">
        <v>41</v>
      </c>
      <c r="BK335" s="3"/>
      <c r="BL335" s="11"/>
    </row>
    <row r="336" spans="1:65" ht="15" thickBot="1" x14ac:dyDescent="0.35">
      <c r="A336" s="13" t="s">
        <v>42</v>
      </c>
      <c r="B336" s="14" t="s">
        <v>43</v>
      </c>
      <c r="C336" s="15" t="s">
        <v>44</v>
      </c>
      <c r="D336" s="16" t="s">
        <v>45</v>
      </c>
      <c r="E336" s="16" t="s">
        <v>46</v>
      </c>
      <c r="F336" s="16" t="s">
        <v>47</v>
      </c>
      <c r="G336" s="17" t="s">
        <v>48</v>
      </c>
      <c r="H336" s="18" t="s">
        <v>49</v>
      </c>
      <c r="I336" s="18"/>
      <c r="J336" s="11"/>
      <c r="L336" s="10" t="s">
        <v>50</v>
      </c>
      <c r="M336" s="19" t="s">
        <v>43</v>
      </c>
      <c r="N336" s="20" t="s">
        <v>44</v>
      </c>
      <c r="O336" s="21" t="s">
        <v>43</v>
      </c>
      <c r="P336" s="188" t="s">
        <v>51</v>
      </c>
      <c r="Q336" s="21" t="s">
        <v>44</v>
      </c>
      <c r="R336" s="22" t="s">
        <v>43</v>
      </c>
      <c r="S336" s="23" t="s">
        <v>44</v>
      </c>
      <c r="T336" s="18" t="s">
        <v>49</v>
      </c>
      <c r="U336" s="18"/>
      <c r="V336" s="11"/>
      <c r="AB336" s="10" t="s">
        <v>50</v>
      </c>
      <c r="AC336" s="22" t="s">
        <v>43</v>
      </c>
      <c r="AD336" s="23" t="s">
        <v>44</v>
      </c>
      <c r="AE336" s="22" t="s">
        <v>45</v>
      </c>
      <c r="AF336" s="24" t="s">
        <v>46</v>
      </c>
      <c r="AG336" s="23" t="s">
        <v>52</v>
      </c>
      <c r="AH336" s="24" t="s">
        <v>43</v>
      </c>
      <c r="AI336" s="24" t="s">
        <v>44</v>
      </c>
      <c r="AJ336" s="25" t="s">
        <v>43</v>
      </c>
      <c r="AK336" s="3" t="s">
        <v>53</v>
      </c>
      <c r="AL336" s="3"/>
      <c r="AM336" s="11"/>
      <c r="AP336" s="13" t="s">
        <v>42</v>
      </c>
      <c r="AQ336" s="13" t="s">
        <v>43</v>
      </c>
      <c r="AR336" s="26" t="s">
        <v>44</v>
      </c>
      <c r="AS336" s="13" t="s">
        <v>43</v>
      </c>
      <c r="AT336" s="26" t="s">
        <v>44</v>
      </c>
      <c r="AU336" s="27"/>
      <c r="AV336" s="27"/>
      <c r="AW336" s="27"/>
      <c r="AX336" s="27"/>
      <c r="AY336" s="26"/>
      <c r="BB336" s="13" t="s">
        <v>42</v>
      </c>
      <c r="BC336" s="13" t="s">
        <v>43</v>
      </c>
      <c r="BD336" s="26" t="s">
        <v>44</v>
      </c>
      <c r="BE336" s="27" t="s">
        <v>45</v>
      </c>
      <c r="BF336" s="27" t="s">
        <v>46</v>
      </c>
      <c r="BG336" s="27" t="s">
        <v>52</v>
      </c>
      <c r="BH336" s="13" t="s">
        <v>43</v>
      </c>
      <c r="BI336" s="26" t="s">
        <v>44</v>
      </c>
      <c r="BJ336" s="27" t="s">
        <v>54</v>
      </c>
      <c r="BK336" s="27"/>
      <c r="BL336" s="26"/>
    </row>
    <row r="337" spans="1:64" ht="15" thickBot="1" x14ac:dyDescent="0.35">
      <c r="A337" s="6"/>
      <c r="B337" s="6"/>
      <c r="C337" s="7"/>
      <c r="D337" s="8"/>
      <c r="E337" s="8"/>
      <c r="F337" s="7"/>
      <c r="G337" s="8"/>
      <c r="H337" s="6" t="s">
        <v>396</v>
      </c>
      <c r="I337" s="8"/>
      <c r="J337" s="7"/>
      <c r="K337" s="28"/>
      <c r="L337" s="9"/>
      <c r="M337" s="8"/>
      <c r="N337" s="8"/>
      <c r="O337" s="6"/>
      <c r="P337" s="8"/>
      <c r="Q337" s="7"/>
      <c r="R337" s="8"/>
      <c r="S337" s="8"/>
      <c r="T337" s="6" t="s">
        <v>396</v>
      </c>
      <c r="U337" s="8"/>
      <c r="V337" s="7"/>
      <c r="W337" s="28"/>
      <c r="AB337" s="13"/>
      <c r="AC337" s="13"/>
      <c r="AD337" s="26"/>
      <c r="AE337" s="13"/>
      <c r="AF337" s="27"/>
      <c r="AG337" s="26"/>
      <c r="AH337" s="27"/>
      <c r="AI337" s="27"/>
      <c r="AJ337" s="17"/>
      <c r="AK337" s="27"/>
      <c r="AL337" s="27"/>
      <c r="AM337" s="26"/>
      <c r="AP337" s="32" t="s">
        <v>6</v>
      </c>
      <c r="AQ337" s="43"/>
      <c r="AR337" s="54"/>
      <c r="AS337" s="33"/>
      <c r="AT337" s="35"/>
      <c r="AU337" s="33"/>
      <c r="AV337" s="34" t="s">
        <v>91</v>
      </c>
      <c r="AW337" s="34"/>
      <c r="AX337" s="34"/>
      <c r="AY337" s="35"/>
      <c r="AZ337" s="28"/>
      <c r="BB337" s="32" t="s">
        <v>85</v>
      </c>
      <c r="BD337">
        <v>25</v>
      </c>
      <c r="BE337" s="33"/>
      <c r="BF337" s="34"/>
      <c r="BG337" s="34"/>
      <c r="BH337" s="33"/>
      <c r="BI337" s="35"/>
      <c r="BJ337" s="34" t="s">
        <v>58</v>
      </c>
      <c r="BK337" s="8"/>
      <c r="BL337" s="7"/>
    </row>
    <row r="338" spans="1:64" x14ac:dyDescent="0.3">
      <c r="A338" s="10" t="s">
        <v>59</v>
      </c>
      <c r="B338" s="36">
        <v>1414</v>
      </c>
      <c r="C338" s="11">
        <v>1381</v>
      </c>
      <c r="D338" s="37"/>
      <c r="E338" s="38" t="s">
        <v>60</v>
      </c>
      <c r="F338" s="39"/>
      <c r="G338" s="37">
        <f>6*280</f>
        <v>1680</v>
      </c>
      <c r="H338" s="36">
        <v>6</v>
      </c>
      <c r="I338" s="37" t="s">
        <v>61</v>
      </c>
      <c r="J338" s="40"/>
      <c r="K338" s="28"/>
      <c r="L338" s="41" t="s">
        <v>59</v>
      </c>
      <c r="M338" s="28">
        <v>13868</v>
      </c>
      <c r="N338" s="28">
        <v>48299</v>
      </c>
      <c r="O338" s="42">
        <v>0</v>
      </c>
      <c r="P338" s="43">
        <v>0</v>
      </c>
      <c r="Q338" s="40">
        <v>0</v>
      </c>
      <c r="R338" s="43">
        <v>0</v>
      </c>
      <c r="S338" s="43">
        <v>0</v>
      </c>
      <c r="T338" s="42"/>
      <c r="U338" s="28"/>
      <c r="V338" s="40"/>
      <c r="W338" s="28"/>
      <c r="AB338" s="9"/>
      <c r="AC338" s="8"/>
      <c r="AD338" s="8"/>
      <c r="AE338" s="6"/>
      <c r="AF338" s="8"/>
      <c r="AG338" s="7"/>
      <c r="AH338" s="8"/>
      <c r="AI338" s="8"/>
      <c r="AJ338" s="9"/>
      <c r="AK338" s="6" t="s">
        <v>62</v>
      </c>
      <c r="AL338" s="8"/>
      <c r="AM338" s="7"/>
      <c r="AP338" s="41" t="s">
        <v>56</v>
      </c>
      <c r="AQ338" s="43">
        <v>1385</v>
      </c>
      <c r="AR338" s="54">
        <v>1480</v>
      </c>
      <c r="AS338" s="42"/>
      <c r="AT338" s="40"/>
      <c r="AU338" s="42"/>
      <c r="AV338" s="28"/>
      <c r="AW338" s="28"/>
      <c r="AX338" s="28"/>
      <c r="AY338" s="40"/>
      <c r="AZ338" s="28"/>
      <c r="BB338" s="44" t="s">
        <v>64</v>
      </c>
      <c r="BC338" s="18">
        <v>114</v>
      </c>
      <c r="BD338" s="18">
        <v>128</v>
      </c>
      <c r="BE338" s="10">
        <v>0</v>
      </c>
      <c r="BF338" s="18">
        <v>0</v>
      </c>
      <c r="BG338" s="18">
        <v>0</v>
      </c>
      <c r="BH338" s="10">
        <v>0</v>
      </c>
      <c r="BI338" s="11">
        <v>0</v>
      </c>
      <c r="BJ338" s="45">
        <v>9</v>
      </c>
      <c r="BK338" s="28" t="s">
        <v>474</v>
      </c>
      <c r="BL338" s="11"/>
    </row>
    <row r="339" spans="1:64" ht="15" thickBot="1" x14ac:dyDescent="0.35">
      <c r="A339" s="36" t="s">
        <v>6</v>
      </c>
      <c r="B339" s="10"/>
      <c r="C339" s="11"/>
      <c r="D339" s="18"/>
      <c r="E339" s="18"/>
      <c r="F339" s="18"/>
      <c r="G339" s="36"/>
      <c r="H339" s="42"/>
      <c r="I339" s="28" t="s">
        <v>528</v>
      </c>
      <c r="J339" s="40">
        <f>SUM(H338+H339)</f>
        <v>6</v>
      </c>
      <c r="K339" s="28"/>
      <c r="L339" s="12"/>
      <c r="M339" s="37"/>
      <c r="N339" s="37"/>
      <c r="O339" s="10"/>
      <c r="P339" s="18"/>
      <c r="Q339" s="11"/>
      <c r="R339" s="18"/>
      <c r="S339" s="18"/>
      <c r="T339" s="10"/>
      <c r="U339" s="18"/>
      <c r="V339" s="11"/>
      <c r="W339" s="28"/>
      <c r="AB339" s="41"/>
      <c r="AE339" s="42"/>
      <c r="AF339" s="28"/>
      <c r="AG339" s="40"/>
      <c r="AJ339" s="41"/>
      <c r="AK339" s="42"/>
      <c r="AL339" s="37" t="s">
        <v>6</v>
      </c>
      <c r="AM339" s="40"/>
      <c r="AP339" s="62" t="s">
        <v>6</v>
      </c>
      <c r="AQ339" s="43"/>
      <c r="AR339" s="43"/>
      <c r="AS339" s="47"/>
      <c r="AT339" s="49"/>
      <c r="AU339" s="47"/>
      <c r="AV339" s="48">
        <v>108</v>
      </c>
      <c r="AW339" s="48" t="s">
        <v>73</v>
      </c>
      <c r="AX339" s="48"/>
      <c r="AY339" s="49">
        <f>SUM(AV339)</f>
        <v>108</v>
      </c>
      <c r="AZ339" s="28"/>
      <c r="BA339" s="28"/>
      <c r="BB339" s="46" t="s">
        <v>84</v>
      </c>
      <c r="BC339">
        <f>SUM(BC337:BC338)</f>
        <v>114</v>
      </c>
      <c r="BD339">
        <f>SUM(BD337:BD338)</f>
        <v>153</v>
      </c>
      <c r="BE339" s="47"/>
      <c r="BF339" s="48"/>
      <c r="BG339" s="48"/>
      <c r="BH339" s="47"/>
      <c r="BI339" s="49"/>
      <c r="BJ339" s="48"/>
      <c r="BK339" s="48" t="s">
        <v>249</v>
      </c>
      <c r="BL339" s="49">
        <f>SUM(BJ338:BJ339)+0</f>
        <v>9</v>
      </c>
    </row>
    <row r="340" spans="1:64" ht="15" thickBot="1" x14ac:dyDescent="0.35">
      <c r="A340" s="32"/>
      <c r="B340" s="34"/>
      <c r="C340" s="34"/>
      <c r="D340" s="33"/>
      <c r="E340" s="34"/>
      <c r="F340" s="35"/>
      <c r="G340" s="34"/>
      <c r="H340" s="6" t="s">
        <v>70</v>
      </c>
      <c r="I340" s="8"/>
      <c r="J340" s="7"/>
      <c r="K340" s="28"/>
      <c r="L340" s="17"/>
      <c r="M340" s="27"/>
      <c r="N340" s="27"/>
      <c r="O340" s="13"/>
      <c r="P340" s="27"/>
      <c r="Q340" s="26"/>
      <c r="R340" s="27"/>
      <c r="S340" s="27"/>
      <c r="T340" s="13"/>
      <c r="U340" s="27"/>
      <c r="V340" s="26"/>
      <c r="W340" s="28"/>
      <c r="AB340" s="44" t="s">
        <v>59</v>
      </c>
      <c r="AC340" s="37">
        <v>1092</v>
      </c>
      <c r="AD340" s="37">
        <v>1052</v>
      </c>
      <c r="AE340" s="10">
        <v>0</v>
      </c>
      <c r="AF340" s="18">
        <v>0</v>
      </c>
      <c r="AG340" s="39">
        <v>0</v>
      </c>
      <c r="AH340" s="2">
        <v>0</v>
      </c>
      <c r="AI340" s="2">
        <v>0</v>
      </c>
      <c r="AJ340" s="12">
        <v>0</v>
      </c>
      <c r="AK340" s="36">
        <v>2</v>
      </c>
      <c r="AL340" t="s">
        <v>398</v>
      </c>
      <c r="AM340" s="11"/>
      <c r="AP340" s="10"/>
      <c r="AQ340" s="29"/>
      <c r="AR340" s="31"/>
      <c r="AS340" s="33"/>
      <c r="AT340" s="7"/>
      <c r="AU340" s="8"/>
      <c r="AV340" s="8"/>
      <c r="AW340" s="8"/>
      <c r="AX340" s="8"/>
      <c r="AY340" s="7"/>
      <c r="AZ340" s="28"/>
      <c r="BA340" s="28"/>
      <c r="BB340" s="33"/>
      <c r="BC340" s="33"/>
      <c r="BD340" s="35"/>
      <c r="BE340" s="34"/>
      <c r="BF340" s="34"/>
      <c r="BG340" s="34"/>
      <c r="BH340" s="33"/>
      <c r="BI340" s="35"/>
      <c r="BJ340" s="53" t="s">
        <v>82</v>
      </c>
      <c r="BK340" s="34"/>
      <c r="BL340" s="35"/>
    </row>
    <row r="341" spans="1:64" ht="15" thickBot="1" x14ac:dyDescent="0.35">
      <c r="A341" s="44" t="s">
        <v>74</v>
      </c>
      <c r="B341" s="37">
        <v>1057</v>
      </c>
      <c r="C341" s="18">
        <v>1886</v>
      </c>
      <c r="D341" s="36"/>
      <c r="E341" s="38" t="s">
        <v>60</v>
      </c>
      <c r="F341" s="39"/>
      <c r="G341" s="37">
        <v>2176</v>
      </c>
      <c r="H341" s="36">
        <v>2</v>
      </c>
      <c r="I341" s="28" t="s">
        <v>75</v>
      </c>
      <c r="J341" s="11"/>
      <c r="K341" s="28"/>
      <c r="L341" s="32"/>
      <c r="M341" s="34"/>
      <c r="N341" s="34"/>
      <c r="O341" s="33"/>
      <c r="P341" s="34"/>
      <c r="Q341" s="35"/>
      <c r="R341" s="34"/>
      <c r="S341" s="34"/>
      <c r="T341" s="33"/>
      <c r="U341" s="34"/>
      <c r="V341" s="35"/>
      <c r="W341" s="28"/>
      <c r="AB341" s="46"/>
      <c r="AE341" s="47"/>
      <c r="AF341" s="51"/>
      <c r="AG341" s="49"/>
      <c r="AH341" s="28"/>
      <c r="AI341" s="28"/>
      <c r="AJ341" s="62"/>
      <c r="AK341" s="47">
        <v>2</v>
      </c>
      <c r="AL341" s="48" t="s">
        <v>66</v>
      </c>
      <c r="AM341" s="49"/>
      <c r="AP341" s="36" t="s">
        <v>63</v>
      </c>
      <c r="AQ341" s="10">
        <v>46</v>
      </c>
      <c r="AR341" s="18">
        <v>31</v>
      </c>
      <c r="AS341" s="42"/>
      <c r="AT341" s="11"/>
      <c r="AU341" s="18"/>
      <c r="AV341" s="18" t="s">
        <v>110</v>
      </c>
      <c r="AW341" s="18" t="s">
        <v>111</v>
      </c>
      <c r="AX341" s="18" t="s">
        <v>112</v>
      </c>
      <c r="AY341" s="11"/>
      <c r="AZ341" s="28"/>
      <c r="BA341" s="28"/>
      <c r="BB341" s="47" t="s">
        <v>85</v>
      </c>
      <c r="BC341" s="47"/>
      <c r="BD341" s="49"/>
      <c r="BE341" s="48"/>
      <c r="BF341" s="48">
        <v>0</v>
      </c>
      <c r="BG341" s="48">
        <v>0</v>
      </c>
      <c r="BH341" s="47">
        <v>0</v>
      </c>
      <c r="BI341" s="49">
        <v>0</v>
      </c>
      <c r="BJ341" s="51"/>
      <c r="BK341" s="48" t="s">
        <v>86</v>
      </c>
      <c r="BL341" s="49">
        <f>SUM(BJ341)</f>
        <v>0</v>
      </c>
    </row>
    <row r="342" spans="1:64" x14ac:dyDescent="0.3">
      <c r="A342" s="41"/>
      <c r="D342" s="42"/>
      <c r="E342" s="28"/>
      <c r="F342" s="40"/>
      <c r="H342" s="42">
        <v>7</v>
      </c>
      <c r="I342" s="28" t="s">
        <v>79</v>
      </c>
      <c r="J342" s="40"/>
      <c r="K342" s="28"/>
      <c r="L342" s="41"/>
      <c r="M342" s="28"/>
      <c r="N342" s="28"/>
      <c r="O342" s="42"/>
      <c r="P342" s="28"/>
      <c r="Q342" s="40"/>
      <c r="R342" s="28"/>
      <c r="S342" s="28"/>
      <c r="T342" s="42" t="s">
        <v>80</v>
      </c>
      <c r="U342" s="28"/>
      <c r="V342" s="40"/>
      <c r="W342" s="28"/>
      <c r="AB342" s="50" t="s">
        <v>6</v>
      </c>
      <c r="AC342" s="8"/>
      <c r="AD342" s="8"/>
      <c r="AE342" s="6"/>
      <c r="AF342" s="8"/>
      <c r="AG342" s="7"/>
      <c r="AH342" s="6"/>
      <c r="AI342" s="7"/>
      <c r="AJ342" s="8"/>
      <c r="AK342" s="29"/>
      <c r="AL342" s="8"/>
      <c r="AM342" s="7"/>
      <c r="AP342" s="10" t="s">
        <v>115</v>
      </c>
      <c r="AQ342" s="36">
        <v>56</v>
      </c>
      <c r="AR342" s="37">
        <v>26</v>
      </c>
      <c r="AS342" s="42"/>
      <c r="AT342" s="11"/>
      <c r="AU342" s="18"/>
      <c r="AV342" s="18"/>
      <c r="AW342" s="18"/>
      <c r="AX342" s="18"/>
      <c r="AY342" s="11"/>
      <c r="AZ342" s="28"/>
      <c r="BA342" s="28"/>
      <c r="BB342" s="50" t="s">
        <v>107</v>
      </c>
      <c r="BC342" s="31">
        <v>0</v>
      </c>
      <c r="BD342" s="31">
        <v>0</v>
      </c>
      <c r="BE342" s="29"/>
      <c r="BF342" s="31"/>
      <c r="BG342" s="30"/>
      <c r="BH342" s="55">
        <v>0</v>
      </c>
      <c r="BI342" s="8">
        <v>0</v>
      </c>
      <c r="BJ342" s="29"/>
      <c r="BK342" s="34" t="s">
        <v>92</v>
      </c>
      <c r="BL342" s="35"/>
    </row>
    <row r="343" spans="1:64" ht="15" thickBot="1" x14ac:dyDescent="0.35">
      <c r="A343" s="46"/>
      <c r="B343" s="48"/>
      <c r="C343" s="48"/>
      <c r="D343" s="47"/>
      <c r="E343" s="48"/>
      <c r="F343" s="49"/>
      <c r="G343" s="48"/>
      <c r="H343" s="47">
        <v>7</v>
      </c>
      <c r="I343" s="28" t="s">
        <v>83</v>
      </c>
      <c r="J343" s="49">
        <f>SUM(H341:H343)</f>
        <v>16</v>
      </c>
      <c r="K343" s="28"/>
      <c r="L343" s="17" t="s">
        <v>74</v>
      </c>
      <c r="M343" s="27">
        <v>7508</v>
      </c>
      <c r="N343" s="27">
        <v>52</v>
      </c>
      <c r="O343" s="13">
        <v>0</v>
      </c>
      <c r="P343" s="27">
        <v>0</v>
      </c>
      <c r="Q343" s="26">
        <v>0</v>
      </c>
      <c r="R343" s="27">
        <v>0</v>
      </c>
      <c r="S343" s="27">
        <v>0</v>
      </c>
      <c r="T343" s="13"/>
      <c r="U343" s="27"/>
      <c r="V343" s="26"/>
      <c r="W343" s="28"/>
      <c r="AB343" s="41" t="s">
        <v>76</v>
      </c>
      <c r="AC343">
        <v>0</v>
      </c>
      <c r="AD343">
        <v>0</v>
      </c>
      <c r="AE343" s="42">
        <v>0</v>
      </c>
      <c r="AF343" s="43">
        <v>0</v>
      </c>
      <c r="AG343" s="40">
        <v>0</v>
      </c>
      <c r="AH343" s="42">
        <v>0</v>
      </c>
      <c r="AI343" s="40">
        <v>0</v>
      </c>
      <c r="AJ343" s="43">
        <v>0</v>
      </c>
      <c r="AK343" s="42">
        <v>2</v>
      </c>
      <c r="AL343" s="28" t="s">
        <v>780</v>
      </c>
      <c r="AM343" s="40"/>
      <c r="AP343" s="52" t="s">
        <v>72</v>
      </c>
      <c r="AQ343" s="52">
        <v>0</v>
      </c>
      <c r="AR343" s="54">
        <v>0</v>
      </c>
      <c r="AS343" s="42"/>
      <c r="AT343" s="40"/>
      <c r="AU343" s="28"/>
      <c r="AV343" s="28"/>
      <c r="AW343" s="28"/>
      <c r="AX343" s="28"/>
      <c r="AY343" s="40"/>
      <c r="AZ343" s="28"/>
      <c r="BA343" s="28"/>
      <c r="BB343" s="41" t="s">
        <v>99</v>
      </c>
      <c r="BC343" s="45">
        <v>0</v>
      </c>
      <c r="BD343" s="45">
        <v>0</v>
      </c>
      <c r="BE343" s="42">
        <v>0</v>
      </c>
      <c r="BF343" s="45">
        <v>0</v>
      </c>
      <c r="BG343" s="40">
        <v>0</v>
      </c>
      <c r="BH343" s="45">
        <v>37622</v>
      </c>
      <c r="BI343" s="56">
        <v>9541</v>
      </c>
      <c r="BJ343" s="52">
        <v>24</v>
      </c>
      <c r="BK343" s="37" t="s">
        <v>100</v>
      </c>
      <c r="BL343" s="40"/>
    </row>
    <row r="344" spans="1:64" ht="15" thickBot="1" x14ac:dyDescent="0.35">
      <c r="A344" s="33"/>
      <c r="B344" s="33"/>
      <c r="C344" s="35"/>
      <c r="D344" s="34"/>
      <c r="E344" s="34"/>
      <c r="F344" s="34"/>
      <c r="G344" s="32"/>
      <c r="H344" s="6" t="s">
        <v>87</v>
      </c>
      <c r="I344" s="34"/>
      <c r="J344" s="35"/>
      <c r="K344" s="28"/>
      <c r="L344" s="12" t="s">
        <v>88</v>
      </c>
      <c r="M344" s="37">
        <v>0</v>
      </c>
      <c r="N344" s="37">
        <v>0</v>
      </c>
      <c r="O344" s="10"/>
      <c r="P344" s="18"/>
      <c r="Q344" s="11"/>
      <c r="R344" s="18"/>
      <c r="S344" s="18"/>
      <c r="T344" s="33" t="s">
        <v>6</v>
      </c>
      <c r="U344" s="31"/>
      <c r="V344" s="7"/>
      <c r="W344" s="28"/>
      <c r="AB344" s="6" t="s">
        <v>89</v>
      </c>
      <c r="AC344" s="6">
        <v>32</v>
      </c>
      <c r="AD344" s="7">
        <v>31</v>
      </c>
      <c r="AE344" s="8"/>
      <c r="AF344" s="8"/>
      <c r="AG344" s="8"/>
      <c r="AH344" s="6"/>
      <c r="AI344" s="7"/>
      <c r="AJ344" s="9"/>
      <c r="AK344" s="31" t="s">
        <v>90</v>
      </c>
      <c r="AL344" s="8"/>
      <c r="AM344" s="7"/>
      <c r="AP344" s="36" t="s">
        <v>78</v>
      </c>
      <c r="AQ344" s="36">
        <v>76</v>
      </c>
      <c r="AR344" s="37">
        <v>46</v>
      </c>
      <c r="AS344" s="42"/>
      <c r="AT344" s="11"/>
      <c r="AU344" s="18"/>
      <c r="AV344" s="37"/>
      <c r="AW344" s="18"/>
      <c r="AX344" s="37"/>
      <c r="AY344" s="11"/>
      <c r="AZ344" s="28"/>
      <c r="BA344" s="28"/>
      <c r="BB344" s="17" t="s">
        <v>84</v>
      </c>
      <c r="BC344" s="18">
        <f>SUM(BC342:BC343)</f>
        <v>0</v>
      </c>
      <c r="BD344" s="18">
        <f>SUM(BD342:BD343)</f>
        <v>0</v>
      </c>
      <c r="BE344" s="13"/>
      <c r="BF344" s="27"/>
      <c r="BG344" s="26"/>
      <c r="BH344" s="58">
        <f>+BH343+BH342</f>
        <v>37622</v>
      </c>
      <c r="BI344" s="27">
        <f>+BI343+BI342</f>
        <v>9541</v>
      </c>
      <c r="BJ344" s="59"/>
      <c r="BK344" s="48" t="s">
        <v>506</v>
      </c>
      <c r="BL344" s="60">
        <f>SUM(BJ343:BJ344)</f>
        <v>24</v>
      </c>
    </row>
    <row r="345" spans="1:64" x14ac:dyDescent="0.3">
      <c r="A345" s="36" t="s">
        <v>93</v>
      </c>
      <c r="B345" s="36">
        <v>4493</v>
      </c>
      <c r="C345" s="11">
        <v>4131</v>
      </c>
      <c r="D345" s="37"/>
      <c r="E345" s="38" t="s">
        <v>60</v>
      </c>
      <c r="F345" s="37"/>
      <c r="G345" s="12">
        <f>30*175</f>
        <v>5250</v>
      </c>
      <c r="H345" s="36">
        <v>30</v>
      </c>
      <c r="I345" s="37" t="s">
        <v>101</v>
      </c>
      <c r="J345" s="40"/>
      <c r="K345" s="28"/>
      <c r="L345" s="44" t="s">
        <v>95</v>
      </c>
      <c r="M345" s="37">
        <v>0</v>
      </c>
      <c r="N345" s="37">
        <v>0</v>
      </c>
      <c r="O345" s="10"/>
      <c r="P345" s="18"/>
      <c r="Q345" s="11"/>
      <c r="R345" s="18"/>
      <c r="S345" s="18"/>
      <c r="T345" s="10" t="s">
        <v>96</v>
      </c>
      <c r="U345" s="37"/>
      <c r="V345" s="11"/>
      <c r="W345" s="28"/>
      <c r="AB345" s="36" t="s">
        <v>97</v>
      </c>
      <c r="AC345" s="10">
        <v>0</v>
      </c>
      <c r="AD345" s="11">
        <v>1</v>
      </c>
      <c r="AE345" s="18">
        <v>0</v>
      </c>
      <c r="AF345" s="18">
        <v>0</v>
      </c>
      <c r="AG345" s="18">
        <v>0</v>
      </c>
      <c r="AH345" s="36">
        <v>0</v>
      </c>
      <c r="AI345" s="11">
        <v>0</v>
      </c>
      <c r="AJ345" s="12">
        <v>0</v>
      </c>
      <c r="AK345" s="37">
        <v>2</v>
      </c>
      <c r="AL345" s="37" t="s">
        <v>781</v>
      </c>
      <c r="AM345" s="11"/>
      <c r="AP345" s="10" t="s">
        <v>122</v>
      </c>
      <c r="AQ345" s="36">
        <v>20</v>
      </c>
      <c r="AR345" s="37">
        <v>15</v>
      </c>
      <c r="AS345" s="42"/>
      <c r="AT345" s="11"/>
      <c r="AU345" s="18"/>
      <c r="AV345" s="18">
        <v>28</v>
      </c>
      <c r="AW345" s="18" t="s">
        <v>123</v>
      </c>
      <c r="AX345" s="18"/>
      <c r="AY345" s="11"/>
      <c r="AZ345" s="28" t="s">
        <v>6</v>
      </c>
      <c r="BA345" s="28"/>
      <c r="BB345" s="32"/>
      <c r="BC345" s="63">
        <v>0</v>
      </c>
      <c r="BD345" s="64">
        <v>0</v>
      </c>
      <c r="BE345" s="33"/>
      <c r="BF345" s="8"/>
      <c r="BG345" s="35"/>
      <c r="BH345" s="65"/>
      <c r="BI345" s="66"/>
      <c r="BJ345" s="29"/>
      <c r="BK345" s="31"/>
      <c r="BL345" s="35"/>
    </row>
    <row r="346" spans="1:64" ht="15" thickBot="1" x14ac:dyDescent="0.35">
      <c r="A346" s="47"/>
      <c r="B346" s="47"/>
      <c r="C346" s="49"/>
      <c r="D346" s="48"/>
      <c r="E346" s="48"/>
      <c r="F346" s="48"/>
      <c r="G346" s="46"/>
      <c r="H346" s="47"/>
      <c r="I346" s="48" t="s">
        <v>6</v>
      </c>
      <c r="J346" s="49">
        <f>SUM(H345:H346)</f>
        <v>30</v>
      </c>
      <c r="K346" s="28"/>
      <c r="L346" s="12" t="s">
        <v>102</v>
      </c>
      <c r="M346" s="18">
        <v>0</v>
      </c>
      <c r="N346" s="18">
        <v>0</v>
      </c>
      <c r="O346" s="10"/>
      <c r="P346" s="18"/>
      <c r="Q346" s="11"/>
      <c r="R346" s="18"/>
      <c r="S346" s="18"/>
      <c r="T346" s="10"/>
      <c r="U346" s="18"/>
      <c r="V346" s="11"/>
      <c r="W346" s="28"/>
      <c r="AB346" s="47" t="s">
        <v>84</v>
      </c>
      <c r="AC346" s="13">
        <f>SUM(AC344:AC345)</f>
        <v>32</v>
      </c>
      <c r="AD346" s="26">
        <f>SUM(AD344:AD345)</f>
        <v>32</v>
      </c>
      <c r="AE346" s="27"/>
      <c r="AF346" s="27"/>
      <c r="AG346" s="27"/>
      <c r="AH346" s="13"/>
      <c r="AI346" s="26"/>
      <c r="AJ346" s="17"/>
      <c r="AK346" s="57"/>
      <c r="AL346" s="183" t="s">
        <v>6</v>
      </c>
      <c r="AM346" s="11"/>
      <c r="AP346" s="10" t="s">
        <v>125</v>
      </c>
      <c r="AQ346" s="36">
        <v>0</v>
      </c>
      <c r="AR346" s="37">
        <v>0</v>
      </c>
      <c r="AS346" s="42"/>
      <c r="AT346" s="11"/>
      <c r="AU346" s="18"/>
      <c r="AV346" s="18">
        <v>39</v>
      </c>
      <c r="AW346" s="18" t="s">
        <v>126</v>
      </c>
      <c r="AX346" s="18"/>
      <c r="AY346" s="11"/>
      <c r="AZ346" s="28"/>
      <c r="BA346" s="28"/>
      <c r="BB346" s="41"/>
      <c r="BC346" s="70">
        <v>0</v>
      </c>
      <c r="BD346" s="71">
        <v>0</v>
      </c>
      <c r="BE346" s="42"/>
      <c r="BF346" s="28"/>
      <c r="BG346" s="40"/>
      <c r="BH346" s="42"/>
      <c r="BI346" s="40"/>
      <c r="BJ346" s="42"/>
      <c r="BK346" s="54"/>
      <c r="BL346" s="40"/>
    </row>
    <row r="347" spans="1:64" ht="15" thickBot="1" x14ac:dyDescent="0.35">
      <c r="A347" s="29" t="s">
        <v>250</v>
      </c>
      <c r="B347" s="29">
        <v>0</v>
      </c>
      <c r="C347" s="7">
        <v>0</v>
      </c>
      <c r="D347" s="8"/>
      <c r="E347" s="8"/>
      <c r="F347" s="8"/>
      <c r="G347" s="9"/>
      <c r="H347" s="8" t="s">
        <v>104</v>
      </c>
      <c r="I347" s="8"/>
      <c r="J347" s="7"/>
      <c r="K347" s="28"/>
      <c r="L347" s="12" t="s">
        <v>84</v>
      </c>
      <c r="M347" s="18">
        <f>SUM(M344:M346)</f>
        <v>0</v>
      </c>
      <c r="N347" s="18">
        <f>SUM(N344:N346)</f>
        <v>0</v>
      </c>
      <c r="O347" s="10">
        <v>0</v>
      </c>
      <c r="P347" s="18">
        <v>0</v>
      </c>
      <c r="Q347" s="11">
        <v>0</v>
      </c>
      <c r="R347" s="18">
        <v>0</v>
      </c>
      <c r="S347" s="18">
        <v>0</v>
      </c>
      <c r="T347" s="13"/>
      <c r="U347" s="27"/>
      <c r="V347" s="26"/>
      <c r="W347" s="28"/>
      <c r="AB347" s="44"/>
      <c r="AC347" s="18"/>
      <c r="AD347" s="18"/>
      <c r="AE347" s="10"/>
      <c r="AF347" s="18"/>
      <c r="AG347" s="11"/>
      <c r="AH347" s="10"/>
      <c r="AI347" s="11"/>
      <c r="AJ347" s="6"/>
      <c r="AK347" s="33" t="s">
        <v>782</v>
      </c>
      <c r="AM347" s="7"/>
      <c r="AP347" s="84" t="s">
        <v>128</v>
      </c>
      <c r="AQ347" s="52">
        <v>0</v>
      </c>
      <c r="AR347" s="37">
        <v>0</v>
      </c>
      <c r="AS347" s="42"/>
      <c r="AT347" s="40"/>
      <c r="AU347" s="28"/>
      <c r="AV347" s="28">
        <v>33</v>
      </c>
      <c r="AW347" s="28" t="s">
        <v>129</v>
      </c>
      <c r="AX347" s="28"/>
      <c r="AY347" s="40"/>
      <c r="AZ347" s="28"/>
      <c r="BA347" s="28" t="s">
        <v>6</v>
      </c>
      <c r="BB347" s="68"/>
      <c r="BC347">
        <f>SUM(BC345:BC346)</f>
        <v>0</v>
      </c>
      <c r="BD347">
        <f>SUM(BD345:BD346)</f>
        <v>0</v>
      </c>
      <c r="BE347" s="47">
        <v>0</v>
      </c>
      <c r="BF347" s="27">
        <v>0</v>
      </c>
      <c r="BG347" s="49">
        <v>0</v>
      </c>
      <c r="BH347" s="75">
        <v>0</v>
      </c>
      <c r="BI347" s="49">
        <v>0</v>
      </c>
      <c r="BJ347" s="47"/>
      <c r="BK347" s="51"/>
      <c r="BL347" s="49">
        <f>SUM(BJ346:BJ347)</f>
        <v>0</v>
      </c>
    </row>
    <row r="348" spans="1:64" x14ac:dyDescent="0.3">
      <c r="A348" s="42" t="s">
        <v>105</v>
      </c>
      <c r="B348" s="42">
        <v>395</v>
      </c>
      <c r="C348" s="40">
        <v>372</v>
      </c>
      <c r="D348" s="28"/>
      <c r="E348" s="38" t="s">
        <v>60</v>
      </c>
      <c r="F348" s="28"/>
      <c r="G348" s="41"/>
      <c r="H348" s="67">
        <v>9</v>
      </c>
      <c r="I348" s="43" t="s">
        <v>106</v>
      </c>
      <c r="J348" s="40">
        <f>SUM(H348)</f>
        <v>9</v>
      </c>
      <c r="K348" s="28"/>
      <c r="L348" s="32"/>
      <c r="M348" s="33"/>
      <c r="N348" s="35"/>
      <c r="O348" s="34"/>
      <c r="P348" s="34"/>
      <c r="Q348" s="35"/>
      <c r="R348" s="33"/>
      <c r="S348" s="35"/>
      <c r="T348" s="6" t="s">
        <v>104</v>
      </c>
      <c r="U348" s="34"/>
      <c r="V348" s="35"/>
      <c r="W348" s="28"/>
      <c r="AB348" s="41"/>
      <c r="AC348" s="18"/>
      <c r="AD348" s="18"/>
      <c r="AE348" s="10">
        <v>0</v>
      </c>
      <c r="AF348" s="18">
        <v>0</v>
      </c>
      <c r="AG348" s="11">
        <v>0</v>
      </c>
      <c r="AH348" s="10"/>
      <c r="AI348" s="11"/>
      <c r="AJ348" s="10">
        <v>0</v>
      </c>
      <c r="AK348" s="10"/>
      <c r="AL348" s="37" t="s">
        <v>6</v>
      </c>
      <c r="AM348" s="11"/>
      <c r="AP348" s="84" t="s">
        <v>132</v>
      </c>
      <c r="AQ348" s="42">
        <v>0</v>
      </c>
      <c r="AR348" s="37">
        <v>0</v>
      </c>
      <c r="AS348" s="42"/>
      <c r="AT348" s="40"/>
      <c r="AU348" s="28"/>
      <c r="AV348" s="28"/>
      <c r="AW348" s="28"/>
      <c r="AX348" s="28"/>
      <c r="AY348" s="40"/>
      <c r="AZ348" s="28"/>
      <c r="BA348" s="28" t="s">
        <v>6</v>
      </c>
      <c r="BB348" s="33" t="s">
        <v>89</v>
      </c>
      <c r="BC348" s="78">
        <v>307</v>
      </c>
      <c r="BD348" s="79">
        <v>296</v>
      </c>
      <c r="BE348" s="34"/>
      <c r="BF348" s="8"/>
      <c r="BG348" s="35"/>
      <c r="BH348" s="80"/>
      <c r="BI348" s="34"/>
      <c r="BJ348" s="33"/>
      <c r="BK348" s="34" t="s">
        <v>91</v>
      </c>
      <c r="BL348" s="35"/>
    </row>
    <row r="349" spans="1:64" ht="15" thickBot="1" x14ac:dyDescent="0.35">
      <c r="A349" s="67" t="s">
        <v>84</v>
      </c>
      <c r="B349" s="47">
        <f>SUM(B347:B348)</f>
        <v>395</v>
      </c>
      <c r="C349" s="49">
        <f>SUM(C347:C348)</f>
        <v>372</v>
      </c>
      <c r="G349" s="46">
        <f>9*70</f>
        <v>630</v>
      </c>
      <c r="H349" s="48"/>
      <c r="I349" s="48"/>
      <c r="J349" s="49"/>
      <c r="K349" s="28"/>
      <c r="L349" s="69" t="s">
        <v>109</v>
      </c>
      <c r="M349" s="42">
        <v>2490</v>
      </c>
      <c r="N349" s="40">
        <v>0</v>
      </c>
      <c r="O349" s="28">
        <v>0</v>
      </c>
      <c r="P349" s="43">
        <v>0</v>
      </c>
      <c r="Q349" s="40">
        <v>0</v>
      </c>
      <c r="R349" s="42">
        <v>0</v>
      </c>
      <c r="S349" s="40">
        <v>0</v>
      </c>
      <c r="T349" s="28"/>
      <c r="U349" s="28"/>
      <c r="V349" s="40"/>
      <c r="W349" s="28"/>
      <c r="AA349" s="28"/>
      <c r="AB349" s="44" t="s">
        <v>783</v>
      </c>
      <c r="AC349" s="45"/>
      <c r="AD349" s="45"/>
      <c r="AE349" s="10">
        <v>0</v>
      </c>
      <c r="AF349" s="18">
        <v>0</v>
      </c>
      <c r="AG349" s="11">
        <v>0</v>
      </c>
      <c r="AH349" s="10"/>
      <c r="AI349" s="11"/>
      <c r="AJ349" s="67"/>
      <c r="AK349" s="42">
        <v>3</v>
      </c>
      <c r="AL349" s="54" t="s">
        <v>784</v>
      </c>
      <c r="AM349" s="40"/>
      <c r="AN349" s="28"/>
      <c r="AP349" s="84" t="s">
        <v>81</v>
      </c>
      <c r="AQ349" s="42">
        <v>16</v>
      </c>
      <c r="AR349" s="37">
        <v>17</v>
      </c>
      <c r="AS349" s="42"/>
      <c r="AT349" s="40"/>
      <c r="AU349" s="28"/>
      <c r="AV349" s="28"/>
      <c r="AW349" s="28"/>
      <c r="AX349" s="28"/>
      <c r="AY349" s="40"/>
      <c r="AZ349" s="45"/>
      <c r="BA349" s="28"/>
      <c r="BB349" s="52" t="s">
        <v>85</v>
      </c>
      <c r="BC349" s="42">
        <v>0</v>
      </c>
      <c r="BD349" s="40">
        <v>0</v>
      </c>
      <c r="BE349" s="28"/>
      <c r="BF349" s="28"/>
      <c r="BG349" s="40"/>
      <c r="BJ349" s="42"/>
      <c r="BK349" s="43"/>
      <c r="BL349" s="40"/>
    </row>
    <row r="350" spans="1:64" ht="15" thickBot="1" x14ac:dyDescent="0.35">
      <c r="A350" s="29" t="s">
        <v>108</v>
      </c>
      <c r="B350" s="29">
        <v>0</v>
      </c>
      <c r="C350" s="7">
        <v>0</v>
      </c>
      <c r="D350" s="8"/>
      <c r="E350" s="8">
        <v>641</v>
      </c>
      <c r="F350" s="8"/>
      <c r="G350" s="50"/>
      <c r="H350" s="6" t="s">
        <v>104</v>
      </c>
      <c r="I350" s="31"/>
      <c r="J350" s="30"/>
      <c r="K350" s="28"/>
      <c r="L350" s="46"/>
      <c r="M350" s="47"/>
      <c r="N350" s="49"/>
      <c r="O350" s="48"/>
      <c r="P350" s="48"/>
      <c r="Q350" s="49"/>
      <c r="R350" s="72"/>
      <c r="S350" s="73"/>
      <c r="T350" s="48"/>
      <c r="U350" s="48"/>
      <c r="V350" s="49"/>
      <c r="W350" s="28"/>
      <c r="AA350" s="28"/>
      <c r="AB350" s="41"/>
      <c r="AE350" s="10">
        <v>0</v>
      </c>
      <c r="AF350" s="18">
        <v>0</v>
      </c>
      <c r="AG350" s="11">
        <v>0</v>
      </c>
      <c r="AH350" s="10"/>
      <c r="AI350" s="11"/>
      <c r="AJ350" s="47"/>
      <c r="AK350" s="72"/>
      <c r="AL350" s="74"/>
      <c r="AM350" s="49"/>
      <c r="AN350" s="28"/>
      <c r="AP350" s="10" t="s">
        <v>138</v>
      </c>
      <c r="AQ350" s="36">
        <v>0</v>
      </c>
      <c r="AR350" s="37">
        <v>0</v>
      </c>
      <c r="AS350" s="42"/>
      <c r="AT350" s="11"/>
      <c r="AU350" s="18"/>
      <c r="AV350" s="18"/>
      <c r="AW350" s="18"/>
      <c r="AX350" s="18"/>
      <c r="AY350" s="11"/>
      <c r="AZ350" s="28"/>
      <c r="BA350" s="28" t="s">
        <v>6</v>
      </c>
      <c r="BB350" s="67" t="s">
        <v>113</v>
      </c>
      <c r="BC350" s="42">
        <v>576</v>
      </c>
      <c r="BD350" s="40">
        <v>575</v>
      </c>
      <c r="BE350" s="28"/>
      <c r="BF350" s="28"/>
      <c r="BG350" s="40"/>
      <c r="BH350" s="28"/>
      <c r="BI350" s="28"/>
      <c r="BJ350" s="67">
        <v>67</v>
      </c>
      <c r="BK350" s="43" t="s">
        <v>73</v>
      </c>
      <c r="BL350" s="40"/>
    </row>
    <row r="351" spans="1:64" ht="15" thickBot="1" x14ac:dyDescent="0.35">
      <c r="A351" s="52" t="s">
        <v>109</v>
      </c>
      <c r="B351" s="36">
        <v>1456</v>
      </c>
      <c r="C351" s="11">
        <v>1009</v>
      </c>
      <c r="D351" s="45"/>
      <c r="E351" s="45">
        <v>0</v>
      </c>
      <c r="F351" s="45"/>
      <c r="G351" s="69"/>
      <c r="H351" s="45">
        <v>7</v>
      </c>
      <c r="I351" s="28" t="s">
        <v>114</v>
      </c>
      <c r="J351" s="40"/>
      <c r="K351" s="28"/>
      <c r="L351" s="50" t="s">
        <v>93</v>
      </c>
      <c r="M351" s="8">
        <v>0</v>
      </c>
      <c r="N351" s="8">
        <v>0</v>
      </c>
      <c r="O351" s="6"/>
      <c r="P351" s="8"/>
      <c r="Q351" s="7"/>
      <c r="R351" s="8">
        <v>0</v>
      </c>
      <c r="S351" s="8">
        <v>0</v>
      </c>
      <c r="T351" s="10" t="s">
        <v>116</v>
      </c>
      <c r="U351" s="8"/>
      <c r="V351" s="7"/>
      <c r="W351" s="28"/>
      <c r="AA351" s="28"/>
      <c r="AB351" s="33"/>
      <c r="AC351" s="6"/>
      <c r="AD351" s="7"/>
      <c r="AE351" s="8"/>
      <c r="AF351" s="8"/>
      <c r="AG351" s="8"/>
      <c r="AH351" s="6"/>
      <c r="AI351" s="7"/>
      <c r="AJ351" s="8"/>
      <c r="AK351" s="29"/>
      <c r="AL351" s="164" t="s">
        <v>117</v>
      </c>
      <c r="AM351" s="7"/>
      <c r="AN351" s="28"/>
      <c r="AP351" s="84" t="s">
        <v>56</v>
      </c>
      <c r="AQ351" s="42">
        <v>9</v>
      </c>
      <c r="AR351" s="54">
        <v>10</v>
      </c>
      <c r="AS351" s="42"/>
      <c r="AT351" s="40"/>
      <c r="AU351" s="28"/>
      <c r="AV351" s="28"/>
      <c r="AW351" s="28"/>
      <c r="AX351" s="28"/>
      <c r="AY351" s="40"/>
      <c r="AZ351" s="28"/>
      <c r="BA351" s="28"/>
      <c r="BB351" s="47" t="s">
        <v>84</v>
      </c>
      <c r="BC351" s="47">
        <f>SUM(BC348:BC350)</f>
        <v>883</v>
      </c>
      <c r="BD351" s="49">
        <f>SUM(BD348:BD350)</f>
        <v>871</v>
      </c>
      <c r="BE351" s="81">
        <v>0</v>
      </c>
      <c r="BF351" s="27">
        <v>0</v>
      </c>
      <c r="BG351" s="82">
        <f>+BG348</f>
        <v>0</v>
      </c>
      <c r="BH351" s="74">
        <v>0</v>
      </c>
      <c r="BI351" s="74">
        <v>0</v>
      </c>
      <c r="BJ351" s="47"/>
      <c r="BK351" s="51"/>
      <c r="BL351" s="49">
        <f>SUM(BJ350)</f>
        <v>67</v>
      </c>
    </row>
    <row r="352" spans="1:64" ht="15" thickBot="1" x14ac:dyDescent="0.35">
      <c r="A352" s="76" t="s">
        <v>84</v>
      </c>
      <c r="B352" s="42">
        <f>SUM(B350:B351)</f>
        <v>1456</v>
      </c>
      <c r="C352" s="40">
        <f>SUM(C350:C351)</f>
        <v>1009</v>
      </c>
      <c r="D352" s="28"/>
      <c r="E352" s="28">
        <f>SUM(E350:E351)</f>
        <v>641</v>
      </c>
      <c r="F352" s="28"/>
      <c r="G352" s="46">
        <f>375*7</f>
        <v>2625</v>
      </c>
      <c r="H352" s="48"/>
      <c r="I352" s="48"/>
      <c r="J352" s="49">
        <f>SUM(H351)</f>
        <v>7</v>
      </c>
      <c r="K352" s="28"/>
      <c r="L352" s="12" t="s">
        <v>99</v>
      </c>
      <c r="M352" s="37">
        <v>95932</v>
      </c>
      <c r="N352" s="37">
        <v>40139</v>
      </c>
      <c r="O352" s="10"/>
      <c r="P352" s="18"/>
      <c r="Q352" s="11"/>
      <c r="R352" s="18">
        <v>5993</v>
      </c>
      <c r="S352" s="18">
        <v>205</v>
      </c>
      <c r="T352" s="10"/>
      <c r="U352" s="18"/>
      <c r="V352" s="11"/>
      <c r="W352" s="28"/>
      <c r="AA352" s="28"/>
      <c r="AB352" s="67"/>
      <c r="AC352" s="42"/>
      <c r="AD352" s="40"/>
      <c r="AE352" s="28"/>
      <c r="AF352" s="28"/>
      <c r="AG352" s="28"/>
      <c r="AH352" s="42"/>
      <c r="AI352" s="40"/>
      <c r="AJ352" s="28"/>
      <c r="AK352" s="42"/>
      <c r="AL352" s="54" t="s">
        <v>558</v>
      </c>
      <c r="AM352" s="40"/>
      <c r="AN352" s="28"/>
      <c r="AP352" s="36" t="s">
        <v>67</v>
      </c>
      <c r="AQ352" s="10">
        <v>103</v>
      </c>
      <c r="AR352" s="18">
        <v>105</v>
      </c>
      <c r="AS352" s="42"/>
      <c r="AT352" s="11"/>
      <c r="AU352" s="18"/>
      <c r="AV352" s="18"/>
      <c r="AW352" s="18"/>
      <c r="AX352" s="18"/>
      <c r="AY352" s="11"/>
      <c r="AZ352" s="28"/>
      <c r="BA352" s="28"/>
      <c r="BB352" s="52" t="s">
        <v>113</v>
      </c>
      <c r="BC352" s="42">
        <v>712</v>
      </c>
      <c r="BD352" s="85">
        <v>646</v>
      </c>
      <c r="BE352" s="37"/>
      <c r="BF352" s="18"/>
      <c r="BG352" s="54"/>
      <c r="BH352" s="52"/>
      <c r="BI352" s="40"/>
      <c r="BJ352" s="67"/>
      <c r="BK352" s="34" t="s">
        <v>130</v>
      </c>
      <c r="BL352" s="40"/>
    </row>
    <row r="353" spans="1:65" ht="15" thickBot="1" x14ac:dyDescent="0.35">
      <c r="A353" s="32" t="s">
        <v>785</v>
      </c>
      <c r="B353" s="33">
        <v>555</v>
      </c>
      <c r="C353" s="35">
        <v>535</v>
      </c>
      <c r="D353" s="33"/>
      <c r="E353" s="34"/>
      <c r="F353" s="34"/>
      <c r="G353" s="32">
        <v>600</v>
      </c>
      <c r="H353" s="33" t="s">
        <v>118</v>
      </c>
      <c r="I353" s="34"/>
      <c r="J353" s="35"/>
      <c r="K353" s="28"/>
      <c r="L353" s="12" t="s">
        <v>120</v>
      </c>
      <c r="M353" s="37">
        <v>1239</v>
      </c>
      <c r="N353" s="37">
        <v>21448</v>
      </c>
      <c r="O353" s="10"/>
      <c r="P353" s="18"/>
      <c r="Q353" s="11"/>
      <c r="R353" s="18">
        <v>597</v>
      </c>
      <c r="S353" s="18">
        <v>28</v>
      </c>
      <c r="T353" s="10"/>
      <c r="U353" s="18"/>
      <c r="V353" s="11"/>
      <c r="W353" s="28"/>
      <c r="AA353" s="28"/>
      <c r="AB353" s="36"/>
      <c r="AC353" s="10"/>
      <c r="AD353" s="11"/>
      <c r="AE353" s="18"/>
      <c r="AF353" s="18"/>
      <c r="AG353" s="18"/>
      <c r="AH353" s="10"/>
      <c r="AI353" s="11"/>
      <c r="AJ353" s="18"/>
      <c r="AK353" s="10"/>
      <c r="AL353" s="37" t="s">
        <v>302</v>
      </c>
      <c r="AM353" s="11"/>
      <c r="AN353" s="28"/>
      <c r="AP353" s="13" t="s">
        <v>84</v>
      </c>
      <c r="AQ353" s="13">
        <f>SUM(AQ341:AQ352)</f>
        <v>326</v>
      </c>
      <c r="AR353" s="27">
        <f>SUM(AR341:AR352)</f>
        <v>250</v>
      </c>
      <c r="AS353" s="47"/>
      <c r="AT353" s="26">
        <f>SUM(AT345:AT352)</f>
        <v>0</v>
      </c>
      <c r="AU353" s="27"/>
      <c r="AV353" s="27"/>
      <c r="AW353" s="27"/>
      <c r="AX353" s="27"/>
      <c r="AY353" s="26">
        <f>SUM(AV345:AV347)</f>
        <v>100</v>
      </c>
      <c r="AZ353" s="28"/>
      <c r="BA353" s="28"/>
      <c r="BB353" s="42" t="s">
        <v>475</v>
      </c>
      <c r="BC353" s="67">
        <v>0</v>
      </c>
      <c r="BD353" s="85">
        <v>19</v>
      </c>
      <c r="BE353" s="28"/>
      <c r="BF353" s="18"/>
      <c r="BG353" s="28"/>
      <c r="BH353" s="52"/>
      <c r="BI353" s="86"/>
      <c r="BJ353" s="52">
        <v>52</v>
      </c>
      <c r="BK353" s="43" t="s">
        <v>73</v>
      </c>
      <c r="BL353" s="40"/>
      <c r="BM353" t="s">
        <v>6</v>
      </c>
    </row>
    <row r="354" spans="1:65" ht="15" thickBot="1" x14ac:dyDescent="0.35">
      <c r="A354" s="68" t="s">
        <v>93</v>
      </c>
      <c r="B354" s="67">
        <v>8280</v>
      </c>
      <c r="C354" s="56">
        <v>6158</v>
      </c>
      <c r="G354" s="41">
        <v>9230</v>
      </c>
      <c r="H354" s="42"/>
      <c r="I354" s="28"/>
      <c r="J354" s="40"/>
      <c r="K354" s="28"/>
      <c r="L354" s="12" t="s">
        <v>84</v>
      </c>
      <c r="M354" s="18">
        <f>SUM(M351:M353)</f>
        <v>97171</v>
      </c>
      <c r="N354" s="18">
        <f>SUM(N351:N353)</f>
        <v>61587</v>
      </c>
      <c r="O354" s="10">
        <v>0</v>
      </c>
      <c r="P354" s="18">
        <v>0</v>
      </c>
      <c r="Q354" s="11">
        <v>0</v>
      </c>
      <c r="R354" s="18">
        <f>SUM(R351:R353)</f>
        <v>6590</v>
      </c>
      <c r="S354" s="18">
        <f>SUM(S351:S353)</f>
        <v>233</v>
      </c>
      <c r="T354" s="10"/>
      <c r="U354" s="18"/>
      <c r="V354" s="11"/>
      <c r="W354" s="28"/>
      <c r="AA354" s="28"/>
      <c r="AB354" s="42"/>
      <c r="AC354" s="42"/>
      <c r="AD354" s="40"/>
      <c r="AE354" s="28"/>
      <c r="AF354" s="28"/>
      <c r="AG354" s="28"/>
      <c r="AH354" s="42"/>
      <c r="AI354" s="40"/>
      <c r="AJ354" s="28"/>
      <c r="AK354" s="42">
        <v>9</v>
      </c>
      <c r="AL354" s="28" t="s">
        <v>124</v>
      </c>
      <c r="AM354" s="40"/>
      <c r="AN354" s="28"/>
      <c r="AP354" s="32"/>
      <c r="AQ354" s="53"/>
      <c r="AR354" s="97"/>
      <c r="AS354" s="33"/>
      <c r="AT354" s="7"/>
      <c r="AU354" s="6"/>
      <c r="AV354" s="8"/>
      <c r="AW354" s="31"/>
      <c r="AX354" s="8"/>
      <c r="AY354" s="7"/>
      <c r="AZ354" s="28"/>
      <c r="BA354" s="28"/>
      <c r="BB354" s="59" t="s">
        <v>84</v>
      </c>
      <c r="BC354" s="13">
        <f>SUM(BC352:BC353)</f>
        <v>712</v>
      </c>
      <c r="BD354" s="60">
        <f>SUM(BD352:BD353)</f>
        <v>665</v>
      </c>
      <c r="BE354" s="81">
        <v>0</v>
      </c>
      <c r="BF354" s="27">
        <v>0</v>
      </c>
      <c r="BG354" s="27">
        <v>0</v>
      </c>
      <c r="BH354" s="13">
        <v>0</v>
      </c>
      <c r="BI354" s="26">
        <v>0</v>
      </c>
      <c r="BJ354" s="13"/>
      <c r="BK354" s="43"/>
      <c r="BL354" s="26">
        <f>SUM(BJ352:BJ353)</f>
        <v>52</v>
      </c>
    </row>
    <row r="355" spans="1:65" ht="15" thickBot="1" x14ac:dyDescent="0.35">
      <c r="A355" s="41" t="s">
        <v>120</v>
      </c>
      <c r="B355" s="42">
        <v>3853</v>
      </c>
      <c r="C355" s="40">
        <v>4087</v>
      </c>
      <c r="D355" s="42"/>
      <c r="E355" s="107" t="s">
        <v>60</v>
      </c>
      <c r="F355" s="28"/>
      <c r="G355" s="41">
        <v>4590</v>
      </c>
      <c r="H355" s="42">
        <v>94</v>
      </c>
      <c r="I355" s="28" t="s">
        <v>101</v>
      </c>
      <c r="J355" s="40"/>
      <c r="K355" s="28"/>
      <c r="L355" s="17"/>
      <c r="M355" s="27"/>
      <c r="N355" s="27"/>
      <c r="O355" s="13"/>
      <c r="P355" s="27"/>
      <c r="Q355" s="26"/>
      <c r="R355" s="27"/>
      <c r="S355" s="27"/>
      <c r="T355" s="13"/>
      <c r="U355" s="27"/>
      <c r="V355" s="26"/>
      <c r="W355" s="28"/>
      <c r="AA355" s="28"/>
      <c r="AB355" s="47"/>
      <c r="AC355" s="47"/>
      <c r="AD355" s="49"/>
      <c r="AE355" s="48"/>
      <c r="AF355" s="48"/>
      <c r="AG355" s="48"/>
      <c r="AH355" s="47"/>
      <c r="AI355" s="49"/>
      <c r="AJ355" s="48"/>
      <c r="AK355" s="165"/>
      <c r="AL355" s="48"/>
      <c r="AM355" s="49"/>
      <c r="AN355" s="28"/>
      <c r="AP355" s="62"/>
      <c r="AQ355" s="72"/>
      <c r="AR355" s="73"/>
      <c r="AS355" s="47"/>
      <c r="AT355" s="49"/>
      <c r="AU355" s="47"/>
      <c r="AV355" s="48"/>
      <c r="AW355" s="48"/>
      <c r="AX355" s="48"/>
      <c r="AY355" s="49"/>
      <c r="BA355" s="28"/>
      <c r="BB355" s="88" t="s">
        <v>139</v>
      </c>
      <c r="BC355" s="33">
        <v>1</v>
      </c>
      <c r="BD355" s="34">
        <v>7</v>
      </c>
      <c r="BE355" s="152"/>
      <c r="BF355" s="89"/>
      <c r="BG355" s="66"/>
      <c r="BH355" s="8"/>
      <c r="BI355" s="35"/>
      <c r="BJ355" s="34" t="s">
        <v>140</v>
      </c>
      <c r="BK355" s="34"/>
      <c r="BL355" s="35"/>
    </row>
    <row r="356" spans="1:65" ht="15" thickBot="1" x14ac:dyDescent="0.35">
      <c r="A356" s="46" t="s">
        <v>84</v>
      </c>
      <c r="B356" s="47">
        <f>SUM(B353:B355)</f>
        <v>12688</v>
      </c>
      <c r="C356" s="49">
        <f>SUM(C353:C355)</f>
        <v>10780</v>
      </c>
      <c r="D356" s="47"/>
      <c r="E356" s="48"/>
      <c r="F356" s="48"/>
      <c r="G356" s="46">
        <f>SUM(G353:G355)</f>
        <v>14420</v>
      </c>
      <c r="H356" s="47"/>
      <c r="I356" s="48"/>
      <c r="J356" s="49">
        <f>SUM(H355:H356)</f>
        <v>94</v>
      </c>
      <c r="K356" s="28"/>
      <c r="L356" s="12" t="s">
        <v>105</v>
      </c>
      <c r="M356" s="34">
        <v>1584</v>
      </c>
      <c r="N356" s="34">
        <v>672</v>
      </c>
      <c r="O356" s="33"/>
      <c r="P356" s="34"/>
      <c r="Q356" s="35"/>
      <c r="R356" s="34">
        <v>16</v>
      </c>
      <c r="S356" s="34">
        <v>0</v>
      </c>
      <c r="T356" s="33"/>
      <c r="U356" s="34"/>
      <c r="V356" s="35"/>
      <c r="W356" s="28"/>
      <c r="AA356" s="28"/>
      <c r="AB356" s="32" t="s">
        <v>97</v>
      </c>
      <c r="AC356" s="28">
        <v>68</v>
      </c>
      <c r="AD356" s="28">
        <v>89</v>
      </c>
      <c r="AE356" s="33"/>
      <c r="AF356" s="34"/>
      <c r="AG356" s="34"/>
      <c r="AH356" s="33"/>
      <c r="AI356" s="35"/>
      <c r="AJ356" s="35"/>
      <c r="AK356" s="33"/>
      <c r="AL356" s="34"/>
      <c r="AM356" s="35"/>
      <c r="AN356" s="28"/>
      <c r="AP356" s="67" t="s">
        <v>63</v>
      </c>
      <c r="AQ356" s="33">
        <v>6</v>
      </c>
      <c r="AR356" s="35">
        <v>5</v>
      </c>
      <c r="AU356" s="33"/>
      <c r="AV356" s="34"/>
      <c r="AW356" s="34"/>
      <c r="AX356" s="34"/>
      <c r="AY356" s="35"/>
      <c r="AZ356" s="28"/>
      <c r="BA356" s="28"/>
      <c r="BB356" s="42" t="s">
        <v>786</v>
      </c>
      <c r="BC356" s="42">
        <v>0</v>
      </c>
      <c r="BD356" s="43">
        <v>10</v>
      </c>
      <c r="BE356" s="42"/>
      <c r="BF356" s="28"/>
      <c r="BG356" s="40"/>
      <c r="BH356" s="28"/>
      <c r="BI356" s="40"/>
      <c r="BJ356" s="28"/>
      <c r="BK356" s="28"/>
      <c r="BL356" s="40"/>
    </row>
    <row r="357" spans="1:65" x14ac:dyDescent="0.3">
      <c r="A357" s="41" t="s">
        <v>88</v>
      </c>
      <c r="B357" s="42">
        <v>236</v>
      </c>
      <c r="C357" s="40">
        <v>258</v>
      </c>
      <c r="D357" s="28"/>
      <c r="E357" s="45">
        <v>0</v>
      </c>
      <c r="F357" s="40"/>
      <c r="G357" s="40">
        <v>604</v>
      </c>
      <c r="H357" s="28" t="s">
        <v>131</v>
      </c>
      <c r="J357" s="40"/>
      <c r="K357" s="28"/>
      <c r="L357" s="44" t="s">
        <v>99</v>
      </c>
      <c r="M357" s="18">
        <v>75</v>
      </c>
      <c r="N357" s="18">
        <v>0</v>
      </c>
      <c r="O357" s="10"/>
      <c r="P357" s="18"/>
      <c r="Q357" s="11"/>
      <c r="R357" s="18">
        <v>0</v>
      </c>
      <c r="S357" s="18">
        <v>0</v>
      </c>
      <c r="T357" s="10" t="s">
        <v>135</v>
      </c>
      <c r="U357" s="18"/>
      <c r="V357" s="11"/>
      <c r="W357" s="28"/>
      <c r="AA357" s="28"/>
      <c r="AB357" s="41" t="s">
        <v>89</v>
      </c>
      <c r="AC357" s="28">
        <v>458</v>
      </c>
      <c r="AD357" s="28">
        <v>429</v>
      </c>
      <c r="AE357" s="42"/>
      <c r="AF357" s="28"/>
      <c r="AG357" s="28"/>
      <c r="AH357" s="42"/>
      <c r="AI357" s="40"/>
      <c r="AJ357" s="40"/>
      <c r="AK357" s="42" t="s">
        <v>136</v>
      </c>
      <c r="AL357" s="28"/>
      <c r="AM357" s="40"/>
      <c r="AN357" s="28"/>
      <c r="AP357" s="67" t="s">
        <v>716</v>
      </c>
      <c r="AQ357" s="42">
        <v>0</v>
      </c>
      <c r="AR357" s="40">
        <v>0</v>
      </c>
      <c r="AU357" s="42"/>
      <c r="AV357" s="28"/>
      <c r="AW357" s="28"/>
      <c r="AX357" s="28"/>
      <c r="AY357" s="40"/>
      <c r="AZ357" s="28"/>
      <c r="BA357" s="28"/>
      <c r="BB357" s="153" t="s">
        <v>783</v>
      </c>
      <c r="BC357" s="42">
        <v>2</v>
      </c>
      <c r="BD357" s="43">
        <v>1</v>
      </c>
      <c r="BE357" s="42"/>
      <c r="BF357" s="28"/>
      <c r="BG357" s="40"/>
      <c r="BH357" s="28"/>
      <c r="BI357" s="40"/>
      <c r="BJ357" s="28"/>
      <c r="BK357" s="28"/>
      <c r="BL357" s="40"/>
    </row>
    <row r="358" spans="1:65" x14ac:dyDescent="0.3">
      <c r="A358" s="41" t="s">
        <v>102</v>
      </c>
      <c r="B358" s="42">
        <v>325</v>
      </c>
      <c r="C358" s="85">
        <v>278</v>
      </c>
      <c r="D358" s="28"/>
      <c r="E358" s="45">
        <v>0</v>
      </c>
      <c r="F358" s="40"/>
      <c r="G358" s="40">
        <v>604</v>
      </c>
      <c r="H358" s="43">
        <v>8</v>
      </c>
      <c r="I358" s="28" t="s">
        <v>134</v>
      </c>
      <c r="J358" s="40"/>
      <c r="K358" s="28"/>
      <c r="L358" s="12"/>
      <c r="M358" s="18"/>
      <c r="N358" s="18"/>
      <c r="O358" s="10"/>
      <c r="P358" s="18"/>
      <c r="Q358" s="11"/>
      <c r="R358" s="18"/>
      <c r="S358" s="18"/>
      <c r="T358" s="10"/>
      <c r="U358" s="18"/>
      <c r="V358" s="11"/>
      <c r="W358" s="28"/>
      <c r="AA358" s="28"/>
      <c r="AB358" s="44" t="s">
        <v>137</v>
      </c>
      <c r="AC358" s="18">
        <v>327</v>
      </c>
      <c r="AD358" s="18">
        <v>375</v>
      </c>
      <c r="AE358" s="10"/>
      <c r="AF358" s="18"/>
      <c r="AG358" s="18"/>
      <c r="AH358" s="52"/>
      <c r="AI358" s="85"/>
      <c r="AJ358" s="40"/>
      <c r="AK358" s="84"/>
      <c r="AL358" s="37"/>
      <c r="AM358" s="40"/>
      <c r="AN358" s="28"/>
      <c r="AP358" s="52" t="s">
        <v>56</v>
      </c>
      <c r="AQ358" s="52">
        <v>2</v>
      </c>
      <c r="AR358" s="85">
        <v>3</v>
      </c>
      <c r="AS358" s="28"/>
      <c r="AT358" s="28"/>
      <c r="AU358" s="42"/>
      <c r="AV358" s="28" t="s">
        <v>173</v>
      </c>
      <c r="AW358" s="28"/>
      <c r="AX358" s="28"/>
      <c r="AY358" s="40"/>
      <c r="AZ358" s="28"/>
      <c r="BA358" s="28"/>
      <c r="BB358" s="92" t="s">
        <v>113</v>
      </c>
      <c r="BC358" s="67">
        <f>2+42+12+2+1+5+3+4</f>
        <v>71</v>
      </c>
      <c r="BD358" s="43">
        <f>5+35+8+1+6+3+1</f>
        <v>59</v>
      </c>
      <c r="BE358" s="52"/>
      <c r="BF358" s="54">
        <v>5</v>
      </c>
      <c r="BG358" s="85"/>
      <c r="BH358" s="18"/>
      <c r="BI358" s="40"/>
      <c r="BJ358" s="18" t="s">
        <v>142</v>
      </c>
      <c r="BK358" s="18"/>
      <c r="BL358" s="39" t="s">
        <v>730</v>
      </c>
    </row>
    <row r="359" spans="1:65" ht="15" thickBot="1" x14ac:dyDescent="0.35">
      <c r="A359" s="87" t="s">
        <v>84</v>
      </c>
      <c r="B359" s="59">
        <f>SUM(B357:B358)</f>
        <v>561</v>
      </c>
      <c r="C359" s="26">
        <f>SUM(C357:C358)</f>
        <v>536</v>
      </c>
      <c r="D359" s="27"/>
      <c r="E359" s="16">
        <f>SUM(E355:E358)</f>
        <v>0</v>
      </c>
      <c r="F359" s="26"/>
      <c r="G359" s="49">
        <f>SUM(G357:G358)</f>
        <v>1208</v>
      </c>
      <c r="H359" s="48"/>
      <c r="I359" s="48"/>
      <c r="J359" s="49">
        <f>SUM(H357:H358)</f>
        <v>8</v>
      </c>
      <c r="K359" s="28"/>
      <c r="L359" s="12" t="s">
        <v>84</v>
      </c>
      <c r="M359" s="18">
        <f>SUM(M356:M358)</f>
        <v>1659</v>
      </c>
      <c r="N359" s="18">
        <f>SUM(N356:N358)</f>
        <v>672</v>
      </c>
      <c r="O359" s="10">
        <v>0</v>
      </c>
      <c r="P359" s="18">
        <v>0</v>
      </c>
      <c r="Q359" s="11">
        <v>0</v>
      </c>
      <c r="R359" s="18">
        <f>SUM(R356:R358)</f>
        <v>16</v>
      </c>
      <c r="S359" s="18">
        <f>SUM(S356:S358)</f>
        <v>0</v>
      </c>
      <c r="T359" s="10"/>
      <c r="U359" s="18"/>
      <c r="V359" s="11"/>
      <c r="W359" s="28"/>
      <c r="AA359" s="28"/>
      <c r="AB359" s="41" t="s">
        <v>84</v>
      </c>
      <c r="AC359" s="28">
        <f>SUM(AC356:AC358)</f>
        <v>853</v>
      </c>
      <c r="AD359" s="28">
        <f>SUM(AD356:AD358)</f>
        <v>893</v>
      </c>
      <c r="AE359" s="42">
        <v>0</v>
      </c>
      <c r="AF359" s="28">
        <v>0</v>
      </c>
      <c r="AG359" s="28">
        <v>0</v>
      </c>
      <c r="AH359" s="42">
        <v>0</v>
      </c>
      <c r="AI359" s="40">
        <v>0</v>
      </c>
      <c r="AJ359" s="40">
        <v>0</v>
      </c>
      <c r="AK359" s="67">
        <v>21</v>
      </c>
      <c r="AL359" s="28" t="s">
        <v>141</v>
      </c>
      <c r="AM359" s="40"/>
      <c r="AN359" s="28"/>
      <c r="AP359" s="52" t="s">
        <v>67</v>
      </c>
      <c r="AQ359" s="52">
        <v>4</v>
      </c>
      <c r="AR359" s="56">
        <v>4</v>
      </c>
      <c r="AU359" s="42"/>
      <c r="AV359" s="28"/>
      <c r="AW359" s="28" t="s">
        <v>213</v>
      </c>
      <c r="AX359" s="28"/>
      <c r="AY359" s="40"/>
      <c r="AZ359" s="28"/>
      <c r="BA359" s="28"/>
      <c r="BB359" s="42" t="s">
        <v>164</v>
      </c>
      <c r="BC359" s="67">
        <v>4</v>
      </c>
      <c r="BD359" s="43">
        <v>2</v>
      </c>
      <c r="BE359" s="52"/>
      <c r="BF359" s="54"/>
      <c r="BG359" s="85"/>
      <c r="BH359" s="18"/>
      <c r="BI359" s="40"/>
      <c r="BJ359" s="154" t="s">
        <v>146</v>
      </c>
      <c r="BK359" s="28"/>
      <c r="BL359" s="94" t="s">
        <v>591</v>
      </c>
    </row>
    <row r="360" spans="1:65" ht="15" thickBot="1" x14ac:dyDescent="0.35">
      <c r="A360" s="36" t="s">
        <v>93</v>
      </c>
      <c r="B360" s="42">
        <v>8217</v>
      </c>
      <c r="C360" s="90">
        <v>7182</v>
      </c>
      <c r="D360" s="3"/>
      <c r="E360" s="91" t="s">
        <v>60</v>
      </c>
      <c r="F360" s="18"/>
      <c r="G360" s="44">
        <v>9048</v>
      </c>
      <c r="H360" s="10" t="s">
        <v>116</v>
      </c>
      <c r="I360" s="18"/>
      <c r="J360" s="11"/>
      <c r="K360" s="28"/>
      <c r="L360" s="12"/>
      <c r="M360" s="18"/>
      <c r="N360" s="18"/>
      <c r="O360" s="10"/>
      <c r="P360" s="18"/>
      <c r="Q360" s="11"/>
      <c r="R360" s="18"/>
      <c r="S360" s="18"/>
      <c r="T360" s="10"/>
      <c r="U360" s="18"/>
      <c r="V360" s="11"/>
      <c r="W360" s="28"/>
      <c r="AA360" s="28"/>
      <c r="AB360" s="46"/>
      <c r="AC360" s="48"/>
      <c r="AD360" s="48"/>
      <c r="AE360" s="47"/>
      <c r="AF360" s="48"/>
      <c r="AG360" s="48"/>
      <c r="AH360" s="47"/>
      <c r="AI360" s="49"/>
      <c r="AJ360" s="49"/>
      <c r="AK360" s="47">
        <v>1</v>
      </c>
      <c r="AL360" s="48" t="s">
        <v>145</v>
      </c>
      <c r="AM360" s="49"/>
      <c r="AN360" s="28"/>
      <c r="AP360" s="10" t="s">
        <v>78</v>
      </c>
      <c r="AQ360" s="52">
        <v>0</v>
      </c>
      <c r="AR360" s="85">
        <v>0</v>
      </c>
      <c r="AS360" s="28"/>
      <c r="AT360" s="28"/>
      <c r="AU360" s="42"/>
      <c r="AV360" s="28">
        <v>12</v>
      </c>
      <c r="AW360" s="28" t="s">
        <v>183</v>
      </c>
      <c r="AX360" s="28"/>
      <c r="AY360" s="40"/>
      <c r="AZ360" s="28"/>
      <c r="BA360" s="28"/>
      <c r="BB360" s="127" t="s">
        <v>97</v>
      </c>
      <c r="BC360" s="67">
        <v>0</v>
      </c>
      <c r="BD360" s="43">
        <v>1</v>
      </c>
      <c r="BE360" s="42"/>
      <c r="BF360" s="28"/>
      <c r="BG360" s="40"/>
      <c r="BH360" s="28"/>
      <c r="BI360" s="40"/>
      <c r="BJ360" s="28"/>
      <c r="BK360" s="28"/>
      <c r="BL360" s="40"/>
    </row>
    <row r="361" spans="1:65" x14ac:dyDescent="0.3">
      <c r="A361" s="10" t="s">
        <v>99</v>
      </c>
      <c r="B361" s="42">
        <v>15955</v>
      </c>
      <c r="C361" s="40">
        <v>14008</v>
      </c>
      <c r="D361" s="3"/>
      <c r="E361" s="91" t="s">
        <v>60</v>
      </c>
      <c r="F361" s="18"/>
      <c r="G361" s="12">
        <v>17157</v>
      </c>
      <c r="H361" s="10">
        <v>110</v>
      </c>
      <c r="I361" s="37" t="s">
        <v>144</v>
      </c>
      <c r="J361" s="11"/>
      <c r="K361" s="28"/>
      <c r="L361" s="12"/>
      <c r="M361" s="18"/>
      <c r="N361" s="18"/>
      <c r="O361" s="10"/>
      <c r="P361" s="18"/>
      <c r="Q361" s="11"/>
      <c r="R361" s="18"/>
      <c r="S361" s="18"/>
      <c r="T361" s="10"/>
      <c r="U361" s="18"/>
      <c r="V361" s="11"/>
      <c r="W361" s="28"/>
      <c r="AA361" s="28"/>
      <c r="AB361" s="42"/>
      <c r="AC361" s="42"/>
      <c r="AD361" s="40"/>
      <c r="AE361" s="28"/>
      <c r="AF361" s="28"/>
      <c r="AG361" s="28"/>
      <c r="AH361" s="42"/>
      <c r="AI361" s="28"/>
      <c r="AJ361" s="41"/>
      <c r="AK361" s="28" t="s">
        <v>149</v>
      </c>
      <c r="AL361" s="28"/>
      <c r="AM361" s="40"/>
      <c r="AN361" s="28" t="s">
        <v>6</v>
      </c>
      <c r="AO361" s="95"/>
      <c r="AP361" s="52" t="s">
        <v>115</v>
      </c>
      <c r="AQ361" s="52">
        <v>0</v>
      </c>
      <c r="AR361" s="85">
        <v>0</v>
      </c>
      <c r="AS361" s="28"/>
      <c r="AT361" s="28"/>
      <c r="AU361" s="42"/>
      <c r="AV361" s="28" t="s">
        <v>6</v>
      </c>
      <c r="AW361" s="28"/>
      <c r="AX361" s="28"/>
      <c r="AY361" s="40"/>
      <c r="AZ361" s="28"/>
      <c r="BA361" s="28"/>
      <c r="BB361" s="52" t="s">
        <v>133</v>
      </c>
      <c r="BC361" s="67">
        <f>1+1</f>
        <v>2</v>
      </c>
      <c r="BD361" s="43">
        <v>1</v>
      </c>
      <c r="BE361" s="52" t="s">
        <v>150</v>
      </c>
      <c r="BF361" s="54"/>
      <c r="BG361" s="85"/>
      <c r="BH361" s="18"/>
      <c r="BI361" s="40"/>
      <c r="BJ361" s="28" t="s">
        <v>151</v>
      </c>
      <c r="BK361" s="28"/>
      <c r="BL361" s="185"/>
    </row>
    <row r="362" spans="1:65" ht="15" thickBot="1" x14ac:dyDescent="0.35">
      <c r="A362" s="10" t="s">
        <v>120</v>
      </c>
      <c r="B362" s="42">
        <v>4535</v>
      </c>
      <c r="C362" s="40">
        <v>4744</v>
      </c>
      <c r="D362" s="3"/>
      <c r="E362" s="91" t="s">
        <v>60</v>
      </c>
      <c r="F362" s="18"/>
      <c r="G362" s="12">
        <v>5151</v>
      </c>
      <c r="H362" s="84">
        <v>20</v>
      </c>
      <c r="I362" s="37" t="s">
        <v>148</v>
      </c>
      <c r="J362" s="11"/>
      <c r="K362" s="28"/>
      <c r="L362" s="44"/>
      <c r="M362" s="18"/>
      <c r="N362" s="18"/>
      <c r="O362" s="10"/>
      <c r="P362" s="18"/>
      <c r="Q362" s="11"/>
      <c r="R362" s="18"/>
      <c r="S362" s="18"/>
      <c r="T362" s="10"/>
      <c r="U362" s="18"/>
      <c r="V362" s="11"/>
      <c r="W362" s="28"/>
      <c r="Y362" t="s">
        <v>6</v>
      </c>
      <c r="AB362" s="36" t="s">
        <v>99</v>
      </c>
      <c r="AC362" s="10">
        <v>0</v>
      </c>
      <c r="AD362" s="11">
        <v>0</v>
      </c>
      <c r="AE362" s="18">
        <v>0</v>
      </c>
      <c r="AF362" s="18">
        <v>0</v>
      </c>
      <c r="AG362" s="18">
        <v>0</v>
      </c>
      <c r="AH362" s="52">
        <v>76691</v>
      </c>
      <c r="AI362" s="45">
        <v>3823</v>
      </c>
      <c r="AJ362" s="41">
        <v>0</v>
      </c>
      <c r="AK362" s="45">
        <v>5</v>
      </c>
      <c r="AL362" s="37" t="s">
        <v>153</v>
      </c>
      <c r="AM362" s="40"/>
      <c r="AP362" s="52" t="s">
        <v>72</v>
      </c>
      <c r="AQ362" s="52">
        <v>1</v>
      </c>
      <c r="AR362" s="85">
        <v>1</v>
      </c>
      <c r="AU362" s="42"/>
      <c r="AV362" s="28"/>
      <c r="AW362" s="28"/>
      <c r="AX362" s="28"/>
      <c r="AY362" s="40"/>
      <c r="AZ362" s="28"/>
      <c r="BA362" s="28"/>
      <c r="BB362" s="52" t="s">
        <v>85</v>
      </c>
      <c r="BC362" s="42">
        <f>7+4</f>
        <v>11</v>
      </c>
      <c r="BD362" s="43">
        <v>0</v>
      </c>
      <c r="BE362" s="42"/>
      <c r="BF362" s="54"/>
      <c r="BG362" s="40"/>
      <c r="BH362" s="45"/>
      <c r="BI362" s="56"/>
      <c r="BJ362" s="43" t="s">
        <v>787</v>
      </c>
      <c r="BK362" s="28" t="s">
        <v>788</v>
      </c>
      <c r="BL362" s="40" t="s">
        <v>626</v>
      </c>
    </row>
    <row r="363" spans="1:65" ht="16.2" thickBot="1" x14ac:dyDescent="0.35">
      <c r="A363" s="10" t="s">
        <v>84</v>
      </c>
      <c r="B363" s="42">
        <f>SUM(B360:B362)</f>
        <v>28707</v>
      </c>
      <c r="C363" s="40">
        <f>SUM(C360:C362)</f>
        <v>25934</v>
      </c>
      <c r="D363" s="3"/>
      <c r="E363" s="91" t="s">
        <v>60</v>
      </c>
      <c r="F363" s="18"/>
      <c r="G363" s="12">
        <f>SUM(G360:G362)</f>
        <v>31356</v>
      </c>
      <c r="H363" s="42">
        <v>28</v>
      </c>
      <c r="I363" s="54" t="s">
        <v>152</v>
      </c>
      <c r="J363" s="40"/>
      <c r="K363" s="28"/>
      <c r="L363" s="12"/>
      <c r="M363" s="18"/>
      <c r="N363" s="18"/>
      <c r="O363" s="10"/>
      <c r="P363" s="18"/>
      <c r="Q363" s="11"/>
      <c r="R363" s="18"/>
      <c r="S363" s="18"/>
      <c r="T363" s="10"/>
      <c r="U363" s="18"/>
      <c r="V363" s="11"/>
      <c r="W363" s="28"/>
      <c r="AB363" s="32"/>
      <c r="AC363" s="6"/>
      <c r="AD363" s="7"/>
      <c r="AE363" s="8"/>
      <c r="AF363" s="8"/>
      <c r="AG363" s="8"/>
      <c r="AH363" s="6"/>
      <c r="AI363" s="7"/>
      <c r="AJ363" s="8"/>
      <c r="AK363" s="29" t="s">
        <v>157</v>
      </c>
      <c r="AL363" s="8"/>
      <c r="AM363" s="7"/>
      <c r="AP363" s="52" t="s">
        <v>84</v>
      </c>
      <c r="AQ363" s="47">
        <f>SUM(AQ356:AQ362)</f>
        <v>13</v>
      </c>
      <c r="AR363" s="49">
        <f>SUM(AR356:AR362)</f>
        <v>13</v>
      </c>
      <c r="AS363" s="28"/>
      <c r="AT363" s="28"/>
      <c r="AU363" s="47"/>
      <c r="AV363" s="48"/>
      <c r="AW363" s="48"/>
      <c r="AX363" s="48"/>
      <c r="AY363" s="49">
        <f>SUM(AV360)</f>
        <v>12</v>
      </c>
      <c r="AZ363" s="28"/>
      <c r="BA363" s="28"/>
      <c r="BB363" s="151" t="s">
        <v>93</v>
      </c>
      <c r="BC363" s="36">
        <v>0</v>
      </c>
      <c r="BD363" s="37">
        <v>11</v>
      </c>
      <c r="BE363" s="10"/>
      <c r="BF363" s="18"/>
      <c r="BG363" s="11"/>
      <c r="BH363" s="18"/>
      <c r="BI363" s="11"/>
      <c r="BJ363" s="158" t="s">
        <v>609</v>
      </c>
      <c r="BK363" s="178" t="s">
        <v>180</v>
      </c>
      <c r="BL363" s="94" t="s">
        <v>165</v>
      </c>
    </row>
    <row r="364" spans="1:65" ht="15" thickBot="1" x14ac:dyDescent="0.35">
      <c r="A364" s="13"/>
      <c r="B364" s="47"/>
      <c r="C364" s="49"/>
      <c r="D364" s="27"/>
      <c r="E364" s="27"/>
      <c r="F364" s="27"/>
      <c r="G364" s="17"/>
      <c r="H364" s="47"/>
      <c r="I364" s="27"/>
      <c r="J364" s="60">
        <f>SUM(H361:H363)</f>
        <v>158</v>
      </c>
      <c r="K364" s="28"/>
      <c r="L364" s="17"/>
      <c r="M364" s="27"/>
      <c r="N364" s="27"/>
      <c r="O364" s="13"/>
      <c r="P364" s="27"/>
      <c r="Q364" s="26"/>
      <c r="R364" s="27"/>
      <c r="S364" s="27"/>
      <c r="T364" s="13"/>
      <c r="U364" s="27"/>
      <c r="V364" s="26"/>
      <c r="W364" s="28"/>
      <c r="AB364" s="68" t="s">
        <v>99</v>
      </c>
      <c r="AC364" s="42">
        <v>0</v>
      </c>
      <c r="AD364" s="40">
        <v>0</v>
      </c>
      <c r="AE364">
        <v>0</v>
      </c>
      <c r="AF364">
        <v>0</v>
      </c>
      <c r="AG364">
        <v>0</v>
      </c>
      <c r="AH364" s="42">
        <v>188975</v>
      </c>
      <c r="AI364" s="40">
        <v>144086</v>
      </c>
      <c r="AJ364" s="43">
        <v>0</v>
      </c>
      <c r="AK364" s="42">
        <v>4</v>
      </c>
      <c r="AL364" s="54" t="s">
        <v>163</v>
      </c>
      <c r="AM364" s="40"/>
      <c r="AP364" s="32" t="s">
        <v>63</v>
      </c>
      <c r="AQ364" s="123">
        <f>4+3</f>
        <v>7</v>
      </c>
      <c r="AR364" s="123">
        <f>1+7+5</f>
        <v>13</v>
      </c>
      <c r="AS364" s="33"/>
      <c r="AT364" s="7"/>
      <c r="AU364" s="6"/>
      <c r="AV364" s="34" t="s">
        <v>140</v>
      </c>
      <c r="AW364" s="8"/>
      <c r="AX364" s="8"/>
      <c r="AY364" s="7"/>
      <c r="AZ364" s="28"/>
      <c r="BA364" s="28"/>
      <c r="BB364" s="42" t="s">
        <v>789</v>
      </c>
      <c r="BC364" s="42">
        <v>2</v>
      </c>
      <c r="BD364" s="54">
        <v>0</v>
      </c>
      <c r="BE364" s="10"/>
      <c r="BF364" s="18"/>
      <c r="BG364" s="11"/>
      <c r="BH364" s="18"/>
      <c r="BI364" s="11"/>
      <c r="BJ364" s="158" t="s">
        <v>425</v>
      </c>
      <c r="BK364" s="186" t="s">
        <v>790</v>
      </c>
      <c r="BL364" s="39" t="s">
        <v>791</v>
      </c>
    </row>
    <row r="365" spans="1:65" ht="15" thickBot="1" x14ac:dyDescent="0.35">
      <c r="A365" s="6" t="s">
        <v>105</v>
      </c>
      <c r="B365" s="6">
        <v>1381</v>
      </c>
      <c r="C365" s="7">
        <v>1194</v>
      </c>
      <c r="D365" s="8"/>
      <c r="E365" s="80">
        <v>607</v>
      </c>
      <c r="F365" s="66"/>
      <c r="G365" s="8">
        <v>3239</v>
      </c>
      <c r="H365" s="6" t="s">
        <v>162</v>
      </c>
      <c r="I365" s="8"/>
      <c r="J365" s="7"/>
      <c r="L365" s="101" t="s">
        <v>84</v>
      </c>
      <c r="M365" s="102">
        <f>SUM(M359+M354+M349+M347+M343+M338)</f>
        <v>122696</v>
      </c>
      <c r="N365" s="102">
        <f>SUM(N359+N354+N349+N347+N343+N338)</f>
        <v>110610</v>
      </c>
      <c r="O365" s="103">
        <v>0</v>
      </c>
      <c r="P365" s="102">
        <v>0</v>
      </c>
      <c r="Q365" s="104">
        <v>0</v>
      </c>
      <c r="R365" s="102">
        <f>SUM(R359+R354+R349+R347+R338+R343)</f>
        <v>6606</v>
      </c>
      <c r="S365" s="102">
        <f>SUM(S359+S354+S347+S343+S338)</f>
        <v>233</v>
      </c>
      <c r="T365" s="105"/>
      <c r="U365" s="102"/>
      <c r="V365" s="106"/>
      <c r="AB365" s="44" t="s">
        <v>6</v>
      </c>
      <c r="AC365" s="10"/>
      <c r="AD365" s="11"/>
      <c r="AE365" s="18"/>
      <c r="AF365" s="18"/>
      <c r="AG365" s="18"/>
      <c r="AH365" s="10"/>
      <c r="AI365" s="11"/>
      <c r="AJ365" s="18"/>
      <c r="AK365" s="10">
        <v>14</v>
      </c>
      <c r="AL365" s="37" t="s">
        <v>153</v>
      </c>
      <c r="AM365" s="11"/>
      <c r="AP365" s="44" t="s">
        <v>78</v>
      </c>
      <c r="AQ365" s="37">
        <f>9+7+36</f>
        <v>52</v>
      </c>
      <c r="AR365" s="37">
        <f>19+7+2</f>
        <v>28</v>
      </c>
      <c r="AS365" s="42"/>
      <c r="AT365" s="11"/>
      <c r="AU365" s="10"/>
      <c r="AV365" s="37">
        <v>2</v>
      </c>
      <c r="AW365" s="37" t="s">
        <v>204</v>
      </c>
      <c r="AX365" s="18"/>
      <c r="AY365" s="11"/>
      <c r="AZ365" s="28"/>
      <c r="BA365" s="28"/>
      <c r="BB365" s="36" t="s">
        <v>169</v>
      </c>
      <c r="BC365" s="36">
        <f>2+10+2</f>
        <v>14</v>
      </c>
      <c r="BD365" s="37">
        <f>3+1</f>
        <v>4</v>
      </c>
      <c r="BE365" s="10"/>
      <c r="BF365" s="18"/>
      <c r="BG365" s="11"/>
      <c r="BH365" s="18"/>
      <c r="BI365" s="11"/>
      <c r="BJ365" s="158" t="s">
        <v>541</v>
      </c>
      <c r="BK365" s="37" t="s">
        <v>343</v>
      </c>
      <c r="BL365" s="39" t="s">
        <v>580</v>
      </c>
    </row>
    <row r="366" spans="1:65" ht="15" thickBot="1" x14ac:dyDescent="0.35">
      <c r="A366" s="36" t="s">
        <v>99</v>
      </c>
      <c r="B366" s="10">
        <v>1507</v>
      </c>
      <c r="C366" s="11">
        <v>989</v>
      </c>
      <c r="D366" s="18"/>
      <c r="E366" s="18">
        <v>702</v>
      </c>
      <c r="F366" s="85"/>
      <c r="G366" s="18">
        <v>3239</v>
      </c>
      <c r="H366" s="42"/>
      <c r="I366" s="54"/>
      <c r="J366" s="11"/>
      <c r="AB366" s="46" t="s">
        <v>6</v>
      </c>
      <c r="AC366" s="47"/>
      <c r="AD366" s="49"/>
      <c r="AE366" s="48"/>
      <c r="AF366" s="48"/>
      <c r="AG366" s="48"/>
      <c r="AH366" s="47"/>
      <c r="AI366" s="49"/>
      <c r="AJ366" s="48"/>
      <c r="AK366" s="47"/>
      <c r="AL366" s="48"/>
      <c r="AM366" s="49"/>
      <c r="AP366" s="125" t="s">
        <v>209</v>
      </c>
      <c r="AQ366" s="54">
        <v>0</v>
      </c>
      <c r="AR366" s="54">
        <v>0</v>
      </c>
      <c r="AS366" s="42"/>
      <c r="AT366" s="40"/>
      <c r="AU366" s="42"/>
      <c r="AV366" s="28"/>
      <c r="AW366" s="28" t="s">
        <v>210</v>
      </c>
      <c r="AX366" s="28" t="s">
        <v>6</v>
      </c>
      <c r="AY366" s="40"/>
      <c r="AZ366" s="28"/>
      <c r="BA366" s="28"/>
      <c r="BB366" s="36" t="s">
        <v>99</v>
      </c>
      <c r="BC366" s="36">
        <v>9</v>
      </c>
      <c r="BD366" s="37">
        <v>9</v>
      </c>
      <c r="BE366" s="10"/>
      <c r="BF366" s="18"/>
      <c r="BG366" s="11"/>
      <c r="BH366" s="18"/>
      <c r="BI366" s="11"/>
      <c r="BJ366" s="179" t="s">
        <v>792</v>
      </c>
      <c r="BK366" s="37" t="s">
        <v>793</v>
      </c>
      <c r="BL366" s="39" t="s">
        <v>534</v>
      </c>
    </row>
    <row r="367" spans="1:65" x14ac:dyDescent="0.3">
      <c r="A367" s="10"/>
      <c r="B367" s="10"/>
      <c r="C367" s="39"/>
      <c r="D367" s="18"/>
      <c r="E367" s="18"/>
      <c r="F367" s="85"/>
      <c r="G367" s="18"/>
      <c r="H367" s="42">
        <v>41</v>
      </c>
      <c r="I367" s="37" t="s">
        <v>101</v>
      </c>
      <c r="J367" s="11"/>
      <c r="M367" s="115"/>
      <c r="AB367" s="6"/>
      <c r="AC367" s="6"/>
      <c r="AD367" s="7"/>
      <c r="AE367" s="8"/>
      <c r="AF367" s="8"/>
      <c r="AG367" s="8"/>
      <c r="AH367" s="6"/>
      <c r="AI367" s="7"/>
      <c r="AJ367" s="8"/>
      <c r="AK367" s="29"/>
      <c r="AL367" s="8"/>
      <c r="AM367" s="7"/>
      <c r="AN367" s="45"/>
      <c r="AP367" s="44" t="s">
        <v>168</v>
      </c>
      <c r="AQ367" s="54">
        <v>2</v>
      </c>
      <c r="AR367" s="54">
        <v>2</v>
      </c>
      <c r="AS367" s="42"/>
      <c r="AT367" s="11"/>
      <c r="AU367" s="10"/>
      <c r="AV367" s="37">
        <v>20</v>
      </c>
      <c r="AW367" s="37" t="s">
        <v>213</v>
      </c>
      <c r="AX367" s="18" t="s">
        <v>6</v>
      </c>
      <c r="AY367" s="11"/>
      <c r="AZ367" s="28"/>
      <c r="BA367" s="28"/>
      <c r="BB367" s="150" t="s">
        <v>200</v>
      </c>
      <c r="BC367" s="36">
        <v>5</v>
      </c>
      <c r="BD367" s="37"/>
      <c r="BE367" s="10"/>
      <c r="BF367" s="37"/>
      <c r="BG367" s="11"/>
      <c r="BH367" s="18"/>
      <c r="BI367" s="11"/>
      <c r="BJ367" s="158" t="s">
        <v>794</v>
      </c>
      <c r="BK367" s="54" t="s">
        <v>795</v>
      </c>
      <c r="BL367" s="39" t="s">
        <v>796</v>
      </c>
    </row>
    <row r="368" spans="1:65" ht="15" thickBot="1" x14ac:dyDescent="0.35">
      <c r="A368" s="13" t="s">
        <v>84</v>
      </c>
      <c r="B368" s="13">
        <f>SUM(B365:B367)</f>
        <v>2888</v>
      </c>
      <c r="C368" s="26">
        <f>SUM(C365:C367)</f>
        <v>2183</v>
      </c>
      <c r="D368" s="27"/>
      <c r="E368" s="27">
        <f>SUM(E365:E367)</f>
        <v>1309</v>
      </c>
      <c r="F368" s="26"/>
      <c r="G368" s="27">
        <f>SUM(G365:G367)</f>
        <v>6478</v>
      </c>
      <c r="H368" s="13"/>
      <c r="I368" s="81"/>
      <c r="J368" s="26">
        <f>SUM(H366:H367)</f>
        <v>41</v>
      </c>
      <c r="K368" s="43"/>
      <c r="M368" s="115"/>
      <c r="N368" s="115"/>
      <c r="O368" s="115"/>
      <c r="P368" s="115"/>
      <c r="Q368" s="115"/>
      <c r="R368" s="115"/>
      <c r="S368" s="115"/>
      <c r="AB368" s="36"/>
      <c r="AC368" s="10"/>
      <c r="AD368" s="11"/>
      <c r="AE368" s="18"/>
      <c r="AF368" s="18"/>
      <c r="AG368" s="18"/>
      <c r="AH368" s="36"/>
      <c r="AI368" s="11"/>
      <c r="AJ368" s="18"/>
      <c r="AK368" s="36"/>
      <c r="AL368" s="37"/>
      <c r="AM368" s="11"/>
      <c r="AN368" s="45"/>
      <c r="AP368" s="125" t="s">
        <v>81</v>
      </c>
      <c r="AQ368" s="54">
        <v>5</v>
      </c>
      <c r="AR368" s="54">
        <v>5</v>
      </c>
      <c r="AS368" s="42"/>
      <c r="AT368" s="40"/>
      <c r="AU368" s="42"/>
      <c r="AV368" s="54">
        <v>14</v>
      </c>
      <c r="AW368" s="128" t="s">
        <v>222</v>
      </c>
      <c r="AX368" s="28"/>
      <c r="AY368" s="40" t="s">
        <v>6</v>
      </c>
      <c r="AZ368" s="37"/>
      <c r="BA368" s="37"/>
      <c r="BB368" s="36" t="s">
        <v>120</v>
      </c>
      <c r="BC368" s="36">
        <v>4</v>
      </c>
      <c r="BD368" s="37">
        <v>4</v>
      </c>
      <c r="BE368" s="10"/>
      <c r="BF368" s="18"/>
      <c r="BG368" s="11"/>
      <c r="BH368" s="18"/>
      <c r="BI368" s="11"/>
      <c r="BJ368" s="37" t="s">
        <v>513</v>
      </c>
      <c r="BK368" s="37" t="s">
        <v>333</v>
      </c>
      <c r="BL368" s="180" t="s">
        <v>797</v>
      </c>
    </row>
    <row r="369" spans="1:64" ht="15" thickBot="1" x14ac:dyDescent="0.35">
      <c r="A369" s="42" t="s">
        <v>181</v>
      </c>
      <c r="B369" s="42">
        <v>4325</v>
      </c>
      <c r="C369" s="40">
        <v>4031</v>
      </c>
      <c r="D369" s="28"/>
      <c r="E369" s="107" t="s">
        <v>60</v>
      </c>
      <c r="F369" s="43"/>
      <c r="G369" s="41">
        <v>5011</v>
      </c>
      <c r="H369" s="18" t="s">
        <v>182</v>
      </c>
      <c r="I369" s="28"/>
      <c r="J369" s="11"/>
      <c r="K369" s="28"/>
      <c r="M369" s="166"/>
      <c r="AA369" s="28"/>
      <c r="AB369" s="103" t="s">
        <v>84</v>
      </c>
      <c r="AC369" s="103">
        <f>SUM(AC368+AC364+AC362+AC359+AC352+AC354+AC350+AC346+AC343+AC340+AC341)</f>
        <v>1977</v>
      </c>
      <c r="AD369" s="104">
        <f>SUM(AD368+AD364+AD362+AD359+AD352+AD350+AD346+AD343+AD341+AD340)</f>
        <v>1977</v>
      </c>
      <c r="AE369" s="103">
        <v>0</v>
      </c>
      <c r="AF369" s="102">
        <v>0</v>
      </c>
      <c r="AG369" s="102">
        <v>0</v>
      </c>
      <c r="AH369" s="109">
        <f>SUM(AH368+AH364+AH362+AH359+AH356+AH354+AH350+AH346+AH343+AH341+AH340)</f>
        <v>265666</v>
      </c>
      <c r="AI369" s="110">
        <f>SUM(AI368+AI364+AI362+AI359+AI354+AI350+AI345+AI343+AI341+AI340)</f>
        <v>147909</v>
      </c>
      <c r="AJ369" s="110">
        <v>0</v>
      </c>
      <c r="AK369" s="111" t="s">
        <v>743</v>
      </c>
      <c r="AL369" s="111"/>
      <c r="AM369" s="104">
        <f>SUM(AK340:AK368)</f>
        <v>65</v>
      </c>
      <c r="AN369" s="45"/>
      <c r="AP369" s="125" t="s">
        <v>72</v>
      </c>
      <c r="AQ369" s="54">
        <f>2+7+11+1</f>
        <v>21</v>
      </c>
      <c r="AR369" s="45">
        <f>2+12+7</f>
        <v>21</v>
      </c>
      <c r="AS369" s="42"/>
      <c r="AT369" s="40"/>
      <c r="AU369" s="42"/>
      <c r="AV369" s="54">
        <v>3</v>
      </c>
      <c r="AW369" s="54" t="s">
        <v>216</v>
      </c>
      <c r="AX369" s="45"/>
      <c r="AY369" s="40"/>
      <c r="AZ369" s="28"/>
      <c r="BA369" s="28"/>
      <c r="BB369" s="150" t="s">
        <v>211</v>
      </c>
      <c r="BC369" s="36">
        <v>10</v>
      </c>
      <c r="BD369" s="37">
        <v>0</v>
      </c>
      <c r="BE369" s="10"/>
      <c r="BF369" s="18"/>
      <c r="BG369" s="11"/>
      <c r="BH369" s="18"/>
      <c r="BI369" s="11"/>
      <c r="BJ369" s="159" t="s">
        <v>798</v>
      </c>
      <c r="BK369" s="37" t="s">
        <v>799</v>
      </c>
      <c r="BL369" s="39" t="s">
        <v>800</v>
      </c>
    </row>
    <row r="370" spans="1:64" x14ac:dyDescent="0.3">
      <c r="A370" s="42" t="s">
        <v>120</v>
      </c>
      <c r="B370" s="42">
        <v>0</v>
      </c>
      <c r="C370" s="40">
        <v>0</v>
      </c>
      <c r="D370" s="28"/>
      <c r="E370" s="107" t="s">
        <v>60</v>
      </c>
      <c r="F370" s="43"/>
      <c r="G370" s="68"/>
      <c r="H370" s="43"/>
      <c r="I370" s="28" t="s">
        <v>188</v>
      </c>
      <c r="J370" s="11"/>
      <c r="K370" s="28"/>
      <c r="L370" s="28"/>
      <c r="N370" s="113"/>
      <c r="AA370" s="28"/>
      <c r="AB370" s="52" t="s">
        <v>193</v>
      </c>
      <c r="AC370" s="28"/>
      <c r="AD370" s="28"/>
      <c r="AE370" s="28"/>
      <c r="AF370" s="28"/>
      <c r="AG370" s="28"/>
      <c r="AH370" s="28"/>
      <c r="AI370" s="28"/>
      <c r="AM370" t="s">
        <v>6</v>
      </c>
      <c r="AN370" s="45"/>
      <c r="AP370" s="125" t="s">
        <v>115</v>
      </c>
      <c r="AQ370" s="54">
        <f>11+8</f>
        <v>19</v>
      </c>
      <c r="AR370" s="45">
        <f>6+8</f>
        <v>14</v>
      </c>
      <c r="AS370" s="42"/>
      <c r="AT370" s="40"/>
      <c r="AU370" s="42"/>
      <c r="AV370" s="54"/>
      <c r="AW370" s="54" t="s">
        <v>217</v>
      </c>
      <c r="AX370" s="28"/>
      <c r="AY370" s="40"/>
      <c r="AZ370" s="28"/>
      <c r="BB370" s="150" t="s">
        <v>801</v>
      </c>
      <c r="BC370" s="36">
        <v>5</v>
      </c>
      <c r="BD370" s="37">
        <v>5</v>
      </c>
      <c r="BE370" s="10"/>
      <c r="BF370" s="18"/>
      <c r="BG370" s="11"/>
      <c r="BH370" s="18"/>
      <c r="BI370" s="11"/>
      <c r="BJ370" s="128" t="s">
        <v>677</v>
      </c>
      <c r="BK370" s="37" t="s">
        <v>802</v>
      </c>
      <c r="BL370" s="39" t="s">
        <v>442</v>
      </c>
    </row>
    <row r="371" spans="1:64" x14ac:dyDescent="0.3">
      <c r="A371" s="42" t="s">
        <v>84</v>
      </c>
      <c r="B371" s="42">
        <f>SUM(B369:B370)</f>
        <v>4325</v>
      </c>
      <c r="C371" s="40">
        <f>SUM(C369:C370)</f>
        <v>4031</v>
      </c>
      <c r="D371" s="28"/>
      <c r="E371" s="107" t="s">
        <v>60</v>
      </c>
      <c r="F371" s="43"/>
      <c r="G371" s="41">
        <f>SUM(G369:G370)</f>
        <v>5011</v>
      </c>
      <c r="H371" s="28">
        <v>30</v>
      </c>
      <c r="I371" s="43" t="s">
        <v>101</v>
      </c>
      <c r="J371" s="40"/>
      <c r="L371" s="108"/>
      <c r="M371" s="115"/>
      <c r="O371" s="116"/>
      <c r="AA371" s="28"/>
      <c r="AN371" s="45"/>
      <c r="AP371" s="125" t="s">
        <v>56</v>
      </c>
      <c r="AQ371" s="54">
        <f>1+3+1+3</f>
        <v>8</v>
      </c>
      <c r="AR371" s="45">
        <f>1+2+4+3</f>
        <v>10</v>
      </c>
      <c r="AS371" s="42"/>
      <c r="AT371" s="40"/>
      <c r="AU371" s="42"/>
      <c r="AV371" s="54">
        <v>1</v>
      </c>
      <c r="AW371" s="54" t="s">
        <v>352</v>
      </c>
      <c r="AX371" s="28"/>
      <c r="AY371" s="40"/>
      <c r="AZ371" s="28"/>
      <c r="BB371" s="36" t="s">
        <v>184</v>
      </c>
      <c r="BC371" s="36">
        <v>6</v>
      </c>
      <c r="BD371" s="37">
        <v>7</v>
      </c>
      <c r="BE371" s="10"/>
      <c r="BF371" s="18"/>
      <c r="BG371" s="11"/>
      <c r="BH371" s="18"/>
      <c r="BI371" s="11"/>
      <c r="BJ371" s="128" t="s">
        <v>803</v>
      </c>
      <c r="BK371" s="37" t="s">
        <v>804</v>
      </c>
      <c r="BL371" s="39" t="s">
        <v>385</v>
      </c>
    </row>
    <row r="372" spans="1:64" ht="15" thickBot="1" x14ac:dyDescent="0.35">
      <c r="A372" s="13"/>
      <c r="B372" s="10"/>
      <c r="C372" s="11"/>
      <c r="D372" s="27"/>
      <c r="E372" s="27"/>
      <c r="F372" s="27"/>
      <c r="G372" s="17"/>
      <c r="H372" s="48"/>
      <c r="I372" s="48" t="s">
        <v>727</v>
      </c>
      <c r="J372" s="49">
        <f>SUM(H370:H372)</f>
        <v>30</v>
      </c>
      <c r="O372" s="122"/>
      <c r="AN372" s="45"/>
      <c r="AP372" s="125" t="s">
        <v>138</v>
      </c>
      <c r="AQ372" s="54">
        <v>0</v>
      </c>
      <c r="AR372" s="45">
        <v>0</v>
      </c>
      <c r="AS372" s="42"/>
      <c r="AT372" s="40"/>
      <c r="AU372" s="42"/>
      <c r="AV372" s="54">
        <v>9</v>
      </c>
      <c r="AW372" s="54" t="s">
        <v>221</v>
      </c>
      <c r="AX372" s="28"/>
      <c r="AY372" s="40"/>
      <c r="AZ372" s="28"/>
      <c r="BB372" s="36" t="s">
        <v>805</v>
      </c>
      <c r="BC372" s="10">
        <v>11</v>
      </c>
      <c r="BD372" s="37">
        <v>13</v>
      </c>
      <c r="BE372" s="10"/>
      <c r="BF372" s="18"/>
      <c r="BG372" s="39"/>
      <c r="BH372" s="18"/>
      <c r="BI372" s="11"/>
      <c r="BJ372" s="159" t="s">
        <v>330</v>
      </c>
      <c r="BK372" s="37" t="s">
        <v>806</v>
      </c>
      <c r="BL372" s="39" t="s">
        <v>807</v>
      </c>
    </row>
    <row r="373" spans="1:64" ht="16.2" thickBot="1" x14ac:dyDescent="0.35">
      <c r="A373" s="117" t="s">
        <v>84</v>
      </c>
      <c r="B373" s="118">
        <f>SUM(B371+B368+B363+B359+B356+B352+B349+B345+B341+B338)</f>
        <v>57984</v>
      </c>
      <c r="C373" s="120">
        <f>SUM(C371+C368+C363+C359+C356+C352+C349+C345+C341+C338)</f>
        <v>52243</v>
      </c>
      <c r="D373" s="119"/>
      <c r="E373" s="119">
        <f>SUM(E368+E352)</f>
        <v>1950</v>
      </c>
      <c r="F373" s="120"/>
      <c r="G373" s="121">
        <f>SUM(G371+G368+G363+G359+G356+G349+G345+G341+G338+G352)</f>
        <v>70834</v>
      </c>
      <c r="H373" s="13" t="s">
        <v>199</v>
      </c>
      <c r="I373" s="81"/>
      <c r="J373" s="26">
        <f>SUM(J339:J372)</f>
        <v>399</v>
      </c>
      <c r="AN373" s="45"/>
      <c r="AP373" s="125" t="s">
        <v>67</v>
      </c>
      <c r="AQ373" s="54">
        <f>9+3+12</f>
        <v>24</v>
      </c>
      <c r="AR373" s="45">
        <f>8+4+7</f>
        <v>19</v>
      </c>
      <c r="AS373" s="42"/>
      <c r="AT373" s="40"/>
      <c r="AU373" s="42"/>
      <c r="AV373" s="54">
        <v>2</v>
      </c>
      <c r="AW373" s="54" t="s">
        <v>246</v>
      </c>
      <c r="AX373" s="28"/>
      <c r="AY373" s="40"/>
      <c r="AZ373" s="28"/>
      <c r="BB373" s="150" t="s">
        <v>605</v>
      </c>
      <c r="BC373" s="10">
        <v>4</v>
      </c>
      <c r="BD373" s="37">
        <v>4</v>
      </c>
      <c r="BE373" s="10"/>
      <c r="BF373" s="18"/>
      <c r="BG373" s="11"/>
      <c r="BH373" s="18"/>
      <c r="BI373" s="11"/>
      <c r="BJ373" s="179"/>
      <c r="BK373" s="37"/>
      <c r="BL373" s="39"/>
    </row>
    <row r="374" spans="1:64" x14ac:dyDescent="0.3">
      <c r="AN374" s="45"/>
      <c r="AP374" s="125" t="s">
        <v>122</v>
      </c>
      <c r="AQ374" s="54">
        <v>1</v>
      </c>
      <c r="AR374" s="45">
        <v>0</v>
      </c>
      <c r="AS374" s="42"/>
      <c r="AT374" s="40"/>
      <c r="AU374" s="42"/>
      <c r="AV374" s="54">
        <v>15</v>
      </c>
      <c r="AW374" s="54" t="s">
        <v>618</v>
      </c>
      <c r="AX374" s="28"/>
      <c r="AY374" s="40"/>
      <c r="AZ374" s="28"/>
      <c r="BB374" s="92" t="s">
        <v>250</v>
      </c>
      <c r="BC374" s="84">
        <v>0</v>
      </c>
      <c r="BD374" s="54">
        <v>2</v>
      </c>
      <c r="BE374" s="84"/>
      <c r="BF374" s="45"/>
      <c r="BG374" s="85"/>
      <c r="BH374" s="18"/>
      <c r="BI374" s="11"/>
      <c r="BJ374" s="179"/>
      <c r="BK374" s="54"/>
      <c r="BL374" s="86"/>
    </row>
    <row r="375" spans="1:64" x14ac:dyDescent="0.3">
      <c r="B375" s="126"/>
      <c r="C375" s="126"/>
      <c r="M375" t="s">
        <v>6</v>
      </c>
      <c r="AN375" s="45"/>
      <c r="AP375" s="125" t="s">
        <v>227</v>
      </c>
      <c r="AQ375" s="54">
        <v>0</v>
      </c>
      <c r="AR375" s="45">
        <v>0</v>
      </c>
      <c r="AS375" s="42"/>
      <c r="AT375" s="40"/>
      <c r="AU375" s="42"/>
      <c r="AV375" s="54">
        <v>1</v>
      </c>
      <c r="AW375" s="54" t="s">
        <v>773</v>
      </c>
      <c r="AX375" s="28"/>
      <c r="AY375" s="40"/>
      <c r="BB375" s="67" t="s">
        <v>564</v>
      </c>
      <c r="BC375" s="84">
        <f>10+2</f>
        <v>12</v>
      </c>
      <c r="BD375" s="54">
        <f>14+4+2</f>
        <v>20</v>
      </c>
      <c r="BE375" s="84"/>
      <c r="BF375" s="45"/>
      <c r="BG375" s="85">
        <v>20</v>
      </c>
      <c r="BH375" s="45"/>
      <c r="BI375" s="85"/>
      <c r="BJ375" s="179"/>
      <c r="BK375" s="54"/>
      <c r="BL375" s="180"/>
    </row>
    <row r="376" spans="1:64" x14ac:dyDescent="0.3">
      <c r="AN376" s="45"/>
      <c r="AP376" s="41" t="s">
        <v>230</v>
      </c>
      <c r="AQ376" s="54">
        <f>4+3</f>
        <v>7</v>
      </c>
      <c r="AR376" s="45">
        <f>4+3</f>
        <v>7</v>
      </c>
      <c r="AS376" s="42"/>
      <c r="AT376" s="40"/>
      <c r="AU376" s="42"/>
      <c r="AV376" s="54">
        <v>13</v>
      </c>
      <c r="AW376" s="54" t="s">
        <v>655</v>
      </c>
      <c r="AX376" s="28"/>
      <c r="AY376" s="40"/>
      <c r="BB376" s="67" t="s">
        <v>220</v>
      </c>
      <c r="BC376" s="84">
        <v>7</v>
      </c>
      <c r="BD376" s="54">
        <v>0</v>
      </c>
      <c r="BE376" s="84"/>
      <c r="BF376" s="45"/>
      <c r="BG376" s="85"/>
      <c r="BH376" s="45"/>
      <c r="BI376" s="85"/>
      <c r="BJ376" s="179"/>
      <c r="BK376" s="54"/>
      <c r="BL376" s="180"/>
    </row>
    <row r="377" spans="1:64" x14ac:dyDescent="0.3">
      <c r="AP377" s="68" t="s">
        <v>125</v>
      </c>
      <c r="AQ377" s="54">
        <v>6</v>
      </c>
      <c r="AR377" s="45">
        <v>0</v>
      </c>
      <c r="AS377" s="42"/>
      <c r="AT377" s="40"/>
      <c r="AU377" s="42"/>
      <c r="AV377" s="54">
        <v>1</v>
      </c>
      <c r="AW377" s="54" t="s">
        <v>774</v>
      </c>
      <c r="AX377" s="28"/>
      <c r="AY377" s="40"/>
      <c r="BB377" s="127" t="s">
        <v>196</v>
      </c>
      <c r="BC377" s="84">
        <v>7</v>
      </c>
      <c r="BD377" s="54">
        <v>0</v>
      </c>
      <c r="BE377" s="42"/>
      <c r="BF377" s="45"/>
      <c r="BG377" s="40"/>
      <c r="BH377" s="45"/>
      <c r="BI377" s="85"/>
      <c r="BJ377" s="158"/>
      <c r="BK377" s="54"/>
      <c r="BL377" s="86"/>
    </row>
    <row r="378" spans="1:64" x14ac:dyDescent="0.3">
      <c r="AP378" s="68" t="s">
        <v>132</v>
      </c>
      <c r="AQ378" s="54">
        <v>6</v>
      </c>
      <c r="AR378" s="45">
        <v>3</v>
      </c>
      <c r="AS378" s="42"/>
      <c r="AT378" s="40"/>
      <c r="AU378" s="42"/>
      <c r="AV378" s="54"/>
      <c r="AW378" s="54" t="s">
        <v>472</v>
      </c>
      <c r="AX378" s="28"/>
      <c r="AY378" s="40"/>
      <c r="BB378" s="127" t="s">
        <v>218</v>
      </c>
      <c r="BC378" s="84">
        <v>0</v>
      </c>
      <c r="BD378" s="54">
        <v>29</v>
      </c>
      <c r="BE378" s="42"/>
      <c r="BF378" s="45">
        <v>0</v>
      </c>
      <c r="BG378" s="40"/>
      <c r="BH378" s="45"/>
      <c r="BI378" s="85"/>
      <c r="BJ378" s="179"/>
      <c r="BK378" s="54"/>
      <c r="BL378" s="180"/>
    </row>
    <row r="379" spans="1:64" x14ac:dyDescent="0.3">
      <c r="AM379" t="s">
        <v>6</v>
      </c>
      <c r="AP379" s="41" t="s">
        <v>6</v>
      </c>
      <c r="AS379" s="42"/>
      <c r="AT379" s="40"/>
      <c r="AU379" s="42"/>
      <c r="AV379" s="54">
        <v>28</v>
      </c>
      <c r="AW379" s="54" t="s">
        <v>215</v>
      </c>
      <c r="AX379" s="28"/>
      <c r="AY379" s="40"/>
      <c r="BB379" s="181" t="s">
        <v>808</v>
      </c>
      <c r="BC379" s="10">
        <v>2</v>
      </c>
      <c r="BD379" s="18">
        <v>2</v>
      </c>
      <c r="BE379" s="10"/>
      <c r="BF379" s="18"/>
      <c r="BG379" s="11"/>
      <c r="BH379" s="18"/>
      <c r="BI379" s="11"/>
      <c r="BJ379" s="179"/>
      <c r="BK379" s="37"/>
      <c r="BL379" s="182"/>
    </row>
    <row r="380" spans="1:64" ht="15" thickBot="1" x14ac:dyDescent="0.35">
      <c r="H380" t="s">
        <v>6</v>
      </c>
      <c r="AP380" s="46" t="s">
        <v>84</v>
      </c>
      <c r="AQ380" s="48">
        <f>SUM(AQ364:AQ379)</f>
        <v>158</v>
      </c>
      <c r="AR380" s="48">
        <f>SUM(AR364:AR379)</f>
        <v>122</v>
      </c>
      <c r="AS380" s="47"/>
      <c r="AT380" s="49"/>
      <c r="AU380" s="47"/>
      <c r="AV380" s="48">
        <v>1</v>
      </c>
      <c r="AW380" s="48" t="s">
        <v>244</v>
      </c>
      <c r="AX380" s="48"/>
      <c r="AY380" s="49">
        <f>SUM(AV365:AV380)</f>
        <v>110</v>
      </c>
      <c r="BB380" s="13" t="s">
        <v>84</v>
      </c>
      <c r="BC380" s="13">
        <f>SUM(BC355:BC379)</f>
        <v>189</v>
      </c>
      <c r="BD380" s="27">
        <f>SUM(BD355:BD379)</f>
        <v>191</v>
      </c>
      <c r="BE380" s="13">
        <v>0</v>
      </c>
      <c r="BF380" s="27">
        <f>SUM(BF355:BF379)</f>
        <v>5</v>
      </c>
      <c r="BG380" s="26">
        <f>SUM(BG355:BG379)</f>
        <v>20</v>
      </c>
      <c r="BH380" s="58">
        <v>0</v>
      </c>
      <c r="BI380" s="26">
        <v>0</v>
      </c>
      <c r="BJ380" s="81"/>
      <c r="BK380" s="27"/>
      <c r="BL380" s="26">
        <f>5+4+11+5+5+7+11+5+6+4+7+4+4+6</f>
        <v>84</v>
      </c>
    </row>
    <row r="381" spans="1:64" ht="15" thickBot="1" x14ac:dyDescent="0.35">
      <c r="H381" t="s">
        <v>6</v>
      </c>
      <c r="AP381" s="169" t="s">
        <v>84</v>
      </c>
      <c r="AQ381" s="170">
        <f>SUM(AQ380+AQ363+AQ353+AQ338)</f>
        <v>1882</v>
      </c>
      <c r="AR381" s="170">
        <f>SUM(AR380+AR363+AR353+AR338)</f>
        <v>1865</v>
      </c>
      <c r="AS381" s="171"/>
      <c r="AT381" s="172"/>
      <c r="AU381" s="170"/>
      <c r="AV381" s="170"/>
      <c r="AW381" s="170"/>
      <c r="AX381" s="170"/>
      <c r="AY381" s="172">
        <f>SUM(AY337:AY380)</f>
        <v>330</v>
      </c>
      <c r="BB381" s="13" t="s">
        <v>223</v>
      </c>
      <c r="BC381" s="13">
        <f>SUM(BC380+BC354+BC351+BC347+BC344+BC341+BC339)</f>
        <v>1898</v>
      </c>
      <c r="BD381" s="26">
        <f>SUM(BD380+BD354+BD351+BD347+BD344+BD341+BD339)</f>
        <v>1880</v>
      </c>
      <c r="BE381" s="26">
        <f>SUM(BE380+BE354+BE351+BE347+BE344+BE341+BE339)</f>
        <v>0</v>
      </c>
      <c r="BF381" s="26">
        <f>SUM(BF380+BF354+BF351+BF347+BF344+BF341+BF339)</f>
        <v>5</v>
      </c>
      <c r="BG381" s="26">
        <f>SUM(BG380+BG354+BG351+BG347+BG344+BG341+BG339)</f>
        <v>20</v>
      </c>
      <c r="BH381" s="160">
        <f>SUM(BH380+BH354+BH351+BH347+BH343+BH341+BH339)</f>
        <v>37622</v>
      </c>
      <c r="BI381" s="26">
        <f>SUM(BI380+BI354+BI351+BI347+BI343+BI341+BI339)</f>
        <v>9541</v>
      </c>
      <c r="BJ381" s="81"/>
      <c r="BK381" s="27" t="s">
        <v>247</v>
      </c>
      <c r="BL381" s="26">
        <f>SUM(BL339:BL380)</f>
        <v>236</v>
      </c>
    </row>
    <row r="382" spans="1:64" x14ac:dyDescent="0.3">
      <c r="K382" s="28"/>
      <c r="BB382" s="131" t="s">
        <v>225</v>
      </c>
      <c r="BD382">
        <f>SUM(BL380)</f>
        <v>84</v>
      </c>
      <c r="BF382" t="s">
        <v>809</v>
      </c>
      <c r="BG382" s="132"/>
    </row>
    <row r="383" spans="1:64" x14ac:dyDescent="0.3">
      <c r="K383" s="28"/>
      <c r="BB383" t="s">
        <v>229</v>
      </c>
      <c r="BD383">
        <v>20</v>
      </c>
    </row>
    <row r="384" spans="1:64" x14ac:dyDescent="0.3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BB384" t="s">
        <v>232</v>
      </c>
      <c r="BD384" t="s">
        <v>233</v>
      </c>
      <c r="BF384">
        <f>SUM(AQ381)</f>
        <v>1882</v>
      </c>
      <c r="BH384" t="s">
        <v>234</v>
      </c>
      <c r="BJ384" t="s">
        <v>233</v>
      </c>
      <c r="BL384">
        <f>SUM(BC381)</f>
        <v>1898</v>
      </c>
    </row>
    <row r="385" spans="1:65" ht="18" x14ac:dyDescent="0.35">
      <c r="B385" s="133"/>
      <c r="BA385" t="s">
        <v>6</v>
      </c>
      <c r="BD385" t="s">
        <v>236</v>
      </c>
      <c r="BF385">
        <f>SUM(AR381)</f>
        <v>1865</v>
      </c>
      <c r="BJ385" t="s">
        <v>236</v>
      </c>
      <c r="BL385">
        <f>SUM(BD381)</f>
        <v>1880</v>
      </c>
    </row>
    <row r="386" spans="1:65" x14ac:dyDescent="0.3">
      <c r="BB386" s="134" t="s">
        <v>238</v>
      </c>
      <c r="BC386" s="135" t="s">
        <v>239</v>
      </c>
      <c r="BD386" s="136"/>
      <c r="BE386" s="134" t="s">
        <v>240</v>
      </c>
      <c r="BF386" s="135" t="s">
        <v>241</v>
      </c>
      <c r="BG386" s="136"/>
      <c r="BH386" s="134"/>
      <c r="BI386" s="135" t="s">
        <v>242</v>
      </c>
      <c r="BJ386" s="137" t="s">
        <v>243</v>
      </c>
      <c r="BK386" s="135"/>
      <c r="BL386" s="135"/>
      <c r="BM386" s="136"/>
    </row>
    <row r="387" spans="1:65" x14ac:dyDescent="0.3">
      <c r="BB387" s="138" t="s">
        <v>233</v>
      </c>
      <c r="BC387" s="28"/>
      <c r="BD387" s="139">
        <f>SUM(B373)</f>
        <v>57984</v>
      </c>
      <c r="BE387" s="138" t="s">
        <v>233</v>
      </c>
      <c r="BF387" s="28"/>
      <c r="BG387" s="139">
        <f>SUM(AC369)</f>
        <v>1977</v>
      </c>
      <c r="BH387" s="138" t="s">
        <v>233</v>
      </c>
      <c r="BI387" s="28"/>
      <c r="BJ387" s="140">
        <f>SUM(BL384+BG387)</f>
        <v>3875</v>
      </c>
      <c r="BK387" s="28" t="s">
        <v>245</v>
      </c>
      <c r="BL387" s="140">
        <f>SUM(BJ387+BD387)</f>
        <v>61859</v>
      </c>
      <c r="BM387" s="139"/>
    </row>
    <row r="388" spans="1:65" ht="18" x14ac:dyDescent="0.35">
      <c r="B388" s="133"/>
      <c r="BB388" s="142" t="s">
        <v>236</v>
      </c>
      <c r="BC388" s="143"/>
      <c r="BD388" s="144">
        <f>SUM(C373)</f>
        <v>52243</v>
      </c>
      <c r="BE388" s="142" t="s">
        <v>236</v>
      </c>
      <c r="BF388" s="143"/>
      <c r="BG388" s="144">
        <f>SUM(AD369)</f>
        <v>1977</v>
      </c>
      <c r="BH388" s="142" t="s">
        <v>236</v>
      </c>
      <c r="BI388" s="143"/>
      <c r="BJ388" s="145">
        <f>SUM(BL385+BG388)</f>
        <v>3857</v>
      </c>
      <c r="BK388" s="143"/>
      <c r="BL388" s="145">
        <f>SUM(BJ388+BD388)</f>
        <v>56100</v>
      </c>
      <c r="BM388" s="144"/>
    </row>
    <row r="389" spans="1:65" x14ac:dyDescent="0.3">
      <c r="BL389" s="184"/>
      <c r="BM389" s="184"/>
    </row>
    <row r="395" spans="1:65" ht="15.6" x14ac:dyDescent="0.3">
      <c r="D395" s="1" t="s">
        <v>0</v>
      </c>
      <c r="P395" s="1" t="s">
        <v>1</v>
      </c>
    </row>
    <row r="396" spans="1:65" ht="15.6" x14ac:dyDescent="0.3">
      <c r="E396" t="s">
        <v>2</v>
      </c>
      <c r="Q396" t="s">
        <v>3</v>
      </c>
      <c r="AE396" s="2"/>
      <c r="AF396" s="1" t="s">
        <v>0</v>
      </c>
      <c r="AG396" s="1"/>
      <c r="AI396" s="1"/>
      <c r="AJ396" s="1"/>
      <c r="AS396" s="1" t="s">
        <v>4</v>
      </c>
      <c r="BE396" s="1"/>
      <c r="BF396" s="1" t="s">
        <v>5</v>
      </c>
      <c r="BG396" s="1"/>
      <c r="BH396" s="1"/>
      <c r="BI396" s="1"/>
      <c r="BJ396" s="1"/>
    </row>
    <row r="397" spans="1:65" ht="15.6" x14ac:dyDescent="0.3">
      <c r="A397" t="s">
        <v>6</v>
      </c>
      <c r="D397" t="s">
        <v>7</v>
      </c>
      <c r="O397" t="s">
        <v>8</v>
      </c>
      <c r="AE397" s="3"/>
      <c r="AF397" s="2" t="s">
        <v>9</v>
      </c>
      <c r="AG397" s="1"/>
      <c r="AI397" s="1"/>
      <c r="AJ397" s="1"/>
      <c r="AT397" t="s">
        <v>2</v>
      </c>
      <c r="BG397" t="s">
        <v>2</v>
      </c>
    </row>
    <row r="398" spans="1:65" ht="15.6" x14ac:dyDescent="0.3">
      <c r="E398" t="s">
        <v>810</v>
      </c>
      <c r="Q398" t="s">
        <v>810</v>
      </c>
      <c r="AF398" s="3" t="s">
        <v>11</v>
      </c>
      <c r="AG398" s="1"/>
      <c r="AI398" s="1"/>
      <c r="AJ398" s="1"/>
      <c r="AR398" t="s">
        <v>12</v>
      </c>
      <c r="BE398" t="s">
        <v>13</v>
      </c>
    </row>
    <row r="399" spans="1:65" ht="15" thickBot="1" x14ac:dyDescent="0.35">
      <c r="I399" s="4" t="s">
        <v>14</v>
      </c>
      <c r="U399" s="5" t="s">
        <v>15</v>
      </c>
      <c r="AG399" t="s">
        <v>810</v>
      </c>
      <c r="AT399" t="s">
        <v>810</v>
      </c>
      <c r="AY399" s="5"/>
      <c r="BG399" t="s">
        <v>810</v>
      </c>
      <c r="BK399" s="5" t="s">
        <v>16</v>
      </c>
    </row>
    <row r="400" spans="1:65" ht="15" thickBot="1" x14ac:dyDescent="0.35">
      <c r="A400" s="6" t="s">
        <v>17</v>
      </c>
      <c r="B400" s="6" t="s">
        <v>18</v>
      </c>
      <c r="C400" s="7"/>
      <c r="D400" s="8" t="s">
        <v>19</v>
      </c>
      <c r="E400" s="8"/>
      <c r="F400" s="8"/>
      <c r="G400" s="9" t="s">
        <v>20</v>
      </c>
      <c r="H400" s="8" t="s">
        <v>21</v>
      </c>
      <c r="I400" s="8"/>
      <c r="J400" s="7"/>
      <c r="L400" s="6" t="s">
        <v>17</v>
      </c>
      <c r="M400" s="187" t="s">
        <v>778</v>
      </c>
      <c r="N400" s="7"/>
      <c r="O400" s="8" t="s">
        <v>779</v>
      </c>
      <c r="P400" s="8"/>
      <c r="Q400" s="8"/>
      <c r="R400" s="6" t="s">
        <v>24</v>
      </c>
      <c r="S400" s="7"/>
      <c r="T400" s="8" t="s">
        <v>21</v>
      </c>
      <c r="U400" s="8"/>
      <c r="V400" s="7"/>
      <c r="AL400" s="5" t="s">
        <v>25</v>
      </c>
      <c r="AX400" s="5" t="s">
        <v>26</v>
      </c>
      <c r="BB400" s="6" t="s">
        <v>17</v>
      </c>
      <c r="BC400" s="6" t="s">
        <v>27</v>
      </c>
      <c r="BD400" s="7"/>
      <c r="BE400" s="8" t="s">
        <v>28</v>
      </c>
      <c r="BF400" s="8"/>
      <c r="BG400" s="8"/>
      <c r="BH400" s="6" t="s">
        <v>29</v>
      </c>
      <c r="BI400" s="7" t="s">
        <v>30</v>
      </c>
      <c r="BJ400" s="8" t="s">
        <v>31</v>
      </c>
      <c r="BK400" s="8"/>
      <c r="BL400" s="7"/>
    </row>
    <row r="401" spans="1:64" x14ac:dyDescent="0.3">
      <c r="A401" s="10" t="s">
        <v>32</v>
      </c>
      <c r="B401" s="10"/>
      <c r="C401" s="11"/>
      <c r="D401" s="3"/>
      <c r="E401" s="3"/>
      <c r="F401" s="3"/>
      <c r="G401" s="12"/>
      <c r="H401" s="3" t="s">
        <v>33</v>
      </c>
      <c r="I401" s="3"/>
      <c r="J401" s="11"/>
      <c r="L401" s="10"/>
      <c r="M401" s="10"/>
      <c r="N401" s="11"/>
      <c r="O401" s="3"/>
      <c r="P401" s="3"/>
      <c r="Q401" s="3"/>
      <c r="R401" s="10"/>
      <c r="S401" s="11"/>
      <c r="T401" s="3" t="s">
        <v>33</v>
      </c>
      <c r="U401" s="3"/>
      <c r="V401" s="11"/>
      <c r="AB401" s="6" t="s">
        <v>34</v>
      </c>
      <c r="AC401" s="6" t="s">
        <v>35</v>
      </c>
      <c r="AD401" s="7"/>
      <c r="AE401" s="6" t="s">
        <v>36</v>
      </c>
      <c r="AF401" s="8"/>
      <c r="AG401" s="7"/>
      <c r="AH401" s="8" t="s">
        <v>37</v>
      </c>
      <c r="AI401" s="8"/>
      <c r="AJ401" s="9" t="s">
        <v>30</v>
      </c>
      <c r="AK401" s="8" t="s">
        <v>38</v>
      </c>
      <c r="AL401" s="8"/>
      <c r="AM401" s="7"/>
      <c r="AP401" s="6" t="s">
        <v>17</v>
      </c>
      <c r="AQ401" s="6" t="s">
        <v>39</v>
      </c>
      <c r="AR401" s="7"/>
      <c r="AS401" s="6" t="s">
        <v>29</v>
      </c>
      <c r="AT401" s="7" t="s">
        <v>30</v>
      </c>
      <c r="AU401" s="8" t="s">
        <v>40</v>
      </c>
      <c r="AV401" s="8"/>
      <c r="AW401" s="8"/>
      <c r="AX401" s="8"/>
      <c r="AY401" s="7"/>
      <c r="BB401" s="10"/>
      <c r="BC401" s="10"/>
      <c r="BD401" s="11"/>
      <c r="BE401" s="3"/>
      <c r="BF401" s="3"/>
      <c r="BG401" s="3"/>
      <c r="BH401" s="10"/>
      <c r="BI401" s="11" t="s">
        <v>6</v>
      </c>
      <c r="BJ401" s="3" t="s">
        <v>41</v>
      </c>
      <c r="BK401" s="3"/>
      <c r="BL401" s="11"/>
    </row>
    <row r="402" spans="1:64" ht="15" thickBot="1" x14ac:dyDescent="0.35">
      <c r="A402" s="13" t="s">
        <v>42</v>
      </c>
      <c r="B402" s="14" t="s">
        <v>43</v>
      </c>
      <c r="C402" s="15" t="s">
        <v>44</v>
      </c>
      <c r="D402" s="16" t="s">
        <v>45</v>
      </c>
      <c r="E402" s="16" t="s">
        <v>46</v>
      </c>
      <c r="F402" s="16" t="s">
        <v>47</v>
      </c>
      <c r="G402" s="17" t="s">
        <v>48</v>
      </c>
      <c r="H402" s="18" t="s">
        <v>49</v>
      </c>
      <c r="I402" s="18"/>
      <c r="J402" s="11"/>
      <c r="L402" s="10" t="s">
        <v>50</v>
      </c>
      <c r="M402" s="19" t="s">
        <v>43</v>
      </c>
      <c r="N402" s="20" t="s">
        <v>44</v>
      </c>
      <c r="O402" s="21" t="s">
        <v>43</v>
      </c>
      <c r="P402" s="188" t="s">
        <v>51</v>
      </c>
      <c r="Q402" s="21" t="s">
        <v>44</v>
      </c>
      <c r="R402" s="22" t="s">
        <v>43</v>
      </c>
      <c r="S402" s="23" t="s">
        <v>44</v>
      </c>
      <c r="T402" s="18" t="s">
        <v>49</v>
      </c>
      <c r="U402" s="18"/>
      <c r="V402" s="11"/>
      <c r="AB402" s="10" t="s">
        <v>50</v>
      </c>
      <c r="AC402" s="22" t="s">
        <v>43</v>
      </c>
      <c r="AD402" s="23" t="s">
        <v>44</v>
      </c>
      <c r="AE402" s="22" t="s">
        <v>45</v>
      </c>
      <c r="AF402" s="24" t="s">
        <v>46</v>
      </c>
      <c r="AG402" s="23" t="s">
        <v>52</v>
      </c>
      <c r="AH402" s="24" t="s">
        <v>43</v>
      </c>
      <c r="AI402" s="24" t="s">
        <v>44</v>
      </c>
      <c r="AJ402" s="25" t="s">
        <v>43</v>
      </c>
      <c r="AK402" s="3" t="s">
        <v>53</v>
      </c>
      <c r="AL402" s="3"/>
      <c r="AM402" s="11"/>
      <c r="AP402" s="13" t="s">
        <v>42</v>
      </c>
      <c r="AQ402" s="13" t="s">
        <v>43</v>
      </c>
      <c r="AR402" s="26" t="s">
        <v>44</v>
      </c>
      <c r="AS402" s="13" t="s">
        <v>43</v>
      </c>
      <c r="AT402" s="26" t="s">
        <v>44</v>
      </c>
      <c r="AU402" s="27"/>
      <c r="AV402" s="27"/>
      <c r="AW402" s="27"/>
      <c r="AX402" s="27"/>
      <c r="AY402" s="26"/>
      <c r="BB402" s="13" t="s">
        <v>42</v>
      </c>
      <c r="BC402" s="13" t="s">
        <v>43</v>
      </c>
      <c r="BD402" s="26" t="s">
        <v>44</v>
      </c>
      <c r="BE402" s="27" t="s">
        <v>45</v>
      </c>
      <c r="BF402" s="27" t="s">
        <v>46</v>
      </c>
      <c r="BG402" s="27" t="s">
        <v>52</v>
      </c>
      <c r="BH402" s="13" t="s">
        <v>43</v>
      </c>
      <c r="BI402" s="26" t="s">
        <v>44</v>
      </c>
      <c r="BJ402" s="27" t="s">
        <v>54</v>
      </c>
      <c r="BK402" s="27"/>
      <c r="BL402" s="26"/>
    </row>
    <row r="403" spans="1:64" ht="15" thickBot="1" x14ac:dyDescent="0.35">
      <c r="A403" s="6"/>
      <c r="B403" s="6"/>
      <c r="C403" s="7"/>
      <c r="D403" s="8"/>
      <c r="E403" s="8"/>
      <c r="F403" s="7"/>
      <c r="G403" s="8"/>
      <c r="H403" s="6" t="s">
        <v>396</v>
      </c>
      <c r="I403" s="8"/>
      <c r="J403" s="7"/>
      <c r="K403" s="28"/>
      <c r="L403" s="9"/>
      <c r="M403" s="8"/>
      <c r="N403" s="8"/>
      <c r="O403" s="6"/>
      <c r="P403" s="8"/>
      <c r="Q403" s="7"/>
      <c r="R403" s="8"/>
      <c r="S403" s="8"/>
      <c r="T403" s="6" t="s">
        <v>396</v>
      </c>
      <c r="U403" s="8"/>
      <c r="V403" s="7"/>
      <c r="W403" s="28"/>
      <c r="AB403" s="13"/>
      <c r="AC403" s="13"/>
      <c r="AD403" s="26"/>
      <c r="AE403" s="13"/>
      <c r="AF403" s="27"/>
      <c r="AG403" s="26"/>
      <c r="AH403" s="27"/>
      <c r="AI403" s="27"/>
      <c r="AJ403" s="17"/>
      <c r="AK403" s="27"/>
      <c r="AL403" s="27"/>
      <c r="AM403" s="26"/>
      <c r="AP403" s="32" t="s">
        <v>6</v>
      </c>
      <c r="AQ403" s="43"/>
      <c r="AR403" s="54"/>
      <c r="AS403" s="33"/>
      <c r="AT403" s="35"/>
      <c r="AU403" s="33"/>
      <c r="AV403" s="34" t="s">
        <v>91</v>
      </c>
      <c r="AW403" s="34"/>
      <c r="AX403" s="34"/>
      <c r="AY403" s="35"/>
      <c r="AZ403" s="28"/>
      <c r="BB403" s="32" t="s">
        <v>85</v>
      </c>
      <c r="BC403">
        <v>4</v>
      </c>
      <c r="BD403">
        <v>0</v>
      </c>
      <c r="BE403" s="33"/>
      <c r="BF403" s="34"/>
      <c r="BG403" s="34"/>
      <c r="BH403" s="33"/>
      <c r="BI403" s="35"/>
      <c r="BJ403" s="34" t="s">
        <v>58</v>
      </c>
      <c r="BK403" s="8"/>
      <c r="BL403" s="7"/>
    </row>
    <row r="404" spans="1:64" x14ac:dyDescent="0.3">
      <c r="A404" s="10" t="s">
        <v>59</v>
      </c>
      <c r="B404" s="36">
        <v>2497</v>
      </c>
      <c r="C404" s="11">
        <v>2134</v>
      </c>
      <c r="D404" s="37"/>
      <c r="E404" s="38" t="s">
        <v>60</v>
      </c>
      <c r="F404" s="39"/>
      <c r="G404" s="37">
        <f>9*280</f>
        <v>2520</v>
      </c>
      <c r="H404" s="36">
        <v>9</v>
      </c>
      <c r="I404" s="37" t="s">
        <v>61</v>
      </c>
      <c r="J404" s="40"/>
      <c r="K404" s="28"/>
      <c r="L404" s="41" t="s">
        <v>59</v>
      </c>
      <c r="M404" s="28">
        <v>13868</v>
      </c>
      <c r="N404" s="28">
        <v>48299</v>
      </c>
      <c r="O404" s="42">
        <v>0</v>
      </c>
      <c r="P404" s="43">
        <v>0</v>
      </c>
      <c r="Q404" s="40">
        <v>0</v>
      </c>
      <c r="R404" s="43">
        <v>0</v>
      </c>
      <c r="S404" s="43">
        <v>0</v>
      </c>
      <c r="T404" s="42"/>
      <c r="U404" s="28"/>
      <c r="V404" s="40"/>
      <c r="W404" s="28"/>
      <c r="AB404" s="9"/>
      <c r="AC404" s="8"/>
      <c r="AD404" s="8"/>
      <c r="AE404" s="6"/>
      <c r="AF404" s="8"/>
      <c r="AG404" s="7"/>
      <c r="AH404" s="8"/>
      <c r="AI404" s="8"/>
      <c r="AJ404" s="9"/>
      <c r="AK404" s="6" t="s">
        <v>62</v>
      </c>
      <c r="AL404" s="8"/>
      <c r="AM404" s="7"/>
      <c r="AP404" s="41" t="s">
        <v>56</v>
      </c>
      <c r="AQ404" s="43">
        <v>1316</v>
      </c>
      <c r="AR404" s="54">
        <v>1266</v>
      </c>
      <c r="AS404" s="42"/>
      <c r="AT404" s="40"/>
      <c r="AU404" s="42"/>
      <c r="AV404" s="28"/>
      <c r="AW404" s="28"/>
      <c r="AX404" s="28"/>
      <c r="AY404" s="40"/>
      <c r="AZ404" s="28"/>
      <c r="BB404" s="44" t="s">
        <v>64</v>
      </c>
      <c r="BC404" s="18">
        <v>197</v>
      </c>
      <c r="BD404" s="18">
        <v>116</v>
      </c>
      <c r="BE404" s="10">
        <v>0</v>
      </c>
      <c r="BF404" s="18">
        <v>0</v>
      </c>
      <c r="BG404" s="18">
        <v>0</v>
      </c>
      <c r="BH404" s="10">
        <v>0</v>
      </c>
      <c r="BI404" s="11">
        <v>0</v>
      </c>
      <c r="BJ404" s="45">
        <v>6</v>
      </c>
      <c r="BK404" s="28" t="s">
        <v>474</v>
      </c>
      <c r="BL404" s="11" t="s">
        <v>753</v>
      </c>
    </row>
    <row r="405" spans="1:64" ht="15" thickBot="1" x14ac:dyDescent="0.35">
      <c r="A405" s="36" t="s">
        <v>6</v>
      </c>
      <c r="B405" s="10"/>
      <c r="C405" s="11"/>
      <c r="D405" s="18"/>
      <c r="E405" s="18"/>
      <c r="F405" s="18"/>
      <c r="G405" s="36"/>
      <c r="H405" s="42"/>
      <c r="I405" s="28" t="s">
        <v>528</v>
      </c>
      <c r="J405" s="40">
        <f>SUM(H404+H405)</f>
        <v>9</v>
      </c>
      <c r="K405" s="28"/>
      <c r="L405" s="12"/>
      <c r="M405" s="37"/>
      <c r="N405" s="37"/>
      <c r="O405" s="10"/>
      <c r="P405" s="18"/>
      <c r="Q405" s="11"/>
      <c r="R405" s="18"/>
      <c r="S405" s="18"/>
      <c r="T405" s="10"/>
      <c r="U405" s="18"/>
      <c r="V405" s="11"/>
      <c r="W405" s="28"/>
      <c r="AB405" s="41"/>
      <c r="AE405" s="42"/>
      <c r="AF405" s="28"/>
      <c r="AG405" s="40"/>
      <c r="AJ405" s="41"/>
      <c r="AK405" s="42"/>
      <c r="AL405" s="37" t="s">
        <v>6</v>
      </c>
      <c r="AM405" s="40"/>
      <c r="AP405" s="62" t="s">
        <v>6</v>
      </c>
      <c r="AQ405" s="43"/>
      <c r="AR405" s="43"/>
      <c r="AS405" s="47"/>
      <c r="AT405" s="49"/>
      <c r="AU405" s="47"/>
      <c r="AV405" s="48">
        <v>93</v>
      </c>
      <c r="AW405" s="48" t="s">
        <v>73</v>
      </c>
      <c r="AX405" s="48"/>
      <c r="AY405" s="49">
        <f>SUM(AV405)</f>
        <v>93</v>
      </c>
      <c r="AZ405" s="28"/>
      <c r="BA405" s="28"/>
      <c r="BB405" s="46" t="s">
        <v>84</v>
      </c>
      <c r="BC405">
        <f>SUM(BC403:BC404)</f>
        <v>201</v>
      </c>
      <c r="BD405">
        <f>SUM(BD403:BD404)</f>
        <v>116</v>
      </c>
      <c r="BE405" s="47"/>
      <c r="BF405" s="48"/>
      <c r="BG405" s="48"/>
      <c r="BH405" s="47"/>
      <c r="BI405" s="49"/>
      <c r="BJ405" s="48">
        <v>2</v>
      </c>
      <c r="BK405" s="48" t="s">
        <v>249</v>
      </c>
      <c r="BL405" s="49">
        <f>SUM(BJ404:BJ405)+3</f>
        <v>11</v>
      </c>
    </row>
    <row r="406" spans="1:64" ht="15" thickBot="1" x14ac:dyDescent="0.35">
      <c r="A406" s="32"/>
      <c r="B406" s="34"/>
      <c r="C406" s="34"/>
      <c r="D406" s="33"/>
      <c r="E406" s="34"/>
      <c r="F406" s="35"/>
      <c r="G406" s="34"/>
      <c r="H406" s="6" t="s">
        <v>70</v>
      </c>
      <c r="I406" s="8"/>
      <c r="J406" s="7"/>
      <c r="K406" s="28"/>
      <c r="L406" s="17"/>
      <c r="M406" s="27"/>
      <c r="N406" s="27"/>
      <c r="O406" s="13"/>
      <c r="P406" s="27"/>
      <c r="Q406" s="26"/>
      <c r="R406" s="27"/>
      <c r="S406" s="27"/>
      <c r="T406" s="13"/>
      <c r="U406" s="27"/>
      <c r="V406" s="26"/>
      <c r="W406" s="28"/>
      <c r="AB406" s="44" t="s">
        <v>59</v>
      </c>
      <c r="AC406" s="37">
        <v>1591</v>
      </c>
      <c r="AD406" s="37">
        <v>1628</v>
      </c>
      <c r="AE406" s="10">
        <v>0</v>
      </c>
      <c r="AF406" s="18">
        <v>0</v>
      </c>
      <c r="AG406" s="39">
        <v>0</v>
      </c>
      <c r="AH406" s="2">
        <v>0</v>
      </c>
      <c r="AI406" s="2">
        <v>0</v>
      </c>
      <c r="AJ406" s="12">
        <v>0</v>
      </c>
      <c r="AK406" s="36"/>
      <c r="AL406" t="s">
        <v>398</v>
      </c>
      <c r="AM406" s="11"/>
      <c r="AP406" s="10"/>
      <c r="AQ406" s="29"/>
      <c r="AR406" s="31"/>
      <c r="AS406" s="33"/>
      <c r="AT406" s="7"/>
      <c r="AU406" s="8"/>
      <c r="AV406" s="8"/>
      <c r="AW406" s="8"/>
      <c r="AX406" s="8"/>
      <c r="AY406" s="7"/>
      <c r="AZ406" s="28"/>
      <c r="BA406" s="28"/>
      <c r="BB406" s="33"/>
      <c r="BC406" s="33"/>
      <c r="BD406" s="35"/>
      <c r="BE406" s="34"/>
      <c r="BF406" s="34"/>
      <c r="BG406" s="34"/>
      <c r="BH406" s="33"/>
      <c r="BI406" s="35"/>
      <c r="BJ406" s="53" t="s">
        <v>82</v>
      </c>
      <c r="BK406" s="34"/>
      <c r="BL406" s="35"/>
    </row>
    <row r="407" spans="1:64" ht="15" thickBot="1" x14ac:dyDescent="0.35">
      <c r="A407" s="44" t="s">
        <v>74</v>
      </c>
      <c r="B407" s="37">
        <v>1446</v>
      </c>
      <c r="C407" s="18">
        <v>1940</v>
      </c>
      <c r="D407" s="36"/>
      <c r="E407" s="38" t="s">
        <v>60</v>
      </c>
      <c r="F407" s="39"/>
      <c r="G407" s="37">
        <v>2176</v>
      </c>
      <c r="H407" s="36">
        <v>8</v>
      </c>
      <c r="I407" s="28" t="s">
        <v>75</v>
      </c>
      <c r="J407" s="11"/>
      <c r="K407" s="28"/>
      <c r="L407" s="32"/>
      <c r="M407" s="34"/>
      <c r="N407" s="34"/>
      <c r="O407" s="33"/>
      <c r="P407" s="34"/>
      <c r="Q407" s="35"/>
      <c r="R407" s="34"/>
      <c r="S407" s="34"/>
      <c r="T407" s="33"/>
      <c r="U407" s="34"/>
      <c r="V407" s="35"/>
      <c r="W407" s="28"/>
      <c r="AB407" s="46"/>
      <c r="AE407" s="47"/>
      <c r="AF407" s="51"/>
      <c r="AG407" s="49"/>
      <c r="AH407" s="28"/>
      <c r="AI407" s="28"/>
      <c r="AJ407" s="62"/>
      <c r="AK407" s="47">
        <v>5</v>
      </c>
      <c r="AL407" s="48" t="s">
        <v>66</v>
      </c>
      <c r="AM407" s="49"/>
      <c r="AP407" s="36" t="s">
        <v>63</v>
      </c>
      <c r="AQ407" s="10">
        <v>22</v>
      </c>
      <c r="AR407" s="18">
        <v>19</v>
      </c>
      <c r="AS407" s="42"/>
      <c r="AT407" s="11"/>
      <c r="AU407" s="18"/>
      <c r="AV407" s="18" t="s">
        <v>110</v>
      </c>
      <c r="AW407" s="18" t="s">
        <v>111</v>
      </c>
      <c r="AX407" s="18" t="s">
        <v>112</v>
      </c>
      <c r="AY407" s="11"/>
      <c r="AZ407" s="28"/>
      <c r="BA407" s="28"/>
      <c r="BB407" s="47" t="s">
        <v>85</v>
      </c>
      <c r="BC407" s="47">
        <v>0</v>
      </c>
      <c r="BD407" s="49">
        <v>0</v>
      </c>
      <c r="BE407" s="48"/>
      <c r="BF407" s="48">
        <v>0</v>
      </c>
      <c r="BG407" s="48">
        <v>0</v>
      </c>
      <c r="BH407" s="47">
        <v>0</v>
      </c>
      <c r="BI407" s="49">
        <v>0</v>
      </c>
      <c r="BJ407" s="51"/>
      <c r="BK407" s="48" t="s">
        <v>86</v>
      </c>
      <c r="BL407" s="49">
        <f>SUM(BJ407)</f>
        <v>0</v>
      </c>
    </row>
    <row r="408" spans="1:64" x14ac:dyDescent="0.3">
      <c r="A408" s="41"/>
      <c r="D408" s="42"/>
      <c r="E408" s="28"/>
      <c r="F408" s="40"/>
      <c r="H408" s="42">
        <v>5</v>
      </c>
      <c r="I408" s="28" t="s">
        <v>79</v>
      </c>
      <c r="J408" s="40"/>
      <c r="K408" s="28"/>
      <c r="L408" s="41"/>
      <c r="M408" s="28"/>
      <c r="N408" s="28"/>
      <c r="O408" s="42"/>
      <c r="P408" s="28"/>
      <c r="Q408" s="40"/>
      <c r="R408" s="28"/>
      <c r="S408" s="28"/>
      <c r="T408" s="42" t="s">
        <v>80</v>
      </c>
      <c r="U408" s="28"/>
      <c r="V408" s="40"/>
      <c r="W408" s="28"/>
      <c r="AB408" s="50" t="s">
        <v>6</v>
      </c>
      <c r="AC408" s="8"/>
      <c r="AD408" s="8"/>
      <c r="AE408" s="6"/>
      <c r="AF408" s="8"/>
      <c r="AG408" s="7"/>
      <c r="AH408" s="6"/>
      <c r="AI408" s="7"/>
      <c r="AJ408" s="8"/>
      <c r="AK408" s="29"/>
      <c r="AL408" s="8"/>
      <c r="AM408" s="7"/>
      <c r="AP408" s="10" t="s">
        <v>115</v>
      </c>
      <c r="AQ408" s="36">
        <v>14</v>
      </c>
      <c r="AR408" s="37">
        <v>14</v>
      </c>
      <c r="AS408" s="42"/>
      <c r="AT408" s="11"/>
      <c r="AU408" s="18"/>
      <c r="AV408" s="18"/>
      <c r="AW408" s="18"/>
      <c r="AX408" s="18"/>
      <c r="AY408" s="11"/>
      <c r="AZ408" s="28"/>
      <c r="BA408" s="28"/>
      <c r="BB408" s="50" t="s">
        <v>107</v>
      </c>
      <c r="BC408" s="31">
        <v>0</v>
      </c>
      <c r="BD408" s="31">
        <v>0</v>
      </c>
      <c r="BE408" s="29"/>
      <c r="BF408" s="31"/>
      <c r="BG408" s="30"/>
      <c r="BH408" s="55">
        <v>0</v>
      </c>
      <c r="BI408" s="8">
        <v>0</v>
      </c>
      <c r="BJ408" s="29"/>
      <c r="BK408" s="34" t="s">
        <v>92</v>
      </c>
      <c r="BL408" s="35"/>
    </row>
    <row r="409" spans="1:64" ht="15" thickBot="1" x14ac:dyDescent="0.35">
      <c r="A409" s="46"/>
      <c r="B409" s="48"/>
      <c r="C409" s="48"/>
      <c r="D409" s="47"/>
      <c r="E409" s="48"/>
      <c r="F409" s="49"/>
      <c r="G409" s="48"/>
      <c r="H409" s="47">
        <v>5</v>
      </c>
      <c r="I409" s="28" t="s">
        <v>83</v>
      </c>
      <c r="J409" s="49">
        <f>SUM(H407:H409)</f>
        <v>18</v>
      </c>
      <c r="K409" s="28"/>
      <c r="L409" s="17" t="s">
        <v>74</v>
      </c>
      <c r="M409" s="27">
        <v>2735</v>
      </c>
      <c r="N409" s="27">
        <v>17</v>
      </c>
      <c r="O409" s="13">
        <v>0</v>
      </c>
      <c r="P409" s="27">
        <v>0</v>
      </c>
      <c r="Q409" s="26">
        <v>0</v>
      </c>
      <c r="R409" s="27">
        <v>0</v>
      </c>
      <c r="S409" s="27">
        <v>0</v>
      </c>
      <c r="T409" s="13"/>
      <c r="U409" s="27"/>
      <c r="V409" s="26"/>
      <c r="W409" s="28"/>
      <c r="AB409" s="41" t="s">
        <v>76</v>
      </c>
      <c r="AC409">
        <v>0</v>
      </c>
      <c r="AD409">
        <v>0</v>
      </c>
      <c r="AE409" s="42">
        <v>0</v>
      </c>
      <c r="AF409" s="43">
        <v>0</v>
      </c>
      <c r="AG409" s="40">
        <v>0</v>
      </c>
      <c r="AH409" s="42">
        <v>0</v>
      </c>
      <c r="AI409" s="40">
        <v>0</v>
      </c>
      <c r="AJ409" s="43">
        <v>0</v>
      </c>
      <c r="AK409" s="42"/>
      <c r="AL409" s="28" t="s">
        <v>780</v>
      </c>
      <c r="AM409" s="40"/>
      <c r="AP409" s="52" t="s">
        <v>72</v>
      </c>
      <c r="AQ409" s="52">
        <v>0</v>
      </c>
      <c r="AR409" s="54">
        <v>5</v>
      </c>
      <c r="AS409" s="42"/>
      <c r="AT409" s="40"/>
      <c r="AU409" s="28"/>
      <c r="AV409" s="28"/>
      <c r="AW409" s="28"/>
      <c r="AX409" s="28"/>
      <c r="AY409" s="40"/>
      <c r="AZ409" s="28"/>
      <c r="BA409" s="28"/>
      <c r="BB409" s="41" t="s">
        <v>99</v>
      </c>
      <c r="BC409" s="45">
        <v>0</v>
      </c>
      <c r="BD409" s="45">
        <v>0</v>
      </c>
      <c r="BE409" s="42">
        <v>0</v>
      </c>
      <c r="BF409" s="45">
        <v>0</v>
      </c>
      <c r="BG409" s="40">
        <v>0</v>
      </c>
      <c r="BH409" s="45">
        <v>10013</v>
      </c>
      <c r="BI409" s="56">
        <v>2727</v>
      </c>
      <c r="BJ409" s="52">
        <v>30</v>
      </c>
      <c r="BK409" s="37" t="s">
        <v>100</v>
      </c>
      <c r="BL409" s="40"/>
    </row>
    <row r="410" spans="1:64" ht="15" thickBot="1" x14ac:dyDescent="0.35">
      <c r="A410" s="33"/>
      <c r="B410" s="33"/>
      <c r="C410" s="35"/>
      <c r="D410" s="34"/>
      <c r="E410" s="34"/>
      <c r="F410" s="34"/>
      <c r="G410" s="32"/>
      <c r="H410" s="6" t="s">
        <v>87</v>
      </c>
      <c r="I410" s="34"/>
      <c r="J410" s="35"/>
      <c r="K410" s="28"/>
      <c r="L410" s="12" t="s">
        <v>88</v>
      </c>
      <c r="M410" s="37">
        <v>0</v>
      </c>
      <c r="N410" s="37">
        <v>0</v>
      </c>
      <c r="O410" s="10"/>
      <c r="P410" s="18"/>
      <c r="Q410" s="11"/>
      <c r="R410" s="18"/>
      <c r="S410" s="18"/>
      <c r="T410" s="33" t="s">
        <v>6</v>
      </c>
      <c r="U410" s="31"/>
      <c r="V410" s="7"/>
      <c r="W410" s="28"/>
      <c r="AB410" s="6" t="s">
        <v>89</v>
      </c>
      <c r="AC410" s="6">
        <v>52</v>
      </c>
      <c r="AD410" s="7">
        <v>53</v>
      </c>
      <c r="AE410" s="8"/>
      <c r="AF410" s="8"/>
      <c r="AG410" s="8"/>
      <c r="AH410" s="6"/>
      <c r="AI410" s="7"/>
      <c r="AJ410" s="9"/>
      <c r="AK410" s="31" t="s">
        <v>90</v>
      </c>
      <c r="AL410" s="8"/>
      <c r="AM410" s="7"/>
      <c r="AP410" s="36" t="s">
        <v>78</v>
      </c>
      <c r="AQ410" s="36">
        <v>5</v>
      </c>
      <c r="AR410" s="37">
        <v>5</v>
      </c>
      <c r="AS410" s="42"/>
      <c r="AT410" s="11"/>
      <c r="AU410" s="18"/>
      <c r="AV410" s="37"/>
      <c r="AW410" s="18"/>
      <c r="AX410" s="37"/>
      <c r="AY410" s="11"/>
      <c r="AZ410" s="28"/>
      <c r="BA410" s="28"/>
      <c r="BB410" s="17" t="s">
        <v>84</v>
      </c>
      <c r="BC410" s="18">
        <f>SUM(BC408:BC409)</f>
        <v>0</v>
      </c>
      <c r="BD410" s="18">
        <f>SUM(BD408:BD409)</f>
        <v>0</v>
      </c>
      <c r="BE410" s="13"/>
      <c r="BF410" s="27"/>
      <c r="BG410" s="26"/>
      <c r="BH410" s="58">
        <f>+BH409+BH408</f>
        <v>10013</v>
      </c>
      <c r="BI410" s="27">
        <f>+BI409+BI408</f>
        <v>2727</v>
      </c>
      <c r="BJ410" s="59">
        <v>1</v>
      </c>
      <c r="BK410" s="48" t="s">
        <v>506</v>
      </c>
      <c r="BL410" s="60">
        <f>SUM(BJ409:BJ410)</f>
        <v>31</v>
      </c>
    </row>
    <row r="411" spans="1:64" x14ac:dyDescent="0.3">
      <c r="A411" s="36" t="s">
        <v>93</v>
      </c>
      <c r="B411" s="36">
        <v>5208</v>
      </c>
      <c r="C411" s="11">
        <v>5409</v>
      </c>
      <c r="D411" s="37"/>
      <c r="E411" s="38" t="s">
        <v>60</v>
      </c>
      <c r="F411" s="37"/>
      <c r="G411" s="12">
        <f>31*178</f>
        <v>5518</v>
      </c>
      <c r="H411" s="36">
        <v>31</v>
      </c>
      <c r="I411" s="37" t="s">
        <v>101</v>
      </c>
      <c r="J411" s="40"/>
      <c r="K411" s="28"/>
      <c r="L411" s="44" t="s">
        <v>95</v>
      </c>
      <c r="M411" s="37">
        <v>0</v>
      </c>
      <c r="N411" s="37">
        <v>0</v>
      </c>
      <c r="O411" s="10"/>
      <c r="P411" s="18"/>
      <c r="Q411" s="11"/>
      <c r="R411" s="18"/>
      <c r="S411" s="18"/>
      <c r="T411" s="10" t="s">
        <v>96</v>
      </c>
      <c r="U411" s="37"/>
      <c r="V411" s="11"/>
      <c r="W411" s="28"/>
      <c r="AB411" s="36" t="s">
        <v>97</v>
      </c>
      <c r="AC411" s="10">
        <v>0</v>
      </c>
      <c r="AD411" s="11">
        <v>15</v>
      </c>
      <c r="AE411" s="18">
        <v>0</v>
      </c>
      <c r="AF411" s="18">
        <v>0</v>
      </c>
      <c r="AG411" s="18">
        <v>0</v>
      </c>
      <c r="AH411" s="36">
        <v>0</v>
      </c>
      <c r="AI411" s="11">
        <v>0</v>
      </c>
      <c r="AJ411" s="12">
        <v>0</v>
      </c>
      <c r="AK411" s="37">
        <v>2</v>
      </c>
      <c r="AL411" s="37" t="s">
        <v>781</v>
      </c>
      <c r="AM411" s="11"/>
      <c r="AP411" s="10" t="s">
        <v>122</v>
      </c>
      <c r="AQ411" s="36">
        <v>52</v>
      </c>
      <c r="AR411" s="37">
        <v>38</v>
      </c>
      <c r="AS411" s="42"/>
      <c r="AT411" s="11"/>
      <c r="AU411" s="18"/>
      <c r="AV411" s="18">
        <v>31</v>
      </c>
      <c r="AW411" s="18" t="s">
        <v>123</v>
      </c>
      <c r="AX411" s="18"/>
      <c r="AY411" s="11"/>
      <c r="AZ411" s="28" t="s">
        <v>6</v>
      </c>
      <c r="BA411" s="28"/>
      <c r="BB411" s="32"/>
      <c r="BC411" s="63">
        <v>0</v>
      </c>
      <c r="BD411" s="64">
        <v>0</v>
      </c>
      <c r="BE411" s="33"/>
      <c r="BF411" s="8"/>
      <c r="BG411" s="35"/>
      <c r="BH411" s="65"/>
      <c r="BI411" s="66"/>
      <c r="BJ411" s="29"/>
      <c r="BK411" s="31"/>
      <c r="BL411" s="35"/>
    </row>
    <row r="412" spans="1:64" ht="15" thickBot="1" x14ac:dyDescent="0.35">
      <c r="A412" s="47"/>
      <c r="B412" s="47"/>
      <c r="C412" s="49"/>
      <c r="D412" s="48"/>
      <c r="E412" s="48"/>
      <c r="F412" s="48"/>
      <c r="G412" s="46"/>
      <c r="H412" s="47"/>
      <c r="I412" s="48" t="s">
        <v>6</v>
      </c>
      <c r="J412" s="49">
        <f>SUM(H411:H412)</f>
        <v>31</v>
      </c>
      <c r="K412" s="28"/>
      <c r="L412" s="12" t="s">
        <v>102</v>
      </c>
      <c r="M412" s="18">
        <v>0</v>
      </c>
      <c r="N412" s="18">
        <v>0</v>
      </c>
      <c r="O412" s="10"/>
      <c r="P412" s="18"/>
      <c r="Q412" s="11"/>
      <c r="R412" s="18"/>
      <c r="S412" s="18"/>
      <c r="T412" s="10"/>
      <c r="U412" s="18"/>
      <c r="V412" s="11"/>
      <c r="W412" s="28"/>
      <c r="AB412" s="47" t="s">
        <v>84</v>
      </c>
      <c r="AC412" s="13">
        <f>SUM(AC410:AC411)</f>
        <v>52</v>
      </c>
      <c r="AD412" s="26">
        <f>SUM(AD410:AD411)</f>
        <v>68</v>
      </c>
      <c r="AE412" s="27"/>
      <c r="AF412" s="27"/>
      <c r="AG412" s="27"/>
      <c r="AH412" s="13"/>
      <c r="AI412" s="26"/>
      <c r="AJ412" s="17"/>
      <c r="AK412" s="57"/>
      <c r="AL412" s="183" t="s">
        <v>6</v>
      </c>
      <c r="AM412" s="11"/>
      <c r="AP412" s="10" t="s">
        <v>125</v>
      </c>
      <c r="AQ412" s="36">
        <v>0</v>
      </c>
      <c r="AR412" s="37">
        <v>0</v>
      </c>
      <c r="AS412" s="42"/>
      <c r="AT412" s="11"/>
      <c r="AU412" s="18"/>
      <c r="AV412" s="18">
        <v>22</v>
      </c>
      <c r="AW412" s="18" t="s">
        <v>126</v>
      </c>
      <c r="AX412" s="18"/>
      <c r="AY412" s="11"/>
      <c r="AZ412" s="28"/>
      <c r="BA412" s="28"/>
      <c r="BB412" s="41"/>
      <c r="BC412" s="70">
        <v>0</v>
      </c>
      <c r="BD412" s="71">
        <v>0</v>
      </c>
      <c r="BE412" s="42"/>
      <c r="BF412" s="28"/>
      <c r="BG412" s="40"/>
      <c r="BH412" s="42"/>
      <c r="BI412" s="40"/>
      <c r="BJ412" s="42"/>
      <c r="BK412" s="54"/>
      <c r="BL412" s="40"/>
    </row>
    <row r="413" spans="1:64" ht="15" thickBot="1" x14ac:dyDescent="0.35">
      <c r="A413" s="29" t="s">
        <v>250</v>
      </c>
      <c r="B413" s="29">
        <v>0</v>
      </c>
      <c r="C413" s="7">
        <v>0</v>
      </c>
      <c r="D413" s="8"/>
      <c r="E413" s="8"/>
      <c r="F413" s="8"/>
      <c r="G413" s="9"/>
      <c r="H413" s="8" t="s">
        <v>104</v>
      </c>
      <c r="I413" s="8"/>
      <c r="J413" s="7"/>
      <c r="K413" s="28"/>
      <c r="L413" s="12" t="s">
        <v>84</v>
      </c>
      <c r="M413" s="18">
        <f>SUM(M410:M412)</f>
        <v>0</v>
      </c>
      <c r="N413" s="18">
        <f>SUM(N410:N412)</f>
        <v>0</v>
      </c>
      <c r="O413" s="10">
        <v>0</v>
      </c>
      <c r="P413" s="18">
        <v>0</v>
      </c>
      <c r="Q413" s="11">
        <v>0</v>
      </c>
      <c r="R413" s="18">
        <v>0</v>
      </c>
      <c r="S413" s="18">
        <v>0</v>
      </c>
      <c r="T413" s="13"/>
      <c r="U413" s="27"/>
      <c r="V413" s="26"/>
      <c r="W413" s="28"/>
      <c r="AB413" s="44"/>
      <c r="AC413" s="18"/>
      <c r="AD413" s="18"/>
      <c r="AE413" s="10"/>
      <c r="AF413" s="18"/>
      <c r="AG413" s="11"/>
      <c r="AH413" s="10"/>
      <c r="AI413" s="11"/>
      <c r="AJ413" s="6"/>
      <c r="AK413" s="33" t="s">
        <v>811</v>
      </c>
      <c r="AM413" s="7"/>
      <c r="AP413" s="84" t="s">
        <v>128</v>
      </c>
      <c r="AQ413" s="52">
        <v>1</v>
      </c>
      <c r="AR413" s="37">
        <v>0</v>
      </c>
      <c r="AS413" s="42"/>
      <c r="AT413" s="40"/>
      <c r="AU413" s="28"/>
      <c r="AV413" s="28">
        <v>24</v>
      </c>
      <c r="AW413" s="28" t="s">
        <v>129</v>
      </c>
      <c r="AX413" s="28"/>
      <c r="AY413" s="40"/>
      <c r="AZ413" s="28"/>
      <c r="BA413" s="28" t="s">
        <v>6</v>
      </c>
      <c r="BB413" s="68"/>
      <c r="BC413">
        <f>SUM(BC411:BC412)</f>
        <v>0</v>
      </c>
      <c r="BD413">
        <f>SUM(BD411:BD412)</f>
        <v>0</v>
      </c>
      <c r="BE413" s="47">
        <v>0</v>
      </c>
      <c r="BF413" s="27">
        <v>0</v>
      </c>
      <c r="BG413" s="49">
        <v>0</v>
      </c>
      <c r="BH413" s="75">
        <v>0</v>
      </c>
      <c r="BI413" s="49">
        <v>0</v>
      </c>
      <c r="BJ413" s="47"/>
      <c r="BK413" s="51"/>
      <c r="BL413" s="49">
        <f>SUM(BJ412:BJ413)</f>
        <v>0</v>
      </c>
    </row>
    <row r="414" spans="1:64" x14ac:dyDescent="0.3">
      <c r="A414" s="42" t="s">
        <v>105</v>
      </c>
      <c r="B414" s="42">
        <v>602</v>
      </c>
      <c r="C414" s="40">
        <v>335</v>
      </c>
      <c r="D414" s="28"/>
      <c r="E414" s="38" t="s">
        <v>60</v>
      </c>
      <c r="F414" s="28"/>
      <c r="G414" s="41"/>
      <c r="H414" s="67">
        <v>12</v>
      </c>
      <c r="I414" s="43" t="s">
        <v>106</v>
      </c>
      <c r="J414" s="40">
        <f>SUM(H414)</f>
        <v>12</v>
      </c>
      <c r="K414" s="28"/>
      <c r="L414" s="32"/>
      <c r="M414" s="33"/>
      <c r="N414" s="35"/>
      <c r="O414" s="34"/>
      <c r="P414" s="34"/>
      <c r="Q414" s="35"/>
      <c r="R414" s="33"/>
      <c r="S414" s="35"/>
      <c r="T414" s="6" t="s">
        <v>104</v>
      </c>
      <c r="U414" s="34"/>
      <c r="V414" s="35"/>
      <c r="W414" s="28"/>
      <c r="AB414" s="41"/>
      <c r="AC414" s="18"/>
      <c r="AD414" s="18"/>
      <c r="AE414" s="10">
        <v>0</v>
      </c>
      <c r="AF414" s="18">
        <v>0</v>
      </c>
      <c r="AG414" s="11">
        <v>0</v>
      </c>
      <c r="AH414" s="10"/>
      <c r="AI414" s="11"/>
      <c r="AJ414" s="10">
        <v>0</v>
      </c>
      <c r="AK414" s="10"/>
      <c r="AL414" s="37" t="s">
        <v>6</v>
      </c>
      <c r="AM414" s="11"/>
      <c r="AP414" s="84" t="s">
        <v>132</v>
      </c>
      <c r="AQ414" s="42">
        <v>0</v>
      </c>
      <c r="AR414" s="37"/>
      <c r="AS414" s="42"/>
      <c r="AT414" s="40"/>
      <c r="AU414" s="28"/>
      <c r="AV414" s="28"/>
      <c r="AW414" s="28"/>
      <c r="AX414" s="28"/>
      <c r="AY414" s="40"/>
      <c r="AZ414" s="28"/>
      <c r="BA414" s="28" t="s">
        <v>6</v>
      </c>
      <c r="BB414" s="33" t="s">
        <v>89</v>
      </c>
      <c r="BC414" s="78">
        <v>385</v>
      </c>
      <c r="BD414" s="79">
        <v>415</v>
      </c>
      <c r="BE414" s="34"/>
      <c r="BF414" s="8"/>
      <c r="BG414" s="35"/>
      <c r="BH414" s="80"/>
      <c r="BI414" s="34"/>
      <c r="BJ414" s="33"/>
      <c r="BK414" s="34" t="s">
        <v>91</v>
      </c>
      <c r="BL414" s="35"/>
    </row>
    <row r="415" spans="1:64" ht="15" thickBot="1" x14ac:dyDescent="0.35">
      <c r="A415" s="67" t="s">
        <v>84</v>
      </c>
      <c r="B415" s="47">
        <f>SUM(B413:B414)</f>
        <v>602</v>
      </c>
      <c r="C415" s="49">
        <f>SUM(C413:C414)</f>
        <v>335</v>
      </c>
      <c r="G415" s="46">
        <f>12*70</f>
        <v>840</v>
      </c>
      <c r="H415" s="48"/>
      <c r="I415" s="48"/>
      <c r="J415" s="49"/>
      <c r="K415" s="28"/>
      <c r="L415" s="69" t="s">
        <v>109</v>
      </c>
      <c r="M415" s="42">
        <v>2065</v>
      </c>
      <c r="N415" s="40">
        <v>0</v>
      </c>
      <c r="O415" s="28">
        <v>0</v>
      </c>
      <c r="P415" s="43">
        <v>0</v>
      </c>
      <c r="Q415" s="40">
        <v>0</v>
      </c>
      <c r="R415" s="42">
        <v>0</v>
      </c>
      <c r="S415" s="40">
        <v>0</v>
      </c>
      <c r="T415" s="28"/>
      <c r="U415" s="28"/>
      <c r="V415" s="40"/>
      <c r="W415" s="28"/>
      <c r="AA415" s="28"/>
      <c r="AB415" s="44" t="s">
        <v>6</v>
      </c>
      <c r="AC415" s="45"/>
      <c r="AD415" s="45"/>
      <c r="AE415" s="10">
        <v>0</v>
      </c>
      <c r="AF415" s="18">
        <v>0</v>
      </c>
      <c r="AG415" s="11">
        <v>0</v>
      </c>
      <c r="AH415" s="10"/>
      <c r="AI415" s="11"/>
      <c r="AJ415" s="67"/>
      <c r="AK415" s="42">
        <v>2</v>
      </c>
      <c r="AL415" s="54" t="s">
        <v>812</v>
      </c>
      <c r="AM415" s="40"/>
      <c r="AN415" s="28"/>
      <c r="AP415" s="84" t="s">
        <v>81</v>
      </c>
      <c r="AQ415" s="42">
        <v>63</v>
      </c>
      <c r="AR415" s="37">
        <v>62</v>
      </c>
      <c r="AS415" s="42"/>
      <c r="AT415" s="40"/>
      <c r="AU415" s="28"/>
      <c r="AV415" s="28"/>
      <c r="AW415" s="28"/>
      <c r="AX415" s="28"/>
      <c r="AY415" s="40"/>
      <c r="AZ415" s="45"/>
      <c r="BA415" s="28"/>
      <c r="BB415" s="52" t="s">
        <v>85</v>
      </c>
      <c r="BC415" s="42">
        <v>0</v>
      </c>
      <c r="BD415" s="40">
        <v>0</v>
      </c>
      <c r="BE415" s="28"/>
      <c r="BF415" s="28"/>
      <c r="BG415" s="40"/>
      <c r="BJ415" s="42"/>
      <c r="BK415" s="43"/>
      <c r="BL415" s="40"/>
    </row>
    <row r="416" spans="1:64" ht="15" thickBot="1" x14ac:dyDescent="0.35">
      <c r="A416" s="29" t="s">
        <v>108</v>
      </c>
      <c r="B416" s="29">
        <v>0</v>
      </c>
      <c r="C416" s="7">
        <v>0</v>
      </c>
      <c r="D416" s="8"/>
      <c r="E416" s="8">
        <v>728</v>
      </c>
      <c r="F416" s="8"/>
      <c r="G416" s="50"/>
      <c r="H416" s="6" t="s">
        <v>104</v>
      </c>
      <c r="I416" s="31"/>
      <c r="J416" s="30"/>
      <c r="K416" s="28"/>
      <c r="L416" s="46"/>
      <c r="M416" s="47"/>
      <c r="N416" s="49"/>
      <c r="O416" s="48"/>
      <c r="P416" s="48"/>
      <c r="Q416" s="49"/>
      <c r="R416" s="72"/>
      <c r="S416" s="73"/>
      <c r="T416" s="48"/>
      <c r="U416" s="48"/>
      <c r="V416" s="49"/>
      <c r="W416" s="28"/>
      <c r="AA416" s="28"/>
      <c r="AB416" s="41"/>
      <c r="AE416" s="10">
        <v>0</v>
      </c>
      <c r="AF416" s="18">
        <v>0</v>
      </c>
      <c r="AG416" s="11">
        <v>0</v>
      </c>
      <c r="AH416" s="10"/>
      <c r="AI416" s="11"/>
      <c r="AJ416" s="47"/>
      <c r="AK416" s="72"/>
      <c r="AL416" s="74"/>
      <c r="AM416" s="49"/>
      <c r="AN416" s="28"/>
      <c r="AP416" s="10" t="s">
        <v>138</v>
      </c>
      <c r="AQ416" s="36">
        <v>0</v>
      </c>
      <c r="AR416" s="37">
        <v>0</v>
      </c>
      <c r="AS416" s="42"/>
      <c r="AT416" s="11"/>
      <c r="AU416" s="18"/>
      <c r="AV416" s="18"/>
      <c r="AW416" s="18"/>
      <c r="AX416" s="18"/>
      <c r="AY416" s="11"/>
      <c r="AZ416" s="28"/>
      <c r="BA416" s="28" t="s">
        <v>6</v>
      </c>
      <c r="BB416" s="67" t="s">
        <v>113</v>
      </c>
      <c r="BC416" s="42">
        <v>601</v>
      </c>
      <c r="BD416" s="40">
        <v>654</v>
      </c>
      <c r="BE416" s="28"/>
      <c r="BF416" s="28"/>
      <c r="BG416" s="40"/>
      <c r="BH416" s="28"/>
      <c r="BI416" s="28"/>
      <c r="BJ416" s="67">
        <v>70</v>
      </c>
      <c r="BK416" s="43" t="s">
        <v>73</v>
      </c>
      <c r="BL416" s="40"/>
    </row>
    <row r="417" spans="1:65" ht="15" thickBot="1" x14ac:dyDescent="0.35">
      <c r="A417" s="52" t="s">
        <v>109</v>
      </c>
      <c r="B417" s="36">
        <v>3728</v>
      </c>
      <c r="C417" s="11">
        <v>1693</v>
      </c>
      <c r="D417" s="45"/>
      <c r="E417" s="45">
        <v>0</v>
      </c>
      <c r="F417" s="45"/>
      <c r="G417" s="69"/>
      <c r="H417" s="45">
        <v>13</v>
      </c>
      <c r="I417" s="28" t="s">
        <v>114</v>
      </c>
      <c r="J417" s="40"/>
      <c r="K417" s="28"/>
      <c r="L417" s="50" t="s">
        <v>93</v>
      </c>
      <c r="M417" s="8">
        <v>0</v>
      </c>
      <c r="N417" s="8">
        <v>0</v>
      </c>
      <c r="O417" s="6"/>
      <c r="P417" s="8"/>
      <c r="Q417" s="7"/>
      <c r="R417" s="8">
        <v>0</v>
      </c>
      <c r="S417" s="8">
        <v>0</v>
      </c>
      <c r="T417" s="10" t="s">
        <v>116</v>
      </c>
      <c r="U417" s="8"/>
      <c r="V417" s="7"/>
      <c r="W417" s="28"/>
      <c r="AA417" s="28"/>
      <c r="AB417" s="33"/>
      <c r="AC417" s="6"/>
      <c r="AD417" s="7"/>
      <c r="AE417" s="8"/>
      <c r="AF417" s="8"/>
      <c r="AG417" s="8"/>
      <c r="AH417" s="6"/>
      <c r="AI417" s="7"/>
      <c r="AJ417" s="8"/>
      <c r="AK417" s="29"/>
      <c r="AL417" s="164" t="s">
        <v>117</v>
      </c>
      <c r="AM417" s="7"/>
      <c r="AN417" s="28"/>
      <c r="AP417" s="84" t="s">
        <v>56</v>
      </c>
      <c r="AQ417" s="42">
        <v>3</v>
      </c>
      <c r="AR417" s="54">
        <v>5</v>
      </c>
      <c r="AS417" s="42"/>
      <c r="AT417" s="40"/>
      <c r="AU417" s="28"/>
      <c r="AV417" s="28"/>
      <c r="AW417" s="28"/>
      <c r="AX417" s="28"/>
      <c r="AY417" s="40"/>
      <c r="AZ417" s="28"/>
      <c r="BA417" s="28"/>
      <c r="BB417" s="47" t="s">
        <v>84</v>
      </c>
      <c r="BC417" s="47">
        <f>SUM(BC414:BC416)</f>
        <v>986</v>
      </c>
      <c r="BD417" s="49">
        <f>SUM(BD414:BD416)</f>
        <v>1069</v>
      </c>
      <c r="BE417" s="81">
        <v>0</v>
      </c>
      <c r="BF417" s="27">
        <v>0</v>
      </c>
      <c r="BG417" s="82">
        <f>+BG414</f>
        <v>0</v>
      </c>
      <c r="BH417" s="74">
        <v>0</v>
      </c>
      <c r="BI417" s="74">
        <v>0</v>
      </c>
      <c r="BJ417" s="47"/>
      <c r="BK417" s="51"/>
      <c r="BL417" s="49">
        <f>SUM(BJ416)</f>
        <v>70</v>
      </c>
    </row>
    <row r="418" spans="1:65" ht="15" thickBot="1" x14ac:dyDescent="0.35">
      <c r="A418" s="76" t="s">
        <v>84</v>
      </c>
      <c r="B418" s="42">
        <f>SUM(B416:B417)</f>
        <v>3728</v>
      </c>
      <c r="C418" s="40">
        <f>SUM(C416:C417)</f>
        <v>1693</v>
      </c>
      <c r="D418" s="28"/>
      <c r="E418" s="28">
        <f>SUM(E416:E417)</f>
        <v>728</v>
      </c>
      <c r="F418" s="28"/>
      <c r="G418" s="46">
        <f>375*13</f>
        <v>4875</v>
      </c>
      <c r="H418" s="48"/>
      <c r="I418" s="48"/>
      <c r="J418" s="49">
        <f>SUM(H417)</f>
        <v>13</v>
      </c>
      <c r="K418" s="28"/>
      <c r="L418" s="12" t="s">
        <v>99</v>
      </c>
      <c r="M418" s="37">
        <v>76247</v>
      </c>
      <c r="N418" s="37">
        <v>22873</v>
      </c>
      <c r="O418" s="10"/>
      <c r="P418" s="18"/>
      <c r="Q418" s="11"/>
      <c r="R418" s="18">
        <v>5803</v>
      </c>
      <c r="S418" s="18">
        <v>304</v>
      </c>
      <c r="T418" s="10"/>
      <c r="U418" s="18"/>
      <c r="V418" s="11"/>
      <c r="W418" s="28"/>
      <c r="AA418" s="28"/>
      <c r="AB418" s="67"/>
      <c r="AC418" s="42"/>
      <c r="AD418" s="40"/>
      <c r="AE418" s="28"/>
      <c r="AF418" s="28"/>
      <c r="AG418" s="28"/>
      <c r="AH418" s="42"/>
      <c r="AI418" s="40"/>
      <c r="AJ418" s="28"/>
      <c r="AK418" s="42">
        <v>1</v>
      </c>
      <c r="AL418" s="54" t="s">
        <v>813</v>
      </c>
      <c r="AM418" s="40"/>
      <c r="AN418" s="28"/>
      <c r="AP418" s="36" t="s">
        <v>67</v>
      </c>
      <c r="AQ418" s="10">
        <v>54</v>
      </c>
      <c r="AR418" s="18">
        <v>45</v>
      </c>
      <c r="AS418" s="42"/>
      <c r="AT418" s="11"/>
      <c r="AU418" s="18"/>
      <c r="AV418" s="18"/>
      <c r="AW418" s="18"/>
      <c r="AX418" s="18"/>
      <c r="AY418" s="11"/>
      <c r="AZ418" s="28"/>
      <c r="BA418" s="28" t="s">
        <v>6</v>
      </c>
      <c r="BB418" s="52" t="s">
        <v>113</v>
      </c>
      <c r="BC418" s="42">
        <v>669</v>
      </c>
      <c r="BD418" s="85">
        <v>649</v>
      </c>
      <c r="BE418" s="37"/>
      <c r="BF418" s="18"/>
      <c r="BG418" s="54"/>
      <c r="BH418" s="52"/>
      <c r="BI418" s="40"/>
      <c r="BJ418" s="67"/>
      <c r="BK418" s="34" t="s">
        <v>130</v>
      </c>
      <c r="BL418" s="40"/>
    </row>
    <row r="419" spans="1:65" ht="15" thickBot="1" x14ac:dyDescent="0.35">
      <c r="A419" s="32" t="s">
        <v>785</v>
      </c>
      <c r="B419" s="33">
        <v>1319</v>
      </c>
      <c r="C419" s="35">
        <v>1303</v>
      </c>
      <c r="D419" s="33"/>
      <c r="E419" s="34"/>
      <c r="F419" s="34"/>
      <c r="G419" s="32">
        <v>1400</v>
      </c>
      <c r="H419" s="33" t="s">
        <v>118</v>
      </c>
      <c r="I419" s="34"/>
      <c r="J419" s="35"/>
      <c r="K419" s="28"/>
      <c r="L419" s="12" t="s">
        <v>120</v>
      </c>
      <c r="M419" s="37">
        <v>588</v>
      </c>
      <c r="N419" s="37">
        <v>36517</v>
      </c>
      <c r="O419" s="10"/>
      <c r="P419" s="18"/>
      <c r="Q419" s="11"/>
      <c r="R419" s="18">
        <v>624</v>
      </c>
      <c r="S419" s="18">
        <v>0</v>
      </c>
      <c r="T419" s="10"/>
      <c r="U419" s="18"/>
      <c r="V419" s="11"/>
      <c r="W419" s="28"/>
      <c r="AA419" s="28"/>
      <c r="AB419" s="36"/>
      <c r="AC419" s="10"/>
      <c r="AD419" s="11"/>
      <c r="AE419" s="18"/>
      <c r="AF419" s="18"/>
      <c r="AG419" s="18"/>
      <c r="AH419" s="10"/>
      <c r="AI419" s="11"/>
      <c r="AJ419" s="18"/>
      <c r="AK419" s="10"/>
      <c r="AL419" s="37"/>
      <c r="AM419" s="11"/>
      <c r="AN419" s="28"/>
      <c r="AP419" s="13" t="s">
        <v>84</v>
      </c>
      <c r="AQ419" s="13">
        <f>SUM(AQ407:AQ418)</f>
        <v>214</v>
      </c>
      <c r="AR419" s="27">
        <f>SUM(AR407:AR418)</f>
        <v>193</v>
      </c>
      <c r="AS419" s="47"/>
      <c r="AT419" s="26">
        <f>SUM(AT411:AT418)</f>
        <v>0</v>
      </c>
      <c r="AU419" s="27"/>
      <c r="AV419" s="27"/>
      <c r="AW419" s="27"/>
      <c r="AX419" s="27"/>
      <c r="AY419" s="26">
        <f>SUM(AV411:AV413)</f>
        <v>77</v>
      </c>
      <c r="AZ419" s="28"/>
      <c r="BA419" s="28"/>
      <c r="BB419" s="42" t="s">
        <v>475</v>
      </c>
      <c r="BC419" s="67"/>
      <c r="BD419" s="85"/>
      <c r="BE419" s="28"/>
      <c r="BF419" s="18"/>
      <c r="BG419" s="28"/>
      <c r="BH419" s="52"/>
      <c r="BI419" s="86"/>
      <c r="BJ419" s="52">
        <v>58</v>
      </c>
      <c r="BK419" s="43" t="s">
        <v>73</v>
      </c>
      <c r="BL419" s="40"/>
      <c r="BM419" t="s">
        <v>6</v>
      </c>
    </row>
    <row r="420" spans="1:65" ht="15" thickBot="1" x14ac:dyDescent="0.35">
      <c r="A420" s="68" t="s">
        <v>93</v>
      </c>
      <c r="B420" s="67">
        <v>8949</v>
      </c>
      <c r="C420" s="56">
        <v>8883</v>
      </c>
      <c r="G420" s="41">
        <v>9350</v>
      </c>
      <c r="H420" s="42"/>
      <c r="I420" s="28"/>
      <c r="J420" s="40"/>
      <c r="K420" s="28"/>
      <c r="L420" s="12" t="s">
        <v>84</v>
      </c>
      <c r="M420" s="18">
        <f>SUM(M417:M419)</f>
        <v>76835</v>
      </c>
      <c r="N420" s="18">
        <f>SUM(N417:N419)</f>
        <v>59390</v>
      </c>
      <c r="O420" s="10">
        <v>0</v>
      </c>
      <c r="P420" s="18">
        <v>0</v>
      </c>
      <c r="Q420" s="11">
        <v>0</v>
      </c>
      <c r="R420" s="18">
        <f>SUM(R417:R419)</f>
        <v>6427</v>
      </c>
      <c r="S420" s="18">
        <f>SUM(S417:S419)</f>
        <v>304</v>
      </c>
      <c r="T420" s="10"/>
      <c r="U420" s="18"/>
      <c r="V420" s="11"/>
      <c r="W420" s="28"/>
      <c r="AA420" s="28"/>
      <c r="AB420" s="42"/>
      <c r="AC420" s="42"/>
      <c r="AD420" s="40"/>
      <c r="AE420" s="28"/>
      <c r="AF420" s="28"/>
      <c r="AG420" s="28"/>
      <c r="AH420" s="42"/>
      <c r="AI420" s="40"/>
      <c r="AJ420" s="28"/>
      <c r="AK420" s="42">
        <v>4</v>
      </c>
      <c r="AL420" s="28" t="s">
        <v>124</v>
      </c>
      <c r="AM420" s="40"/>
      <c r="AN420" s="28"/>
      <c r="AP420" s="32"/>
      <c r="AQ420" s="53"/>
      <c r="AR420" s="97"/>
      <c r="AS420" s="33"/>
      <c r="AT420" s="7"/>
      <c r="AU420" s="6"/>
      <c r="AV420" s="8"/>
      <c r="AW420" s="31"/>
      <c r="AX420" s="8"/>
      <c r="AY420" s="7"/>
      <c r="AZ420" s="28"/>
      <c r="BA420" s="28"/>
      <c r="BB420" s="59" t="s">
        <v>84</v>
      </c>
      <c r="BC420" s="13">
        <f>SUM(BC418:BC419)</f>
        <v>669</v>
      </c>
      <c r="BD420" s="60">
        <f>SUM(BD418:BD419)</f>
        <v>649</v>
      </c>
      <c r="BE420" s="81">
        <v>0</v>
      </c>
      <c r="BF420" s="27">
        <v>0</v>
      </c>
      <c r="BG420" s="27">
        <v>0</v>
      </c>
      <c r="BH420" s="13">
        <v>0</v>
      </c>
      <c r="BI420" s="26">
        <v>0</v>
      </c>
      <c r="BJ420" s="13"/>
      <c r="BK420" s="43"/>
      <c r="BL420" s="26">
        <f>SUM(BJ418:BJ419)</f>
        <v>58</v>
      </c>
    </row>
    <row r="421" spans="1:65" ht="15" thickBot="1" x14ac:dyDescent="0.35">
      <c r="A421" s="41" t="s">
        <v>120</v>
      </c>
      <c r="B421" s="42">
        <v>4314</v>
      </c>
      <c r="C421" s="40">
        <v>4515</v>
      </c>
      <c r="D421" s="42"/>
      <c r="E421" s="107" t="s">
        <v>60</v>
      </c>
      <c r="F421" s="28"/>
      <c r="G421" s="41">
        <v>4710</v>
      </c>
      <c r="H421" s="42">
        <v>102</v>
      </c>
      <c r="I421" s="28" t="s">
        <v>101</v>
      </c>
      <c r="J421" s="40"/>
      <c r="K421" s="28"/>
      <c r="L421" s="17"/>
      <c r="M421" s="27"/>
      <c r="N421" s="27"/>
      <c r="O421" s="13"/>
      <c r="P421" s="27"/>
      <c r="Q421" s="26"/>
      <c r="R421" s="27"/>
      <c r="S421" s="27"/>
      <c r="T421" s="13"/>
      <c r="U421" s="27"/>
      <c r="V421" s="26"/>
      <c r="W421" s="28"/>
      <c r="AA421" s="28"/>
      <c r="AB421" s="47"/>
      <c r="AC421" s="47"/>
      <c r="AD421" s="49"/>
      <c r="AE421" s="48"/>
      <c r="AF421" s="48"/>
      <c r="AG421" s="48"/>
      <c r="AH421" s="47"/>
      <c r="AI421" s="49"/>
      <c r="AJ421" s="48"/>
      <c r="AK421" s="165"/>
      <c r="AL421" s="48"/>
      <c r="AM421" s="49"/>
      <c r="AN421" s="28"/>
      <c r="AP421" s="62"/>
      <c r="AQ421" s="72"/>
      <c r="AR421" s="73"/>
      <c r="AS421" s="47"/>
      <c r="AT421" s="49"/>
      <c r="AU421" s="47"/>
      <c r="AV421" s="48"/>
      <c r="AW421" s="48"/>
      <c r="AX421" s="48"/>
      <c r="AY421" s="49"/>
      <c r="BA421" s="28"/>
      <c r="BB421" s="88" t="s">
        <v>139</v>
      </c>
      <c r="BC421" s="33">
        <v>0</v>
      </c>
      <c r="BD421" s="34">
        <v>1</v>
      </c>
      <c r="BE421" s="152"/>
      <c r="BF421" s="89"/>
      <c r="BG421" s="66"/>
      <c r="BH421" s="8"/>
      <c r="BI421" s="35"/>
      <c r="BJ421" s="34" t="s">
        <v>140</v>
      </c>
      <c r="BK421" s="34"/>
      <c r="BL421" s="35"/>
    </row>
    <row r="422" spans="1:65" ht="15" thickBot="1" x14ac:dyDescent="0.35">
      <c r="A422" s="46" t="s">
        <v>84</v>
      </c>
      <c r="B422" s="47">
        <v>14581</v>
      </c>
      <c r="C422" s="49">
        <v>14701</v>
      </c>
      <c r="D422" s="47"/>
      <c r="E422" s="48"/>
      <c r="F422" s="48"/>
      <c r="G422" s="46">
        <f>SUM(G419:G421)</f>
        <v>15460</v>
      </c>
      <c r="H422" s="47"/>
      <c r="I422" s="48"/>
      <c r="J422" s="49">
        <f>SUM(H421:H422)</f>
        <v>102</v>
      </c>
      <c r="K422" s="28"/>
      <c r="L422" s="12" t="s">
        <v>105</v>
      </c>
      <c r="M422" s="34">
        <v>1229</v>
      </c>
      <c r="N422" s="34">
        <v>796</v>
      </c>
      <c r="O422" s="33"/>
      <c r="P422" s="34"/>
      <c r="Q422" s="35"/>
      <c r="R422" s="34">
        <v>2</v>
      </c>
      <c r="S422" s="34">
        <v>0</v>
      </c>
      <c r="T422" s="33"/>
      <c r="U422" s="34"/>
      <c r="V422" s="35"/>
      <c r="W422" s="28"/>
      <c r="AA422" s="28"/>
      <c r="AB422" s="32" t="s">
        <v>97</v>
      </c>
      <c r="AC422" s="28">
        <v>121</v>
      </c>
      <c r="AD422" s="28">
        <v>110</v>
      </c>
      <c r="AE422" s="33"/>
      <c r="AF422" s="34"/>
      <c r="AG422" s="34"/>
      <c r="AH422" s="33"/>
      <c r="AI422" s="35"/>
      <c r="AJ422" s="35"/>
      <c r="AK422" s="33"/>
      <c r="AL422" s="34"/>
      <c r="AM422" s="35"/>
      <c r="AN422" s="28"/>
      <c r="AP422" s="67" t="s">
        <v>63</v>
      </c>
      <c r="AQ422" s="33">
        <v>5</v>
      </c>
      <c r="AR422" s="35">
        <v>4</v>
      </c>
      <c r="AU422" s="33"/>
      <c r="AV422" s="34"/>
      <c r="AW422" s="34"/>
      <c r="AX422" s="34"/>
      <c r="AY422" s="35"/>
      <c r="AZ422" s="28"/>
      <c r="BA422" s="28"/>
      <c r="BB422" s="42" t="s">
        <v>108</v>
      </c>
      <c r="BC422" s="42">
        <f>8+7</f>
        <v>15</v>
      </c>
      <c r="BD422" s="43">
        <v>0</v>
      </c>
      <c r="BE422" s="42"/>
      <c r="BF422" s="28"/>
      <c r="BG422" s="40"/>
      <c r="BH422" s="28"/>
      <c r="BI422" s="40"/>
      <c r="BJ422" s="28"/>
      <c r="BK422" s="28"/>
      <c r="BL422" s="40"/>
    </row>
    <row r="423" spans="1:65" x14ac:dyDescent="0.3">
      <c r="A423" s="41" t="s">
        <v>88</v>
      </c>
      <c r="B423" s="42">
        <v>451</v>
      </c>
      <c r="C423" s="40">
        <v>403</v>
      </c>
      <c r="D423" s="28"/>
      <c r="E423" s="45">
        <v>0</v>
      </c>
      <c r="F423" s="40"/>
      <c r="G423" s="40">
        <v>881</v>
      </c>
      <c r="H423" s="28" t="s">
        <v>131</v>
      </c>
      <c r="J423" s="40"/>
      <c r="K423" s="28"/>
      <c r="L423" s="44" t="s">
        <v>99</v>
      </c>
      <c r="M423" s="18">
        <v>160</v>
      </c>
      <c r="N423" s="18">
        <v>0</v>
      </c>
      <c r="O423" s="10"/>
      <c r="P423" s="18"/>
      <c r="Q423" s="11"/>
      <c r="R423" s="18">
        <v>0</v>
      </c>
      <c r="S423" s="18">
        <v>0</v>
      </c>
      <c r="T423" s="10" t="s">
        <v>135</v>
      </c>
      <c r="U423" s="18"/>
      <c r="V423" s="11"/>
      <c r="W423" s="28"/>
      <c r="AA423" s="28"/>
      <c r="AB423" s="41" t="s">
        <v>89</v>
      </c>
      <c r="AC423" s="28">
        <v>433</v>
      </c>
      <c r="AD423" s="28">
        <v>400</v>
      </c>
      <c r="AE423" s="42"/>
      <c r="AF423" s="28"/>
      <c r="AG423" s="28"/>
      <c r="AH423" s="42"/>
      <c r="AI423" s="40"/>
      <c r="AJ423" s="40"/>
      <c r="AK423" s="42" t="s">
        <v>136</v>
      </c>
      <c r="AL423" s="28"/>
      <c r="AM423" s="40"/>
      <c r="AN423" s="28"/>
      <c r="AP423" s="67" t="s">
        <v>716</v>
      </c>
      <c r="AQ423" s="42">
        <v>0</v>
      </c>
      <c r="AR423" s="40">
        <v>0</v>
      </c>
      <c r="AU423" s="42"/>
      <c r="AV423" s="28"/>
      <c r="AW423" s="28"/>
      <c r="AX423" s="28"/>
      <c r="AY423" s="40"/>
      <c r="AZ423" s="28"/>
      <c r="BA423" s="28"/>
      <c r="BB423" s="153" t="s">
        <v>783</v>
      </c>
      <c r="BC423" s="42">
        <v>0</v>
      </c>
      <c r="BD423" s="43">
        <v>0</v>
      </c>
      <c r="BE423" s="42"/>
      <c r="BF423" s="28"/>
      <c r="BG423" s="40"/>
      <c r="BH423" s="28"/>
      <c r="BI423" s="40"/>
      <c r="BJ423" s="28"/>
      <c r="BK423" s="28"/>
      <c r="BL423" s="40"/>
    </row>
    <row r="424" spans="1:65" x14ac:dyDescent="0.3">
      <c r="A424" s="41" t="s">
        <v>102</v>
      </c>
      <c r="B424" s="42">
        <v>721</v>
      </c>
      <c r="C424" s="85">
        <v>393</v>
      </c>
      <c r="D424" s="28"/>
      <c r="E424" s="45">
        <v>0</v>
      </c>
      <c r="F424" s="40"/>
      <c r="G424" s="40">
        <v>880</v>
      </c>
      <c r="H424" s="43">
        <v>11</v>
      </c>
      <c r="I424" s="28" t="s">
        <v>134</v>
      </c>
      <c r="J424" s="40"/>
      <c r="K424" s="28"/>
      <c r="L424" s="12"/>
      <c r="M424" s="18"/>
      <c r="N424" s="18"/>
      <c r="O424" s="10"/>
      <c r="P424" s="18"/>
      <c r="Q424" s="11"/>
      <c r="R424" s="18"/>
      <c r="S424" s="18"/>
      <c r="T424" s="10"/>
      <c r="U424" s="18"/>
      <c r="V424" s="11"/>
      <c r="W424" s="28"/>
      <c r="AA424" s="28"/>
      <c r="AB424" s="44" t="s">
        <v>137</v>
      </c>
      <c r="AC424" s="18">
        <v>342</v>
      </c>
      <c r="AD424" s="18">
        <v>352</v>
      </c>
      <c r="AE424" s="10"/>
      <c r="AF424" s="18"/>
      <c r="AG424" s="18"/>
      <c r="AH424" s="52"/>
      <c r="AI424" s="85"/>
      <c r="AJ424" s="40"/>
      <c r="AK424" s="84"/>
      <c r="AL424" s="37"/>
      <c r="AM424" s="40"/>
      <c r="AN424" s="28"/>
      <c r="AP424" s="52" t="s">
        <v>56</v>
      </c>
      <c r="AQ424" s="52">
        <v>4</v>
      </c>
      <c r="AR424" s="85">
        <v>3</v>
      </c>
      <c r="AS424" s="28"/>
      <c r="AT424" s="28"/>
      <c r="AU424" s="42"/>
      <c r="AV424" s="28" t="s">
        <v>173</v>
      </c>
      <c r="AW424" s="28"/>
      <c r="AX424" s="28"/>
      <c r="AY424" s="40"/>
      <c r="AZ424" s="28"/>
      <c r="BA424" s="28"/>
      <c r="BB424" s="92" t="s">
        <v>113</v>
      </c>
      <c r="BC424" s="67">
        <f>42+4+5+2+4</f>
        <v>57</v>
      </c>
      <c r="BD424" s="43">
        <f>39+7+1</f>
        <v>47</v>
      </c>
      <c r="BE424" s="52"/>
      <c r="BF424" s="54"/>
      <c r="BG424" s="85"/>
      <c r="BH424" s="18"/>
      <c r="BI424" s="40"/>
      <c r="BJ424" s="18" t="s">
        <v>142</v>
      </c>
      <c r="BK424" s="18"/>
      <c r="BL424" s="39" t="s">
        <v>814</v>
      </c>
    </row>
    <row r="425" spans="1:65" ht="15" thickBot="1" x14ac:dyDescent="0.35">
      <c r="A425" s="87" t="s">
        <v>84</v>
      </c>
      <c r="B425" s="59">
        <f>SUM(B423:B424)</f>
        <v>1172</v>
      </c>
      <c r="C425" s="26">
        <f>SUM(C423:C424)</f>
        <v>796</v>
      </c>
      <c r="D425" s="27"/>
      <c r="E425" s="16">
        <f>SUM(E421:E424)</f>
        <v>0</v>
      </c>
      <c r="F425" s="26"/>
      <c r="G425" s="49">
        <f>SUM(G423:G424)</f>
        <v>1761</v>
      </c>
      <c r="H425" s="48">
        <v>2</v>
      </c>
      <c r="I425" s="189" t="s">
        <v>815</v>
      </c>
      <c r="J425" s="49">
        <f>SUM(H423:H424)</f>
        <v>11</v>
      </c>
      <c r="K425" s="28"/>
      <c r="L425" s="12" t="s">
        <v>84</v>
      </c>
      <c r="M425" s="18">
        <f>SUM(M422:M424)</f>
        <v>1389</v>
      </c>
      <c r="N425" s="18">
        <f>SUM(N422:N424)</f>
        <v>796</v>
      </c>
      <c r="O425" s="10">
        <v>0</v>
      </c>
      <c r="P425" s="18">
        <v>0</v>
      </c>
      <c r="Q425" s="11">
        <v>0</v>
      </c>
      <c r="R425" s="18">
        <f>SUM(R422:R424)</f>
        <v>2</v>
      </c>
      <c r="S425" s="18">
        <f>SUM(S422:S424)</f>
        <v>0</v>
      </c>
      <c r="T425" s="10"/>
      <c r="U425" s="18"/>
      <c r="V425" s="11"/>
      <c r="W425" s="28"/>
      <c r="AA425" s="28"/>
      <c r="AB425" s="41" t="s">
        <v>84</v>
      </c>
      <c r="AC425" s="28">
        <f>SUM(AC422:AC424)</f>
        <v>896</v>
      </c>
      <c r="AD425" s="28">
        <f>SUM(AD422:AD424)</f>
        <v>862</v>
      </c>
      <c r="AE425" s="42">
        <v>0</v>
      </c>
      <c r="AF425" s="28">
        <v>0</v>
      </c>
      <c r="AG425" s="28">
        <v>0</v>
      </c>
      <c r="AH425" s="42">
        <v>0</v>
      </c>
      <c r="AI425" s="40">
        <v>0</v>
      </c>
      <c r="AJ425" s="40">
        <v>0</v>
      </c>
      <c r="AK425" s="67">
        <v>23</v>
      </c>
      <c r="AL425" s="28" t="s">
        <v>141</v>
      </c>
      <c r="AM425" s="40"/>
      <c r="AN425" s="28"/>
      <c r="AP425" s="52" t="s">
        <v>67</v>
      </c>
      <c r="AQ425" s="52">
        <v>8</v>
      </c>
      <c r="AR425" s="56">
        <v>8</v>
      </c>
      <c r="AU425" s="42"/>
      <c r="AV425" s="28"/>
      <c r="AW425" s="28" t="s">
        <v>213</v>
      </c>
      <c r="AX425" s="28"/>
      <c r="AY425" s="40"/>
      <c r="AZ425" s="28"/>
      <c r="BA425" s="28"/>
      <c r="BB425" s="42" t="s">
        <v>164</v>
      </c>
      <c r="BC425" s="67">
        <v>0</v>
      </c>
      <c r="BD425" s="43">
        <v>0</v>
      </c>
      <c r="BE425" s="52"/>
      <c r="BF425" s="54"/>
      <c r="BG425" s="85"/>
      <c r="BH425" s="18"/>
      <c r="BI425" s="40"/>
      <c r="BJ425" s="154" t="s">
        <v>146</v>
      </c>
      <c r="BK425" s="28"/>
      <c r="BL425" s="94" t="s">
        <v>816</v>
      </c>
    </row>
    <row r="426" spans="1:65" ht="15" thickBot="1" x14ac:dyDescent="0.35">
      <c r="A426" s="36" t="s">
        <v>93</v>
      </c>
      <c r="B426" s="42">
        <v>8614</v>
      </c>
      <c r="C426" s="90">
        <v>8466</v>
      </c>
      <c r="D426" s="3"/>
      <c r="E426" s="91" t="s">
        <v>60</v>
      </c>
      <c r="F426" s="18"/>
      <c r="G426" s="44">
        <v>8906</v>
      </c>
      <c r="H426" s="10" t="s">
        <v>116</v>
      </c>
      <c r="I426" s="18"/>
      <c r="J426" s="11"/>
      <c r="K426" s="28"/>
      <c r="L426" s="12"/>
      <c r="M426" s="18"/>
      <c r="N426" s="18"/>
      <c r="O426" s="10"/>
      <c r="P426" s="18"/>
      <c r="Q426" s="11"/>
      <c r="R426" s="18"/>
      <c r="S426" s="18"/>
      <c r="T426" s="10"/>
      <c r="U426" s="18"/>
      <c r="V426" s="11"/>
      <c r="W426" s="28"/>
      <c r="AA426" s="28"/>
      <c r="AB426" s="46"/>
      <c r="AC426" s="48"/>
      <c r="AD426" s="48"/>
      <c r="AE426" s="47"/>
      <c r="AF426" s="48"/>
      <c r="AG426" s="48"/>
      <c r="AH426" s="47"/>
      <c r="AI426" s="49"/>
      <c r="AJ426" s="49"/>
      <c r="AK426" s="47"/>
      <c r="AL426" s="48" t="s">
        <v>145</v>
      </c>
      <c r="AM426" s="49"/>
      <c r="AN426" s="28"/>
      <c r="AP426" s="10" t="s">
        <v>78</v>
      </c>
      <c r="AQ426" s="52">
        <v>0</v>
      </c>
      <c r="AR426" s="85">
        <v>0</v>
      </c>
      <c r="AS426" s="28"/>
      <c r="AT426" s="28"/>
      <c r="AU426" s="42"/>
      <c r="AV426" s="28">
        <v>19</v>
      </c>
      <c r="AW426" s="28" t="s">
        <v>183</v>
      </c>
      <c r="AX426" s="28"/>
      <c r="AY426" s="40"/>
      <c r="AZ426" s="28"/>
      <c r="BA426" s="28"/>
      <c r="BB426" s="127" t="s">
        <v>817</v>
      </c>
      <c r="BC426" s="67">
        <v>3</v>
      </c>
      <c r="BD426" s="43">
        <v>0</v>
      </c>
      <c r="BE426" s="42"/>
      <c r="BF426" s="28"/>
      <c r="BG426" s="40"/>
      <c r="BH426" s="28"/>
      <c r="BI426" s="40"/>
      <c r="BJ426" s="28"/>
      <c r="BK426" s="28"/>
      <c r="BL426" s="40"/>
    </row>
    <row r="427" spans="1:65" x14ac:dyDescent="0.3">
      <c r="A427" s="10" t="s">
        <v>99</v>
      </c>
      <c r="B427" s="42">
        <v>17862</v>
      </c>
      <c r="C427" s="40">
        <v>17669</v>
      </c>
      <c r="D427" s="3"/>
      <c r="E427" s="91" t="s">
        <v>60</v>
      </c>
      <c r="F427" s="18"/>
      <c r="G427" s="12">
        <v>18571</v>
      </c>
      <c r="H427" s="10">
        <v>109</v>
      </c>
      <c r="I427" s="37" t="s">
        <v>144</v>
      </c>
      <c r="J427" s="11"/>
      <c r="K427" s="28"/>
      <c r="L427" s="12"/>
      <c r="M427" s="18"/>
      <c r="N427" s="18"/>
      <c r="O427" s="10"/>
      <c r="P427" s="18"/>
      <c r="Q427" s="11"/>
      <c r="R427" s="18"/>
      <c r="S427" s="18"/>
      <c r="T427" s="10"/>
      <c r="U427" s="18"/>
      <c r="V427" s="11"/>
      <c r="W427" s="28"/>
      <c r="AA427" s="28"/>
      <c r="AB427" s="42"/>
      <c r="AC427" s="42"/>
      <c r="AD427" s="40"/>
      <c r="AE427" s="28"/>
      <c r="AF427" s="28"/>
      <c r="AG427" s="28"/>
      <c r="AH427" s="42"/>
      <c r="AI427" s="28"/>
      <c r="AJ427" s="41"/>
      <c r="AK427" s="28" t="s">
        <v>149</v>
      </c>
      <c r="AL427" s="28"/>
      <c r="AM427" s="40"/>
      <c r="AN427" s="28" t="s">
        <v>6</v>
      </c>
      <c r="AO427" s="95"/>
      <c r="AP427" s="52" t="s">
        <v>115</v>
      </c>
      <c r="AQ427" s="52">
        <v>0</v>
      </c>
      <c r="AR427" s="85">
        <v>0</v>
      </c>
      <c r="AS427" s="28"/>
      <c r="AT427" s="28"/>
      <c r="AU427" s="42"/>
      <c r="AV427" s="28" t="s">
        <v>6</v>
      </c>
      <c r="AW427" s="28"/>
      <c r="AX427" s="28"/>
      <c r="AY427" s="40"/>
      <c r="AZ427" s="28"/>
      <c r="BA427" s="28"/>
      <c r="BB427" s="52" t="s">
        <v>133</v>
      </c>
      <c r="BC427" s="67">
        <f>2+5</f>
        <v>7</v>
      </c>
      <c r="BD427" s="43">
        <f>2+4+1+1</f>
        <v>8</v>
      </c>
      <c r="BE427" s="52" t="s">
        <v>150</v>
      </c>
      <c r="BF427" s="54"/>
      <c r="BG427" s="85"/>
      <c r="BH427" s="18"/>
      <c r="BI427" s="40"/>
      <c r="BJ427" s="28" t="s">
        <v>151</v>
      </c>
      <c r="BK427" s="28"/>
      <c r="BL427" s="185"/>
    </row>
    <row r="428" spans="1:65" ht="15" thickBot="1" x14ac:dyDescent="0.35">
      <c r="A428" s="10" t="s">
        <v>120</v>
      </c>
      <c r="B428" s="42">
        <v>4964</v>
      </c>
      <c r="C428" s="40">
        <v>5265</v>
      </c>
      <c r="D428" s="3"/>
      <c r="E428" s="91" t="s">
        <v>60</v>
      </c>
      <c r="F428" s="18"/>
      <c r="G428" s="12">
        <v>5362</v>
      </c>
      <c r="H428" s="84">
        <v>43</v>
      </c>
      <c r="I428" s="37" t="s">
        <v>148</v>
      </c>
      <c r="J428" s="11"/>
      <c r="K428" s="28"/>
      <c r="L428" s="44"/>
      <c r="M428" s="18"/>
      <c r="N428" s="18"/>
      <c r="O428" s="10"/>
      <c r="P428" s="18"/>
      <c r="Q428" s="11"/>
      <c r="R428" s="18"/>
      <c r="S428" s="18"/>
      <c r="T428" s="10"/>
      <c r="U428" s="18"/>
      <c r="V428" s="11"/>
      <c r="W428" s="28"/>
      <c r="Y428" t="s">
        <v>6</v>
      </c>
      <c r="AB428" s="36" t="s">
        <v>99</v>
      </c>
      <c r="AC428" s="10">
        <v>0</v>
      </c>
      <c r="AD428" s="11">
        <v>0</v>
      </c>
      <c r="AE428" s="18">
        <v>0</v>
      </c>
      <c r="AF428" s="18">
        <v>0</v>
      </c>
      <c r="AG428" s="18">
        <v>0</v>
      </c>
      <c r="AH428" s="52">
        <v>48254</v>
      </c>
      <c r="AI428" s="45">
        <v>39270</v>
      </c>
      <c r="AJ428" s="41">
        <v>0</v>
      </c>
      <c r="AK428" s="45">
        <v>4</v>
      </c>
      <c r="AL428" s="37" t="s">
        <v>153</v>
      </c>
      <c r="AM428" s="40"/>
      <c r="AP428" s="52" t="s">
        <v>72</v>
      </c>
      <c r="AQ428" s="52">
        <v>1</v>
      </c>
      <c r="AR428" s="85">
        <v>2</v>
      </c>
      <c r="AU428" s="42"/>
      <c r="AV428" s="28"/>
      <c r="AW428" s="28"/>
      <c r="AX428" s="28"/>
      <c r="AY428" s="40"/>
      <c r="AZ428" s="28"/>
      <c r="BA428" s="28"/>
      <c r="BB428" s="52" t="s">
        <v>85</v>
      </c>
      <c r="BC428" s="42">
        <v>0</v>
      </c>
      <c r="BD428" s="43">
        <v>3</v>
      </c>
      <c r="BE428" s="42"/>
      <c r="BF428" s="54"/>
      <c r="BG428" s="40"/>
      <c r="BH428" s="45"/>
      <c r="BI428" s="56"/>
      <c r="BJ428" s="43" t="s">
        <v>519</v>
      </c>
      <c r="BK428" s="28" t="s">
        <v>347</v>
      </c>
      <c r="BL428" s="40" t="s">
        <v>580</v>
      </c>
    </row>
    <row r="429" spans="1:65" ht="16.2" thickBot="1" x14ac:dyDescent="0.35">
      <c r="A429" s="10" t="s">
        <v>84</v>
      </c>
      <c r="B429" s="42">
        <f>SUM(B426:B428)</f>
        <v>31440</v>
      </c>
      <c r="C429" s="40">
        <f>SUM(C426:C428)</f>
        <v>31400</v>
      </c>
      <c r="D429" s="3"/>
      <c r="E429" s="91" t="s">
        <v>60</v>
      </c>
      <c r="F429" s="18"/>
      <c r="G429" s="12">
        <f>SUM(G426:G428)</f>
        <v>32839</v>
      </c>
      <c r="H429" s="42">
        <v>29</v>
      </c>
      <c r="I429" s="54" t="s">
        <v>152</v>
      </c>
      <c r="J429" s="40"/>
      <c r="K429" s="28"/>
      <c r="L429" s="12"/>
      <c r="M429" s="18"/>
      <c r="N429" s="18"/>
      <c r="O429" s="10"/>
      <c r="P429" s="18"/>
      <c r="Q429" s="11"/>
      <c r="R429" s="18"/>
      <c r="S429" s="18"/>
      <c r="T429" s="10"/>
      <c r="U429" s="18"/>
      <c r="V429" s="11"/>
      <c r="W429" s="28"/>
      <c r="AB429" s="32"/>
      <c r="AC429" s="6"/>
      <c r="AD429" s="7"/>
      <c r="AE429" s="8"/>
      <c r="AF429" s="8"/>
      <c r="AG429" s="8"/>
      <c r="AH429" s="6"/>
      <c r="AI429" s="7"/>
      <c r="AJ429" s="8"/>
      <c r="AK429" s="29" t="s">
        <v>157</v>
      </c>
      <c r="AL429" s="8"/>
      <c r="AM429" s="7"/>
      <c r="AP429" s="52" t="s">
        <v>84</v>
      </c>
      <c r="AQ429" s="47">
        <f>SUM(AQ422:AQ428)</f>
        <v>18</v>
      </c>
      <c r="AR429" s="49">
        <f>SUM(AR422:AR428)</f>
        <v>17</v>
      </c>
      <c r="AS429" s="28"/>
      <c r="AT429" s="28"/>
      <c r="AU429" s="47"/>
      <c r="AV429" s="48"/>
      <c r="AW429" s="48"/>
      <c r="AX429" s="48"/>
      <c r="AY429" s="49">
        <f>SUM(AV426)</f>
        <v>19</v>
      </c>
      <c r="AZ429" s="28"/>
      <c r="BA429" s="28"/>
      <c r="BB429" s="151" t="s">
        <v>93</v>
      </c>
      <c r="BC429" s="36">
        <v>0</v>
      </c>
      <c r="BD429" s="37">
        <v>2</v>
      </c>
      <c r="BE429" s="10"/>
      <c r="BF429" s="18"/>
      <c r="BG429" s="11"/>
      <c r="BH429" s="18"/>
      <c r="BI429" s="11"/>
      <c r="BJ429" s="158" t="s">
        <v>818</v>
      </c>
      <c r="BK429" s="178" t="s">
        <v>500</v>
      </c>
      <c r="BL429" s="114" t="s">
        <v>819</v>
      </c>
    </row>
    <row r="430" spans="1:65" ht="15" thickBot="1" x14ac:dyDescent="0.35">
      <c r="A430" s="13"/>
      <c r="B430" s="47"/>
      <c r="C430" s="49"/>
      <c r="D430" s="27"/>
      <c r="E430" s="27"/>
      <c r="F430" s="27"/>
      <c r="G430" s="17"/>
      <c r="H430" s="47"/>
      <c r="I430" s="27"/>
      <c r="J430" s="60">
        <f>SUM(H427:H429)</f>
        <v>181</v>
      </c>
      <c r="K430" s="28"/>
      <c r="L430" s="17"/>
      <c r="M430" s="27"/>
      <c r="N430" s="27"/>
      <c r="O430" s="13"/>
      <c r="P430" s="27"/>
      <c r="Q430" s="26"/>
      <c r="R430" s="27"/>
      <c r="S430" s="27"/>
      <c r="T430" s="13"/>
      <c r="U430" s="27"/>
      <c r="V430" s="26"/>
      <c r="W430" s="28"/>
      <c r="AB430" s="68" t="s">
        <v>99</v>
      </c>
      <c r="AC430" s="42">
        <v>0</v>
      </c>
      <c r="AD430" s="40">
        <v>0</v>
      </c>
      <c r="AE430">
        <v>0</v>
      </c>
      <c r="AF430">
        <v>0</v>
      </c>
      <c r="AG430">
        <v>0</v>
      </c>
      <c r="AH430" s="42">
        <v>235714</v>
      </c>
      <c r="AI430" s="40">
        <v>276766</v>
      </c>
      <c r="AJ430" s="43">
        <v>0</v>
      </c>
      <c r="AK430" s="42">
        <v>1</v>
      </c>
      <c r="AL430" s="54" t="s">
        <v>163</v>
      </c>
      <c r="AM430" s="40"/>
      <c r="AP430" s="32" t="s">
        <v>63</v>
      </c>
      <c r="AQ430" s="123">
        <v>6</v>
      </c>
      <c r="AR430" s="123">
        <v>7</v>
      </c>
      <c r="AS430" s="33"/>
      <c r="AT430" s="7"/>
      <c r="AU430" s="6"/>
      <c r="AV430" s="34" t="s">
        <v>140</v>
      </c>
      <c r="AW430" s="8"/>
      <c r="AX430" s="8"/>
      <c r="AY430" s="7"/>
      <c r="AZ430" s="28"/>
      <c r="BA430" s="28"/>
      <c r="BB430" s="42" t="s">
        <v>699</v>
      </c>
      <c r="BC430" s="42">
        <v>2</v>
      </c>
      <c r="BD430" s="54">
        <v>2</v>
      </c>
      <c r="BE430" s="10"/>
      <c r="BF430" s="18"/>
      <c r="BG430" s="11"/>
      <c r="BH430" s="18"/>
      <c r="BI430" s="11"/>
      <c r="BJ430" s="158" t="s">
        <v>820</v>
      </c>
      <c r="BK430" s="186" t="s">
        <v>627</v>
      </c>
      <c r="BL430" s="39" t="s">
        <v>371</v>
      </c>
    </row>
    <row r="431" spans="1:65" ht="15" thickBot="1" x14ac:dyDescent="0.35">
      <c r="A431" s="6" t="s">
        <v>105</v>
      </c>
      <c r="B431" s="6">
        <f>2583+70</f>
        <v>2653</v>
      </c>
      <c r="C431" s="7">
        <v>1333</v>
      </c>
      <c r="D431" s="8"/>
      <c r="E431" s="80">
        <f>82+1692</f>
        <v>1774</v>
      </c>
      <c r="F431" s="66"/>
      <c r="G431" s="8">
        <v>4661</v>
      </c>
      <c r="H431" s="6" t="s">
        <v>162</v>
      </c>
      <c r="I431" s="8"/>
      <c r="J431" s="7"/>
      <c r="L431" s="101" t="s">
        <v>84</v>
      </c>
      <c r="M431" s="102">
        <f>SUM(M425+M420+M415+M413+M409+M404)</f>
        <v>96892</v>
      </c>
      <c r="N431" s="102">
        <f>SUM(N425+N420+N415+N413+N409+N404)</f>
        <v>108502</v>
      </c>
      <c r="O431" s="103">
        <v>0</v>
      </c>
      <c r="P431" s="102">
        <v>0</v>
      </c>
      <c r="Q431" s="104">
        <v>0</v>
      </c>
      <c r="R431" s="102">
        <f>SUM(R425+R420+R415+R413+R404+R409)</f>
        <v>6429</v>
      </c>
      <c r="S431" s="102">
        <f>SUM(S425+S420+S413+S409+S404)</f>
        <v>304</v>
      </c>
      <c r="T431" s="105"/>
      <c r="U431" s="102"/>
      <c r="V431" s="106"/>
      <c r="AB431" s="44" t="s">
        <v>6</v>
      </c>
      <c r="AC431" s="10"/>
      <c r="AD431" s="11"/>
      <c r="AE431" s="18"/>
      <c r="AF431" s="18"/>
      <c r="AG431" s="18"/>
      <c r="AH431" s="10"/>
      <c r="AI431" s="11"/>
      <c r="AJ431" s="18"/>
      <c r="AK431" s="10">
        <v>13</v>
      </c>
      <c r="AL431" s="37" t="s">
        <v>153</v>
      </c>
      <c r="AM431" s="11"/>
      <c r="AP431" s="44" t="s">
        <v>78</v>
      </c>
      <c r="AQ431" s="37">
        <f>39+9+3+2</f>
        <v>53</v>
      </c>
      <c r="AR431" s="37">
        <f>5+8+15+6+3</f>
        <v>37</v>
      </c>
      <c r="AS431" s="42"/>
      <c r="AT431" s="11"/>
      <c r="AU431" s="10"/>
      <c r="AV431" s="37">
        <v>18</v>
      </c>
      <c r="AW431" s="37" t="s">
        <v>204</v>
      </c>
      <c r="AX431" s="18"/>
      <c r="AY431" s="11"/>
      <c r="AZ431" s="28"/>
      <c r="BA431" s="28"/>
      <c r="BB431" s="36" t="s">
        <v>169</v>
      </c>
      <c r="BC431" s="36">
        <f>4+5</f>
        <v>9</v>
      </c>
      <c r="BD431" s="37">
        <v>11</v>
      </c>
      <c r="BE431" s="10"/>
      <c r="BF431" s="18"/>
      <c r="BG431" s="11"/>
      <c r="BH431" s="18"/>
      <c r="BI431" s="11"/>
      <c r="BJ431" s="158" t="s">
        <v>821</v>
      </c>
      <c r="BK431" s="37" t="s">
        <v>482</v>
      </c>
      <c r="BL431" s="39" t="s">
        <v>822</v>
      </c>
    </row>
    <row r="432" spans="1:65" ht="15" thickBot="1" x14ac:dyDescent="0.35">
      <c r="A432" s="36" t="s">
        <v>99</v>
      </c>
      <c r="B432" s="10">
        <v>2968</v>
      </c>
      <c r="C432" s="11">
        <v>2607</v>
      </c>
      <c r="D432" s="18"/>
      <c r="E432" s="18">
        <v>1437</v>
      </c>
      <c r="F432" s="85"/>
      <c r="G432" s="18">
        <v>4661</v>
      </c>
      <c r="H432" s="42"/>
      <c r="I432" s="54"/>
      <c r="J432" s="11"/>
      <c r="AB432" s="46" t="s">
        <v>6</v>
      </c>
      <c r="AC432" s="47"/>
      <c r="AD432" s="49"/>
      <c r="AE432" s="48"/>
      <c r="AF432" s="48"/>
      <c r="AG432" s="48"/>
      <c r="AH432" s="47"/>
      <c r="AI432" s="49"/>
      <c r="AJ432" s="48"/>
      <c r="AK432" s="47"/>
      <c r="AL432" s="48"/>
      <c r="AM432" s="49"/>
      <c r="AP432" s="125" t="s">
        <v>209</v>
      </c>
      <c r="AQ432" s="54">
        <v>0</v>
      </c>
      <c r="AR432" s="54">
        <v>0</v>
      </c>
      <c r="AS432" s="42"/>
      <c r="AT432" s="40"/>
      <c r="AU432" s="42"/>
      <c r="AV432" s="28">
        <v>0</v>
      </c>
      <c r="AW432" s="28" t="s">
        <v>210</v>
      </c>
      <c r="AX432" s="28" t="s">
        <v>6</v>
      </c>
      <c r="AY432" s="40"/>
      <c r="AZ432" s="28"/>
      <c r="BA432" s="28"/>
      <c r="BB432" s="36" t="s">
        <v>99</v>
      </c>
      <c r="BC432" s="36">
        <v>4</v>
      </c>
      <c r="BD432" s="37">
        <f>2+12</f>
        <v>14</v>
      </c>
      <c r="BE432" s="10"/>
      <c r="BF432" s="18"/>
      <c r="BG432" s="11"/>
      <c r="BH432" s="18"/>
      <c r="BI432" s="11"/>
      <c r="BJ432" s="179" t="s">
        <v>332</v>
      </c>
      <c r="BK432" s="37" t="s">
        <v>823</v>
      </c>
      <c r="BL432" s="39" t="s">
        <v>603</v>
      </c>
    </row>
    <row r="433" spans="1:64" x14ac:dyDescent="0.3">
      <c r="A433" s="10"/>
      <c r="B433" s="10"/>
      <c r="C433" s="39"/>
      <c r="D433" s="18"/>
      <c r="E433" s="18"/>
      <c r="F433" s="85"/>
      <c r="G433" s="18"/>
      <c r="H433" s="42">
        <v>59</v>
      </c>
      <c r="I433" s="37" t="s">
        <v>101</v>
      </c>
      <c r="J433" s="11"/>
      <c r="M433" s="115"/>
      <c r="AB433" s="6"/>
      <c r="AC433" s="6"/>
      <c r="AD433" s="7"/>
      <c r="AE433" s="8"/>
      <c r="AF433" s="8"/>
      <c r="AG433" s="8"/>
      <c r="AH433" s="6"/>
      <c r="AI433" s="7"/>
      <c r="AJ433" s="8"/>
      <c r="AK433" s="29"/>
      <c r="AL433" s="8"/>
      <c r="AM433" s="7"/>
      <c r="AN433" s="45"/>
      <c r="AP433" s="44" t="s">
        <v>168</v>
      </c>
      <c r="AQ433" s="54">
        <v>2</v>
      </c>
      <c r="AR433" s="54">
        <v>2</v>
      </c>
      <c r="AS433" s="42"/>
      <c r="AT433" s="11"/>
      <c r="AU433" s="10"/>
      <c r="AV433" s="37">
        <f>13+2+8</f>
        <v>23</v>
      </c>
      <c r="AW433" s="37" t="s">
        <v>213</v>
      </c>
      <c r="AX433" s="18" t="s">
        <v>6</v>
      </c>
      <c r="AY433" s="11"/>
      <c r="AZ433" s="28"/>
      <c r="BA433" s="28"/>
      <c r="BB433" s="150" t="s">
        <v>200</v>
      </c>
      <c r="BC433" s="36">
        <v>6</v>
      </c>
      <c r="BD433" s="37">
        <v>6</v>
      </c>
      <c r="BE433" s="10"/>
      <c r="BF433" s="37"/>
      <c r="BG433" s="11"/>
      <c r="BH433" s="18"/>
      <c r="BI433" s="11"/>
      <c r="BJ433" s="158" t="s">
        <v>269</v>
      </c>
      <c r="BK433" s="54" t="s">
        <v>677</v>
      </c>
      <c r="BL433" s="39" t="s">
        <v>824</v>
      </c>
    </row>
    <row r="434" spans="1:64" ht="15" thickBot="1" x14ac:dyDescent="0.35">
      <c r="A434" s="13" t="s">
        <v>84</v>
      </c>
      <c r="B434" s="13">
        <f>SUM(B431:B433)</f>
        <v>5621</v>
      </c>
      <c r="C434" s="26">
        <f>SUM(C431:C433)</f>
        <v>3940</v>
      </c>
      <c r="D434" s="27"/>
      <c r="E434" s="27">
        <f>SUM(E431:E433)</f>
        <v>3211</v>
      </c>
      <c r="F434" s="26"/>
      <c r="G434" s="27">
        <f>SUM(G431:G433)</f>
        <v>9322</v>
      </c>
      <c r="H434" s="13"/>
      <c r="I434" s="81"/>
      <c r="J434" s="26">
        <f>SUM(H432:H433)</f>
        <v>59</v>
      </c>
      <c r="K434" s="43"/>
      <c r="M434" s="115"/>
      <c r="N434" s="115"/>
      <c r="O434" s="115"/>
      <c r="P434" s="115"/>
      <c r="Q434" s="115"/>
      <c r="R434" s="115"/>
      <c r="S434" s="115"/>
      <c r="AB434" s="36"/>
      <c r="AC434" s="10"/>
      <c r="AD434" s="11"/>
      <c r="AE434" s="18"/>
      <c r="AF434" s="18"/>
      <c r="AG434" s="18"/>
      <c r="AH434" s="36"/>
      <c r="AI434" s="11"/>
      <c r="AJ434" s="18"/>
      <c r="AK434" s="36"/>
      <c r="AL434" s="37"/>
      <c r="AM434" s="11"/>
      <c r="AN434" s="45"/>
      <c r="AP434" s="125" t="s">
        <v>81</v>
      </c>
      <c r="AQ434" s="54">
        <f>5+3</f>
        <v>8</v>
      </c>
      <c r="AR434" s="54">
        <v>9</v>
      </c>
      <c r="AS434" s="42"/>
      <c r="AT434" s="40"/>
      <c r="AU434" s="42"/>
      <c r="AV434" s="54">
        <v>15</v>
      </c>
      <c r="AW434" s="128" t="s">
        <v>222</v>
      </c>
      <c r="AX434" s="28"/>
      <c r="AY434" s="40" t="s">
        <v>6</v>
      </c>
      <c r="AZ434" s="37"/>
      <c r="BA434" s="37"/>
      <c r="BB434" s="36" t="s">
        <v>358</v>
      </c>
      <c r="BC434" s="36">
        <v>1</v>
      </c>
      <c r="BD434" s="37">
        <v>7</v>
      </c>
      <c r="BE434" s="10"/>
      <c r="BF434" s="18"/>
      <c r="BG434" s="11"/>
      <c r="BH434" s="18"/>
      <c r="BI434" s="11"/>
      <c r="BJ434" s="37" t="s">
        <v>825</v>
      </c>
      <c r="BK434" s="37" t="s">
        <v>609</v>
      </c>
      <c r="BL434" s="180" t="s">
        <v>373</v>
      </c>
    </row>
    <row r="435" spans="1:64" ht="15" thickBot="1" x14ac:dyDescent="0.35">
      <c r="A435" s="42" t="s">
        <v>181</v>
      </c>
      <c r="B435" s="42">
        <v>4594</v>
      </c>
      <c r="C435" s="40">
        <v>4607</v>
      </c>
      <c r="D435" s="28"/>
      <c r="E435" s="107" t="s">
        <v>60</v>
      </c>
      <c r="F435" s="43"/>
      <c r="G435" s="41">
        <v>5011</v>
      </c>
      <c r="H435" s="18" t="s">
        <v>182</v>
      </c>
      <c r="I435" s="28"/>
      <c r="J435" s="11"/>
      <c r="K435" s="28"/>
      <c r="M435" s="166"/>
      <c r="AA435" s="28"/>
      <c r="AB435" s="103" t="s">
        <v>84</v>
      </c>
      <c r="AC435" s="103">
        <f>SUM(AC434+AC430+AC428+AC425+AC418+AC420+AC416+AC412+AC409+AC406+AC407)</f>
        <v>2539</v>
      </c>
      <c r="AD435" s="104">
        <f>SUM(AD434+AD430+AD428+AD425+AD418+AD416+AD412+AD409+AD407+AD406)</f>
        <v>2558</v>
      </c>
      <c r="AE435" s="103">
        <v>0</v>
      </c>
      <c r="AF435" s="102">
        <v>0</v>
      </c>
      <c r="AG435" s="102">
        <v>0</v>
      </c>
      <c r="AH435" s="109">
        <f>SUM(AH434+AH430+AH428+AH425+AH422+AH420+AH416+AH412+AH409+AH407+AH406)</f>
        <v>283968</v>
      </c>
      <c r="AI435" s="110">
        <f>SUM(AI434+AI430+AI428+AI425+AI420+AI416+AI411+AI409+AI407+AI406)</f>
        <v>316036</v>
      </c>
      <c r="AJ435" s="110">
        <v>0</v>
      </c>
      <c r="AK435" s="111" t="s">
        <v>743</v>
      </c>
      <c r="AL435" s="111"/>
      <c r="AM435" s="104">
        <f>SUM(AK406:AK434)</f>
        <v>55</v>
      </c>
      <c r="AN435" s="45"/>
      <c r="AP435" s="125" t="s">
        <v>72</v>
      </c>
      <c r="AQ435" s="54">
        <v>2</v>
      </c>
      <c r="AR435" s="45">
        <v>2</v>
      </c>
      <c r="AS435" s="42"/>
      <c r="AT435" s="40"/>
      <c r="AU435" s="42"/>
      <c r="AV435" s="54">
        <v>2</v>
      </c>
      <c r="AW435" s="54" t="s">
        <v>216</v>
      </c>
      <c r="AX435" s="45"/>
      <c r="AY435" s="40"/>
      <c r="AZ435" s="28"/>
      <c r="BA435" s="28"/>
      <c r="BB435" s="150" t="s">
        <v>211</v>
      </c>
      <c r="BC435" s="36">
        <v>70</v>
      </c>
      <c r="BD435" s="37">
        <v>25</v>
      </c>
      <c r="BE435" s="10"/>
      <c r="BF435" s="18"/>
      <c r="BG435" s="11"/>
      <c r="BH435" s="18"/>
      <c r="BI435" s="11"/>
      <c r="BJ435" s="159"/>
      <c r="BK435" s="37"/>
      <c r="BL435" s="39"/>
    </row>
    <row r="436" spans="1:64" x14ac:dyDescent="0.3">
      <c r="A436" s="42" t="s">
        <v>120</v>
      </c>
      <c r="B436" s="42">
        <v>0</v>
      </c>
      <c r="C436" s="40">
        <v>0</v>
      </c>
      <c r="D436" s="28"/>
      <c r="E436" s="107" t="s">
        <v>60</v>
      </c>
      <c r="F436" s="43"/>
      <c r="G436" s="68"/>
      <c r="H436" s="43">
        <v>1</v>
      </c>
      <c r="I436" s="28" t="s">
        <v>284</v>
      </c>
      <c r="J436" s="11"/>
      <c r="K436" s="28"/>
      <c r="L436" s="28"/>
      <c r="N436" s="113"/>
      <c r="AA436" s="28"/>
      <c r="AB436" s="52" t="s">
        <v>193</v>
      </c>
      <c r="AC436" s="28"/>
      <c r="AD436" s="28"/>
      <c r="AE436" s="28"/>
      <c r="AF436" s="28"/>
      <c r="AG436" s="28"/>
      <c r="AH436" s="28"/>
      <c r="AI436" s="28"/>
      <c r="AM436" t="s">
        <v>6</v>
      </c>
      <c r="AN436" s="45"/>
      <c r="AP436" s="125" t="s">
        <v>115</v>
      </c>
      <c r="AQ436" s="54">
        <f>3+12+1</f>
        <v>16</v>
      </c>
      <c r="AR436" s="45">
        <f>9+13</f>
        <v>22</v>
      </c>
      <c r="AS436" s="42"/>
      <c r="AT436" s="40"/>
      <c r="AU436" s="42"/>
      <c r="AV436" s="54">
        <v>0</v>
      </c>
      <c r="AW436" s="54" t="s">
        <v>217</v>
      </c>
      <c r="AX436" s="28"/>
      <c r="AY436" s="40"/>
      <c r="AZ436" s="28"/>
      <c r="BB436" s="150" t="s">
        <v>64</v>
      </c>
      <c r="BC436" s="36">
        <v>5</v>
      </c>
      <c r="BD436" s="37">
        <v>3</v>
      </c>
      <c r="BE436" s="10"/>
      <c r="BF436" s="18"/>
      <c r="BG436" s="11"/>
      <c r="BH436" s="18"/>
      <c r="BI436" s="11"/>
      <c r="BJ436" s="128"/>
      <c r="BK436" s="37"/>
      <c r="BL436" s="39"/>
    </row>
    <row r="437" spans="1:64" x14ac:dyDescent="0.3">
      <c r="A437" s="42" t="s">
        <v>84</v>
      </c>
      <c r="B437" s="42">
        <v>4594</v>
      </c>
      <c r="C437" s="40">
        <v>4607</v>
      </c>
      <c r="D437" s="28"/>
      <c r="E437" s="107" t="s">
        <v>60</v>
      </c>
      <c r="F437" s="43"/>
      <c r="G437" s="41">
        <f>SUM(G435:G436)</f>
        <v>5011</v>
      </c>
      <c r="H437" s="28">
        <v>30</v>
      </c>
      <c r="I437" s="43" t="s">
        <v>101</v>
      </c>
      <c r="J437" s="40"/>
      <c r="L437" s="108"/>
      <c r="M437" s="115"/>
      <c r="O437" s="116"/>
      <c r="AA437" s="28"/>
      <c r="AN437" s="45"/>
      <c r="AP437" s="125" t="s">
        <v>56</v>
      </c>
      <c r="AQ437" s="54">
        <f>14+9+13+1</f>
        <v>37</v>
      </c>
      <c r="AR437" s="45">
        <f>40+11+1+3+5</f>
        <v>60</v>
      </c>
      <c r="AS437" s="42"/>
      <c r="AT437" s="40"/>
      <c r="AU437" s="42"/>
      <c r="AV437" s="54">
        <v>0</v>
      </c>
      <c r="AW437" s="54" t="s">
        <v>352</v>
      </c>
      <c r="AX437" s="28"/>
      <c r="AY437" s="40"/>
      <c r="AZ437" s="28"/>
      <c r="BB437" s="36" t="s">
        <v>184</v>
      </c>
      <c r="BC437" s="36">
        <v>0</v>
      </c>
      <c r="BD437" s="37">
        <v>0</v>
      </c>
      <c r="BE437" s="10"/>
      <c r="BF437" s="18"/>
      <c r="BG437" s="11"/>
      <c r="BH437" s="18"/>
      <c r="BI437" s="11"/>
      <c r="BJ437" s="128"/>
      <c r="BK437" s="37"/>
      <c r="BL437" s="39"/>
    </row>
    <row r="438" spans="1:64" ht="15" thickBot="1" x14ac:dyDescent="0.35">
      <c r="A438" s="13"/>
      <c r="B438" s="10"/>
      <c r="C438" s="11"/>
      <c r="D438" s="27"/>
      <c r="E438" s="27"/>
      <c r="F438" s="27"/>
      <c r="G438" s="17"/>
      <c r="H438" s="48"/>
      <c r="I438" s="48" t="s">
        <v>727</v>
      </c>
      <c r="J438" s="49">
        <f>SUM(H436:H438)</f>
        <v>31</v>
      </c>
      <c r="O438" s="122"/>
      <c r="AN438" s="45"/>
      <c r="AP438" s="125" t="s">
        <v>138</v>
      </c>
      <c r="AQ438" s="54">
        <v>0</v>
      </c>
      <c r="AR438" s="45">
        <v>0</v>
      </c>
      <c r="AS438" s="42"/>
      <c r="AT438" s="40"/>
      <c r="AU438" s="42"/>
      <c r="AV438" s="54">
        <v>8</v>
      </c>
      <c r="AW438" s="54" t="s">
        <v>221</v>
      </c>
      <c r="AX438" s="28"/>
      <c r="AY438" s="40"/>
      <c r="AZ438" s="28"/>
      <c r="BB438" s="36" t="s">
        <v>805</v>
      </c>
      <c r="BC438" s="10">
        <v>0</v>
      </c>
      <c r="BD438" s="37">
        <v>0</v>
      </c>
      <c r="BE438" s="10"/>
      <c r="BF438" s="18"/>
      <c r="BG438" s="39"/>
      <c r="BH438" s="18"/>
      <c r="BI438" s="11"/>
      <c r="BJ438" s="159"/>
      <c r="BK438" s="37"/>
      <c r="BL438" s="39"/>
    </row>
    <row r="439" spans="1:64" ht="16.2" thickBot="1" x14ac:dyDescent="0.35">
      <c r="A439" s="117" t="s">
        <v>84</v>
      </c>
      <c r="B439" s="118">
        <f>SUM(B437+B434+B429+B425+B422+B418+B415+B411+B407+B404)</f>
        <v>70889</v>
      </c>
      <c r="C439" s="120">
        <f>SUM(C437+C434+C429+C425+C422+C418+C415+C411+C407+C404)</f>
        <v>66955</v>
      </c>
      <c r="D439" s="119"/>
      <c r="E439" s="119">
        <f>SUM(E434+E418)</f>
        <v>3939</v>
      </c>
      <c r="F439" s="120"/>
      <c r="G439" s="121">
        <f>SUM(G437+G434+G429+G425+G422+G415+G411+G407+G404+G418)</f>
        <v>80322</v>
      </c>
      <c r="H439" s="13" t="s">
        <v>199</v>
      </c>
      <c r="I439" s="81"/>
      <c r="J439" s="26">
        <f>SUM(J405:J438)</f>
        <v>467</v>
      </c>
      <c r="AN439" s="45"/>
      <c r="AP439" s="125" t="s">
        <v>67</v>
      </c>
      <c r="AQ439" s="54">
        <f>3+10+1</f>
        <v>14</v>
      </c>
      <c r="AR439" s="45">
        <f>12+8+2+2</f>
        <v>24</v>
      </c>
      <c r="AS439" s="42"/>
      <c r="AT439" s="40"/>
      <c r="AU439" s="42"/>
      <c r="AV439" s="54">
        <v>0</v>
      </c>
      <c r="AW439" s="54" t="s">
        <v>246</v>
      </c>
      <c r="AX439" s="28"/>
      <c r="AY439" s="40"/>
      <c r="AZ439" s="28"/>
      <c r="BB439" s="150" t="s">
        <v>826</v>
      </c>
      <c r="BC439" s="10">
        <v>6</v>
      </c>
      <c r="BD439" s="37">
        <v>6</v>
      </c>
      <c r="BE439" s="10"/>
      <c r="BF439" s="18"/>
      <c r="BG439" s="11"/>
      <c r="BH439" s="18"/>
      <c r="BI439" s="11"/>
      <c r="BJ439" s="179"/>
      <c r="BK439" s="37"/>
      <c r="BL439" s="39"/>
    </row>
    <row r="440" spans="1:64" x14ac:dyDescent="0.3">
      <c r="AN440" s="45"/>
      <c r="AP440" s="125" t="s">
        <v>122</v>
      </c>
      <c r="AQ440" s="54">
        <v>3</v>
      </c>
      <c r="AR440" s="45">
        <f>5+15</f>
        <v>20</v>
      </c>
      <c r="AS440" s="42"/>
      <c r="AT440" s="40"/>
      <c r="AU440" s="42"/>
      <c r="AV440" s="54">
        <v>1</v>
      </c>
      <c r="AW440" s="54" t="s">
        <v>618</v>
      </c>
      <c r="AX440" s="28"/>
      <c r="AY440" s="40"/>
      <c r="AZ440" s="28"/>
      <c r="BB440" s="92" t="s">
        <v>250</v>
      </c>
      <c r="BC440" s="84">
        <v>0</v>
      </c>
      <c r="BD440" s="54">
        <v>1</v>
      </c>
      <c r="BE440" s="84"/>
      <c r="BF440" s="45"/>
      <c r="BG440" s="85"/>
      <c r="BH440" s="18"/>
      <c r="BI440" s="11"/>
      <c r="BJ440" s="179"/>
      <c r="BK440" s="54"/>
      <c r="BL440" s="86"/>
    </row>
    <row r="441" spans="1:64" x14ac:dyDescent="0.3">
      <c r="B441" s="126"/>
      <c r="C441" s="126"/>
      <c r="M441" t="s">
        <v>6</v>
      </c>
      <c r="AN441" s="45"/>
      <c r="AP441" s="125" t="s">
        <v>227</v>
      </c>
      <c r="AQ441" s="54">
        <v>0</v>
      </c>
      <c r="AR441" s="45">
        <v>0</v>
      </c>
      <c r="AS441" s="42"/>
      <c r="AT441" s="40"/>
      <c r="AU441" s="42"/>
      <c r="AV441" s="54">
        <v>0</v>
      </c>
      <c r="AW441" s="54" t="s">
        <v>773</v>
      </c>
      <c r="AX441" s="28"/>
      <c r="AY441" s="40"/>
      <c r="BB441" s="67" t="s">
        <v>564</v>
      </c>
      <c r="BC441" s="84">
        <v>7</v>
      </c>
      <c r="BD441" s="54">
        <v>7</v>
      </c>
      <c r="BE441" s="84"/>
      <c r="BF441" s="45"/>
      <c r="BG441" s="85"/>
      <c r="BH441" s="45"/>
      <c r="BI441" s="85"/>
      <c r="BJ441" s="179"/>
      <c r="BK441" s="54"/>
      <c r="BL441" s="180"/>
    </row>
    <row r="442" spans="1:64" x14ac:dyDescent="0.3">
      <c r="AN442" s="45"/>
      <c r="AP442" s="41" t="s">
        <v>230</v>
      </c>
      <c r="AQ442" s="54">
        <f>7+7</f>
        <v>14</v>
      </c>
      <c r="AR442" s="45">
        <f>7+7</f>
        <v>14</v>
      </c>
      <c r="AS442" s="42"/>
      <c r="AT442" s="40"/>
      <c r="AU442" s="42"/>
      <c r="AV442" s="54">
        <v>12</v>
      </c>
      <c r="AW442" s="54" t="s">
        <v>655</v>
      </c>
      <c r="AX442" s="28"/>
      <c r="AY442" s="40"/>
      <c r="BB442" s="67" t="s">
        <v>220</v>
      </c>
      <c r="BC442" s="84">
        <v>0</v>
      </c>
      <c r="BD442" s="54">
        <v>11</v>
      </c>
      <c r="BE442" s="84"/>
      <c r="BF442" s="45"/>
      <c r="BG442" s="85"/>
      <c r="BH442" s="45"/>
      <c r="BI442" s="85"/>
      <c r="BJ442" s="179"/>
      <c r="BK442" s="54"/>
      <c r="BL442" s="180"/>
    </row>
    <row r="443" spans="1:64" x14ac:dyDescent="0.3">
      <c r="AP443" s="68" t="s">
        <v>125</v>
      </c>
      <c r="AQ443" s="54">
        <v>0</v>
      </c>
      <c r="AR443" s="45">
        <v>0</v>
      </c>
      <c r="AS443" s="42"/>
      <c r="AT443" s="40"/>
      <c r="AU443" s="42"/>
      <c r="AV443" s="54">
        <v>0</v>
      </c>
      <c r="AW443" s="54" t="s">
        <v>774</v>
      </c>
      <c r="AX443" s="28"/>
      <c r="AY443" s="40"/>
      <c r="BB443" s="127" t="s">
        <v>549</v>
      </c>
      <c r="BC443" s="84">
        <v>0</v>
      </c>
      <c r="BD443" s="54">
        <v>1</v>
      </c>
      <c r="BE443" s="42"/>
      <c r="BF443" s="45"/>
      <c r="BG443" s="40"/>
      <c r="BH443" s="45"/>
      <c r="BI443" s="85"/>
      <c r="BJ443" s="158"/>
      <c r="BK443" s="54"/>
      <c r="BL443" s="86"/>
    </row>
    <row r="444" spans="1:64" x14ac:dyDescent="0.3">
      <c r="AP444" s="68" t="s">
        <v>132</v>
      </c>
      <c r="AQ444" s="54">
        <v>1</v>
      </c>
      <c r="AR444" s="45">
        <v>0</v>
      </c>
      <c r="AS444" s="42"/>
      <c r="AT444" s="40"/>
      <c r="AU444" s="42"/>
      <c r="AV444" s="54">
        <v>2</v>
      </c>
      <c r="AW444" s="54" t="s">
        <v>472</v>
      </c>
      <c r="AX444" s="28"/>
      <c r="AY444" s="40"/>
      <c r="BB444" s="127" t="s">
        <v>218</v>
      </c>
      <c r="BC444" s="84">
        <v>19</v>
      </c>
      <c r="BD444" s="54">
        <f>38+4</f>
        <v>42</v>
      </c>
      <c r="BE444" s="42"/>
      <c r="BF444" s="45">
        <v>0</v>
      </c>
      <c r="BG444" s="40"/>
      <c r="BH444" s="45"/>
      <c r="BI444" s="85"/>
      <c r="BJ444" s="179"/>
      <c r="BK444" s="54"/>
      <c r="BL444" s="180"/>
    </row>
    <row r="445" spans="1:64" x14ac:dyDescent="0.3">
      <c r="AM445" t="s">
        <v>6</v>
      </c>
      <c r="AP445" s="41" t="s">
        <v>6</v>
      </c>
      <c r="AS445" s="42"/>
      <c r="AT445" s="40"/>
      <c r="AU445" s="42"/>
      <c r="AV445" s="54">
        <v>2</v>
      </c>
      <c r="AW445" s="54" t="s">
        <v>215</v>
      </c>
      <c r="AX445" s="28"/>
      <c r="AY445" s="40"/>
      <c r="BB445" s="181" t="s">
        <v>669</v>
      </c>
      <c r="BC445" s="10">
        <v>6</v>
      </c>
      <c r="BD445" s="18">
        <v>0</v>
      </c>
      <c r="BE445" s="10"/>
      <c r="BF445" s="18"/>
      <c r="BG445" s="11"/>
      <c r="BH445" s="18"/>
      <c r="BI445" s="11"/>
      <c r="BJ445" s="179"/>
      <c r="BK445" s="37"/>
      <c r="BL445" s="182"/>
    </row>
    <row r="446" spans="1:64" ht="15" thickBot="1" x14ac:dyDescent="0.35">
      <c r="H446" t="s">
        <v>6</v>
      </c>
      <c r="AP446" s="46" t="s">
        <v>84</v>
      </c>
      <c r="AQ446" s="48">
        <f>SUM(AQ430:AQ445)</f>
        <v>156</v>
      </c>
      <c r="AR446" s="48">
        <f>SUM(AR430:AR445)</f>
        <v>197</v>
      </c>
      <c r="AS446" s="47"/>
      <c r="AT446" s="49"/>
      <c r="AU446" s="47"/>
      <c r="AV446" s="48">
        <v>0</v>
      </c>
      <c r="AW446" s="48" t="s">
        <v>244</v>
      </c>
      <c r="AX446" s="48"/>
      <c r="AY446" s="49">
        <f>SUM(AV431:AV446)</f>
        <v>83</v>
      </c>
      <c r="BB446" s="13" t="s">
        <v>84</v>
      </c>
      <c r="BC446" s="13">
        <f>SUM(BC421:BC445)</f>
        <v>217</v>
      </c>
      <c r="BD446" s="27">
        <f>SUM(BD421:BD445)</f>
        <v>197</v>
      </c>
      <c r="BE446" s="13">
        <v>0</v>
      </c>
      <c r="BF446" s="27">
        <f>SUM(BF421:BF445)</f>
        <v>0</v>
      </c>
      <c r="BG446" s="26">
        <f>SUM(BG421:BG445)</f>
        <v>0</v>
      </c>
      <c r="BH446" s="58">
        <v>0</v>
      </c>
      <c r="BI446" s="26">
        <v>0</v>
      </c>
      <c r="BJ446" s="81"/>
      <c r="BK446" s="27"/>
      <c r="BL446" s="26">
        <f>11+8+4+3+7+8+5+6</f>
        <v>52</v>
      </c>
    </row>
    <row r="447" spans="1:64" ht="15" thickBot="1" x14ac:dyDescent="0.35">
      <c r="H447" t="s">
        <v>6</v>
      </c>
      <c r="AP447" s="169" t="s">
        <v>84</v>
      </c>
      <c r="AQ447" s="170">
        <f>SUM(AQ446+AQ429+AQ419+AQ404)</f>
        <v>1704</v>
      </c>
      <c r="AR447" s="170">
        <f>SUM(AR446+AR429+AR419+AR404)</f>
        <v>1673</v>
      </c>
      <c r="AS447" s="171"/>
      <c r="AT447" s="172"/>
      <c r="AU447" s="170"/>
      <c r="AV447" s="170"/>
      <c r="AW447" s="170"/>
      <c r="AX447" s="170"/>
      <c r="AY447" s="172">
        <f>SUM(AY403:AY446)</f>
        <v>272</v>
      </c>
      <c r="BB447" s="13" t="s">
        <v>223</v>
      </c>
      <c r="BC447" s="13">
        <f>SUM(BC446+BC420+BC417+BC413+BC410+BC407+BC405)</f>
        <v>2073</v>
      </c>
      <c r="BD447" s="26">
        <f>SUM(BD446+BD420+BD417+BD413+BD410+BD407+BD405)</f>
        <v>2031</v>
      </c>
      <c r="BE447" s="26">
        <f>SUM(BE446+BE420+BE417+BE413+BE410+BE407+BE405)</f>
        <v>0</v>
      </c>
      <c r="BF447" s="26">
        <f>SUM(BF446+BF420+BF417+BF413+BF410+BF407+BF405)</f>
        <v>0</v>
      </c>
      <c r="BG447" s="26">
        <f>SUM(BG446+BG420+BG417+BG413+BG410+BG407+BG405)</f>
        <v>0</v>
      </c>
      <c r="BH447" s="160">
        <f>SUM(BH446+BH420+BH417+BH413+BH409+BH407+BH405)</f>
        <v>10013</v>
      </c>
      <c r="BI447" s="26">
        <f>SUM(BI446+BI420+BI417+BI413+BI409+BI407+BI405)</f>
        <v>2727</v>
      </c>
      <c r="BJ447" s="81"/>
      <c r="BK447" s="27" t="s">
        <v>247</v>
      </c>
      <c r="BL447" s="26">
        <f>SUM(BL405:BL446)</f>
        <v>222</v>
      </c>
    </row>
    <row r="448" spans="1:64" x14ac:dyDescent="0.3">
      <c r="K448" s="28"/>
      <c r="BB448" s="131" t="s">
        <v>225</v>
      </c>
      <c r="BD448">
        <f>SUM(BL446)</f>
        <v>52</v>
      </c>
      <c r="BF448" t="s">
        <v>184</v>
      </c>
      <c r="BG448" s="132"/>
    </row>
    <row r="449" spans="1:65" x14ac:dyDescent="0.3">
      <c r="K449" s="28"/>
      <c r="BB449" t="s">
        <v>229</v>
      </c>
      <c r="BD449">
        <v>20</v>
      </c>
    </row>
    <row r="450" spans="1:65" x14ac:dyDescent="0.3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BB450" t="s">
        <v>232</v>
      </c>
      <c r="BD450" t="s">
        <v>233</v>
      </c>
      <c r="BF450">
        <f>SUM(AQ447)</f>
        <v>1704</v>
      </c>
      <c r="BH450" t="s">
        <v>234</v>
      </c>
      <c r="BJ450" t="s">
        <v>233</v>
      </c>
      <c r="BL450">
        <f>SUM(BC447)</f>
        <v>2073</v>
      </c>
    </row>
    <row r="451" spans="1:65" ht="18" x14ac:dyDescent="0.35">
      <c r="B451" s="133"/>
      <c r="BA451" t="s">
        <v>6</v>
      </c>
      <c r="BD451" t="s">
        <v>236</v>
      </c>
      <c r="BF451">
        <f>SUM(AR447)</f>
        <v>1673</v>
      </c>
      <c r="BJ451" t="s">
        <v>236</v>
      </c>
      <c r="BL451">
        <f>SUM(BD447)</f>
        <v>2031</v>
      </c>
    </row>
    <row r="452" spans="1:65" x14ac:dyDescent="0.3">
      <c r="BB452" s="134" t="s">
        <v>238</v>
      </c>
      <c r="BC452" s="135" t="s">
        <v>239</v>
      </c>
      <c r="BD452" s="136"/>
      <c r="BE452" s="134" t="s">
        <v>240</v>
      </c>
      <c r="BF452" s="135" t="s">
        <v>241</v>
      </c>
      <c r="BG452" s="136"/>
      <c r="BH452" s="134"/>
      <c r="BI452" s="135" t="s">
        <v>242</v>
      </c>
      <c r="BJ452" s="137" t="s">
        <v>243</v>
      </c>
      <c r="BK452" s="135"/>
      <c r="BL452" s="135"/>
      <c r="BM452" s="136"/>
    </row>
    <row r="453" spans="1:65" x14ac:dyDescent="0.3">
      <c r="BB453" s="138" t="s">
        <v>233</v>
      </c>
      <c r="BC453" s="28"/>
      <c r="BD453" s="139">
        <f>SUM(B439)</f>
        <v>70889</v>
      </c>
      <c r="BE453" s="138" t="s">
        <v>233</v>
      </c>
      <c r="BF453" s="28"/>
      <c r="BG453" s="139">
        <f>SUM(AC435)</f>
        <v>2539</v>
      </c>
      <c r="BH453" s="138" t="s">
        <v>233</v>
      </c>
      <c r="BI453" s="28"/>
      <c r="BJ453" s="140">
        <f>SUM(BL450+BG453)</f>
        <v>4612</v>
      </c>
      <c r="BK453" s="28" t="s">
        <v>245</v>
      </c>
      <c r="BL453" s="140">
        <f>SUM(BJ453+BD453)</f>
        <v>75501</v>
      </c>
      <c r="BM453" s="139"/>
    </row>
    <row r="454" spans="1:65" ht="18" x14ac:dyDescent="0.35">
      <c r="B454" s="133"/>
      <c r="BB454" s="142" t="s">
        <v>236</v>
      </c>
      <c r="BC454" s="143"/>
      <c r="BD454" s="144">
        <f>SUM(C439)</f>
        <v>66955</v>
      </c>
      <c r="BE454" s="142" t="s">
        <v>236</v>
      </c>
      <c r="BF454" s="143"/>
      <c r="BG454" s="144">
        <f>SUM(AD435)</f>
        <v>2558</v>
      </c>
      <c r="BH454" s="142" t="s">
        <v>236</v>
      </c>
      <c r="BI454" s="143"/>
      <c r="BJ454" s="145">
        <f>SUM(BL451+BG454)</f>
        <v>4589</v>
      </c>
      <c r="BK454" s="143"/>
      <c r="BL454" s="145">
        <f>SUM(BJ454+BD454)</f>
        <v>71544</v>
      </c>
      <c r="BM454" s="144"/>
    </row>
    <row r="461" spans="1:65" ht="15.6" x14ac:dyDescent="0.3">
      <c r="D461" s="1" t="s">
        <v>0</v>
      </c>
      <c r="P461" s="1" t="s">
        <v>1</v>
      </c>
    </row>
    <row r="462" spans="1:65" ht="15.6" x14ac:dyDescent="0.3">
      <c r="E462" t="s">
        <v>2</v>
      </c>
      <c r="Q462" t="s">
        <v>3</v>
      </c>
      <c r="AE462" s="2"/>
      <c r="AF462" s="1" t="s">
        <v>0</v>
      </c>
      <c r="AG462" s="1"/>
      <c r="AI462" s="1"/>
      <c r="AJ462" s="1"/>
      <c r="AS462" s="1" t="s">
        <v>4</v>
      </c>
      <c r="BE462" s="1"/>
      <c r="BF462" s="1" t="s">
        <v>5</v>
      </c>
      <c r="BG462" s="1"/>
      <c r="BH462" s="1"/>
      <c r="BI462" s="1"/>
      <c r="BJ462" s="1"/>
    </row>
    <row r="463" spans="1:65" ht="15.6" x14ac:dyDescent="0.3">
      <c r="A463" t="s">
        <v>6</v>
      </c>
      <c r="D463" t="s">
        <v>7</v>
      </c>
      <c r="O463" t="s">
        <v>8</v>
      </c>
      <c r="AE463" s="3"/>
      <c r="AF463" s="2" t="s">
        <v>9</v>
      </c>
      <c r="AG463" s="1"/>
      <c r="AI463" s="1"/>
      <c r="AJ463" s="1"/>
      <c r="AT463" t="s">
        <v>2</v>
      </c>
      <c r="BG463" t="s">
        <v>2</v>
      </c>
    </row>
    <row r="464" spans="1:65" ht="15.6" x14ac:dyDescent="0.3">
      <c r="E464" t="s">
        <v>827</v>
      </c>
      <c r="Q464" t="s">
        <v>827</v>
      </c>
      <c r="AF464" s="3" t="s">
        <v>11</v>
      </c>
      <c r="AG464" s="1"/>
      <c r="AI464" s="1"/>
      <c r="AJ464" s="1"/>
      <c r="AR464" t="s">
        <v>12</v>
      </c>
      <c r="BE464" t="s">
        <v>13</v>
      </c>
    </row>
    <row r="465" spans="1:64" ht="15" thickBot="1" x14ac:dyDescent="0.35">
      <c r="I465" s="4" t="s">
        <v>14</v>
      </c>
      <c r="U465" s="5" t="s">
        <v>15</v>
      </c>
      <c r="AG465" t="s">
        <v>827</v>
      </c>
      <c r="AT465" t="s">
        <v>827</v>
      </c>
      <c r="AY465" s="5"/>
      <c r="BG465" t="s">
        <v>827</v>
      </c>
      <c r="BK465" s="5" t="s">
        <v>16</v>
      </c>
    </row>
    <row r="466" spans="1:64" ht="15" thickBot="1" x14ac:dyDescent="0.35">
      <c r="A466" s="6" t="s">
        <v>17</v>
      </c>
      <c r="B466" s="6" t="s">
        <v>18</v>
      </c>
      <c r="C466" s="7"/>
      <c r="D466" s="8" t="s">
        <v>19</v>
      </c>
      <c r="E466" s="8"/>
      <c r="F466" s="8"/>
      <c r="G466" s="9" t="s">
        <v>20</v>
      </c>
      <c r="H466" s="8" t="s">
        <v>21</v>
      </c>
      <c r="I466" s="8"/>
      <c r="J466" s="7"/>
      <c r="L466" s="6" t="s">
        <v>17</v>
      </c>
      <c r="M466" s="187" t="s">
        <v>778</v>
      </c>
      <c r="N466" s="7"/>
      <c r="O466" s="8" t="s">
        <v>779</v>
      </c>
      <c r="P466" s="8"/>
      <c r="Q466" s="8"/>
      <c r="R466" s="6" t="s">
        <v>24</v>
      </c>
      <c r="S466" s="7"/>
      <c r="T466" s="8" t="s">
        <v>21</v>
      </c>
      <c r="U466" s="8"/>
      <c r="V466" s="7"/>
      <c r="AL466" s="5" t="s">
        <v>25</v>
      </c>
      <c r="AX466" s="5" t="s">
        <v>26</v>
      </c>
      <c r="BB466" s="6" t="s">
        <v>17</v>
      </c>
      <c r="BC466" s="6" t="s">
        <v>27</v>
      </c>
      <c r="BD466" s="7"/>
      <c r="BE466" s="8" t="s">
        <v>28</v>
      </c>
      <c r="BF466" s="8"/>
      <c r="BG466" s="8"/>
      <c r="BH466" s="6" t="s">
        <v>29</v>
      </c>
      <c r="BI466" s="7" t="s">
        <v>30</v>
      </c>
      <c r="BJ466" s="8" t="s">
        <v>31</v>
      </c>
      <c r="BK466" s="8"/>
      <c r="BL466" s="7"/>
    </row>
    <row r="467" spans="1:64" x14ac:dyDescent="0.3">
      <c r="A467" s="10" t="s">
        <v>32</v>
      </c>
      <c r="B467" s="10"/>
      <c r="C467" s="11"/>
      <c r="D467" s="3"/>
      <c r="E467" s="3"/>
      <c r="F467" s="3"/>
      <c r="G467" s="12"/>
      <c r="H467" s="3" t="s">
        <v>33</v>
      </c>
      <c r="I467" s="3"/>
      <c r="J467" s="11"/>
      <c r="L467" s="10"/>
      <c r="M467" s="10"/>
      <c r="N467" s="11"/>
      <c r="O467" s="3"/>
      <c r="P467" s="3"/>
      <c r="Q467" s="3"/>
      <c r="R467" s="10"/>
      <c r="S467" s="11"/>
      <c r="T467" s="3" t="s">
        <v>33</v>
      </c>
      <c r="U467" s="3"/>
      <c r="V467" s="11"/>
      <c r="AB467" s="6" t="s">
        <v>34</v>
      </c>
      <c r="AC467" s="6" t="s">
        <v>35</v>
      </c>
      <c r="AD467" s="7"/>
      <c r="AE467" s="6" t="s">
        <v>36</v>
      </c>
      <c r="AF467" s="8"/>
      <c r="AG467" s="7"/>
      <c r="AH467" s="8" t="s">
        <v>37</v>
      </c>
      <c r="AI467" s="8"/>
      <c r="AJ467" s="9" t="s">
        <v>30</v>
      </c>
      <c r="AK467" s="8" t="s">
        <v>38</v>
      </c>
      <c r="AL467" s="8"/>
      <c r="AM467" s="7"/>
      <c r="AP467" s="6" t="s">
        <v>17</v>
      </c>
      <c r="AQ467" s="6" t="s">
        <v>39</v>
      </c>
      <c r="AR467" s="7"/>
      <c r="AS467" s="6" t="s">
        <v>29</v>
      </c>
      <c r="AT467" s="7" t="s">
        <v>30</v>
      </c>
      <c r="AU467" s="8" t="s">
        <v>40</v>
      </c>
      <c r="AV467" s="8"/>
      <c r="AW467" s="8"/>
      <c r="AX467" s="8"/>
      <c r="AY467" s="7"/>
      <c r="BB467" s="10"/>
      <c r="BC467" s="10"/>
      <c r="BD467" s="11"/>
      <c r="BE467" s="3"/>
      <c r="BF467" s="3"/>
      <c r="BG467" s="3"/>
      <c r="BH467" s="10"/>
      <c r="BI467" s="11" t="s">
        <v>6</v>
      </c>
      <c r="BJ467" s="3" t="s">
        <v>41</v>
      </c>
      <c r="BK467" s="3"/>
      <c r="BL467" s="11"/>
    </row>
    <row r="468" spans="1:64" ht="15" thickBot="1" x14ac:dyDescent="0.35">
      <c r="A468" s="13" t="s">
        <v>42</v>
      </c>
      <c r="B468" s="14" t="s">
        <v>43</v>
      </c>
      <c r="C468" s="15" t="s">
        <v>44</v>
      </c>
      <c r="D468" s="16" t="s">
        <v>45</v>
      </c>
      <c r="E468" s="16" t="s">
        <v>46</v>
      </c>
      <c r="F468" s="16" t="s">
        <v>47</v>
      </c>
      <c r="G468" s="17" t="s">
        <v>48</v>
      </c>
      <c r="H468" s="18" t="s">
        <v>49</v>
      </c>
      <c r="I468" s="18"/>
      <c r="J468" s="11"/>
      <c r="L468" s="10" t="s">
        <v>50</v>
      </c>
      <c r="M468" s="19" t="s">
        <v>43</v>
      </c>
      <c r="N468" s="20" t="s">
        <v>44</v>
      </c>
      <c r="O468" s="21" t="s">
        <v>43</v>
      </c>
      <c r="P468" s="188" t="s">
        <v>51</v>
      </c>
      <c r="Q468" s="21" t="s">
        <v>44</v>
      </c>
      <c r="R468" s="22" t="s">
        <v>43</v>
      </c>
      <c r="S468" s="23" t="s">
        <v>44</v>
      </c>
      <c r="T468" s="18" t="s">
        <v>49</v>
      </c>
      <c r="U468" s="18"/>
      <c r="V468" s="11"/>
      <c r="AB468" s="10" t="s">
        <v>50</v>
      </c>
      <c r="AC468" s="22" t="s">
        <v>43</v>
      </c>
      <c r="AD468" s="23" t="s">
        <v>44</v>
      </c>
      <c r="AE468" s="22" t="s">
        <v>45</v>
      </c>
      <c r="AF468" s="24" t="s">
        <v>46</v>
      </c>
      <c r="AG468" s="23" t="s">
        <v>52</v>
      </c>
      <c r="AH468" s="24" t="s">
        <v>43</v>
      </c>
      <c r="AI468" s="24" t="s">
        <v>44</v>
      </c>
      <c r="AJ468" s="25" t="s">
        <v>43</v>
      </c>
      <c r="AK468" s="3" t="s">
        <v>53</v>
      </c>
      <c r="AL468" s="3"/>
      <c r="AM468" s="11"/>
      <c r="AP468" s="13" t="s">
        <v>42</v>
      </c>
      <c r="AQ468" s="13" t="s">
        <v>43</v>
      </c>
      <c r="AR468" s="26" t="s">
        <v>44</v>
      </c>
      <c r="AS468" s="13" t="s">
        <v>43</v>
      </c>
      <c r="AT468" s="26" t="s">
        <v>44</v>
      </c>
      <c r="AU468" s="27"/>
      <c r="AV468" s="27"/>
      <c r="AW468" s="27"/>
      <c r="AX468" s="27"/>
      <c r="AY468" s="26"/>
      <c r="BB468" s="13" t="s">
        <v>42</v>
      </c>
      <c r="BC468" s="13" t="s">
        <v>43</v>
      </c>
      <c r="BD468" s="26" t="s">
        <v>44</v>
      </c>
      <c r="BE468" s="27" t="s">
        <v>45</v>
      </c>
      <c r="BF468" s="27" t="s">
        <v>46</v>
      </c>
      <c r="BG468" s="27" t="s">
        <v>52</v>
      </c>
      <c r="BH468" s="13" t="s">
        <v>43</v>
      </c>
      <c r="BI468" s="26" t="s">
        <v>44</v>
      </c>
      <c r="BJ468" s="27" t="s">
        <v>54</v>
      </c>
      <c r="BK468" s="27"/>
      <c r="BL468" s="26"/>
    </row>
    <row r="469" spans="1:64" ht="15" thickBot="1" x14ac:dyDescent="0.35">
      <c r="A469" s="6"/>
      <c r="B469" s="6"/>
      <c r="C469" s="7"/>
      <c r="D469" s="8"/>
      <c r="E469" s="8"/>
      <c r="F469" s="7"/>
      <c r="G469" s="8"/>
      <c r="H469" s="6" t="s">
        <v>396</v>
      </c>
      <c r="I469" s="8"/>
      <c r="J469" s="7"/>
      <c r="K469" s="28"/>
      <c r="L469" s="9"/>
      <c r="M469" s="8"/>
      <c r="N469" s="8"/>
      <c r="O469" s="6"/>
      <c r="P469" s="8"/>
      <c r="Q469" s="7"/>
      <c r="R469" s="8"/>
      <c r="S469" s="8"/>
      <c r="T469" s="6" t="s">
        <v>396</v>
      </c>
      <c r="U469" s="8"/>
      <c r="V469" s="7"/>
      <c r="W469" s="28"/>
      <c r="AB469" s="13"/>
      <c r="AC469" s="13"/>
      <c r="AD469" s="26"/>
      <c r="AE469" s="13"/>
      <c r="AF469" s="27"/>
      <c r="AG469" s="26"/>
      <c r="AH469" s="27"/>
      <c r="AI469" s="27"/>
      <c r="AJ469" s="17"/>
      <c r="AK469" s="27"/>
      <c r="AL469" s="27"/>
      <c r="AM469" s="26"/>
      <c r="AP469" s="32" t="s">
        <v>6</v>
      </c>
      <c r="AQ469" s="43"/>
      <c r="AR469" s="54"/>
      <c r="AS469" s="33"/>
      <c r="AT469" s="35"/>
      <c r="AU469" s="33"/>
      <c r="AV469" s="34" t="s">
        <v>91</v>
      </c>
      <c r="AW469" s="34"/>
      <c r="AX469" s="34"/>
      <c r="AY469" s="35"/>
      <c r="AZ469" s="28"/>
      <c r="BB469" s="32" t="s">
        <v>85</v>
      </c>
      <c r="BC469">
        <v>0</v>
      </c>
      <c r="BD469">
        <v>0</v>
      </c>
      <c r="BE469" s="33"/>
      <c r="BF469" s="34"/>
      <c r="BG469" s="34"/>
      <c r="BH469" s="33"/>
      <c r="BI469" s="35"/>
      <c r="BJ469" s="34" t="s">
        <v>58</v>
      </c>
      <c r="BK469" s="8"/>
      <c r="BL469" s="7"/>
    </row>
    <row r="470" spans="1:64" x14ac:dyDescent="0.3">
      <c r="A470" s="10" t="s">
        <v>59</v>
      </c>
      <c r="B470" s="36">
        <v>1929</v>
      </c>
      <c r="C470" s="11">
        <v>2175</v>
      </c>
      <c r="D470" s="37"/>
      <c r="E470" s="38" t="s">
        <v>60</v>
      </c>
      <c r="F470" s="39"/>
      <c r="G470" s="37">
        <f>8*280</f>
        <v>2240</v>
      </c>
      <c r="H470" s="36">
        <v>8</v>
      </c>
      <c r="I470" s="37" t="s">
        <v>61</v>
      </c>
      <c r="J470" s="40"/>
      <c r="K470" s="28"/>
      <c r="L470" s="41" t="s">
        <v>59</v>
      </c>
      <c r="M470" s="28">
        <v>26371</v>
      </c>
      <c r="N470" s="28">
        <v>49052</v>
      </c>
      <c r="O470" s="42">
        <v>0</v>
      </c>
      <c r="P470" s="43">
        <v>0</v>
      </c>
      <c r="Q470" s="40">
        <v>0</v>
      </c>
      <c r="R470" s="43">
        <v>0</v>
      </c>
      <c r="S470" s="43">
        <v>0</v>
      </c>
      <c r="T470" s="42"/>
      <c r="U470" s="28"/>
      <c r="V470" s="40"/>
      <c r="W470" s="28"/>
      <c r="AB470" s="9"/>
      <c r="AC470" s="8"/>
      <c r="AD470" s="8"/>
      <c r="AE470" s="6"/>
      <c r="AF470" s="8"/>
      <c r="AG470" s="7"/>
      <c r="AH470" s="8"/>
      <c r="AI470" s="8"/>
      <c r="AJ470" s="9"/>
      <c r="AK470" s="6" t="s">
        <v>62</v>
      </c>
      <c r="AL470" s="8"/>
      <c r="AM470" s="7"/>
      <c r="AP470" s="41" t="s">
        <v>56</v>
      </c>
      <c r="AQ470" s="43">
        <f>16+1149</f>
        <v>1165</v>
      </c>
      <c r="AR470" s="54">
        <f>1293+12</f>
        <v>1305</v>
      </c>
      <c r="AS470" s="42"/>
      <c r="AT470" s="40"/>
      <c r="AU470" s="42"/>
      <c r="AV470" s="28"/>
      <c r="AW470" s="28"/>
      <c r="AX470" s="28"/>
      <c r="AY470" s="40"/>
      <c r="AZ470" s="28"/>
      <c r="BB470" s="44" t="s">
        <v>64</v>
      </c>
      <c r="BC470" s="18">
        <v>155</v>
      </c>
      <c r="BD470" s="18">
        <v>201</v>
      </c>
      <c r="BE470" s="10">
        <v>0</v>
      </c>
      <c r="BF470" s="18">
        <v>0</v>
      </c>
      <c r="BG470" s="18">
        <v>0</v>
      </c>
      <c r="BH470" s="10">
        <v>0</v>
      </c>
      <c r="BI470" s="11">
        <v>0</v>
      </c>
      <c r="BJ470" s="45">
        <v>9</v>
      </c>
      <c r="BK470" s="28" t="s">
        <v>474</v>
      </c>
      <c r="BL470" s="11"/>
    </row>
    <row r="471" spans="1:64" ht="15" thickBot="1" x14ac:dyDescent="0.35">
      <c r="A471" s="36" t="s">
        <v>6</v>
      </c>
      <c r="B471" s="10"/>
      <c r="C471" s="11"/>
      <c r="D471" s="18"/>
      <c r="E471" s="18"/>
      <c r="F471" s="18"/>
      <c r="G471" s="36"/>
      <c r="H471" s="42">
        <v>0</v>
      </c>
      <c r="I471" s="28" t="s">
        <v>528</v>
      </c>
      <c r="J471" s="40">
        <f>SUM(H470+H471)</f>
        <v>8</v>
      </c>
      <c r="K471" s="28"/>
      <c r="L471" s="12"/>
      <c r="M471" s="37"/>
      <c r="N471" s="37"/>
      <c r="O471" s="10"/>
      <c r="P471" s="18"/>
      <c r="Q471" s="11"/>
      <c r="R471" s="18"/>
      <c r="S471" s="18"/>
      <c r="T471" s="10"/>
      <c r="U471" s="18"/>
      <c r="V471" s="11"/>
      <c r="W471" s="28"/>
      <c r="AB471" s="41"/>
      <c r="AE471" s="42"/>
      <c r="AF471" s="28"/>
      <c r="AG471" s="40"/>
      <c r="AJ471" s="41"/>
      <c r="AK471" s="42"/>
      <c r="AL471" s="37" t="s">
        <v>6</v>
      </c>
      <c r="AM471" s="40"/>
      <c r="AP471" s="62" t="s">
        <v>6</v>
      </c>
      <c r="AQ471" s="43"/>
      <c r="AR471" s="43"/>
      <c r="AS471" s="47"/>
      <c r="AT471" s="49"/>
      <c r="AU471" s="47"/>
      <c r="AV471" s="48">
        <v>101</v>
      </c>
      <c r="AW471" s="48" t="s">
        <v>73</v>
      </c>
      <c r="AX471" s="48"/>
      <c r="AY471" s="49">
        <f>SUM(AV471)</f>
        <v>101</v>
      </c>
      <c r="AZ471" s="28"/>
      <c r="BA471" s="28"/>
      <c r="BB471" s="46" t="s">
        <v>84</v>
      </c>
      <c r="BC471">
        <f>SUM(BC469:BC470)</f>
        <v>155</v>
      </c>
      <c r="BD471">
        <f>SUM(BD469:BD470)</f>
        <v>201</v>
      </c>
      <c r="BE471" s="47"/>
      <c r="BF471" s="48"/>
      <c r="BG471" s="48"/>
      <c r="BH471" s="47"/>
      <c r="BI471" s="49"/>
      <c r="BJ471" s="48"/>
      <c r="BK471" s="48" t="s">
        <v>249</v>
      </c>
      <c r="BL471" s="49">
        <f>SUM(BJ470:BJ471)</f>
        <v>9</v>
      </c>
    </row>
    <row r="472" spans="1:64" ht="15" thickBot="1" x14ac:dyDescent="0.35">
      <c r="A472" s="32"/>
      <c r="B472" s="34"/>
      <c r="C472" s="34"/>
      <c r="D472" s="33"/>
      <c r="E472" s="34"/>
      <c r="F472" s="35"/>
      <c r="G472" s="34"/>
      <c r="H472" s="6" t="s">
        <v>70</v>
      </c>
      <c r="I472" s="8"/>
      <c r="J472" s="7"/>
      <c r="K472" s="28"/>
      <c r="L472" s="17"/>
      <c r="M472" s="27"/>
      <c r="N472" s="27"/>
      <c r="O472" s="13"/>
      <c r="P472" s="27"/>
      <c r="Q472" s="26"/>
      <c r="R472" s="27"/>
      <c r="S472" s="27"/>
      <c r="T472" s="13"/>
      <c r="U472" s="27"/>
      <c r="V472" s="26"/>
      <c r="W472" s="28"/>
      <c r="AB472" s="44" t="s">
        <v>59</v>
      </c>
      <c r="AC472" s="37">
        <v>1310</v>
      </c>
      <c r="AD472" s="37">
        <v>1341</v>
      </c>
      <c r="AE472" s="10">
        <v>0</v>
      </c>
      <c r="AF472" s="18">
        <v>0</v>
      </c>
      <c r="AG472" s="39">
        <v>0</v>
      </c>
      <c r="AH472" s="2">
        <v>0</v>
      </c>
      <c r="AI472" s="2">
        <v>0</v>
      </c>
      <c r="AJ472" s="12">
        <v>0</v>
      </c>
      <c r="AK472" s="36"/>
      <c r="AL472" t="s">
        <v>398</v>
      </c>
      <c r="AM472" s="11"/>
      <c r="AP472" s="10"/>
      <c r="AQ472" s="29"/>
      <c r="AR472" s="31"/>
      <c r="AS472" s="33"/>
      <c r="AT472" s="7"/>
      <c r="AU472" s="8"/>
      <c r="AV472" s="8"/>
      <c r="AW472" s="8"/>
      <c r="AX472" s="8"/>
      <c r="AY472" s="7"/>
      <c r="AZ472" s="28"/>
      <c r="BA472" s="28"/>
      <c r="BB472" s="33"/>
      <c r="BC472" s="33"/>
      <c r="BD472" s="35"/>
      <c r="BE472" s="34"/>
      <c r="BF472" s="34"/>
      <c r="BG472" s="34"/>
      <c r="BH472" s="33"/>
      <c r="BI472" s="35"/>
      <c r="BJ472" s="53" t="s">
        <v>82</v>
      </c>
      <c r="BK472" s="34"/>
      <c r="BL472" s="35"/>
    </row>
    <row r="473" spans="1:64" ht="15" thickBot="1" x14ac:dyDescent="0.35">
      <c r="A473" s="44" t="s">
        <v>74</v>
      </c>
      <c r="B473" s="37">
        <v>1300</v>
      </c>
      <c r="C473" s="18">
        <v>2051</v>
      </c>
      <c r="D473" s="36"/>
      <c r="E473" s="38" t="s">
        <v>60</v>
      </c>
      <c r="F473" s="39"/>
      <c r="G473" s="37">
        <v>2234</v>
      </c>
      <c r="H473" s="36">
        <v>3</v>
      </c>
      <c r="I473" s="28" t="s">
        <v>75</v>
      </c>
      <c r="J473" s="11"/>
      <c r="K473" s="28"/>
      <c r="L473" s="32"/>
      <c r="M473" s="34"/>
      <c r="N473" s="34"/>
      <c r="O473" s="33"/>
      <c r="P473" s="34"/>
      <c r="Q473" s="35"/>
      <c r="R473" s="34"/>
      <c r="S473" s="34"/>
      <c r="T473" s="33"/>
      <c r="U473" s="34"/>
      <c r="V473" s="35"/>
      <c r="W473" s="28"/>
      <c r="AB473" s="46"/>
      <c r="AE473" s="47"/>
      <c r="AF473" s="51"/>
      <c r="AG473" s="49"/>
      <c r="AH473" s="28"/>
      <c r="AI473" s="28"/>
      <c r="AJ473" s="62"/>
      <c r="AK473" s="47">
        <v>4</v>
      </c>
      <c r="AL473" s="48" t="s">
        <v>66</v>
      </c>
      <c r="AM473" s="49"/>
      <c r="AP473" s="36" t="s">
        <v>63</v>
      </c>
      <c r="AQ473" s="10">
        <v>26</v>
      </c>
      <c r="AR473" s="18">
        <v>49</v>
      </c>
      <c r="AS473" s="42"/>
      <c r="AT473" s="11"/>
      <c r="AU473" s="18"/>
      <c r="AV473" s="18" t="s">
        <v>110</v>
      </c>
      <c r="AW473" s="18" t="s">
        <v>111</v>
      </c>
      <c r="AX473" s="18" t="s">
        <v>112</v>
      </c>
      <c r="AY473" s="11"/>
      <c r="AZ473" s="28"/>
      <c r="BA473" s="28"/>
      <c r="BB473" s="47" t="s">
        <v>85</v>
      </c>
      <c r="BC473" s="47">
        <v>2</v>
      </c>
      <c r="BD473" s="49">
        <v>2</v>
      </c>
      <c r="BE473" s="48"/>
      <c r="BF473" s="48">
        <v>0</v>
      </c>
      <c r="BG473" s="48">
        <v>0</v>
      </c>
      <c r="BH473" s="47">
        <v>0</v>
      </c>
      <c r="BI473" s="49">
        <v>0</v>
      </c>
      <c r="BJ473" s="51">
        <v>1</v>
      </c>
      <c r="BK473" s="48" t="s">
        <v>86</v>
      </c>
      <c r="BL473" s="49">
        <f>SUM(BJ473)</f>
        <v>1</v>
      </c>
    </row>
    <row r="474" spans="1:64" x14ac:dyDescent="0.3">
      <c r="A474" s="41"/>
      <c r="D474" s="42"/>
      <c r="E474" s="28"/>
      <c r="F474" s="40"/>
      <c r="H474" s="42">
        <v>8</v>
      </c>
      <c r="I474" s="28" t="s">
        <v>79</v>
      </c>
      <c r="J474" s="40"/>
      <c r="K474" s="28"/>
      <c r="L474" s="41"/>
      <c r="M474" s="28"/>
      <c r="N474" s="28"/>
      <c r="O474" s="42"/>
      <c r="P474" s="28"/>
      <c r="Q474" s="40"/>
      <c r="R474" s="28"/>
      <c r="S474" s="28"/>
      <c r="T474" s="42" t="s">
        <v>80</v>
      </c>
      <c r="U474" s="28"/>
      <c r="V474" s="40"/>
      <c r="W474" s="28"/>
      <c r="AB474" s="50" t="s">
        <v>6</v>
      </c>
      <c r="AC474" s="8"/>
      <c r="AD474" s="8"/>
      <c r="AE474" s="6"/>
      <c r="AF474" s="8"/>
      <c r="AG474" s="7"/>
      <c r="AH474" s="6"/>
      <c r="AI474" s="7"/>
      <c r="AJ474" s="8"/>
      <c r="AK474" s="29"/>
      <c r="AL474" s="8"/>
      <c r="AM474" s="7"/>
      <c r="AP474" s="10" t="s">
        <v>115</v>
      </c>
      <c r="AQ474" s="36">
        <v>50</v>
      </c>
      <c r="AR474" s="37">
        <v>39</v>
      </c>
      <c r="AS474" s="42"/>
      <c r="AT474" s="11"/>
      <c r="AU474" s="18"/>
      <c r="AV474" s="18"/>
      <c r="AW474" s="18"/>
      <c r="AX474" s="18"/>
      <c r="AY474" s="11"/>
      <c r="AZ474" s="28"/>
      <c r="BA474" s="28"/>
      <c r="BB474" s="50" t="s">
        <v>107</v>
      </c>
      <c r="BC474" s="31">
        <v>0</v>
      </c>
      <c r="BD474" s="31">
        <v>0</v>
      </c>
      <c r="BE474" s="29"/>
      <c r="BF474" s="31"/>
      <c r="BG474" s="30"/>
      <c r="BH474" s="55">
        <v>0</v>
      </c>
      <c r="BI474" s="8">
        <v>0</v>
      </c>
      <c r="BJ474" s="29"/>
      <c r="BK474" s="34" t="s">
        <v>92</v>
      </c>
      <c r="BL474" s="35"/>
    </row>
    <row r="475" spans="1:64" ht="15" thickBot="1" x14ac:dyDescent="0.35">
      <c r="A475" s="46"/>
      <c r="B475" s="48"/>
      <c r="C475" s="48"/>
      <c r="D475" s="47"/>
      <c r="E475" s="48"/>
      <c r="F475" s="49"/>
      <c r="G475" s="48"/>
      <c r="H475" s="47">
        <v>6</v>
      </c>
      <c r="I475" s="28" t="s">
        <v>83</v>
      </c>
      <c r="J475" s="49">
        <f>SUM(H473:H475)</f>
        <v>17</v>
      </c>
      <c r="K475" s="28"/>
      <c r="L475" s="17" t="s">
        <v>74</v>
      </c>
      <c r="M475" s="27">
        <v>2130</v>
      </c>
      <c r="N475" s="27">
        <v>39</v>
      </c>
      <c r="O475" s="13">
        <v>0</v>
      </c>
      <c r="P475" s="27">
        <v>0</v>
      </c>
      <c r="Q475" s="26">
        <v>0</v>
      </c>
      <c r="R475" s="27">
        <v>0</v>
      </c>
      <c r="S475" s="27">
        <v>0</v>
      </c>
      <c r="T475" s="13"/>
      <c r="U475" s="27"/>
      <c r="V475" s="26"/>
      <c r="W475" s="28"/>
      <c r="AB475" s="41" t="s">
        <v>76</v>
      </c>
      <c r="AC475">
        <v>0</v>
      </c>
      <c r="AD475">
        <v>0</v>
      </c>
      <c r="AE475" s="42">
        <v>0</v>
      </c>
      <c r="AF475" s="43">
        <v>0</v>
      </c>
      <c r="AG475" s="40">
        <v>0</v>
      </c>
      <c r="AH475" s="42">
        <v>0</v>
      </c>
      <c r="AI475" s="40">
        <v>0</v>
      </c>
      <c r="AJ475" s="43">
        <v>0</v>
      </c>
      <c r="AK475" s="42">
        <v>1</v>
      </c>
      <c r="AL475" s="28" t="s">
        <v>780</v>
      </c>
      <c r="AM475" s="40"/>
      <c r="AP475" s="52" t="s">
        <v>72</v>
      </c>
      <c r="AQ475" s="52">
        <v>0</v>
      </c>
      <c r="AR475" s="54">
        <v>6</v>
      </c>
      <c r="AS475" s="42"/>
      <c r="AT475" s="40"/>
      <c r="AU475" s="28"/>
      <c r="AV475" s="28"/>
      <c r="AW475" s="28"/>
      <c r="AX475" s="28"/>
      <c r="AY475" s="40"/>
      <c r="AZ475" s="28"/>
      <c r="BA475" s="28"/>
      <c r="BB475" s="41" t="s">
        <v>99</v>
      </c>
      <c r="BC475" s="45">
        <v>0</v>
      </c>
      <c r="BD475" s="45">
        <v>0</v>
      </c>
      <c r="BE475" s="42">
        <v>0</v>
      </c>
      <c r="BF475" s="45">
        <v>0</v>
      </c>
      <c r="BG475" s="40">
        <v>0</v>
      </c>
      <c r="BH475" s="45">
        <v>51916</v>
      </c>
      <c r="BI475" s="56">
        <v>11817</v>
      </c>
      <c r="BJ475" s="52">
        <v>28</v>
      </c>
      <c r="BK475" s="37" t="s">
        <v>100</v>
      </c>
      <c r="BL475" s="40"/>
    </row>
    <row r="476" spans="1:64" ht="15" thickBot="1" x14ac:dyDescent="0.35">
      <c r="A476" s="33"/>
      <c r="B476" s="33"/>
      <c r="C476" s="35"/>
      <c r="D476" s="34"/>
      <c r="E476" s="34"/>
      <c r="F476" s="34"/>
      <c r="G476" s="32"/>
      <c r="H476" s="6" t="s">
        <v>87</v>
      </c>
      <c r="I476" s="34"/>
      <c r="J476" s="35"/>
      <c r="K476" s="28"/>
      <c r="L476" s="12" t="s">
        <v>88</v>
      </c>
      <c r="M476" s="37">
        <v>0</v>
      </c>
      <c r="N476" s="37">
        <v>0</v>
      </c>
      <c r="O476" s="10"/>
      <c r="P476" s="18"/>
      <c r="Q476" s="11"/>
      <c r="R476" s="18"/>
      <c r="S476" s="18"/>
      <c r="T476" s="33" t="s">
        <v>6</v>
      </c>
      <c r="U476" s="31"/>
      <c r="V476" s="7"/>
      <c r="W476" s="28"/>
      <c r="AB476" s="6" t="s">
        <v>89</v>
      </c>
      <c r="AC476" s="6">
        <v>37</v>
      </c>
      <c r="AD476" s="7">
        <v>40</v>
      </c>
      <c r="AE476" s="8"/>
      <c r="AF476" s="8"/>
      <c r="AG476" s="8"/>
      <c r="AH476" s="6"/>
      <c r="AI476" s="7"/>
      <c r="AJ476" s="9"/>
      <c r="AK476" s="31" t="s">
        <v>90</v>
      </c>
      <c r="AL476" s="8"/>
      <c r="AM476" s="7"/>
      <c r="AP476" s="36" t="s">
        <v>78</v>
      </c>
      <c r="AQ476" s="36">
        <v>84</v>
      </c>
      <c r="AR476" s="37">
        <v>11</v>
      </c>
      <c r="AS476" s="42"/>
      <c r="AT476" s="11"/>
      <c r="AU476" s="18"/>
      <c r="AV476" s="37"/>
      <c r="AW476" s="18"/>
      <c r="AX476" s="37"/>
      <c r="AY476" s="11"/>
      <c r="AZ476" s="28"/>
      <c r="BA476" s="28"/>
      <c r="BB476" s="17" t="s">
        <v>84</v>
      </c>
      <c r="BC476" s="18">
        <f>SUM(BC474:BC475)</f>
        <v>0</v>
      </c>
      <c r="BD476" s="18">
        <f>SUM(BD474:BD475)</f>
        <v>0</v>
      </c>
      <c r="BE476" s="13"/>
      <c r="BF476" s="27"/>
      <c r="BG476" s="26"/>
      <c r="BH476" s="58">
        <f>+BH475+BH474</f>
        <v>51916</v>
      </c>
      <c r="BI476" s="27">
        <f>+BI475+BI474</f>
        <v>11817</v>
      </c>
      <c r="BJ476" s="59"/>
      <c r="BK476" s="48" t="s">
        <v>506</v>
      </c>
      <c r="BL476" s="60">
        <f>SUM(BJ475:BJ476)</f>
        <v>28</v>
      </c>
    </row>
    <row r="477" spans="1:64" x14ac:dyDescent="0.3">
      <c r="A477" s="36" t="s">
        <v>93</v>
      </c>
      <c r="B477" s="36">
        <v>4467</v>
      </c>
      <c r="C477" s="11">
        <v>5373</v>
      </c>
      <c r="D477" s="37"/>
      <c r="E477" s="38" t="s">
        <v>60</v>
      </c>
      <c r="F477" s="37"/>
      <c r="G477" s="12">
        <f>31*178</f>
        <v>5518</v>
      </c>
      <c r="H477" s="36">
        <v>31</v>
      </c>
      <c r="I477" s="37" t="s">
        <v>101</v>
      </c>
      <c r="J477" s="40"/>
      <c r="K477" s="28"/>
      <c r="L477" s="44" t="s">
        <v>95</v>
      </c>
      <c r="M477" s="37">
        <v>0</v>
      </c>
      <c r="N477" s="37">
        <v>0</v>
      </c>
      <c r="O477" s="10"/>
      <c r="P477" s="18"/>
      <c r="Q477" s="11"/>
      <c r="R477" s="18"/>
      <c r="S477" s="18"/>
      <c r="T477" s="10" t="s">
        <v>96</v>
      </c>
      <c r="U477" s="37"/>
      <c r="V477" s="11"/>
      <c r="W477" s="28"/>
      <c r="AB477" s="36" t="s">
        <v>97</v>
      </c>
      <c r="AC477" s="10">
        <v>0</v>
      </c>
      <c r="AD477" s="11">
        <v>0</v>
      </c>
      <c r="AE477" s="18">
        <v>0</v>
      </c>
      <c r="AF477" s="18">
        <v>0</v>
      </c>
      <c r="AG477" s="18">
        <v>0</v>
      </c>
      <c r="AH477" s="36">
        <v>0</v>
      </c>
      <c r="AI477" s="11">
        <v>0</v>
      </c>
      <c r="AJ477" s="12">
        <v>0</v>
      </c>
      <c r="AK477" s="37">
        <v>1</v>
      </c>
      <c r="AL477" s="37" t="s">
        <v>781</v>
      </c>
      <c r="AM477" s="11"/>
      <c r="AP477" s="10" t="s">
        <v>122</v>
      </c>
      <c r="AQ477" s="36">
        <v>11</v>
      </c>
      <c r="AR477" s="37">
        <v>7</v>
      </c>
      <c r="AS477" s="42"/>
      <c r="AT477" s="11"/>
      <c r="AU477" s="18"/>
      <c r="AV477" s="18">
        <v>20</v>
      </c>
      <c r="AW477" s="18" t="s">
        <v>123</v>
      </c>
      <c r="AX477" s="18"/>
      <c r="AY477" s="11"/>
      <c r="AZ477" s="28" t="s">
        <v>6</v>
      </c>
      <c r="BA477" s="28"/>
      <c r="BB477" s="32"/>
      <c r="BC477" s="63">
        <v>0</v>
      </c>
      <c r="BD477" s="64">
        <v>0</v>
      </c>
      <c r="BE477" s="33"/>
      <c r="BF477" s="8"/>
      <c r="BG477" s="35"/>
      <c r="BH477" s="65"/>
      <c r="BI477" s="66"/>
      <c r="BJ477" s="29"/>
      <c r="BK477" s="31"/>
      <c r="BL477" s="35"/>
    </row>
    <row r="478" spans="1:64" ht="15" thickBot="1" x14ac:dyDescent="0.35">
      <c r="A478" s="47"/>
      <c r="B478" s="47"/>
      <c r="C478" s="49"/>
      <c r="D478" s="48"/>
      <c r="E478" s="48"/>
      <c r="F478" s="48"/>
      <c r="G478" s="46"/>
      <c r="H478" s="47"/>
      <c r="I478" s="48" t="s">
        <v>6</v>
      </c>
      <c r="J478" s="49">
        <f>SUM(H477:H478)</f>
        <v>31</v>
      </c>
      <c r="K478" s="28"/>
      <c r="L478" s="12" t="s">
        <v>102</v>
      </c>
      <c r="M478" s="18">
        <v>0</v>
      </c>
      <c r="N478" s="18">
        <v>0</v>
      </c>
      <c r="O478" s="10"/>
      <c r="P478" s="18"/>
      <c r="Q478" s="11"/>
      <c r="R478" s="18"/>
      <c r="S478" s="18"/>
      <c r="T478" s="10"/>
      <c r="U478" s="18"/>
      <c r="V478" s="11"/>
      <c r="W478" s="28"/>
      <c r="AB478" s="42" t="s">
        <v>84</v>
      </c>
      <c r="AC478" s="10">
        <f>SUM(AC476:AC477)</f>
        <v>37</v>
      </c>
      <c r="AD478" s="11">
        <f>SUM(AD476:AD477)</f>
        <v>40</v>
      </c>
      <c r="AE478" s="18"/>
      <c r="AF478" s="18"/>
      <c r="AG478" s="18"/>
      <c r="AH478" s="10"/>
      <c r="AI478" s="11"/>
      <c r="AJ478" s="12"/>
      <c r="AK478" s="57"/>
      <c r="AL478" s="37" t="s">
        <v>6</v>
      </c>
      <c r="AM478" s="11"/>
      <c r="AP478" s="10" t="s">
        <v>125</v>
      </c>
      <c r="AQ478" s="36">
        <v>0</v>
      </c>
      <c r="AR478" s="37">
        <v>0</v>
      </c>
      <c r="AS478" s="42"/>
      <c r="AT478" s="11"/>
      <c r="AU478" s="18"/>
      <c r="AV478" s="18">
        <v>33</v>
      </c>
      <c r="AW478" s="18" t="s">
        <v>126</v>
      </c>
      <c r="AX478" s="18"/>
      <c r="AY478" s="11"/>
      <c r="AZ478" s="28"/>
      <c r="BA478" s="28"/>
      <c r="BB478" s="41"/>
      <c r="BC478" s="70">
        <v>0</v>
      </c>
      <c r="BD478" s="71">
        <v>0</v>
      </c>
      <c r="BE478" s="42"/>
      <c r="BF478" s="28"/>
      <c r="BG478" s="40"/>
      <c r="BH478" s="42"/>
      <c r="BI478" s="40"/>
      <c r="BJ478" s="42"/>
      <c r="BK478" s="54"/>
      <c r="BL478" s="40"/>
    </row>
    <row r="479" spans="1:64" ht="15" thickBot="1" x14ac:dyDescent="0.35">
      <c r="A479" s="29" t="s">
        <v>250</v>
      </c>
      <c r="B479" s="29">
        <v>0</v>
      </c>
      <c r="C479" s="7">
        <v>0</v>
      </c>
      <c r="D479" s="8"/>
      <c r="E479" s="8"/>
      <c r="F479" s="8"/>
      <c r="G479" s="9"/>
      <c r="H479" s="8" t="s">
        <v>104</v>
      </c>
      <c r="I479" s="8"/>
      <c r="J479" s="7"/>
      <c r="K479" s="28"/>
      <c r="L479" s="12" t="s">
        <v>84</v>
      </c>
      <c r="M479" s="18">
        <f>SUM(M476:M478)</f>
        <v>0</v>
      </c>
      <c r="N479" s="18">
        <f>SUM(N476:N478)</f>
        <v>0</v>
      </c>
      <c r="O479" s="10">
        <v>0</v>
      </c>
      <c r="P479" s="18">
        <v>0</v>
      </c>
      <c r="Q479" s="11">
        <v>0</v>
      </c>
      <c r="R479" s="18">
        <v>0</v>
      </c>
      <c r="S479" s="18">
        <v>0</v>
      </c>
      <c r="T479" s="13"/>
      <c r="U479" s="27"/>
      <c r="V479" s="26"/>
      <c r="W479" s="28"/>
      <c r="AB479" s="50"/>
      <c r="AC479" s="8"/>
      <c r="AD479" s="8"/>
      <c r="AE479" s="6"/>
      <c r="AF479" s="8"/>
      <c r="AG479" s="7"/>
      <c r="AH479" s="6"/>
      <c r="AI479" s="7"/>
      <c r="AJ479" s="6"/>
      <c r="AK479" s="33" t="s">
        <v>828</v>
      </c>
      <c r="AL479" s="34"/>
      <c r="AM479" s="7"/>
      <c r="AP479" s="84" t="s">
        <v>128</v>
      </c>
      <c r="AQ479" s="52">
        <v>0</v>
      </c>
      <c r="AR479" s="37">
        <v>0</v>
      </c>
      <c r="AS479" s="42"/>
      <c r="AT479" s="40"/>
      <c r="AU479" s="28"/>
      <c r="AV479" s="28">
        <v>34</v>
      </c>
      <c r="AW479" s="28" t="s">
        <v>129</v>
      </c>
      <c r="AX479" s="28"/>
      <c r="AY479" s="40"/>
      <c r="AZ479" s="28"/>
      <c r="BA479" s="28" t="s">
        <v>6</v>
      </c>
      <c r="BB479" s="68"/>
      <c r="BC479">
        <f>SUM(BC477:BC478)</f>
        <v>0</v>
      </c>
      <c r="BD479">
        <f>SUM(BD477:BD478)</f>
        <v>0</v>
      </c>
      <c r="BE479" s="47">
        <v>0</v>
      </c>
      <c r="BF479" s="27">
        <v>0</v>
      </c>
      <c r="BG479" s="49">
        <v>0</v>
      </c>
      <c r="BH479" s="75">
        <v>0</v>
      </c>
      <c r="BI479" s="49">
        <v>0</v>
      </c>
      <c r="BJ479" s="47"/>
      <c r="BK479" s="51"/>
      <c r="BL479" s="49">
        <f>SUM(BJ478:BJ479)</f>
        <v>0</v>
      </c>
    </row>
    <row r="480" spans="1:64" ht="15" thickBot="1" x14ac:dyDescent="0.35">
      <c r="A480" s="42" t="s">
        <v>105</v>
      </c>
      <c r="B480" s="42">
        <v>312</v>
      </c>
      <c r="C480" s="40">
        <v>659</v>
      </c>
      <c r="D480" s="28"/>
      <c r="E480" s="38" t="s">
        <v>60</v>
      </c>
      <c r="F480" s="28"/>
      <c r="G480" s="41"/>
      <c r="H480" s="67">
        <v>12</v>
      </c>
      <c r="I480" s="43" t="s">
        <v>106</v>
      </c>
      <c r="J480" s="40">
        <f>SUM(H480)</f>
        <v>12</v>
      </c>
      <c r="K480" s="28"/>
      <c r="L480" s="32"/>
      <c r="M480" s="33"/>
      <c r="N480" s="35"/>
      <c r="O480" s="34"/>
      <c r="P480" s="34"/>
      <c r="Q480" s="35"/>
      <c r="R480" s="33"/>
      <c r="S480" s="35"/>
      <c r="T480" s="6" t="s">
        <v>104</v>
      </c>
      <c r="U480" s="34"/>
      <c r="V480" s="35"/>
      <c r="W480" s="28"/>
      <c r="AB480" s="46" t="s">
        <v>85</v>
      </c>
      <c r="AC480" s="27">
        <v>104</v>
      </c>
      <c r="AD480" s="27">
        <v>162</v>
      </c>
      <c r="AE480" s="13">
        <v>0</v>
      </c>
      <c r="AF480" s="27">
        <v>0</v>
      </c>
      <c r="AG480" s="26">
        <v>0</v>
      </c>
      <c r="AH480" s="13"/>
      <c r="AI480" s="26"/>
      <c r="AJ480" s="13">
        <v>0</v>
      </c>
      <c r="AK480" s="47">
        <v>2</v>
      </c>
      <c r="AL480" s="74" t="s">
        <v>124</v>
      </c>
      <c r="AM480" s="26"/>
      <c r="AP480" s="84" t="s">
        <v>132</v>
      </c>
      <c r="AQ480" s="42">
        <v>0</v>
      </c>
      <c r="AR480" s="37">
        <v>0</v>
      </c>
      <c r="AS480" s="42"/>
      <c r="AT480" s="40"/>
      <c r="AU480" s="28"/>
      <c r="AV480" s="28"/>
      <c r="AW480" s="28"/>
      <c r="AX480" s="28"/>
      <c r="AY480" s="40"/>
      <c r="AZ480" s="28"/>
      <c r="BA480" s="28" t="s">
        <v>6</v>
      </c>
      <c r="BB480" s="33" t="s">
        <v>89</v>
      </c>
      <c r="BC480" s="78">
        <f>19+385</f>
        <v>404</v>
      </c>
      <c r="BD480" s="79">
        <v>341</v>
      </c>
      <c r="BE480" s="34"/>
      <c r="BF480" s="8"/>
      <c r="BG480" s="35"/>
      <c r="BH480" s="80"/>
      <c r="BI480" s="34"/>
      <c r="BJ480" s="33"/>
      <c r="BK480" s="34" t="s">
        <v>91</v>
      </c>
      <c r="BL480" s="35"/>
    </row>
    <row r="481" spans="1:65" ht="15" thickBot="1" x14ac:dyDescent="0.35">
      <c r="A481" s="67" t="s">
        <v>84</v>
      </c>
      <c r="B481" s="47">
        <f>SUM(B479:B480)</f>
        <v>312</v>
      </c>
      <c r="C481" s="49">
        <f>SUM(C479:C480)</f>
        <v>659</v>
      </c>
      <c r="G481" s="46">
        <f>12*70</f>
        <v>840</v>
      </c>
      <c r="H481" s="48"/>
      <c r="I481" s="48"/>
      <c r="J481" s="49"/>
      <c r="K481" s="28"/>
      <c r="L481" s="69" t="s">
        <v>109</v>
      </c>
      <c r="M481" s="42">
        <v>3622</v>
      </c>
      <c r="N481" s="40">
        <v>0</v>
      </c>
      <c r="O481" s="28">
        <v>0</v>
      </c>
      <c r="P481" s="43">
        <v>0</v>
      </c>
      <c r="Q481" s="40">
        <v>0</v>
      </c>
      <c r="R481" s="42">
        <v>0</v>
      </c>
      <c r="S481" s="40">
        <v>0</v>
      </c>
      <c r="T481" s="28"/>
      <c r="U481" s="28"/>
      <c r="V481" s="40"/>
      <c r="W481" s="28"/>
      <c r="AA481" s="28"/>
      <c r="AB481" s="44" t="s">
        <v>6</v>
      </c>
      <c r="AC481" s="45"/>
      <c r="AD481" s="45"/>
      <c r="AE481" s="10">
        <v>0</v>
      </c>
      <c r="AF481" s="18">
        <v>0</v>
      </c>
      <c r="AG481" s="11">
        <v>0</v>
      </c>
      <c r="AH481" s="10"/>
      <c r="AI481" s="11"/>
      <c r="AJ481" s="67"/>
      <c r="AK481" s="42" t="s">
        <v>829</v>
      </c>
      <c r="AM481" s="40"/>
      <c r="AN481" s="28"/>
      <c r="AP481" s="84" t="s">
        <v>81</v>
      </c>
      <c r="AQ481" s="42">
        <v>8</v>
      </c>
      <c r="AR481" s="37">
        <v>5</v>
      </c>
      <c r="AS481" s="42"/>
      <c r="AT481" s="40"/>
      <c r="AU481" s="28"/>
      <c r="AV481" s="28"/>
      <c r="AW481" s="28"/>
      <c r="AX481" s="28"/>
      <c r="AY481" s="40"/>
      <c r="AZ481" s="45"/>
      <c r="BA481" s="28"/>
      <c r="BB481" s="52" t="s">
        <v>85</v>
      </c>
      <c r="BC481" s="42">
        <v>0</v>
      </c>
      <c r="BD481" s="40">
        <v>0</v>
      </c>
      <c r="BE481" s="28"/>
      <c r="BF481" s="28"/>
      <c r="BG481" s="40"/>
      <c r="BJ481" s="42"/>
      <c r="BK481" s="43"/>
      <c r="BL481" s="40"/>
    </row>
    <row r="482" spans="1:65" ht="15" thickBot="1" x14ac:dyDescent="0.35">
      <c r="A482" s="29" t="s">
        <v>108</v>
      </c>
      <c r="B482" s="29">
        <v>0</v>
      </c>
      <c r="C482" s="7">
        <v>0</v>
      </c>
      <c r="D482" s="8"/>
      <c r="E482" s="8">
        <v>761</v>
      </c>
      <c r="F482" s="8"/>
      <c r="G482" s="50"/>
      <c r="H482" s="6" t="s">
        <v>104</v>
      </c>
      <c r="I482" s="31"/>
      <c r="J482" s="30"/>
      <c r="K482" s="28"/>
      <c r="L482" s="46"/>
      <c r="M482" s="47"/>
      <c r="N482" s="49"/>
      <c r="O482" s="48"/>
      <c r="P482" s="48"/>
      <c r="Q482" s="49"/>
      <c r="R482" s="72"/>
      <c r="S482" s="73"/>
      <c r="T482" s="48"/>
      <c r="U482" s="48"/>
      <c r="V482" s="49"/>
      <c r="W482" s="28"/>
      <c r="AA482" s="28"/>
      <c r="AB482" s="41" t="s">
        <v>107</v>
      </c>
      <c r="AC482">
        <f>29+15</f>
        <v>44</v>
      </c>
      <c r="AD482">
        <f>29+15</f>
        <v>44</v>
      </c>
      <c r="AE482" s="10">
        <v>0</v>
      </c>
      <c r="AF482" s="18">
        <v>0</v>
      </c>
      <c r="AG482" s="11">
        <v>0</v>
      </c>
      <c r="AH482" s="10"/>
      <c r="AI482" s="11"/>
      <c r="AJ482" s="47"/>
      <c r="AK482" s="72">
        <v>4</v>
      </c>
      <c r="AL482" s="74" t="s">
        <v>830</v>
      </c>
      <c r="AM482" s="49"/>
      <c r="AN482" s="28"/>
      <c r="AP482" s="10" t="s">
        <v>138</v>
      </c>
      <c r="AQ482" s="36">
        <v>0</v>
      </c>
      <c r="AR482" s="37">
        <v>0</v>
      </c>
      <c r="AS482" s="42"/>
      <c r="AT482" s="11"/>
      <c r="AU482" s="18"/>
      <c r="AV482" s="18"/>
      <c r="AW482" s="18"/>
      <c r="AX482" s="18"/>
      <c r="AY482" s="11"/>
      <c r="AZ482" s="28"/>
      <c r="BA482" s="28" t="s">
        <v>6</v>
      </c>
      <c r="BB482" s="67" t="s">
        <v>113</v>
      </c>
      <c r="BC482" s="42">
        <v>655</v>
      </c>
      <c r="BD482" s="40">
        <v>628</v>
      </c>
      <c r="BE482" s="28"/>
      <c r="BF482" s="28"/>
      <c r="BG482" s="40"/>
      <c r="BH482" s="28"/>
      <c r="BI482" s="28"/>
      <c r="BJ482" s="67">
        <v>61</v>
      </c>
      <c r="BK482" s="43" t="s">
        <v>73</v>
      </c>
      <c r="BL482" s="40"/>
    </row>
    <row r="483" spans="1:65" ht="15" thickBot="1" x14ac:dyDescent="0.35">
      <c r="A483" s="52" t="s">
        <v>109</v>
      </c>
      <c r="B483" s="36">
        <v>2613</v>
      </c>
      <c r="C483" s="11">
        <v>3503</v>
      </c>
      <c r="D483" s="45"/>
      <c r="E483" s="45">
        <v>0</v>
      </c>
      <c r="F483" s="45"/>
      <c r="G483" s="69"/>
      <c r="H483" s="45">
        <v>13</v>
      </c>
      <c r="I483" s="28" t="s">
        <v>114</v>
      </c>
      <c r="J483" s="40"/>
      <c r="K483" s="28"/>
      <c r="L483" s="50" t="s">
        <v>93</v>
      </c>
      <c r="M483" s="8">
        <v>0</v>
      </c>
      <c r="N483" s="8">
        <v>0</v>
      </c>
      <c r="O483" s="6"/>
      <c r="P483" s="8"/>
      <c r="Q483" s="7"/>
      <c r="R483" s="8">
        <v>0</v>
      </c>
      <c r="S483" s="8">
        <v>0</v>
      </c>
      <c r="T483" s="10" t="s">
        <v>116</v>
      </c>
      <c r="U483" s="8"/>
      <c r="V483" s="7"/>
      <c r="W483" s="28"/>
      <c r="AA483" s="28"/>
      <c r="AB483" s="33"/>
      <c r="AC483" s="6"/>
      <c r="AD483" s="7"/>
      <c r="AE483" s="8"/>
      <c r="AF483" s="8"/>
      <c r="AG483" s="8"/>
      <c r="AH483" s="6"/>
      <c r="AI483" s="7"/>
      <c r="AJ483" s="8"/>
      <c r="AK483" s="29"/>
      <c r="AL483" s="164"/>
      <c r="AM483" s="7"/>
      <c r="AN483" s="28"/>
      <c r="AP483" s="84" t="s">
        <v>56</v>
      </c>
      <c r="AQ483" s="42">
        <v>18</v>
      </c>
      <c r="AR483" s="54">
        <v>14</v>
      </c>
      <c r="AS483" s="42"/>
      <c r="AT483" s="40"/>
      <c r="AU483" s="28"/>
      <c r="AV483" s="28"/>
      <c r="AW483" s="28"/>
      <c r="AX483" s="28"/>
      <c r="AY483" s="40"/>
      <c r="AZ483" s="28"/>
      <c r="BA483" s="28"/>
      <c r="BB483" s="47" t="s">
        <v>84</v>
      </c>
      <c r="BC483" s="47">
        <f>SUM(BC480:BC482)</f>
        <v>1059</v>
      </c>
      <c r="BD483" s="49">
        <f>SUM(BD480:BD482)</f>
        <v>969</v>
      </c>
      <c r="BE483" s="81">
        <v>0</v>
      </c>
      <c r="BF483" s="27">
        <v>0</v>
      </c>
      <c r="BG483" s="82">
        <f>+BG480</f>
        <v>0</v>
      </c>
      <c r="BH483" s="74">
        <v>0</v>
      </c>
      <c r="BI483" s="74">
        <v>0</v>
      </c>
      <c r="BJ483" s="47"/>
      <c r="BK483" s="51"/>
      <c r="BL483" s="49">
        <f>SUM(BJ482)</f>
        <v>61</v>
      </c>
    </row>
    <row r="484" spans="1:65" ht="15" thickBot="1" x14ac:dyDescent="0.35">
      <c r="A484" s="76" t="s">
        <v>84</v>
      </c>
      <c r="B484" s="42">
        <f>SUM(B482:B483)</f>
        <v>2613</v>
      </c>
      <c r="C484" s="40">
        <f>SUM(C482:C483)</f>
        <v>3503</v>
      </c>
      <c r="D484" s="28"/>
      <c r="E484" s="28">
        <f>SUM(E482:E483)</f>
        <v>761</v>
      </c>
      <c r="F484" s="28"/>
      <c r="G484" s="46">
        <f>375*13</f>
        <v>4875</v>
      </c>
      <c r="H484" s="48"/>
      <c r="I484" s="48"/>
      <c r="J484" s="49">
        <f>SUM(H483)</f>
        <v>13</v>
      </c>
      <c r="K484" s="28"/>
      <c r="L484" s="12" t="s">
        <v>99</v>
      </c>
      <c r="M484" s="37">
        <v>63725</v>
      </c>
      <c r="N484" s="37">
        <v>63725</v>
      </c>
      <c r="O484" s="10"/>
      <c r="P484" s="18"/>
      <c r="Q484" s="11"/>
      <c r="R484" s="18">
        <v>8215</v>
      </c>
      <c r="S484" s="18">
        <v>157</v>
      </c>
      <c r="T484" s="10"/>
      <c r="U484" s="18"/>
      <c r="V484" s="11"/>
      <c r="W484" s="28"/>
      <c r="AA484" s="28"/>
      <c r="AB484" s="67"/>
      <c r="AC484" s="42"/>
      <c r="AD484" s="40"/>
      <c r="AE484" s="28"/>
      <c r="AF484" s="28"/>
      <c r="AG484" s="28"/>
      <c r="AH484" s="42"/>
      <c r="AI484" s="40"/>
      <c r="AJ484" s="28"/>
      <c r="AK484" s="42"/>
      <c r="AL484" s="54" t="s">
        <v>831</v>
      </c>
      <c r="AM484" s="40"/>
      <c r="AN484" s="28"/>
      <c r="AP484" s="36" t="s">
        <v>67</v>
      </c>
      <c r="AQ484" s="10">
        <v>81</v>
      </c>
      <c r="AR484" s="18">
        <v>68</v>
      </c>
      <c r="AS484" s="42"/>
      <c r="AT484" s="11"/>
      <c r="AU484" s="18"/>
      <c r="AV484" s="18"/>
      <c r="AW484" s="18"/>
      <c r="AX484" s="18"/>
      <c r="AY484" s="11"/>
      <c r="AZ484" s="28"/>
      <c r="BA484" s="28" t="s">
        <v>6</v>
      </c>
      <c r="BB484" s="52" t="s">
        <v>113</v>
      </c>
      <c r="BC484" s="42">
        <v>619</v>
      </c>
      <c r="BD484" s="85">
        <v>574</v>
      </c>
      <c r="BE484" s="37"/>
      <c r="BF484" s="18"/>
      <c r="BG484" s="54"/>
      <c r="BH484" s="52"/>
      <c r="BI484" s="40"/>
      <c r="BJ484" s="67"/>
      <c r="BK484" s="34" t="s">
        <v>130</v>
      </c>
      <c r="BL484" s="40"/>
    </row>
    <row r="485" spans="1:65" ht="15" thickBot="1" x14ac:dyDescent="0.35">
      <c r="A485" s="33" t="s">
        <v>785</v>
      </c>
      <c r="B485" s="33">
        <v>1261</v>
      </c>
      <c r="C485" s="35">
        <v>1321</v>
      </c>
      <c r="D485" s="33"/>
      <c r="E485" s="34"/>
      <c r="F485" s="34"/>
      <c r="G485" s="32">
        <v>1500</v>
      </c>
      <c r="H485" s="33" t="s">
        <v>118</v>
      </c>
      <c r="I485" s="34"/>
      <c r="J485" s="35"/>
      <c r="K485" s="28"/>
      <c r="L485" s="12" t="s">
        <v>120</v>
      </c>
      <c r="M485" s="37">
        <v>77</v>
      </c>
      <c r="N485" s="37">
        <v>4919</v>
      </c>
      <c r="O485" s="10"/>
      <c r="P485" s="18"/>
      <c r="Q485" s="11"/>
      <c r="R485" s="18">
        <v>404</v>
      </c>
      <c r="S485" s="18">
        <v>17</v>
      </c>
      <c r="T485" s="10"/>
      <c r="U485" s="18"/>
      <c r="V485" s="11"/>
      <c r="W485" s="28"/>
      <c r="AA485" s="28"/>
      <c r="AB485" s="36"/>
      <c r="AC485" s="10"/>
      <c r="AD485" s="11"/>
      <c r="AE485" s="18"/>
      <c r="AF485" s="18"/>
      <c r="AG485" s="18"/>
      <c r="AH485" s="10"/>
      <c r="AI485" s="11"/>
      <c r="AJ485" s="18"/>
      <c r="AK485" s="10"/>
      <c r="AL485" s="37"/>
      <c r="AM485" s="11"/>
      <c r="AN485" s="28"/>
      <c r="AP485" s="13" t="s">
        <v>84</v>
      </c>
      <c r="AQ485" s="13">
        <f>SUM(AQ473:AQ484)</f>
        <v>278</v>
      </c>
      <c r="AR485" s="27">
        <f>SUM(AR473:AR484)</f>
        <v>199</v>
      </c>
      <c r="AS485" s="47"/>
      <c r="AT485" s="26">
        <f>SUM(AT477:AT484)</f>
        <v>0</v>
      </c>
      <c r="AU485" s="27"/>
      <c r="AV485" s="27"/>
      <c r="AW485" s="27"/>
      <c r="AX485" s="27"/>
      <c r="AY485" s="26">
        <f>SUM(AV477:AV479)</f>
        <v>87</v>
      </c>
      <c r="AZ485" s="28"/>
      <c r="BA485" s="28"/>
      <c r="BB485" s="42" t="s">
        <v>475</v>
      </c>
      <c r="BC485" s="67"/>
      <c r="BD485" s="85"/>
      <c r="BE485" s="28"/>
      <c r="BF485" s="18"/>
      <c r="BG485" s="28"/>
      <c r="BH485" s="52"/>
      <c r="BI485" s="86"/>
      <c r="BJ485" s="52">
        <v>47</v>
      </c>
      <c r="BK485" s="43" t="s">
        <v>73</v>
      </c>
      <c r="BL485" s="40"/>
      <c r="BM485" t="s">
        <v>6</v>
      </c>
    </row>
    <row r="486" spans="1:65" ht="15" thickBot="1" x14ac:dyDescent="0.35">
      <c r="A486" s="67" t="s">
        <v>93</v>
      </c>
      <c r="B486" s="67">
        <v>8319</v>
      </c>
      <c r="C486" s="56">
        <v>9143</v>
      </c>
      <c r="G486" s="41">
        <v>17280</v>
      </c>
      <c r="H486" s="42"/>
      <c r="I486" s="28"/>
      <c r="J486" s="40"/>
      <c r="K486" s="28"/>
      <c r="L486" s="12" t="s">
        <v>84</v>
      </c>
      <c r="M486" s="18">
        <f>SUM(M483:M485)</f>
        <v>63802</v>
      </c>
      <c r="N486" s="18">
        <f>SUM(N483:N485)</f>
        <v>68644</v>
      </c>
      <c r="O486" s="10">
        <v>0</v>
      </c>
      <c r="P486" s="18">
        <v>0</v>
      </c>
      <c r="Q486" s="11">
        <v>0</v>
      </c>
      <c r="R486" s="18">
        <f>SUM(R483:R485)</f>
        <v>8619</v>
      </c>
      <c r="S486" s="18">
        <f>SUM(S483:S485)</f>
        <v>174</v>
      </c>
      <c r="T486" s="10"/>
      <c r="U486" s="18"/>
      <c r="V486" s="11"/>
      <c r="W486" s="28"/>
      <c r="AA486" s="28"/>
      <c r="AB486" s="42"/>
      <c r="AC486" s="42"/>
      <c r="AD486" s="40"/>
      <c r="AE486" s="28"/>
      <c r="AF486" s="28"/>
      <c r="AG486" s="28"/>
      <c r="AH486" s="42"/>
      <c r="AI486" s="40"/>
      <c r="AJ486" s="28"/>
      <c r="AK486" s="42">
        <v>1</v>
      </c>
      <c r="AL486" s="28" t="s">
        <v>124</v>
      </c>
      <c r="AM486" s="40"/>
      <c r="AN486" s="28"/>
      <c r="AP486" s="32"/>
      <c r="AQ486" s="53"/>
      <c r="AR486" s="97"/>
      <c r="AS486" s="33"/>
      <c r="AT486" s="7"/>
      <c r="AU486" s="6"/>
      <c r="AV486" s="8"/>
      <c r="AW486" s="31"/>
      <c r="AX486" s="8"/>
      <c r="AY486" s="7"/>
      <c r="AZ486" s="28"/>
      <c r="BA486" s="28"/>
      <c r="BB486" s="59" t="s">
        <v>84</v>
      </c>
      <c r="BC486" s="13">
        <f>SUM(BC484:BC485)</f>
        <v>619</v>
      </c>
      <c r="BD486" s="60">
        <f>SUM(BD484:BD485)</f>
        <v>574</v>
      </c>
      <c r="BE486" s="81">
        <v>0</v>
      </c>
      <c r="BF486" s="27">
        <v>0</v>
      </c>
      <c r="BG486" s="27">
        <v>0</v>
      </c>
      <c r="BH486" s="13">
        <v>0</v>
      </c>
      <c r="BI486" s="26">
        <v>0</v>
      </c>
      <c r="BJ486" s="13"/>
      <c r="BK486" s="43"/>
      <c r="BL486" s="26">
        <f>SUM(BJ484:BJ485)</f>
        <v>47</v>
      </c>
    </row>
    <row r="487" spans="1:65" ht="15" thickBot="1" x14ac:dyDescent="0.35">
      <c r="A487" s="42" t="s">
        <v>120</v>
      </c>
      <c r="B487" s="42">
        <v>4094</v>
      </c>
      <c r="C487" s="40">
        <v>4624</v>
      </c>
      <c r="D487" s="42"/>
      <c r="E487" s="107" t="s">
        <v>60</v>
      </c>
      <c r="F487" s="28"/>
      <c r="G487" s="41">
        <v>5900</v>
      </c>
      <c r="H487" s="42">
        <v>102</v>
      </c>
      <c r="I487" s="28" t="s">
        <v>101</v>
      </c>
      <c r="J487" s="40"/>
      <c r="K487" s="28"/>
      <c r="L487" s="17"/>
      <c r="M487" s="27"/>
      <c r="N487" s="27"/>
      <c r="O487" s="13"/>
      <c r="P487" s="27"/>
      <c r="Q487" s="26"/>
      <c r="R487" s="27"/>
      <c r="S487" s="27"/>
      <c r="T487" s="13"/>
      <c r="U487" s="27"/>
      <c r="V487" s="26"/>
      <c r="W487" s="28"/>
      <c r="AA487" s="28"/>
      <c r="AB487" s="47"/>
      <c r="AC487" s="47"/>
      <c r="AD487" s="49"/>
      <c r="AE487" s="48"/>
      <c r="AF487" s="48"/>
      <c r="AG487" s="48"/>
      <c r="AH487" s="47"/>
      <c r="AI487" s="49"/>
      <c r="AJ487" s="48"/>
      <c r="AK487" s="165"/>
      <c r="AL487" s="48"/>
      <c r="AM487" s="49"/>
      <c r="AN487" s="28"/>
      <c r="AP487" s="62"/>
      <c r="AQ487" s="72"/>
      <c r="AR487" s="73"/>
      <c r="AS487" s="47"/>
      <c r="AT487" s="49"/>
      <c r="AU487" s="47"/>
      <c r="AV487" s="48"/>
      <c r="AW487" s="48"/>
      <c r="AX487" s="48"/>
      <c r="AY487" s="49"/>
      <c r="BA487" s="28"/>
      <c r="BB487" s="88" t="s">
        <v>139</v>
      </c>
      <c r="BC487" s="33">
        <v>0</v>
      </c>
      <c r="BD487" s="34">
        <v>0</v>
      </c>
      <c r="BE487" s="152"/>
      <c r="BF487" s="89"/>
      <c r="BG487" s="66"/>
      <c r="BH487" s="8"/>
      <c r="BI487" s="35"/>
      <c r="BJ487" s="34" t="s">
        <v>140</v>
      </c>
      <c r="BK487" s="34"/>
      <c r="BL487" s="35"/>
    </row>
    <row r="488" spans="1:65" ht="15" thickBot="1" x14ac:dyDescent="0.35">
      <c r="A488" s="47" t="s">
        <v>84</v>
      </c>
      <c r="B488" s="47">
        <f>SUM(B485:B487)</f>
        <v>13674</v>
      </c>
      <c r="C488" s="49">
        <f>SUM(C485:C487)</f>
        <v>15088</v>
      </c>
      <c r="D488" s="47"/>
      <c r="E488" s="48"/>
      <c r="F488" s="48"/>
      <c r="G488" s="46">
        <f>SUM(G485:G487)</f>
        <v>24680</v>
      </c>
      <c r="H488" s="47"/>
      <c r="I488" s="48"/>
      <c r="J488" s="49">
        <f>SUM(H487:H488)</f>
        <v>102</v>
      </c>
      <c r="K488" s="28"/>
      <c r="L488" s="12" t="s">
        <v>105</v>
      </c>
      <c r="M488" s="34">
        <v>1371</v>
      </c>
      <c r="N488" s="34">
        <v>280</v>
      </c>
      <c r="O488" s="33"/>
      <c r="P488" s="34"/>
      <c r="Q488" s="35"/>
      <c r="R488" s="34">
        <v>0</v>
      </c>
      <c r="S488" s="34">
        <v>0</v>
      </c>
      <c r="T488" s="33"/>
      <c r="U488" s="34"/>
      <c r="V488" s="35"/>
      <c r="W488" s="28"/>
      <c r="AA488" s="28"/>
      <c r="AB488" s="32" t="s">
        <v>97</v>
      </c>
      <c r="AC488" s="28">
        <v>144</v>
      </c>
      <c r="AD488" s="28">
        <v>128</v>
      </c>
      <c r="AE488" s="33"/>
      <c r="AF488" s="34"/>
      <c r="AG488" s="34"/>
      <c r="AH488" s="33"/>
      <c r="AI488" s="35"/>
      <c r="AJ488" s="35"/>
      <c r="AK488" s="33"/>
      <c r="AL488" s="34"/>
      <c r="AM488" s="35"/>
      <c r="AN488" s="28"/>
      <c r="AP488" s="67" t="s">
        <v>63</v>
      </c>
      <c r="AQ488" s="33">
        <v>2</v>
      </c>
      <c r="AR488" s="35">
        <v>3</v>
      </c>
      <c r="AU488" s="33"/>
      <c r="AV488" s="34"/>
      <c r="AW488" s="34"/>
      <c r="AX488" s="34"/>
      <c r="AY488" s="35"/>
      <c r="AZ488" s="28"/>
      <c r="BA488" s="28"/>
      <c r="BB488" s="42" t="s">
        <v>108</v>
      </c>
      <c r="BC488" s="42">
        <v>2</v>
      </c>
      <c r="BD488" s="43">
        <v>6</v>
      </c>
      <c r="BE488" s="42"/>
      <c r="BF488" s="28"/>
      <c r="BG488" s="40"/>
      <c r="BH488" s="28"/>
      <c r="BI488" s="40"/>
      <c r="BJ488" s="28"/>
      <c r="BK488" s="28"/>
      <c r="BL488" s="40"/>
    </row>
    <row r="489" spans="1:65" x14ac:dyDescent="0.3">
      <c r="A489" s="41" t="s">
        <v>88</v>
      </c>
      <c r="B489" s="42">
        <v>310</v>
      </c>
      <c r="C489" s="40">
        <v>674</v>
      </c>
      <c r="D489" s="28"/>
      <c r="E489" s="45">
        <v>0</v>
      </c>
      <c r="F489" s="40"/>
      <c r="G489" s="40"/>
      <c r="H489" s="28" t="s">
        <v>131</v>
      </c>
      <c r="J489" s="40"/>
      <c r="K489" s="28"/>
      <c r="L489" s="44" t="s">
        <v>99</v>
      </c>
      <c r="M489" s="18">
        <v>1456</v>
      </c>
      <c r="N489" s="18">
        <v>0</v>
      </c>
      <c r="O489" s="10"/>
      <c r="P489" s="18"/>
      <c r="Q489" s="11"/>
      <c r="R489" s="18">
        <v>0</v>
      </c>
      <c r="S489" s="18">
        <v>0</v>
      </c>
      <c r="T489" s="10" t="s">
        <v>135</v>
      </c>
      <c r="U489" s="18"/>
      <c r="V489" s="11"/>
      <c r="W489" s="28"/>
      <c r="AA489" s="28"/>
      <c r="AB489" s="41" t="s">
        <v>89</v>
      </c>
      <c r="AC489" s="28">
        <v>413</v>
      </c>
      <c r="AD489" s="28">
        <v>343</v>
      </c>
      <c r="AE489" s="42"/>
      <c r="AF489" s="28"/>
      <c r="AG489" s="28"/>
      <c r="AH489" s="42"/>
      <c r="AI489" s="40"/>
      <c r="AJ489" s="40"/>
      <c r="AK489" s="42" t="s">
        <v>832</v>
      </c>
      <c r="AL489" s="28"/>
      <c r="AM489" s="40"/>
      <c r="AN489" s="28"/>
      <c r="AP489" s="67" t="s">
        <v>716</v>
      </c>
      <c r="AQ489" s="42">
        <v>0</v>
      </c>
      <c r="AR489" s="40">
        <v>0</v>
      </c>
      <c r="AU489" s="42"/>
      <c r="AV489" s="28"/>
      <c r="AW489" s="28"/>
      <c r="AX489" s="28"/>
      <c r="AY489" s="40"/>
      <c r="AZ489" s="28"/>
      <c r="BA489" s="28"/>
      <c r="BB489" s="153" t="s">
        <v>214</v>
      </c>
      <c r="BC489" s="42">
        <v>0</v>
      </c>
      <c r="BD489" s="43">
        <v>5</v>
      </c>
      <c r="BE489" s="42"/>
      <c r="BF489" s="28"/>
      <c r="BG489" s="40"/>
      <c r="BH489" s="28"/>
      <c r="BI489" s="40"/>
      <c r="BJ489" s="28"/>
      <c r="BK489" s="28"/>
      <c r="BL489" s="40"/>
    </row>
    <row r="490" spans="1:65" x14ac:dyDescent="0.3">
      <c r="A490" s="41" t="s">
        <v>102</v>
      </c>
      <c r="B490" s="42">
        <v>462</v>
      </c>
      <c r="C490" s="85">
        <v>591</v>
      </c>
      <c r="D490" s="28"/>
      <c r="E490" s="45">
        <v>0</v>
      </c>
      <c r="F490" s="40"/>
      <c r="G490" s="40"/>
      <c r="H490" s="43">
        <v>10</v>
      </c>
      <c r="I490" s="28" t="s">
        <v>134</v>
      </c>
      <c r="J490" s="40"/>
      <c r="K490" s="28"/>
      <c r="L490" s="12"/>
      <c r="M490" s="18"/>
      <c r="N490" s="18"/>
      <c r="O490" s="10"/>
      <c r="P490" s="18"/>
      <c r="Q490" s="11"/>
      <c r="R490" s="18"/>
      <c r="S490" s="18"/>
      <c r="T490" s="10"/>
      <c r="U490" s="18"/>
      <c r="V490" s="11"/>
      <c r="W490" s="28"/>
      <c r="AA490" s="28"/>
      <c r="AB490" s="44" t="s">
        <v>137</v>
      </c>
      <c r="AC490" s="18">
        <v>360</v>
      </c>
      <c r="AD490" s="18">
        <v>357</v>
      </c>
      <c r="AE490" s="10"/>
      <c r="AF490" s="18"/>
      <c r="AG490" s="18"/>
      <c r="AH490" s="52"/>
      <c r="AI490" s="85"/>
      <c r="AJ490" s="40"/>
      <c r="AK490" s="84" t="s">
        <v>833</v>
      </c>
      <c r="AL490" s="37"/>
      <c r="AM490" s="40"/>
      <c r="AN490" s="28"/>
      <c r="AP490" s="52" t="s">
        <v>56</v>
      </c>
      <c r="AQ490" s="52">
        <v>2</v>
      </c>
      <c r="AR490" s="85">
        <v>5</v>
      </c>
      <c r="AS490" s="28"/>
      <c r="AT490" s="28"/>
      <c r="AU490" s="42"/>
      <c r="AV490" s="28" t="s">
        <v>173</v>
      </c>
      <c r="AW490" s="28"/>
      <c r="AX490" s="28"/>
      <c r="AY490" s="40"/>
      <c r="AZ490" s="28"/>
      <c r="BA490" s="28"/>
      <c r="BB490" s="92" t="s">
        <v>113</v>
      </c>
      <c r="BC490" s="67">
        <f>1+16+9+9+1+6+2</f>
        <v>44</v>
      </c>
      <c r="BD490" s="43">
        <f>13+1+26+6+6</f>
        <v>52</v>
      </c>
      <c r="BE490" s="52"/>
      <c r="BF490" s="54"/>
      <c r="BG490" s="85"/>
      <c r="BH490" s="18"/>
      <c r="BI490" s="40"/>
      <c r="BJ490" s="18" t="s">
        <v>142</v>
      </c>
      <c r="BK490" s="18"/>
      <c r="BL490" s="39" t="s">
        <v>814</v>
      </c>
    </row>
    <row r="491" spans="1:65" ht="15" thickBot="1" x14ac:dyDescent="0.35">
      <c r="A491" s="87" t="s">
        <v>84</v>
      </c>
      <c r="B491" s="59">
        <f>SUM(B489:B490)</f>
        <v>772</v>
      </c>
      <c r="C491" s="26">
        <f>SUM(C489:C490)</f>
        <v>1265</v>
      </c>
      <c r="D491" s="27"/>
      <c r="E491" s="16">
        <f>SUM(E487:E490)</f>
        <v>0</v>
      </c>
      <c r="F491" s="26"/>
      <c r="G491" s="49">
        <f>1510+300</f>
        <v>1810</v>
      </c>
      <c r="H491" s="48">
        <v>3</v>
      </c>
      <c r="I491" s="189" t="s">
        <v>815</v>
      </c>
      <c r="J491" s="49">
        <f>SUM(H489:H490)</f>
        <v>10</v>
      </c>
      <c r="K491" s="28"/>
      <c r="L491" s="12" t="s">
        <v>84</v>
      </c>
      <c r="M491" s="18">
        <f>SUM(M488:M490)</f>
        <v>2827</v>
      </c>
      <c r="N491" s="18">
        <f>SUM(N488:N490)</f>
        <v>280</v>
      </c>
      <c r="O491" s="10">
        <v>0</v>
      </c>
      <c r="P491" s="18">
        <v>0</v>
      </c>
      <c r="Q491" s="11">
        <v>0</v>
      </c>
      <c r="R491" s="18">
        <f>SUM(R488:R490)</f>
        <v>0</v>
      </c>
      <c r="S491" s="18">
        <f>SUM(S488:S490)</f>
        <v>0</v>
      </c>
      <c r="T491" s="10"/>
      <c r="U491" s="18"/>
      <c r="V491" s="11"/>
      <c r="W491" s="28"/>
      <c r="AA491" s="28"/>
      <c r="AB491" s="41" t="s">
        <v>84</v>
      </c>
      <c r="AC491" s="28">
        <f>SUM(AC488:AC490)</f>
        <v>917</v>
      </c>
      <c r="AD491" s="28">
        <f>SUM(AD488:AD490)</f>
        <v>828</v>
      </c>
      <c r="AE491" s="42">
        <v>0</v>
      </c>
      <c r="AF491" s="28">
        <v>0</v>
      </c>
      <c r="AG491" s="28">
        <v>0</v>
      </c>
      <c r="AH491" s="42">
        <v>0</v>
      </c>
      <c r="AI491" s="40">
        <v>0</v>
      </c>
      <c r="AJ491" s="40">
        <v>0</v>
      </c>
      <c r="AK491" s="67">
        <v>22</v>
      </c>
      <c r="AL491" s="28" t="s">
        <v>141</v>
      </c>
      <c r="AM491" s="40"/>
      <c r="AN491" s="28"/>
      <c r="AP491" s="52" t="s">
        <v>67</v>
      </c>
      <c r="AQ491" s="52">
        <v>9</v>
      </c>
      <c r="AR491" s="56">
        <v>8</v>
      </c>
      <c r="AU491" s="42"/>
      <c r="AV491" s="28">
        <v>0</v>
      </c>
      <c r="AW491" s="28" t="s">
        <v>213</v>
      </c>
      <c r="AX491" s="28"/>
      <c r="AY491" s="40"/>
      <c r="AZ491" s="28"/>
      <c r="BA491" s="28"/>
      <c r="BB491" s="42" t="s">
        <v>657</v>
      </c>
      <c r="BC491" s="67">
        <v>6</v>
      </c>
      <c r="BD491" s="43">
        <v>6</v>
      </c>
      <c r="BE491" s="52"/>
      <c r="BF491" s="54"/>
      <c r="BG491" s="85"/>
      <c r="BH491" s="18"/>
      <c r="BI491" s="40"/>
      <c r="BJ491" s="154" t="s">
        <v>146</v>
      </c>
      <c r="BK491" s="28"/>
      <c r="BL491" s="94" t="s">
        <v>253</v>
      </c>
    </row>
    <row r="492" spans="1:65" ht="15" thickBot="1" x14ac:dyDescent="0.35">
      <c r="A492" s="36" t="s">
        <v>93</v>
      </c>
      <c r="B492" s="42">
        <v>8502</v>
      </c>
      <c r="C492" s="90">
        <v>9128</v>
      </c>
      <c r="D492" s="3"/>
      <c r="E492" s="91" t="s">
        <v>60</v>
      </c>
      <c r="F492" s="18"/>
      <c r="G492" s="44">
        <v>18638</v>
      </c>
      <c r="H492" s="10" t="s">
        <v>116</v>
      </c>
      <c r="I492" s="18"/>
      <c r="J492" s="11"/>
      <c r="K492" s="28"/>
      <c r="L492" s="12"/>
      <c r="M492" s="18"/>
      <c r="N492" s="18"/>
      <c r="O492" s="10"/>
      <c r="P492" s="18"/>
      <c r="Q492" s="11"/>
      <c r="R492" s="18"/>
      <c r="S492" s="18"/>
      <c r="T492" s="10"/>
      <c r="U492" s="18"/>
      <c r="V492" s="11"/>
      <c r="W492" s="28"/>
      <c r="AA492" s="28"/>
      <c r="AB492" s="46"/>
      <c r="AC492" s="48"/>
      <c r="AD492" s="48"/>
      <c r="AE492" s="47"/>
      <c r="AF492" s="48"/>
      <c r="AG492" s="48"/>
      <c r="AH492" s="47"/>
      <c r="AI492" s="49"/>
      <c r="AJ492" s="49"/>
      <c r="AK492" s="47"/>
      <c r="AL492" s="48" t="s">
        <v>145</v>
      </c>
      <c r="AM492" s="49"/>
      <c r="AN492" s="28"/>
      <c r="AP492" s="10" t="s">
        <v>78</v>
      </c>
      <c r="AQ492" s="52">
        <v>1</v>
      </c>
      <c r="AR492" s="85">
        <v>1</v>
      </c>
      <c r="AS492" s="28"/>
      <c r="AT492" s="28"/>
      <c r="AU492" s="42"/>
      <c r="AV492" s="28">
        <v>18</v>
      </c>
      <c r="AW492" s="28" t="s">
        <v>183</v>
      </c>
      <c r="AX492" s="28"/>
      <c r="AY492" s="40"/>
      <c r="AZ492" s="28"/>
      <c r="BA492" s="28"/>
      <c r="BB492" s="127" t="s">
        <v>817</v>
      </c>
      <c r="BC492" s="67">
        <v>0</v>
      </c>
      <c r="BD492" s="43">
        <v>4</v>
      </c>
      <c r="BE492" s="42"/>
      <c r="BF492" s="28"/>
      <c r="BG492" s="40"/>
      <c r="BH492" s="28"/>
      <c r="BI492" s="40"/>
      <c r="BJ492" s="28"/>
      <c r="BK492" s="28"/>
      <c r="BL492" s="40"/>
    </row>
    <row r="493" spans="1:65" x14ac:dyDescent="0.3">
      <c r="A493" s="10" t="s">
        <v>99</v>
      </c>
      <c r="B493" s="42">
        <v>15071</v>
      </c>
      <c r="C493" s="40">
        <v>18004</v>
      </c>
      <c r="D493" s="3"/>
      <c r="E493" s="91" t="s">
        <v>60</v>
      </c>
      <c r="F493" s="18"/>
      <c r="G493" s="12">
        <v>19301</v>
      </c>
      <c r="H493" s="10">
        <v>110</v>
      </c>
      <c r="I493" s="37" t="s">
        <v>144</v>
      </c>
      <c r="J493" s="11"/>
      <c r="K493" s="28"/>
      <c r="L493" s="12"/>
      <c r="M493" s="18"/>
      <c r="N493" s="18"/>
      <c r="O493" s="10"/>
      <c r="P493" s="18"/>
      <c r="Q493" s="11"/>
      <c r="R493" s="18"/>
      <c r="S493" s="18"/>
      <c r="T493" s="10"/>
      <c r="U493" s="18"/>
      <c r="V493" s="11"/>
      <c r="W493" s="28"/>
      <c r="AA493" s="28"/>
      <c r="AB493" s="42"/>
      <c r="AC493" s="42"/>
      <c r="AD493" s="40"/>
      <c r="AE493" s="28"/>
      <c r="AF493" s="28"/>
      <c r="AG493" s="28"/>
      <c r="AH493" s="42"/>
      <c r="AI493" s="28"/>
      <c r="AJ493" s="41"/>
      <c r="AK493" s="28" t="s">
        <v>149</v>
      </c>
      <c r="AL493" s="28"/>
      <c r="AM493" s="40"/>
      <c r="AN493" s="28" t="s">
        <v>6</v>
      </c>
      <c r="AO493" s="95"/>
      <c r="AP493" s="52" t="s">
        <v>115</v>
      </c>
      <c r="AQ493" s="52">
        <v>0</v>
      </c>
      <c r="AR493" s="85">
        <v>0</v>
      </c>
      <c r="AS493" s="28"/>
      <c r="AT493" s="28"/>
      <c r="AU493" s="42"/>
      <c r="AV493" s="28" t="s">
        <v>6</v>
      </c>
      <c r="AW493" s="28"/>
      <c r="AX493" s="28"/>
      <c r="AY493" s="40"/>
      <c r="AZ493" s="28"/>
      <c r="BA493" s="28"/>
      <c r="BB493" s="52" t="s">
        <v>133</v>
      </c>
      <c r="BC493" s="67">
        <f>4+14</f>
        <v>18</v>
      </c>
      <c r="BD493" s="43">
        <f>2+25+1</f>
        <v>28</v>
      </c>
      <c r="BE493" s="52" t="s">
        <v>150</v>
      </c>
      <c r="BF493" s="54"/>
      <c r="BG493" s="85"/>
      <c r="BH493" s="18"/>
      <c r="BI493" s="40"/>
      <c r="BJ493" s="28" t="s">
        <v>151</v>
      </c>
      <c r="BK493" s="28"/>
      <c r="BL493" s="185"/>
    </row>
    <row r="494" spans="1:65" ht="15" thickBot="1" x14ac:dyDescent="0.35">
      <c r="A494" s="10" t="s">
        <v>120</v>
      </c>
      <c r="B494" s="42">
        <v>4758</v>
      </c>
      <c r="C494" s="40">
        <v>4587</v>
      </c>
      <c r="D494" s="3"/>
      <c r="E494" s="91" t="s">
        <v>60</v>
      </c>
      <c r="F494" s="18"/>
      <c r="G494" s="12">
        <v>9236</v>
      </c>
      <c r="H494" s="84">
        <v>41</v>
      </c>
      <c r="I494" s="37" t="s">
        <v>148</v>
      </c>
      <c r="J494" s="11"/>
      <c r="K494" s="28"/>
      <c r="L494" s="44"/>
      <c r="M494" s="18"/>
      <c r="N494" s="18"/>
      <c r="O494" s="10"/>
      <c r="P494" s="18"/>
      <c r="Q494" s="11"/>
      <c r="R494" s="18"/>
      <c r="S494" s="18"/>
      <c r="T494" s="10"/>
      <c r="U494" s="18"/>
      <c r="V494" s="11"/>
      <c r="W494" s="28"/>
      <c r="Y494" t="s">
        <v>6</v>
      </c>
      <c r="AB494" s="36" t="s">
        <v>99</v>
      </c>
      <c r="AC494" s="10">
        <v>0</v>
      </c>
      <c r="AD494" s="11">
        <v>0</v>
      </c>
      <c r="AE494" s="18">
        <v>0</v>
      </c>
      <c r="AF494" s="18">
        <v>0</v>
      </c>
      <c r="AG494" s="18">
        <v>0</v>
      </c>
      <c r="AH494" s="52">
        <v>87759</v>
      </c>
      <c r="AI494" s="45">
        <v>10984</v>
      </c>
      <c r="AJ494" s="41">
        <v>0</v>
      </c>
      <c r="AK494" s="45">
        <v>5</v>
      </c>
      <c r="AL494" s="37" t="s">
        <v>153</v>
      </c>
      <c r="AM494" s="40"/>
      <c r="AP494" s="52" t="s">
        <v>72</v>
      </c>
      <c r="AQ494" s="52">
        <v>1</v>
      </c>
      <c r="AR494" s="85">
        <v>1</v>
      </c>
      <c r="AU494" s="42"/>
      <c r="AV494" s="28"/>
      <c r="AW494" s="28"/>
      <c r="AX494" s="28"/>
      <c r="AY494" s="40"/>
      <c r="AZ494" s="28"/>
      <c r="BA494" s="28"/>
      <c r="BB494" s="52" t="s">
        <v>85</v>
      </c>
      <c r="BC494" s="42">
        <f>2+6+2</f>
        <v>10</v>
      </c>
      <c r="BD494" s="43">
        <f>7+1+2</f>
        <v>10</v>
      </c>
      <c r="BE494" s="42"/>
      <c r="BF494" s="54"/>
      <c r="BG494" s="40"/>
      <c r="BH494" s="45"/>
      <c r="BI494" s="56"/>
      <c r="BJ494" s="43" t="s">
        <v>700</v>
      </c>
      <c r="BK494" s="28"/>
      <c r="BL494" s="40" t="s">
        <v>6</v>
      </c>
    </row>
    <row r="495" spans="1:65" ht="16.2" thickBot="1" x14ac:dyDescent="0.35">
      <c r="A495" s="10" t="s">
        <v>84</v>
      </c>
      <c r="B495" s="42">
        <f>SUM(B492:B494)</f>
        <v>28331</v>
      </c>
      <c r="C495" s="40">
        <f>SUM(C492:C494)</f>
        <v>31719</v>
      </c>
      <c r="D495" s="3"/>
      <c r="E495" s="91" t="s">
        <v>60</v>
      </c>
      <c r="F495" s="18"/>
      <c r="G495" s="12">
        <f>SUM(G492:G494)</f>
        <v>47175</v>
      </c>
      <c r="H495" s="42">
        <v>30</v>
      </c>
      <c r="I495" s="54" t="s">
        <v>152</v>
      </c>
      <c r="J495" s="40"/>
      <c r="K495" s="28"/>
      <c r="L495" s="12"/>
      <c r="M495" s="18"/>
      <c r="N495" s="18"/>
      <c r="O495" s="10"/>
      <c r="P495" s="18"/>
      <c r="Q495" s="11"/>
      <c r="R495" s="18"/>
      <c r="S495" s="18"/>
      <c r="T495" s="10"/>
      <c r="U495" s="18"/>
      <c r="V495" s="11"/>
      <c r="W495" s="28"/>
      <c r="AB495" s="32"/>
      <c r="AC495" s="6"/>
      <c r="AD495" s="7"/>
      <c r="AE495" s="8"/>
      <c r="AF495" s="8"/>
      <c r="AG495" s="8"/>
      <c r="AH495" s="6"/>
      <c r="AI495" s="7"/>
      <c r="AJ495" s="8"/>
      <c r="AK495" s="29" t="s">
        <v>157</v>
      </c>
      <c r="AL495" s="8"/>
      <c r="AM495" s="7"/>
      <c r="AP495" s="52" t="s">
        <v>84</v>
      </c>
      <c r="AQ495" s="47">
        <f>SUM(AQ488:AQ494)</f>
        <v>15</v>
      </c>
      <c r="AR495" s="49">
        <f>SUM(AR488:AR494)</f>
        <v>18</v>
      </c>
      <c r="AS495" s="28"/>
      <c r="AT495" s="28"/>
      <c r="AU495" s="47"/>
      <c r="AV495" s="48"/>
      <c r="AW495" s="48"/>
      <c r="AX495" s="48"/>
      <c r="AY495" s="49">
        <f>SUM(AV492)</f>
        <v>18</v>
      </c>
      <c r="AZ495" s="28"/>
      <c r="BA495" s="28"/>
      <c r="BB495" s="151" t="s">
        <v>93</v>
      </c>
      <c r="BC495" s="36">
        <v>2</v>
      </c>
      <c r="BD495" s="37">
        <v>3</v>
      </c>
      <c r="BE495" s="10"/>
      <c r="BF495" s="18"/>
      <c r="BG495" s="11"/>
      <c r="BH495" s="18"/>
      <c r="BI495" s="11"/>
      <c r="BJ495" s="158" t="s">
        <v>834</v>
      </c>
      <c r="BK495" s="178" t="s">
        <v>835</v>
      </c>
      <c r="BL495" s="114"/>
    </row>
    <row r="496" spans="1:65" ht="15" thickBot="1" x14ac:dyDescent="0.35">
      <c r="A496" s="13"/>
      <c r="B496" s="47"/>
      <c r="C496" s="49"/>
      <c r="D496" s="27"/>
      <c r="E496" s="27"/>
      <c r="F496" s="27"/>
      <c r="G496" s="17"/>
      <c r="H496" s="47"/>
      <c r="I496" s="27"/>
      <c r="J496" s="60">
        <f>SUM(H493:H495)</f>
        <v>181</v>
      </c>
      <c r="K496" s="28"/>
      <c r="L496" s="17"/>
      <c r="M496" s="27"/>
      <c r="N496" s="27"/>
      <c r="O496" s="13"/>
      <c r="P496" s="27"/>
      <c r="Q496" s="26"/>
      <c r="R496" s="27"/>
      <c r="S496" s="27"/>
      <c r="T496" s="13"/>
      <c r="U496" s="27"/>
      <c r="V496" s="26"/>
      <c r="W496" s="28"/>
      <c r="AB496" s="68" t="s">
        <v>99</v>
      </c>
      <c r="AC496" s="42">
        <v>0</v>
      </c>
      <c r="AD496" s="40">
        <v>0</v>
      </c>
      <c r="AE496">
        <v>0</v>
      </c>
      <c r="AF496">
        <v>0</v>
      </c>
      <c r="AG496">
        <v>0</v>
      </c>
      <c r="AH496" s="42">
        <v>173719</v>
      </c>
      <c r="AI496" s="40">
        <v>107415</v>
      </c>
      <c r="AJ496" s="43">
        <v>0</v>
      </c>
      <c r="AK496" s="42">
        <v>1</v>
      </c>
      <c r="AL496" s="54" t="s">
        <v>163</v>
      </c>
      <c r="AM496" s="40"/>
      <c r="AP496" s="32" t="s">
        <v>63</v>
      </c>
      <c r="AQ496" s="123">
        <f>1+5</f>
        <v>6</v>
      </c>
      <c r="AR496" s="123">
        <f>12+2+5</f>
        <v>19</v>
      </c>
      <c r="AS496" s="33"/>
      <c r="AT496" s="7"/>
      <c r="AU496" s="6"/>
      <c r="AV496" s="34" t="s">
        <v>140</v>
      </c>
      <c r="AW496" s="8"/>
      <c r="AX496" s="8"/>
      <c r="AY496" s="7"/>
      <c r="AZ496" s="28"/>
      <c r="BA496" s="28"/>
      <c r="BB496" s="42" t="s">
        <v>107</v>
      </c>
      <c r="BC496" s="42">
        <v>1</v>
      </c>
      <c r="BD496" s="54">
        <v>3</v>
      </c>
      <c r="BE496" s="10"/>
      <c r="BF496" s="18"/>
      <c r="BG496" s="11"/>
      <c r="BH496" s="18"/>
      <c r="BI496" s="11"/>
      <c r="BJ496" s="158" t="s">
        <v>379</v>
      </c>
      <c r="BK496" s="186" t="s">
        <v>836</v>
      </c>
      <c r="BL496" s="39" t="s">
        <v>761</v>
      </c>
    </row>
    <row r="497" spans="1:64" ht="15" thickBot="1" x14ac:dyDescent="0.35">
      <c r="A497" s="6" t="s">
        <v>105</v>
      </c>
      <c r="B497" s="6">
        <v>1786</v>
      </c>
      <c r="C497" s="7">
        <v>2488</v>
      </c>
      <c r="D497" s="8"/>
      <c r="E497" s="80">
        <v>1737</v>
      </c>
      <c r="F497" s="66"/>
      <c r="G497" s="8">
        <v>5082</v>
      </c>
      <c r="H497" s="6" t="s">
        <v>162</v>
      </c>
      <c r="I497" s="8"/>
      <c r="J497" s="7"/>
      <c r="L497" s="101" t="s">
        <v>84</v>
      </c>
      <c r="M497" s="102">
        <f>SUM(M491+M486+M481+M479+M475+M470)</f>
        <v>98752</v>
      </c>
      <c r="N497" s="102">
        <f>SUM(N491+N486+N481+N479+N475+N470)</f>
        <v>118015</v>
      </c>
      <c r="O497" s="103">
        <v>0</v>
      </c>
      <c r="P497" s="102">
        <v>0</v>
      </c>
      <c r="Q497" s="104">
        <v>0</v>
      </c>
      <c r="R497" s="102">
        <f>SUM(R491+R486+R481+R479+R470+R475)</f>
        <v>8619</v>
      </c>
      <c r="S497" s="102">
        <f>SUM(S491+S486+S479+S475+S470)</f>
        <v>174</v>
      </c>
      <c r="T497" s="105"/>
      <c r="U497" s="102"/>
      <c r="V497" s="106"/>
      <c r="AB497" s="44" t="s">
        <v>6</v>
      </c>
      <c r="AC497" s="10"/>
      <c r="AD497" s="11"/>
      <c r="AE497" s="18"/>
      <c r="AF497" s="18"/>
      <c r="AG497" s="18"/>
      <c r="AH497" s="10"/>
      <c r="AI497" s="11"/>
      <c r="AJ497" s="18"/>
      <c r="AK497" s="10">
        <v>12</v>
      </c>
      <c r="AL497" s="37" t="s">
        <v>153</v>
      </c>
      <c r="AM497" s="11"/>
      <c r="AP497" s="44" t="s">
        <v>78</v>
      </c>
      <c r="AQ497" s="37">
        <f>2+16+1+3</f>
        <v>22</v>
      </c>
      <c r="AR497" s="37">
        <f>8+8+1+6</f>
        <v>23</v>
      </c>
      <c r="AS497" s="42"/>
      <c r="AT497" s="11"/>
      <c r="AU497" s="10"/>
      <c r="AV497" s="37">
        <v>0</v>
      </c>
      <c r="AW497" s="37" t="s">
        <v>204</v>
      </c>
      <c r="AX497" s="18"/>
      <c r="AY497" s="11"/>
      <c r="AZ497" s="28"/>
      <c r="BA497" s="28"/>
      <c r="BB497" s="36" t="s">
        <v>169</v>
      </c>
      <c r="BC497" s="36">
        <v>7</v>
      </c>
      <c r="BD497" s="37">
        <v>3</v>
      </c>
      <c r="BE497" s="10"/>
      <c r="BF497" s="18"/>
      <c r="BG497" s="11"/>
      <c r="BH497" s="18"/>
      <c r="BI497" s="11"/>
      <c r="BJ497" s="158" t="s">
        <v>539</v>
      </c>
      <c r="BK497" s="37" t="s">
        <v>276</v>
      </c>
      <c r="BL497" s="39" t="s">
        <v>316</v>
      </c>
    </row>
    <row r="498" spans="1:64" ht="15" thickBot="1" x14ac:dyDescent="0.35">
      <c r="A498" s="36" t="s">
        <v>99</v>
      </c>
      <c r="B498" s="10">
        <v>1957</v>
      </c>
      <c r="C498" s="11">
        <v>2851</v>
      </c>
      <c r="D498" s="18"/>
      <c r="E498" s="18">
        <v>2156</v>
      </c>
      <c r="F498" s="85"/>
      <c r="G498" s="18">
        <v>5082</v>
      </c>
      <c r="H498" s="42"/>
      <c r="I498" s="54"/>
      <c r="J498" s="11"/>
      <c r="AB498" s="46" t="s">
        <v>6</v>
      </c>
      <c r="AC498" s="47"/>
      <c r="AD498" s="49"/>
      <c r="AE498" s="48"/>
      <c r="AF498" s="48"/>
      <c r="AG498" s="48"/>
      <c r="AH498" s="47"/>
      <c r="AI498" s="49"/>
      <c r="AJ498" s="48"/>
      <c r="AK498" s="47"/>
      <c r="AL498" s="48"/>
      <c r="AM498" s="49"/>
      <c r="AP498" s="125" t="s">
        <v>209</v>
      </c>
      <c r="AQ498" s="54">
        <v>0</v>
      </c>
      <c r="AR498" s="54">
        <v>1</v>
      </c>
      <c r="AS498" s="42"/>
      <c r="AT498" s="40"/>
      <c r="AU498" s="42"/>
      <c r="AV498" s="28">
        <v>2</v>
      </c>
      <c r="AW498" s="28" t="s">
        <v>210</v>
      </c>
      <c r="AX498" s="28" t="s">
        <v>6</v>
      </c>
      <c r="AY498" s="40"/>
      <c r="AZ498" s="28"/>
      <c r="BA498" s="28"/>
      <c r="BB498" s="36" t="s">
        <v>99</v>
      </c>
      <c r="BC498" s="36">
        <v>0</v>
      </c>
      <c r="BD498" s="37">
        <v>1</v>
      </c>
      <c r="BE498" s="10"/>
      <c r="BF498" s="18"/>
      <c r="BG498" s="11"/>
      <c r="BH498" s="18"/>
      <c r="BI498" s="11"/>
      <c r="BJ498" s="179" t="s">
        <v>837</v>
      </c>
      <c r="BK498" s="37" t="s">
        <v>838</v>
      </c>
      <c r="BL498" s="39" t="s">
        <v>839</v>
      </c>
    </row>
    <row r="499" spans="1:64" x14ac:dyDescent="0.3">
      <c r="A499" s="10"/>
      <c r="B499" s="10"/>
      <c r="C499" s="39"/>
      <c r="D499" s="18"/>
      <c r="E499" s="18"/>
      <c r="F499" s="85"/>
      <c r="G499" s="18"/>
      <c r="H499" s="42">
        <v>62</v>
      </c>
      <c r="I499" s="37" t="s">
        <v>101</v>
      </c>
      <c r="J499" s="11"/>
      <c r="M499" s="115"/>
      <c r="AB499" s="6"/>
      <c r="AC499" s="6"/>
      <c r="AD499" s="7"/>
      <c r="AE499" s="8"/>
      <c r="AF499" s="8"/>
      <c r="AG499" s="8"/>
      <c r="AH499" s="6"/>
      <c r="AI499" s="7"/>
      <c r="AJ499" s="8"/>
      <c r="AK499" s="29"/>
      <c r="AL499" s="8"/>
      <c r="AM499" s="7"/>
      <c r="AN499" s="45"/>
      <c r="AP499" s="44" t="s">
        <v>168</v>
      </c>
      <c r="AQ499" s="54">
        <v>0</v>
      </c>
      <c r="AR499" s="54">
        <v>0</v>
      </c>
      <c r="AS499" s="42"/>
      <c r="AT499" s="11"/>
      <c r="AU499" s="10"/>
      <c r="AV499" s="37">
        <f>37+6</f>
        <v>43</v>
      </c>
      <c r="AW499" s="37" t="s">
        <v>213</v>
      </c>
      <c r="AX499" s="18" t="s">
        <v>6</v>
      </c>
      <c r="AY499" s="11"/>
      <c r="AZ499" s="28"/>
      <c r="BA499" s="28"/>
      <c r="BB499" s="150" t="s">
        <v>200</v>
      </c>
      <c r="BC499" s="36">
        <v>0</v>
      </c>
      <c r="BD499" s="37">
        <v>0</v>
      </c>
      <c r="BE499" s="10"/>
      <c r="BF499" s="37"/>
      <c r="BG499" s="11"/>
      <c r="BH499" s="18"/>
      <c r="BI499" s="11"/>
      <c r="BJ499" s="158" t="s">
        <v>500</v>
      </c>
      <c r="BK499" s="54" t="s">
        <v>586</v>
      </c>
      <c r="BL499" s="39" t="s">
        <v>638</v>
      </c>
    </row>
    <row r="500" spans="1:64" ht="15" thickBot="1" x14ac:dyDescent="0.35">
      <c r="A500" s="13" t="s">
        <v>84</v>
      </c>
      <c r="B500" s="10">
        <f>SUM(B497:B499)</f>
        <v>3743</v>
      </c>
      <c r="C500" s="11">
        <f>SUM(C497:C499)</f>
        <v>5339</v>
      </c>
      <c r="D500" s="27"/>
      <c r="E500" s="27">
        <f>SUM(E497:E499)</f>
        <v>3893</v>
      </c>
      <c r="F500" s="26"/>
      <c r="G500" s="27">
        <f>SUM(G497:G499)</f>
        <v>10164</v>
      </c>
      <c r="H500" s="13"/>
      <c r="I500" s="81"/>
      <c r="J500" s="26">
        <f>SUM(H498:H499)</f>
        <v>62</v>
      </c>
      <c r="K500" s="43"/>
      <c r="M500" s="115"/>
      <c r="N500" s="190"/>
      <c r="O500" s="115"/>
      <c r="P500" s="115"/>
      <c r="Q500" s="115"/>
      <c r="R500" s="115"/>
      <c r="S500" s="115"/>
      <c r="AB500" s="36"/>
      <c r="AC500" s="10"/>
      <c r="AD500" s="11"/>
      <c r="AE500" s="18"/>
      <c r="AF500" s="18"/>
      <c r="AG500" s="18"/>
      <c r="AH500" s="36"/>
      <c r="AI500" s="11"/>
      <c r="AJ500" s="18"/>
      <c r="AK500" s="36"/>
      <c r="AL500" s="37"/>
      <c r="AM500" s="11"/>
      <c r="AN500" s="45"/>
      <c r="AP500" s="125" t="s">
        <v>81</v>
      </c>
      <c r="AQ500" s="54">
        <v>3</v>
      </c>
      <c r="AR500" s="54">
        <v>6</v>
      </c>
      <c r="AS500" s="42"/>
      <c r="AT500" s="40"/>
      <c r="AU500" s="42"/>
      <c r="AV500" s="54">
        <v>10</v>
      </c>
      <c r="AW500" s="128" t="s">
        <v>222</v>
      </c>
      <c r="AX500" s="28"/>
      <c r="AY500" s="40" t="s">
        <v>6</v>
      </c>
      <c r="AZ500" s="37"/>
      <c r="BA500" s="37"/>
      <c r="BB500" s="36" t="s">
        <v>840</v>
      </c>
      <c r="BC500" s="36">
        <v>46</v>
      </c>
      <c r="BD500" s="37">
        <v>0</v>
      </c>
      <c r="BE500" s="10"/>
      <c r="BF500" s="18"/>
      <c r="BG500" s="11"/>
      <c r="BH500" s="18"/>
      <c r="BI500" s="11"/>
      <c r="BJ500" s="37" t="s">
        <v>841</v>
      </c>
      <c r="BK500" s="37" t="s">
        <v>842</v>
      </c>
      <c r="BL500" s="180" t="s">
        <v>843</v>
      </c>
    </row>
    <row r="501" spans="1:64" ht="15" thickBot="1" x14ac:dyDescent="0.35">
      <c r="A501" s="42" t="s">
        <v>181</v>
      </c>
      <c r="B501" s="33">
        <v>4074</v>
      </c>
      <c r="C501" s="35">
        <v>4625</v>
      </c>
      <c r="D501" s="28"/>
      <c r="E501" s="107" t="s">
        <v>60</v>
      </c>
      <c r="F501" s="43"/>
      <c r="G501" s="41"/>
      <c r="H501" s="18" t="s">
        <v>182</v>
      </c>
      <c r="I501" s="28"/>
      <c r="J501" s="11"/>
      <c r="K501" s="28"/>
      <c r="M501" s="166"/>
      <c r="AA501" s="28"/>
      <c r="AB501" s="103" t="s">
        <v>84</v>
      </c>
      <c r="AC501" s="103">
        <f>SUM(AC500+AC496+AC494+AC491+AC484+AC486+AC482+AC478+AC475+AC472+AC473+AC480)</f>
        <v>2412</v>
      </c>
      <c r="AD501" s="103">
        <f>SUM(AD500+AD496+AD494+AD491+AD484+AD486+AD482+AD478+AD475+AD472+AD473+AD480)</f>
        <v>2415</v>
      </c>
      <c r="AE501" s="103">
        <v>0</v>
      </c>
      <c r="AF501" s="102">
        <v>0</v>
      </c>
      <c r="AG501" s="102">
        <v>0</v>
      </c>
      <c r="AH501" s="109">
        <f>SUM(AH500+AH496+AH494+AH491+AH488+AH486+AH482+AH478+AH475+AH473+AH472)</f>
        <v>261478</v>
      </c>
      <c r="AI501" s="110">
        <f>SUM(AI500+AI496+AI494+AI491+AI486+AI482+AI477+AI475+AI473+AI472)</f>
        <v>118399</v>
      </c>
      <c r="AJ501" s="110">
        <v>0</v>
      </c>
      <c r="AK501" s="111" t="s">
        <v>844</v>
      </c>
      <c r="AL501" s="111"/>
      <c r="AM501" s="104">
        <f>SUM(AK472:AK500)</f>
        <v>53</v>
      </c>
      <c r="AN501" s="45"/>
      <c r="AP501" s="125" t="s">
        <v>72</v>
      </c>
      <c r="AQ501" s="54">
        <f>4+1+9</f>
        <v>14</v>
      </c>
      <c r="AR501" s="45">
        <f>5+2+2+8</f>
        <v>17</v>
      </c>
      <c r="AS501" s="42"/>
      <c r="AT501" s="40"/>
      <c r="AU501" s="42"/>
      <c r="AV501" s="54">
        <v>2</v>
      </c>
      <c r="AW501" s="54" t="s">
        <v>216</v>
      </c>
      <c r="AX501" s="45"/>
      <c r="AY501" s="40"/>
      <c r="AZ501" s="28"/>
      <c r="BA501" s="28"/>
      <c r="BB501" s="150" t="s">
        <v>211</v>
      </c>
      <c r="BC501" s="36">
        <v>20</v>
      </c>
      <c r="BD501" s="37">
        <v>0</v>
      </c>
      <c r="BE501" s="10"/>
      <c r="BF501" s="18"/>
      <c r="BG501" s="11"/>
      <c r="BH501" s="18"/>
      <c r="BI501" s="11"/>
      <c r="BJ501" s="159" t="s">
        <v>333</v>
      </c>
      <c r="BK501" s="37" t="s">
        <v>513</v>
      </c>
      <c r="BL501" s="39" t="s">
        <v>845</v>
      </c>
    </row>
    <row r="502" spans="1:64" x14ac:dyDescent="0.3">
      <c r="A502" s="42" t="s">
        <v>120</v>
      </c>
      <c r="B502" s="42">
        <v>0</v>
      </c>
      <c r="C502" s="40">
        <v>0</v>
      </c>
      <c r="D502" s="28"/>
      <c r="E502" s="107" t="s">
        <v>60</v>
      </c>
      <c r="F502" s="43"/>
      <c r="G502" s="68"/>
      <c r="H502" s="43"/>
      <c r="I502" s="28" t="s">
        <v>284</v>
      </c>
      <c r="J502" s="11"/>
      <c r="K502" s="28"/>
      <c r="L502" s="28"/>
      <c r="N502" s="191"/>
      <c r="AA502" s="28"/>
      <c r="AB502" s="52" t="s">
        <v>193</v>
      </c>
      <c r="AC502" s="28"/>
      <c r="AD502" s="28"/>
      <c r="AE502" s="28"/>
      <c r="AF502" s="28"/>
      <c r="AG502" s="28"/>
      <c r="AH502" s="28"/>
      <c r="AI502" s="28"/>
      <c r="AM502" t="s">
        <v>6</v>
      </c>
      <c r="AN502" s="45"/>
      <c r="AP502" s="125" t="s">
        <v>115</v>
      </c>
      <c r="AQ502" s="54">
        <f>4+13</f>
        <v>17</v>
      </c>
      <c r="AR502" s="45">
        <f>4+3+1</f>
        <v>8</v>
      </c>
      <c r="AS502" s="42"/>
      <c r="AT502" s="40"/>
      <c r="AU502" s="42"/>
      <c r="AV502" s="54">
        <v>0</v>
      </c>
      <c r="AW502" s="54" t="s">
        <v>217</v>
      </c>
      <c r="AX502" s="28"/>
      <c r="AY502" s="40"/>
      <c r="AZ502" s="28"/>
      <c r="BB502" s="150" t="s">
        <v>64</v>
      </c>
      <c r="BC502" s="36">
        <v>0</v>
      </c>
      <c r="BD502" s="37">
        <v>0</v>
      </c>
      <c r="BE502" s="10"/>
      <c r="BF502" s="18"/>
      <c r="BG502" s="11"/>
      <c r="BH502" s="18"/>
      <c r="BI502" s="11"/>
      <c r="BJ502" s="128" t="s">
        <v>846</v>
      </c>
      <c r="BK502" s="37" t="s">
        <v>719</v>
      </c>
      <c r="BL502" s="39" t="s">
        <v>627</v>
      </c>
    </row>
    <row r="503" spans="1:64" x14ac:dyDescent="0.3">
      <c r="A503" s="42" t="s">
        <v>84</v>
      </c>
      <c r="B503" s="42">
        <f>SUM(B501:B502)</f>
        <v>4074</v>
      </c>
      <c r="C503" s="40">
        <f>SUM(C501:C502)</f>
        <v>4625</v>
      </c>
      <c r="D503" s="28"/>
      <c r="E503" s="107" t="s">
        <v>60</v>
      </c>
      <c r="F503" s="43"/>
      <c r="G503" s="41">
        <v>5048</v>
      </c>
      <c r="H503" s="28">
        <v>31</v>
      </c>
      <c r="I503" s="43" t="s">
        <v>101</v>
      </c>
      <c r="J503" s="40"/>
      <c r="L503" s="108"/>
      <c r="M503" s="115"/>
      <c r="O503" s="116"/>
      <c r="AA503" s="28"/>
      <c r="AN503" s="45"/>
      <c r="AP503" s="125" t="s">
        <v>56</v>
      </c>
      <c r="AQ503" s="54">
        <f>5+14+7+6+2</f>
        <v>34</v>
      </c>
      <c r="AR503" s="45">
        <f>11+22+2</f>
        <v>35</v>
      </c>
      <c r="AS503" s="42"/>
      <c r="AT503" s="40"/>
      <c r="AU503" s="42"/>
      <c r="AV503" s="54">
        <v>1</v>
      </c>
      <c r="AW503" s="54" t="s">
        <v>352</v>
      </c>
      <c r="AX503" s="28"/>
      <c r="AY503" s="40"/>
      <c r="AZ503" s="28"/>
      <c r="BB503" s="36" t="s">
        <v>184</v>
      </c>
      <c r="BC503" s="36">
        <v>0</v>
      </c>
      <c r="BD503" s="37">
        <v>0</v>
      </c>
      <c r="BE503" s="10"/>
      <c r="BF503" s="18"/>
      <c r="BG503" s="11"/>
      <c r="BH503" s="18"/>
      <c r="BI503" s="11"/>
      <c r="BJ503" s="128" t="s">
        <v>325</v>
      </c>
      <c r="BK503" s="37" t="s">
        <v>551</v>
      </c>
      <c r="BL503" s="39" t="s">
        <v>847</v>
      </c>
    </row>
    <row r="504" spans="1:64" ht="15" thickBot="1" x14ac:dyDescent="0.35">
      <c r="A504" s="13"/>
      <c r="B504" s="13"/>
      <c r="C504" s="26"/>
      <c r="D504" s="27"/>
      <c r="E504" s="27"/>
      <c r="F504" s="27"/>
      <c r="G504" s="17"/>
      <c r="H504" s="48"/>
      <c r="I504" s="48" t="s">
        <v>727</v>
      </c>
      <c r="J504" s="49">
        <f>SUM(H502:H504)</f>
        <v>31</v>
      </c>
      <c r="O504" s="122"/>
      <c r="AN504" s="45"/>
      <c r="AP504" s="125" t="s">
        <v>138</v>
      </c>
      <c r="AQ504" s="54">
        <v>0</v>
      </c>
      <c r="AR504" s="45">
        <v>0</v>
      </c>
      <c r="AS504" s="42"/>
      <c r="AT504" s="40"/>
      <c r="AU504" s="42"/>
      <c r="AV504" s="54">
        <v>11</v>
      </c>
      <c r="AW504" s="54" t="s">
        <v>221</v>
      </c>
      <c r="AX504" s="28"/>
      <c r="AY504" s="40"/>
      <c r="AZ504" s="28"/>
      <c r="BB504" s="36"/>
      <c r="BC504" s="10">
        <v>0</v>
      </c>
      <c r="BD504" s="37">
        <v>0</v>
      </c>
      <c r="BE504" s="10"/>
      <c r="BF504" s="18"/>
      <c r="BG504" s="39"/>
      <c r="BH504" s="18"/>
      <c r="BI504" s="11"/>
      <c r="BJ504" s="159" t="s">
        <v>848</v>
      </c>
      <c r="BK504" s="37" t="s">
        <v>849</v>
      </c>
      <c r="BL504" s="39" t="s">
        <v>850</v>
      </c>
    </row>
    <row r="505" spans="1:64" ht="16.2" thickBot="1" x14ac:dyDescent="0.35">
      <c r="A505" s="117" t="s">
        <v>84</v>
      </c>
      <c r="B505" s="117">
        <f>SUM(B503+B500+B495+B491+B488+B484+B481+B477+B473+B470)</f>
        <v>61215</v>
      </c>
      <c r="C505" s="192">
        <f>SUM(C503+C500+C495+C491+C488+C484+C481+C477+C473+C470)</f>
        <v>71797</v>
      </c>
      <c r="D505" s="119"/>
      <c r="E505" s="119">
        <f>SUM(E500+E484)</f>
        <v>4654</v>
      </c>
      <c r="F505" s="120"/>
      <c r="G505" s="121">
        <f>SUM(G503+G500+G495+G491+G488+G481+G477+G473+G470+G484)</f>
        <v>104584</v>
      </c>
      <c r="H505" s="13" t="s">
        <v>199</v>
      </c>
      <c r="I505" s="81"/>
      <c r="J505" s="26">
        <f>SUM(J471:J504)</f>
        <v>467</v>
      </c>
      <c r="AN505" s="45"/>
      <c r="AP505" s="125" t="s">
        <v>67</v>
      </c>
      <c r="AQ505" s="54">
        <f>12+2+3+3</f>
        <v>20</v>
      </c>
      <c r="AR505" s="45">
        <f>12+1+22+1</f>
        <v>36</v>
      </c>
      <c r="AS505" s="42"/>
      <c r="AT505" s="40"/>
      <c r="AU505" s="42"/>
      <c r="AV505" s="54">
        <v>4</v>
      </c>
      <c r="AW505" s="54" t="s">
        <v>851</v>
      </c>
      <c r="AX505" s="28"/>
      <c r="AY505" s="40"/>
      <c r="AZ505" s="28"/>
      <c r="BB505" s="150" t="s">
        <v>852</v>
      </c>
      <c r="BC505" s="10">
        <v>0</v>
      </c>
      <c r="BD505" s="37">
        <v>3</v>
      </c>
      <c r="BE505" s="10"/>
      <c r="BF505" s="18"/>
      <c r="BG505" s="11"/>
      <c r="BH505" s="18"/>
      <c r="BI505" s="11"/>
      <c r="BJ505" s="179"/>
      <c r="BK505" s="37"/>
      <c r="BL505" s="39"/>
    </row>
    <row r="506" spans="1:64" x14ac:dyDescent="0.3">
      <c r="AN506" s="45"/>
      <c r="AP506" s="125" t="s">
        <v>122</v>
      </c>
      <c r="AQ506" s="54">
        <v>8</v>
      </c>
      <c r="AR506" s="45">
        <v>16</v>
      </c>
      <c r="AS506" s="42"/>
      <c r="AT506" s="40"/>
      <c r="AU506" s="42"/>
      <c r="AV506" s="54">
        <v>8</v>
      </c>
      <c r="AW506" s="54" t="s">
        <v>853</v>
      </c>
      <c r="AX506" s="28"/>
      <c r="AY506" s="40"/>
      <c r="AZ506" s="28"/>
      <c r="BB506" s="92" t="s">
        <v>358</v>
      </c>
      <c r="BC506" s="84">
        <v>18</v>
      </c>
      <c r="BD506" s="54">
        <v>9</v>
      </c>
      <c r="BE506" s="84"/>
      <c r="BF506" s="45"/>
      <c r="BG506" s="85"/>
      <c r="BH506" s="18"/>
      <c r="BI506" s="11"/>
      <c r="BJ506" s="179"/>
      <c r="BK506" s="54"/>
      <c r="BL506" s="86"/>
    </row>
    <row r="507" spans="1:64" x14ac:dyDescent="0.3">
      <c r="B507" s="126"/>
      <c r="C507" s="126"/>
      <c r="M507" t="s">
        <v>6</v>
      </c>
      <c r="AN507" s="45"/>
      <c r="AP507" s="125" t="s">
        <v>227</v>
      </c>
      <c r="AQ507" s="54">
        <v>0</v>
      </c>
      <c r="AR507" s="45">
        <v>0</v>
      </c>
      <c r="AS507" s="42"/>
      <c r="AT507" s="40"/>
      <c r="AU507" s="42"/>
      <c r="AV507" s="54">
        <v>2</v>
      </c>
      <c r="AW507" s="54" t="s">
        <v>854</v>
      </c>
      <c r="AX507" s="28"/>
      <c r="AY507" s="40"/>
      <c r="BB507" s="67" t="s">
        <v>564</v>
      </c>
      <c r="BC507" s="84">
        <v>3</v>
      </c>
      <c r="BD507" s="54">
        <v>0</v>
      </c>
      <c r="BE507" s="84"/>
      <c r="BF507" s="45"/>
      <c r="BG507" s="85"/>
      <c r="BH507" s="45"/>
      <c r="BI507" s="85"/>
      <c r="BJ507" s="179"/>
      <c r="BK507" s="54"/>
      <c r="BL507" s="180"/>
    </row>
    <row r="508" spans="1:64" x14ac:dyDescent="0.3">
      <c r="AN508" s="45"/>
      <c r="AP508" s="41" t="s">
        <v>230</v>
      </c>
      <c r="AQ508" s="54">
        <f>9+1+2+7</f>
        <v>19</v>
      </c>
      <c r="AR508" s="45">
        <f>9+1+2+7</f>
        <v>19</v>
      </c>
      <c r="AS508" s="42"/>
      <c r="AT508" s="40"/>
      <c r="AU508" s="42"/>
      <c r="AV508" s="54">
        <v>10</v>
      </c>
      <c r="AW508" s="54" t="s">
        <v>655</v>
      </c>
      <c r="AX508" s="28"/>
      <c r="AY508" s="40"/>
      <c r="BB508" s="67" t="s">
        <v>220</v>
      </c>
      <c r="BC508" s="84">
        <v>2</v>
      </c>
      <c r="BD508" s="54">
        <v>0</v>
      </c>
      <c r="BE508" s="84"/>
      <c r="BF508" s="45"/>
      <c r="BG508" s="85"/>
      <c r="BH508" s="45"/>
      <c r="BI508" s="85"/>
      <c r="BJ508" s="179"/>
      <c r="BK508" s="54"/>
      <c r="BL508" s="180"/>
    </row>
    <row r="509" spans="1:64" x14ac:dyDescent="0.3">
      <c r="AP509" s="68" t="s">
        <v>125</v>
      </c>
      <c r="AQ509" s="54">
        <v>0</v>
      </c>
      <c r="AR509" s="45">
        <v>0</v>
      </c>
      <c r="AS509" s="42"/>
      <c r="AT509" s="40"/>
      <c r="AU509" s="42"/>
      <c r="AV509" s="54">
        <v>2</v>
      </c>
      <c r="AW509" s="54" t="s">
        <v>774</v>
      </c>
      <c r="AX509" s="28"/>
      <c r="AY509" s="40"/>
      <c r="BB509" s="127" t="s">
        <v>756</v>
      </c>
      <c r="BC509" s="84">
        <v>3</v>
      </c>
      <c r="BD509" s="54">
        <v>0</v>
      </c>
      <c r="BE509" s="42"/>
      <c r="BF509" s="45"/>
      <c r="BG509" s="40"/>
      <c r="BH509" s="45"/>
      <c r="BI509" s="85"/>
      <c r="BJ509" s="158"/>
      <c r="BK509" s="54"/>
      <c r="BL509" s="86"/>
    </row>
    <row r="510" spans="1:64" x14ac:dyDescent="0.3">
      <c r="AP510" s="68" t="s">
        <v>132</v>
      </c>
      <c r="AQ510" s="54">
        <v>3</v>
      </c>
      <c r="AR510" s="45">
        <v>3</v>
      </c>
      <c r="AS510" s="42"/>
      <c r="AT510" s="40"/>
      <c r="AU510" s="42"/>
      <c r="AV510" s="54">
        <v>0</v>
      </c>
      <c r="AW510" s="54" t="s">
        <v>472</v>
      </c>
      <c r="AX510" s="28"/>
      <c r="AY510" s="40"/>
      <c r="BB510" s="127" t="s">
        <v>218</v>
      </c>
      <c r="BC510" s="84">
        <v>0</v>
      </c>
      <c r="BD510" s="54">
        <v>5</v>
      </c>
      <c r="BE510" s="42"/>
      <c r="BF510" s="45">
        <v>0</v>
      </c>
      <c r="BG510" s="40"/>
      <c r="BH510" s="45"/>
      <c r="BI510" s="85"/>
      <c r="BJ510" s="179"/>
      <c r="BK510" s="54"/>
      <c r="BL510" s="180"/>
    </row>
    <row r="511" spans="1:64" x14ac:dyDescent="0.3">
      <c r="AM511" t="s">
        <v>6</v>
      </c>
      <c r="AP511" s="41" t="s">
        <v>6</v>
      </c>
      <c r="AS511" s="42"/>
      <c r="AT511" s="40"/>
      <c r="AU511" s="42"/>
      <c r="AV511" s="54">
        <v>24</v>
      </c>
      <c r="AW511" s="54" t="s">
        <v>215</v>
      </c>
      <c r="AX511" s="28"/>
      <c r="AY511" s="40"/>
      <c r="BB511" s="181" t="s">
        <v>855</v>
      </c>
      <c r="BC511" s="10">
        <v>0</v>
      </c>
      <c r="BD511" s="18">
        <f>6+6</f>
        <v>12</v>
      </c>
      <c r="BE511" s="10"/>
      <c r="BF511" s="18"/>
      <c r="BG511" s="11"/>
      <c r="BH511" s="18"/>
      <c r="BI511" s="11"/>
      <c r="BJ511" s="179"/>
      <c r="BK511" s="37"/>
      <c r="BL511" s="182"/>
    </row>
    <row r="512" spans="1:64" ht="15" thickBot="1" x14ac:dyDescent="0.35">
      <c r="H512" t="s">
        <v>6</v>
      </c>
      <c r="AP512" s="46" t="s">
        <v>84</v>
      </c>
      <c r="AQ512" s="48">
        <f>SUM(AQ496:AQ511)</f>
        <v>146</v>
      </c>
      <c r="AR512" s="48">
        <f>SUM(AR496:AR511)</f>
        <v>183</v>
      </c>
      <c r="AS512" s="47"/>
      <c r="AT512" s="49"/>
      <c r="AU512" s="47"/>
      <c r="AV512" s="48">
        <v>0</v>
      </c>
      <c r="AW512" s="48" t="s">
        <v>244</v>
      </c>
      <c r="AX512" s="48"/>
      <c r="AY512" s="49">
        <f>SUM(AV497:AV512)</f>
        <v>119</v>
      </c>
      <c r="BB512" s="13" t="s">
        <v>84</v>
      </c>
      <c r="BC512" s="13">
        <f>SUM(BC487:BC511)</f>
        <v>182</v>
      </c>
      <c r="BD512" s="27">
        <f>SUM(BD487:BD511)</f>
        <v>150</v>
      </c>
      <c r="BE512" s="13">
        <v>0</v>
      </c>
      <c r="BF512" s="27">
        <f>SUM(BF487:BF511)</f>
        <v>0</v>
      </c>
      <c r="BG512" s="26">
        <f>SUM(BG487:BG511)</f>
        <v>0</v>
      </c>
      <c r="BH512" s="58">
        <v>0</v>
      </c>
      <c r="BI512" s="26">
        <v>0</v>
      </c>
      <c r="BJ512" s="81"/>
      <c r="BK512" s="27"/>
      <c r="BL512" s="26">
        <f>10+1+4+9+5+6+4+12+3+6+5+7</f>
        <v>72</v>
      </c>
    </row>
    <row r="513" spans="1:65" ht="15" thickBot="1" x14ac:dyDescent="0.35">
      <c r="H513" t="s">
        <v>6</v>
      </c>
      <c r="AP513" s="169" t="s">
        <v>84</v>
      </c>
      <c r="AQ513" s="170">
        <f>SUM(AQ512+AQ495+AQ485+AQ470)</f>
        <v>1604</v>
      </c>
      <c r="AR513" s="170">
        <f>SUM(AR512+AR495+AR485+AR470)</f>
        <v>1705</v>
      </c>
      <c r="AS513" s="171"/>
      <c r="AT513" s="172"/>
      <c r="AU513" s="170"/>
      <c r="AV513" s="170"/>
      <c r="AW513" s="170"/>
      <c r="AX513" s="170"/>
      <c r="AY513" s="172">
        <f>SUM(AY469:AY512)</f>
        <v>325</v>
      </c>
      <c r="BB513" s="13" t="s">
        <v>223</v>
      </c>
      <c r="BC513" s="13">
        <f>SUM(BC512+BC486+BC483+BC479+BC476+BC473+BC471)</f>
        <v>2017</v>
      </c>
      <c r="BD513" s="26">
        <f>SUM(BD512+BD486+BD483+BD479+BD476+BD473+BD471)</f>
        <v>1896</v>
      </c>
      <c r="BE513" s="26">
        <f>SUM(BE512+BE486+BE483+BE479+BE476+BE473+BE471)</f>
        <v>0</v>
      </c>
      <c r="BF513" s="26">
        <f>SUM(BF512+BF486+BF483+BF479+BF476+BF473+BF471)</f>
        <v>0</v>
      </c>
      <c r="BG513" s="26">
        <f>SUM(BG512+BG486+BG483+BG479+BG476+BG473+BG471)</f>
        <v>0</v>
      </c>
      <c r="BH513" s="160">
        <f>SUM(BH512+BH486+BH483+BH479+BH475+BH473+BH471)</f>
        <v>51916</v>
      </c>
      <c r="BI513" s="26">
        <f>SUM(BI512+BI486+BI483+BI479+BI475+BI473+BI471)</f>
        <v>11817</v>
      </c>
      <c r="BJ513" s="81"/>
      <c r="BK513" s="27" t="s">
        <v>247</v>
      </c>
      <c r="BL513" s="26">
        <f>SUM(BL471:BL512)</f>
        <v>218</v>
      </c>
    </row>
    <row r="514" spans="1:65" x14ac:dyDescent="0.3">
      <c r="K514" s="28"/>
      <c r="BB514" s="131" t="s">
        <v>225</v>
      </c>
      <c r="BD514">
        <f>SUM(BL512)</f>
        <v>72</v>
      </c>
      <c r="BF514" t="s">
        <v>184</v>
      </c>
      <c r="BG514" s="132"/>
    </row>
    <row r="515" spans="1:65" x14ac:dyDescent="0.3">
      <c r="K515" s="28"/>
      <c r="BB515" t="s">
        <v>229</v>
      </c>
      <c r="BD515">
        <f>5+9+5+6</f>
        <v>25</v>
      </c>
    </row>
    <row r="516" spans="1:65" x14ac:dyDescent="0.3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BB516" t="s">
        <v>232</v>
      </c>
      <c r="BD516" t="s">
        <v>233</v>
      </c>
      <c r="BF516">
        <f>SUM(AQ513)</f>
        <v>1604</v>
      </c>
      <c r="BH516" t="s">
        <v>234</v>
      </c>
      <c r="BJ516" t="s">
        <v>233</v>
      </c>
      <c r="BL516">
        <f>SUM(BC513)</f>
        <v>2017</v>
      </c>
    </row>
    <row r="517" spans="1:65" ht="18" x14ac:dyDescent="0.35">
      <c r="B517" s="133"/>
      <c r="BA517" t="s">
        <v>6</v>
      </c>
      <c r="BD517" t="s">
        <v>236</v>
      </c>
      <c r="BF517">
        <f>SUM(AR513)</f>
        <v>1705</v>
      </c>
      <c r="BJ517" t="s">
        <v>236</v>
      </c>
      <c r="BL517">
        <f>SUM(BD513)</f>
        <v>1896</v>
      </c>
    </row>
    <row r="518" spans="1:65" x14ac:dyDescent="0.3">
      <c r="BB518" s="134" t="s">
        <v>238</v>
      </c>
      <c r="BC518" s="135" t="s">
        <v>239</v>
      </c>
      <c r="BD518" s="136"/>
      <c r="BE518" s="134" t="s">
        <v>240</v>
      </c>
      <c r="BF518" s="135" t="s">
        <v>241</v>
      </c>
      <c r="BG518" s="136"/>
      <c r="BH518" s="134"/>
      <c r="BI518" s="135" t="s">
        <v>242</v>
      </c>
      <c r="BJ518" s="137" t="s">
        <v>243</v>
      </c>
      <c r="BK518" s="135"/>
      <c r="BL518" s="135"/>
      <c r="BM518" s="136"/>
    </row>
    <row r="519" spans="1:65" x14ac:dyDescent="0.3">
      <c r="BB519" s="138" t="s">
        <v>233</v>
      </c>
      <c r="BC519" s="28"/>
      <c r="BD519" s="139">
        <f>SUM(B505)</f>
        <v>61215</v>
      </c>
      <c r="BE519" s="138" t="s">
        <v>233</v>
      </c>
      <c r="BF519" s="28"/>
      <c r="BG519" s="139">
        <f>SUM(AC501)</f>
        <v>2412</v>
      </c>
      <c r="BH519" s="138" t="s">
        <v>233</v>
      </c>
      <c r="BI519" s="28"/>
      <c r="BJ519" s="140">
        <f>SUM(BL516+BG519)</f>
        <v>4429</v>
      </c>
      <c r="BK519" s="28" t="s">
        <v>245</v>
      </c>
      <c r="BL519" s="140">
        <f>SUM(BJ519+BD519)</f>
        <v>65644</v>
      </c>
      <c r="BM519" s="139"/>
    </row>
    <row r="520" spans="1:65" ht="18" x14ac:dyDescent="0.35">
      <c r="B520" s="133"/>
      <c r="BB520" s="142" t="s">
        <v>236</v>
      </c>
      <c r="BC520" s="143"/>
      <c r="BD520" s="144">
        <f>SUM(C505)</f>
        <v>71797</v>
      </c>
      <c r="BE520" s="142" t="s">
        <v>236</v>
      </c>
      <c r="BF520" s="143"/>
      <c r="BG520" s="144">
        <f>SUM(AD501)</f>
        <v>2415</v>
      </c>
      <c r="BH520" s="142" t="s">
        <v>236</v>
      </c>
      <c r="BI520" s="143"/>
      <c r="BJ520" s="145">
        <f>SUM(BL517+BG520)</f>
        <v>4311</v>
      </c>
      <c r="BK520" s="143"/>
      <c r="BL520" s="145">
        <f>SUM(BJ520+BD520)</f>
        <v>76108</v>
      </c>
      <c r="BM520" s="144"/>
    </row>
    <row r="523" spans="1:65" ht="15.6" x14ac:dyDescent="0.3">
      <c r="D523" s="1" t="s">
        <v>0</v>
      </c>
      <c r="P523" s="1" t="s">
        <v>1</v>
      </c>
    </row>
    <row r="524" spans="1:65" ht="15.6" x14ac:dyDescent="0.3">
      <c r="E524" t="s">
        <v>2</v>
      </c>
      <c r="Q524" t="s">
        <v>3</v>
      </c>
      <c r="AE524" s="2"/>
      <c r="AF524" s="1" t="s">
        <v>0</v>
      </c>
      <c r="AG524" s="1"/>
      <c r="AI524" s="1"/>
      <c r="AJ524" s="1"/>
      <c r="AS524" s="1" t="s">
        <v>4</v>
      </c>
      <c r="BE524" s="1"/>
      <c r="BF524" s="1" t="s">
        <v>5</v>
      </c>
      <c r="BG524" s="1"/>
      <c r="BH524" s="1"/>
      <c r="BI524" s="1"/>
      <c r="BJ524" s="1"/>
    </row>
    <row r="525" spans="1:65" ht="15.6" x14ac:dyDescent="0.3">
      <c r="A525" t="s">
        <v>6</v>
      </c>
      <c r="D525" t="s">
        <v>7</v>
      </c>
      <c r="O525" t="s">
        <v>8</v>
      </c>
      <c r="AE525" s="3"/>
      <c r="AF525" s="2" t="s">
        <v>9</v>
      </c>
      <c r="AG525" s="1"/>
      <c r="AI525" s="1"/>
      <c r="AJ525" s="1"/>
      <c r="AT525" t="s">
        <v>2</v>
      </c>
      <c r="BG525" t="s">
        <v>2</v>
      </c>
    </row>
    <row r="526" spans="1:65" ht="15.6" x14ac:dyDescent="0.3">
      <c r="E526" t="s">
        <v>856</v>
      </c>
      <c r="Q526" t="s">
        <v>856</v>
      </c>
      <c r="AF526" s="3" t="s">
        <v>11</v>
      </c>
      <c r="AG526" s="1"/>
      <c r="AI526" s="1"/>
      <c r="AJ526" s="1"/>
      <c r="AR526" t="s">
        <v>12</v>
      </c>
      <c r="BE526" t="s">
        <v>13</v>
      </c>
    </row>
    <row r="527" spans="1:65" ht="15" thickBot="1" x14ac:dyDescent="0.35">
      <c r="I527" s="4" t="s">
        <v>14</v>
      </c>
      <c r="U527" s="5" t="s">
        <v>15</v>
      </c>
      <c r="AG527" t="s">
        <v>856</v>
      </c>
      <c r="AT527" t="s">
        <v>856</v>
      </c>
      <c r="AY527" s="5"/>
      <c r="BG527" t="s">
        <v>856</v>
      </c>
      <c r="BK527" s="5" t="s">
        <v>16</v>
      </c>
    </row>
    <row r="528" spans="1:65" ht="15" thickBot="1" x14ac:dyDescent="0.35">
      <c r="A528" s="6" t="s">
        <v>17</v>
      </c>
      <c r="B528" s="6" t="s">
        <v>18</v>
      </c>
      <c r="C528" s="7"/>
      <c r="D528" s="8" t="s">
        <v>19</v>
      </c>
      <c r="E528" s="8"/>
      <c r="F528" s="8"/>
      <c r="G528" s="9" t="s">
        <v>20</v>
      </c>
      <c r="H528" s="8" t="s">
        <v>21</v>
      </c>
      <c r="I528" s="8"/>
      <c r="J528" s="7"/>
      <c r="L528" s="6" t="s">
        <v>17</v>
      </c>
      <c r="M528" s="187" t="s">
        <v>778</v>
      </c>
      <c r="N528" s="7"/>
      <c r="O528" s="8" t="s">
        <v>779</v>
      </c>
      <c r="P528" s="8"/>
      <c r="Q528" s="8"/>
      <c r="R528" s="6" t="s">
        <v>24</v>
      </c>
      <c r="S528" s="7"/>
      <c r="T528" s="8" t="s">
        <v>21</v>
      </c>
      <c r="U528" s="8"/>
      <c r="V528" s="7"/>
      <c r="AL528" s="5" t="s">
        <v>25</v>
      </c>
      <c r="AX528" s="5" t="s">
        <v>26</v>
      </c>
      <c r="BB528" s="6" t="s">
        <v>17</v>
      </c>
      <c r="BC528" s="6" t="s">
        <v>27</v>
      </c>
      <c r="BD528" s="7"/>
      <c r="BE528" s="8" t="s">
        <v>28</v>
      </c>
      <c r="BF528" s="8"/>
      <c r="BG528" s="8"/>
      <c r="BH528" s="6" t="s">
        <v>29</v>
      </c>
      <c r="BI528" s="7" t="s">
        <v>30</v>
      </c>
      <c r="BJ528" s="8" t="s">
        <v>31</v>
      </c>
      <c r="BK528" s="8"/>
      <c r="BL528" s="7"/>
    </row>
    <row r="529" spans="1:64" x14ac:dyDescent="0.3">
      <c r="A529" s="10" t="s">
        <v>32</v>
      </c>
      <c r="B529" s="10"/>
      <c r="C529" s="11"/>
      <c r="D529" s="3"/>
      <c r="E529" s="3"/>
      <c r="F529" s="3"/>
      <c r="G529" s="12"/>
      <c r="H529" s="3" t="s">
        <v>33</v>
      </c>
      <c r="I529" s="3"/>
      <c r="J529" s="11"/>
      <c r="L529" s="10"/>
      <c r="M529" s="10"/>
      <c r="N529" s="11"/>
      <c r="O529" s="3"/>
      <c r="P529" s="3"/>
      <c r="Q529" s="3"/>
      <c r="R529" s="10"/>
      <c r="S529" s="11"/>
      <c r="T529" s="3" t="s">
        <v>33</v>
      </c>
      <c r="U529" s="3"/>
      <c r="V529" s="11"/>
      <c r="AB529" s="6" t="s">
        <v>34</v>
      </c>
      <c r="AC529" s="6" t="s">
        <v>35</v>
      </c>
      <c r="AD529" s="7"/>
      <c r="AE529" s="6" t="s">
        <v>36</v>
      </c>
      <c r="AF529" s="8"/>
      <c r="AG529" s="7"/>
      <c r="AH529" s="8" t="s">
        <v>37</v>
      </c>
      <c r="AI529" s="8"/>
      <c r="AJ529" s="9" t="s">
        <v>30</v>
      </c>
      <c r="AK529" s="8" t="s">
        <v>38</v>
      </c>
      <c r="AL529" s="8"/>
      <c r="AM529" s="7"/>
      <c r="AP529" s="6" t="s">
        <v>17</v>
      </c>
      <c r="AQ529" s="6" t="s">
        <v>39</v>
      </c>
      <c r="AR529" s="7"/>
      <c r="AS529" s="6" t="s">
        <v>29</v>
      </c>
      <c r="AT529" s="7" t="s">
        <v>30</v>
      </c>
      <c r="AU529" s="8" t="s">
        <v>40</v>
      </c>
      <c r="AV529" s="8"/>
      <c r="AW529" s="8"/>
      <c r="AX529" s="8"/>
      <c r="AY529" s="7"/>
      <c r="BB529" s="10"/>
      <c r="BC529" s="10"/>
      <c r="BD529" s="11"/>
      <c r="BE529" s="3"/>
      <c r="BF529" s="3"/>
      <c r="BG529" s="3"/>
      <c r="BH529" s="10"/>
      <c r="BI529" s="11" t="s">
        <v>6</v>
      </c>
      <c r="BJ529" s="3" t="s">
        <v>41</v>
      </c>
      <c r="BK529" s="3"/>
      <c r="BL529" s="11"/>
    </row>
    <row r="530" spans="1:64" ht="15" thickBot="1" x14ac:dyDescent="0.35">
      <c r="A530" s="13" t="s">
        <v>42</v>
      </c>
      <c r="B530" s="14" t="s">
        <v>43</v>
      </c>
      <c r="C530" s="15" t="s">
        <v>44</v>
      </c>
      <c r="D530" s="16" t="s">
        <v>45</v>
      </c>
      <c r="E530" s="16" t="s">
        <v>46</v>
      </c>
      <c r="F530" s="16" t="s">
        <v>47</v>
      </c>
      <c r="G530" s="17" t="s">
        <v>48</v>
      </c>
      <c r="H530" s="18" t="s">
        <v>49</v>
      </c>
      <c r="I530" s="18"/>
      <c r="J530" s="11"/>
      <c r="L530" s="10" t="s">
        <v>50</v>
      </c>
      <c r="M530" s="19" t="s">
        <v>43</v>
      </c>
      <c r="N530" s="20" t="s">
        <v>44</v>
      </c>
      <c r="O530" s="21" t="s">
        <v>43</v>
      </c>
      <c r="P530" s="188" t="s">
        <v>51</v>
      </c>
      <c r="Q530" s="21" t="s">
        <v>44</v>
      </c>
      <c r="R530" s="22" t="s">
        <v>43</v>
      </c>
      <c r="S530" s="23" t="s">
        <v>44</v>
      </c>
      <c r="T530" s="18" t="s">
        <v>49</v>
      </c>
      <c r="U530" s="18"/>
      <c r="V530" s="11"/>
      <c r="AB530" s="10" t="s">
        <v>50</v>
      </c>
      <c r="AC530" s="22" t="s">
        <v>43</v>
      </c>
      <c r="AD530" s="23" t="s">
        <v>44</v>
      </c>
      <c r="AE530" s="22" t="s">
        <v>45</v>
      </c>
      <c r="AF530" s="24" t="s">
        <v>46</v>
      </c>
      <c r="AG530" s="23" t="s">
        <v>52</v>
      </c>
      <c r="AH530" s="24" t="s">
        <v>43</v>
      </c>
      <c r="AI530" s="24" t="s">
        <v>44</v>
      </c>
      <c r="AJ530" s="25" t="s">
        <v>43</v>
      </c>
      <c r="AK530" s="3" t="s">
        <v>53</v>
      </c>
      <c r="AL530" s="3"/>
      <c r="AM530" s="11"/>
      <c r="AP530" s="13" t="s">
        <v>42</v>
      </c>
      <c r="AQ530" s="13" t="s">
        <v>43</v>
      </c>
      <c r="AR530" s="26" t="s">
        <v>44</v>
      </c>
      <c r="AS530" s="13" t="s">
        <v>43</v>
      </c>
      <c r="AT530" s="26" t="s">
        <v>44</v>
      </c>
      <c r="AU530" s="27"/>
      <c r="AV530" s="27"/>
      <c r="AW530" s="27"/>
      <c r="AX530" s="27"/>
      <c r="AY530" s="26"/>
      <c r="BB530" s="13" t="s">
        <v>42</v>
      </c>
      <c r="BC530" s="13" t="s">
        <v>43</v>
      </c>
      <c r="BD530" s="26" t="s">
        <v>44</v>
      </c>
      <c r="BE530" s="27" t="s">
        <v>45</v>
      </c>
      <c r="BF530" s="27" t="s">
        <v>46</v>
      </c>
      <c r="BG530" s="27" t="s">
        <v>52</v>
      </c>
      <c r="BH530" s="13" t="s">
        <v>43</v>
      </c>
      <c r="BI530" s="26" t="s">
        <v>44</v>
      </c>
      <c r="BJ530" s="27" t="s">
        <v>54</v>
      </c>
      <c r="BK530" s="27"/>
      <c r="BL530" s="26"/>
    </row>
    <row r="531" spans="1:64" ht="15" thickBot="1" x14ac:dyDescent="0.35">
      <c r="A531" s="6"/>
      <c r="B531" s="6"/>
      <c r="C531" s="7"/>
      <c r="D531" s="8"/>
      <c r="E531" s="8"/>
      <c r="F531" s="7"/>
      <c r="G531" s="8"/>
      <c r="H531" s="6" t="s">
        <v>396</v>
      </c>
      <c r="I531" s="8"/>
      <c r="J531" s="7"/>
      <c r="K531" s="28"/>
      <c r="L531" s="9"/>
      <c r="M531" s="8"/>
      <c r="N531" s="8"/>
      <c r="O531" s="6"/>
      <c r="P531" s="8"/>
      <c r="Q531" s="7"/>
      <c r="R531" s="8"/>
      <c r="S531" s="8"/>
      <c r="T531" s="6" t="s">
        <v>396</v>
      </c>
      <c r="U531" s="8"/>
      <c r="V531" s="7"/>
      <c r="W531" s="28"/>
      <c r="AB531" s="13"/>
      <c r="AC531" s="13"/>
      <c r="AD531" s="26"/>
      <c r="AE531" s="13"/>
      <c r="AF531" s="27"/>
      <c r="AG531" s="26"/>
      <c r="AH531" s="27"/>
      <c r="AI531" s="27"/>
      <c r="AJ531" s="17"/>
      <c r="AK531" s="27"/>
      <c r="AL531" s="27"/>
      <c r="AM531" s="26"/>
      <c r="AP531" s="32" t="s">
        <v>6</v>
      </c>
      <c r="AQ531" s="43"/>
      <c r="AR531" s="54"/>
      <c r="AS531" s="33"/>
      <c r="AT531" s="35"/>
      <c r="AU531" s="33"/>
      <c r="AV531" s="34" t="s">
        <v>91</v>
      </c>
      <c r="AW531" s="34"/>
      <c r="AX531" s="34"/>
      <c r="AY531" s="35"/>
      <c r="AZ531" s="28"/>
      <c r="BB531" s="32" t="s">
        <v>85</v>
      </c>
      <c r="BC531">
        <v>3</v>
      </c>
      <c r="BD531">
        <v>0</v>
      </c>
      <c r="BE531" s="33"/>
      <c r="BF531" s="34"/>
      <c r="BG531" s="34"/>
      <c r="BH531" s="33"/>
      <c r="BI531" s="35"/>
      <c r="BJ531" s="34" t="s">
        <v>58</v>
      </c>
      <c r="BK531" s="8"/>
      <c r="BL531" s="7"/>
    </row>
    <row r="532" spans="1:64" x14ac:dyDescent="0.3">
      <c r="A532" s="10" t="s">
        <v>59</v>
      </c>
      <c r="B532" s="36">
        <v>1190</v>
      </c>
      <c r="C532" s="11">
        <v>1571</v>
      </c>
      <c r="D532" s="37"/>
      <c r="E532" s="38" t="s">
        <v>60</v>
      </c>
      <c r="F532" s="39"/>
      <c r="G532" s="37">
        <v>1664</v>
      </c>
      <c r="H532" s="36">
        <v>6</v>
      </c>
      <c r="I532" s="37" t="s">
        <v>61</v>
      </c>
      <c r="J532" s="40"/>
      <c r="K532" s="28"/>
      <c r="L532" s="41" t="s">
        <v>59</v>
      </c>
      <c r="M532" s="28">
        <v>13055</v>
      </c>
      <c r="N532" s="28">
        <v>40101</v>
      </c>
      <c r="O532" s="42">
        <v>0</v>
      </c>
      <c r="P532" s="43">
        <v>0</v>
      </c>
      <c r="Q532" s="40">
        <v>0</v>
      </c>
      <c r="R532" s="43">
        <v>0</v>
      </c>
      <c r="S532" s="43">
        <v>0</v>
      </c>
      <c r="T532" s="42"/>
      <c r="U532" s="28"/>
      <c r="V532" s="40"/>
      <c r="W532" s="28"/>
      <c r="AB532" s="9"/>
      <c r="AC532" s="8"/>
      <c r="AD532" s="8"/>
      <c r="AE532" s="6"/>
      <c r="AF532" s="8"/>
      <c r="AG532" s="7"/>
      <c r="AH532" s="8"/>
      <c r="AI532" s="8"/>
      <c r="AJ532" s="9"/>
      <c r="AK532" s="6" t="s">
        <v>62</v>
      </c>
      <c r="AL532" s="8"/>
      <c r="AM532" s="7"/>
      <c r="AP532" s="41" t="s">
        <v>56</v>
      </c>
      <c r="AQ532" s="43">
        <v>1359</v>
      </c>
      <c r="AR532" s="54">
        <v>1361</v>
      </c>
      <c r="AS532" s="42"/>
      <c r="AT532" s="40"/>
      <c r="AU532" s="42"/>
      <c r="AV532" s="28"/>
      <c r="AW532" s="28"/>
      <c r="AX532" s="28"/>
      <c r="AY532" s="40"/>
      <c r="AZ532" s="28"/>
      <c r="BB532" s="44" t="s">
        <v>64</v>
      </c>
      <c r="BC532" s="18">
        <v>158</v>
      </c>
      <c r="BD532" s="18">
        <v>170</v>
      </c>
      <c r="BE532" s="10">
        <v>0</v>
      </c>
      <c r="BF532" s="18">
        <v>0</v>
      </c>
      <c r="BG532" s="18">
        <v>0</v>
      </c>
      <c r="BH532" s="10">
        <v>0</v>
      </c>
      <c r="BI532" s="11">
        <v>0</v>
      </c>
      <c r="BJ532" s="45">
        <v>1</v>
      </c>
      <c r="BK532" s="28" t="s">
        <v>474</v>
      </c>
      <c r="BL532" s="11"/>
    </row>
    <row r="533" spans="1:64" ht="15" thickBot="1" x14ac:dyDescent="0.35">
      <c r="A533" s="36" t="s">
        <v>6</v>
      </c>
      <c r="B533" s="10"/>
      <c r="C533" s="11"/>
      <c r="D533" s="18"/>
      <c r="E533" s="18"/>
      <c r="F533" s="18"/>
      <c r="G533" s="36"/>
      <c r="H533" s="42">
        <v>0</v>
      </c>
      <c r="I533" s="28" t="s">
        <v>528</v>
      </c>
      <c r="J533" s="40">
        <f>SUM(H532+H533)</f>
        <v>6</v>
      </c>
      <c r="K533" s="28"/>
      <c r="L533" s="12"/>
      <c r="M533" s="37"/>
      <c r="N533" s="37"/>
      <c r="O533" s="10"/>
      <c r="P533" s="18"/>
      <c r="Q533" s="11"/>
      <c r="R533" s="18"/>
      <c r="S533" s="18"/>
      <c r="T533" s="10"/>
      <c r="U533" s="18"/>
      <c r="V533" s="11"/>
      <c r="W533" s="28"/>
      <c r="AB533" s="41"/>
      <c r="AE533" s="42"/>
      <c r="AF533" s="28"/>
      <c r="AG533" s="40"/>
      <c r="AJ533" s="41"/>
      <c r="AK533" s="42"/>
      <c r="AL533" s="37" t="s">
        <v>6</v>
      </c>
      <c r="AM533" s="40"/>
      <c r="AP533" s="62" t="s">
        <v>6</v>
      </c>
      <c r="AQ533" s="43"/>
      <c r="AR533" s="43"/>
      <c r="AS533" s="47"/>
      <c r="AT533" s="49"/>
      <c r="AU533" s="47"/>
      <c r="AV533" s="48">
        <v>92</v>
      </c>
      <c r="AW533" s="48" t="s">
        <v>73</v>
      </c>
      <c r="AX533" s="48"/>
      <c r="AY533" s="49">
        <f>SUM(AV533)</f>
        <v>92</v>
      </c>
      <c r="AZ533" s="28"/>
      <c r="BA533" s="28"/>
      <c r="BB533" s="46" t="s">
        <v>84</v>
      </c>
      <c r="BC533">
        <f>SUM(BC531:BC532)</f>
        <v>161</v>
      </c>
      <c r="BD533">
        <f>SUM(BD531:BD532)</f>
        <v>170</v>
      </c>
      <c r="BE533" s="47"/>
      <c r="BF533" s="48"/>
      <c r="BG533" s="48"/>
      <c r="BH533" s="47"/>
      <c r="BI533" s="49"/>
      <c r="BJ533" s="48">
        <v>9</v>
      </c>
      <c r="BK533" s="48" t="s">
        <v>249</v>
      </c>
      <c r="BL533" s="49">
        <f>SUM(BJ532:BJ533)</f>
        <v>10</v>
      </c>
    </row>
    <row r="534" spans="1:64" ht="15" thickBot="1" x14ac:dyDescent="0.35">
      <c r="A534" s="32"/>
      <c r="B534" s="34"/>
      <c r="C534" s="34"/>
      <c r="D534" s="33"/>
      <c r="E534" s="34"/>
      <c r="F534" s="35"/>
      <c r="G534" s="34"/>
      <c r="H534" s="6" t="s">
        <v>70</v>
      </c>
      <c r="I534" s="8"/>
      <c r="J534" s="7"/>
      <c r="K534" s="28"/>
      <c r="L534" s="17"/>
      <c r="M534" s="27"/>
      <c r="N534" s="27"/>
      <c r="O534" s="13"/>
      <c r="P534" s="27"/>
      <c r="Q534" s="26"/>
      <c r="R534" s="27"/>
      <c r="S534" s="27"/>
      <c r="T534" s="13"/>
      <c r="U534" s="27"/>
      <c r="V534" s="26"/>
      <c r="W534" s="28"/>
      <c r="AB534" s="44" t="s">
        <v>59</v>
      </c>
      <c r="AC534" s="37">
        <v>1276</v>
      </c>
      <c r="AD534" s="37">
        <v>1378</v>
      </c>
      <c r="AE534" s="10">
        <v>0</v>
      </c>
      <c r="AF534" s="18">
        <v>0</v>
      </c>
      <c r="AG534" s="39">
        <v>0</v>
      </c>
      <c r="AH534" s="2">
        <v>0</v>
      </c>
      <c r="AI534" s="2">
        <v>0</v>
      </c>
      <c r="AJ534" s="12">
        <v>0</v>
      </c>
      <c r="AK534" s="36">
        <v>3</v>
      </c>
      <c r="AL534" t="s">
        <v>398</v>
      </c>
      <c r="AM534" s="11"/>
      <c r="AP534" s="10"/>
      <c r="AQ534" s="29"/>
      <c r="AR534" s="31"/>
      <c r="AS534" s="33"/>
      <c r="AT534" s="7"/>
      <c r="AU534" s="8"/>
      <c r="AV534" s="8"/>
      <c r="AW534" s="8"/>
      <c r="AX534" s="8"/>
      <c r="AY534" s="7"/>
      <c r="AZ534" s="28"/>
      <c r="BA534" s="28"/>
      <c r="BB534" s="33"/>
      <c r="BC534" s="33"/>
      <c r="BD534" s="35"/>
      <c r="BE534" s="34"/>
      <c r="BF534" s="34"/>
      <c r="BG534" s="34"/>
      <c r="BH534" s="33"/>
      <c r="BI534" s="35"/>
      <c r="BJ534" s="53" t="s">
        <v>82</v>
      </c>
      <c r="BK534" s="34"/>
      <c r="BL534" s="35"/>
    </row>
    <row r="535" spans="1:64" ht="15" thickBot="1" x14ac:dyDescent="0.35">
      <c r="A535" s="44" t="s">
        <v>74</v>
      </c>
      <c r="B535" s="37">
        <v>1149</v>
      </c>
      <c r="C535" s="18">
        <v>2150</v>
      </c>
      <c r="D535" s="36"/>
      <c r="E535" s="38" t="s">
        <v>60</v>
      </c>
      <c r="F535" s="39"/>
      <c r="G535" s="37">
        <v>2681</v>
      </c>
      <c r="H535" s="36">
        <v>3</v>
      </c>
      <c r="I535" s="28" t="s">
        <v>75</v>
      </c>
      <c r="J535" s="11"/>
      <c r="K535" s="28"/>
      <c r="L535" s="32"/>
      <c r="M535" s="34"/>
      <c r="N535" s="34"/>
      <c r="O535" s="33"/>
      <c r="P535" s="34"/>
      <c r="Q535" s="35"/>
      <c r="R535" s="34"/>
      <c r="S535" s="34"/>
      <c r="T535" s="33"/>
      <c r="U535" s="34"/>
      <c r="V535" s="35"/>
      <c r="W535" s="28"/>
      <c r="AB535" s="46"/>
      <c r="AE535" s="47"/>
      <c r="AF535" s="51"/>
      <c r="AG535" s="49"/>
      <c r="AH535" s="28"/>
      <c r="AI535" s="28"/>
      <c r="AJ535" s="62"/>
      <c r="AK535" s="47">
        <v>2</v>
      </c>
      <c r="AL535" s="48" t="s">
        <v>66</v>
      </c>
      <c r="AM535" s="49"/>
      <c r="AP535" s="36" t="s">
        <v>63</v>
      </c>
      <c r="AQ535" s="10">
        <v>19</v>
      </c>
      <c r="AR535" s="18">
        <v>27</v>
      </c>
      <c r="AS535" s="42"/>
      <c r="AT535" s="11"/>
      <c r="AU535" s="18"/>
      <c r="AV535" s="18" t="s">
        <v>110</v>
      </c>
      <c r="AW535" s="18" t="s">
        <v>111</v>
      </c>
      <c r="AX535" s="18" t="s">
        <v>112</v>
      </c>
      <c r="AY535" s="11"/>
      <c r="AZ535" s="28"/>
      <c r="BA535" s="28"/>
      <c r="BB535" s="47" t="s">
        <v>85</v>
      </c>
      <c r="BC535" s="47">
        <v>2</v>
      </c>
      <c r="BD535" s="49">
        <v>1</v>
      </c>
      <c r="BE535" s="48"/>
      <c r="BF535" s="48">
        <v>0</v>
      </c>
      <c r="BG535" s="48">
        <v>0</v>
      </c>
      <c r="BH535" s="47">
        <v>0</v>
      </c>
      <c r="BI535" s="49">
        <v>0</v>
      </c>
      <c r="BJ535" s="51">
        <v>1</v>
      </c>
      <c r="BK535" s="48" t="s">
        <v>86</v>
      </c>
      <c r="BL535" s="49">
        <f>SUM(BJ535)</f>
        <v>1</v>
      </c>
    </row>
    <row r="536" spans="1:64" x14ac:dyDescent="0.3">
      <c r="A536" s="41"/>
      <c r="D536" s="42"/>
      <c r="E536" s="28"/>
      <c r="F536" s="40"/>
      <c r="H536" s="42">
        <v>2</v>
      </c>
      <c r="I536" s="28" t="s">
        <v>79</v>
      </c>
      <c r="J536" s="40"/>
      <c r="K536" s="28"/>
      <c r="L536" s="41"/>
      <c r="M536" s="28"/>
      <c r="N536" s="28"/>
      <c r="O536" s="42"/>
      <c r="P536" s="28"/>
      <c r="Q536" s="40"/>
      <c r="R536" s="28"/>
      <c r="S536" s="28"/>
      <c r="T536" s="42" t="s">
        <v>80</v>
      </c>
      <c r="U536" s="28"/>
      <c r="V536" s="40"/>
      <c r="W536" s="28"/>
      <c r="AB536" s="50" t="s">
        <v>6</v>
      </c>
      <c r="AC536" s="8"/>
      <c r="AD536" s="8"/>
      <c r="AE536" s="6"/>
      <c r="AF536" s="8"/>
      <c r="AG536" s="7"/>
      <c r="AH536" s="6"/>
      <c r="AI536" s="7"/>
      <c r="AJ536" s="8"/>
      <c r="AK536" s="29"/>
      <c r="AL536" s="8"/>
      <c r="AM536" s="7"/>
      <c r="AP536" s="10" t="s">
        <v>115</v>
      </c>
      <c r="AQ536" s="36">
        <v>38</v>
      </c>
      <c r="AR536" s="37">
        <v>60</v>
      </c>
      <c r="AS536" s="42"/>
      <c r="AT536" s="11"/>
      <c r="AU536" s="18"/>
      <c r="AV536" s="18"/>
      <c r="AW536" s="18"/>
      <c r="AX536" s="18"/>
      <c r="AY536" s="11"/>
      <c r="AZ536" s="28"/>
      <c r="BA536" s="28"/>
      <c r="BB536" s="50" t="s">
        <v>107</v>
      </c>
      <c r="BC536" s="31">
        <v>0</v>
      </c>
      <c r="BD536" s="31">
        <v>0</v>
      </c>
      <c r="BE536" s="29"/>
      <c r="BF536" s="31"/>
      <c r="BG536" s="30"/>
      <c r="BH536" s="55">
        <v>0</v>
      </c>
      <c r="BI536" s="8">
        <v>0</v>
      </c>
      <c r="BJ536" s="29"/>
      <c r="BK536" s="34" t="s">
        <v>92</v>
      </c>
      <c r="BL536" s="35"/>
    </row>
    <row r="537" spans="1:64" ht="15" thickBot="1" x14ac:dyDescent="0.35">
      <c r="A537" s="46"/>
      <c r="B537" s="48"/>
      <c r="C537" s="48"/>
      <c r="D537" s="47"/>
      <c r="E537" s="48"/>
      <c r="F537" s="49"/>
      <c r="G537" s="48"/>
      <c r="H537" s="47">
        <v>13</v>
      </c>
      <c r="I537" s="28" t="s">
        <v>83</v>
      </c>
      <c r="J537" s="49">
        <f>SUM(H535:H537)</f>
        <v>18</v>
      </c>
      <c r="K537" s="28"/>
      <c r="L537" s="17" t="s">
        <v>74</v>
      </c>
      <c r="M537" s="27">
        <v>2667</v>
      </c>
      <c r="N537" s="27">
        <v>0</v>
      </c>
      <c r="O537" s="13">
        <v>0</v>
      </c>
      <c r="P537" s="27">
        <v>0</v>
      </c>
      <c r="Q537" s="26">
        <v>0</v>
      </c>
      <c r="R537" s="27">
        <v>0</v>
      </c>
      <c r="S537" s="27">
        <v>0</v>
      </c>
      <c r="T537" s="13"/>
      <c r="U537" s="27"/>
      <c r="V537" s="26"/>
      <c r="W537" s="28"/>
      <c r="AB537" s="41" t="s">
        <v>76</v>
      </c>
      <c r="AC537">
        <v>0</v>
      </c>
      <c r="AD537">
        <v>0</v>
      </c>
      <c r="AE537" s="42">
        <v>0</v>
      </c>
      <c r="AF537" s="43">
        <v>0</v>
      </c>
      <c r="AG537" s="40">
        <v>0</v>
      </c>
      <c r="AH537" s="42">
        <v>0</v>
      </c>
      <c r="AI537" s="40">
        <v>0</v>
      </c>
      <c r="AJ537" s="43">
        <v>0</v>
      </c>
      <c r="AK537" s="42">
        <v>1</v>
      </c>
      <c r="AL537" s="28" t="s">
        <v>780</v>
      </c>
      <c r="AM537" s="40"/>
      <c r="AP537" s="52" t="s">
        <v>72</v>
      </c>
      <c r="AQ537" s="52">
        <v>0</v>
      </c>
      <c r="AR537" s="54">
        <v>0</v>
      </c>
      <c r="AS537" s="42"/>
      <c r="AT537" s="40"/>
      <c r="AU537" s="28"/>
      <c r="AV537" s="28"/>
      <c r="AW537" s="28"/>
      <c r="AX537" s="28"/>
      <c r="AY537" s="40"/>
      <c r="AZ537" s="28"/>
      <c r="BA537" s="28"/>
      <c r="BB537" s="41" t="s">
        <v>99</v>
      </c>
      <c r="BC537" s="45">
        <v>0</v>
      </c>
      <c r="BD537" s="45">
        <v>0</v>
      </c>
      <c r="BE537" s="42">
        <v>0</v>
      </c>
      <c r="BF537" s="45">
        <v>0</v>
      </c>
      <c r="BG537" s="40">
        <v>0</v>
      </c>
      <c r="BH537" s="45">
        <v>58157</v>
      </c>
      <c r="BI537" s="56">
        <v>21998</v>
      </c>
      <c r="BJ537" s="52">
        <v>25</v>
      </c>
      <c r="BK537" s="37" t="s">
        <v>100</v>
      </c>
      <c r="BL537" s="40"/>
    </row>
    <row r="538" spans="1:64" ht="15" thickBot="1" x14ac:dyDescent="0.35">
      <c r="A538" s="33"/>
      <c r="B538" s="33"/>
      <c r="C538" s="35"/>
      <c r="D538" s="34"/>
      <c r="E538" s="34"/>
      <c r="F538" s="34"/>
      <c r="G538" s="32"/>
      <c r="H538" s="6" t="s">
        <v>87</v>
      </c>
      <c r="I538" s="34"/>
      <c r="J538" s="35"/>
      <c r="K538" s="28"/>
      <c r="L538" s="12" t="s">
        <v>88</v>
      </c>
      <c r="M538" s="37">
        <v>0</v>
      </c>
      <c r="N538" s="37">
        <v>0</v>
      </c>
      <c r="O538" s="10"/>
      <c r="P538" s="18"/>
      <c r="Q538" s="11"/>
      <c r="R538" s="18"/>
      <c r="S538" s="18"/>
      <c r="T538" s="33" t="s">
        <v>6</v>
      </c>
      <c r="U538" s="31"/>
      <c r="V538" s="7"/>
      <c r="W538" s="28"/>
      <c r="AB538" s="6" t="s">
        <v>89</v>
      </c>
      <c r="AC538" s="6">
        <v>0</v>
      </c>
      <c r="AD538" s="7">
        <v>0</v>
      </c>
      <c r="AE538" s="8"/>
      <c r="AF538" s="8"/>
      <c r="AG538" s="8"/>
      <c r="AH538" s="6"/>
      <c r="AI538" s="7"/>
      <c r="AJ538" s="9"/>
      <c r="AK538" s="31" t="s">
        <v>90</v>
      </c>
      <c r="AL538" s="8"/>
      <c r="AM538" s="7"/>
      <c r="AP538" s="36" t="s">
        <v>78</v>
      </c>
      <c r="AQ538" s="36">
        <v>38</v>
      </c>
      <c r="AR538" s="37">
        <v>67</v>
      </c>
      <c r="AS538" s="42"/>
      <c r="AT538" s="11"/>
      <c r="AU538" s="18"/>
      <c r="AV538" s="37"/>
      <c r="AW538" s="18"/>
      <c r="AX538" s="37"/>
      <c r="AY538" s="11"/>
      <c r="AZ538" s="28"/>
      <c r="BA538" s="28"/>
      <c r="BB538" s="17" t="s">
        <v>84</v>
      </c>
      <c r="BC538" s="18">
        <f>SUM(BC536:BC537)</f>
        <v>0</v>
      </c>
      <c r="BD538" s="18">
        <f>SUM(BD536:BD537)</f>
        <v>0</v>
      </c>
      <c r="BE538" s="13"/>
      <c r="BF538" s="27"/>
      <c r="BG538" s="26"/>
      <c r="BH538" s="58">
        <f>+BH537+BH536</f>
        <v>58157</v>
      </c>
      <c r="BI538" s="27">
        <f>+BI537+BI536</f>
        <v>21998</v>
      </c>
      <c r="BJ538" s="59"/>
      <c r="BK538" s="48" t="s">
        <v>506</v>
      </c>
      <c r="BL538" s="60">
        <f>SUM(BJ537:BJ538)</f>
        <v>25</v>
      </c>
    </row>
    <row r="539" spans="1:64" x14ac:dyDescent="0.3">
      <c r="A539" s="36" t="s">
        <v>93</v>
      </c>
      <c r="B539" s="36">
        <v>2557</v>
      </c>
      <c r="C539" s="11">
        <v>3290</v>
      </c>
      <c r="D539" s="37"/>
      <c r="E539" s="38" t="s">
        <v>60</v>
      </c>
      <c r="F539" s="37"/>
      <c r="G539" s="12">
        <f>21*178</f>
        <v>3738</v>
      </c>
      <c r="H539" s="36">
        <v>21</v>
      </c>
      <c r="I539" s="37" t="s">
        <v>101</v>
      </c>
      <c r="J539" s="40"/>
      <c r="K539" s="28"/>
      <c r="L539" s="44" t="s">
        <v>95</v>
      </c>
      <c r="M539" s="37">
        <v>0</v>
      </c>
      <c r="N539" s="37">
        <v>0</v>
      </c>
      <c r="O539" s="10"/>
      <c r="P539" s="18"/>
      <c r="Q539" s="11"/>
      <c r="R539" s="18"/>
      <c r="S539" s="18"/>
      <c r="T539" s="10" t="s">
        <v>96</v>
      </c>
      <c r="U539" s="37"/>
      <c r="V539" s="11"/>
      <c r="W539" s="28"/>
      <c r="AB539" s="36" t="s">
        <v>97</v>
      </c>
      <c r="AC539" s="10">
        <v>0</v>
      </c>
      <c r="AD539" s="11">
        <v>0</v>
      </c>
      <c r="AE539" s="18">
        <v>0</v>
      </c>
      <c r="AF539" s="18">
        <v>0</v>
      </c>
      <c r="AG539" s="18">
        <v>0</v>
      </c>
      <c r="AH539" s="36">
        <v>0</v>
      </c>
      <c r="AI539" s="11">
        <v>0</v>
      </c>
      <c r="AJ539" s="12">
        <v>0</v>
      </c>
      <c r="AK539" s="37"/>
      <c r="AL539" s="37" t="s">
        <v>781</v>
      </c>
      <c r="AM539" s="11"/>
      <c r="AP539" s="10" t="s">
        <v>122</v>
      </c>
      <c r="AQ539" s="36">
        <v>16</v>
      </c>
      <c r="AR539" s="37">
        <v>23</v>
      </c>
      <c r="AS539" s="42"/>
      <c r="AT539" s="11"/>
      <c r="AU539" s="18"/>
      <c r="AV539" s="18">
        <v>27</v>
      </c>
      <c r="AW539" s="18" t="s">
        <v>123</v>
      </c>
      <c r="AX539" s="18"/>
      <c r="AY539" s="11"/>
      <c r="AZ539" s="28" t="s">
        <v>6</v>
      </c>
      <c r="BA539" s="28"/>
      <c r="BB539" s="32"/>
      <c r="BC539" s="63">
        <v>0</v>
      </c>
      <c r="BD539" s="64">
        <v>0</v>
      </c>
      <c r="BE539" s="33"/>
      <c r="BF539" s="8"/>
      <c r="BG539" s="35"/>
      <c r="BH539" s="65"/>
      <c r="BI539" s="66"/>
      <c r="BJ539" s="29"/>
      <c r="BK539" s="31"/>
      <c r="BL539" s="35"/>
    </row>
    <row r="540" spans="1:64" ht="15" thickBot="1" x14ac:dyDescent="0.35">
      <c r="A540" s="47"/>
      <c r="B540" s="47"/>
      <c r="C540" s="49"/>
      <c r="D540" s="48"/>
      <c r="E540" s="48"/>
      <c r="F540" s="48"/>
      <c r="G540" s="46"/>
      <c r="H540" s="47"/>
      <c r="I540" s="48" t="s">
        <v>6</v>
      </c>
      <c r="J540" s="49">
        <f>SUM(H539:H540)</f>
        <v>21</v>
      </c>
      <c r="K540" s="28"/>
      <c r="L540" s="12" t="s">
        <v>102</v>
      </c>
      <c r="M540" s="18">
        <v>0</v>
      </c>
      <c r="N540" s="18">
        <v>0</v>
      </c>
      <c r="O540" s="10"/>
      <c r="P540" s="18"/>
      <c r="Q540" s="11"/>
      <c r="R540" s="18"/>
      <c r="S540" s="18"/>
      <c r="T540" s="10"/>
      <c r="U540" s="18"/>
      <c r="V540" s="11"/>
      <c r="W540" s="28"/>
      <c r="AB540" s="42" t="s">
        <v>84</v>
      </c>
      <c r="AC540" s="10">
        <f>SUM(AC538:AC539)</f>
        <v>0</v>
      </c>
      <c r="AD540" s="11">
        <f>SUM(AD538:AD539)</f>
        <v>0</v>
      </c>
      <c r="AE540" s="18"/>
      <c r="AF540" s="18"/>
      <c r="AG540" s="18"/>
      <c r="AH540" s="10"/>
      <c r="AI540" s="11"/>
      <c r="AJ540" s="12"/>
      <c r="AK540" s="57"/>
      <c r="AL540" s="37" t="s">
        <v>6</v>
      </c>
      <c r="AM540" s="11"/>
      <c r="AP540" s="10" t="s">
        <v>125</v>
      </c>
      <c r="AQ540" s="36">
        <v>0</v>
      </c>
      <c r="AR540" s="37">
        <v>0</v>
      </c>
      <c r="AS540" s="42"/>
      <c r="AT540" s="11"/>
      <c r="AU540" s="18"/>
      <c r="AV540" s="18">
        <v>32</v>
      </c>
      <c r="AW540" s="18" t="s">
        <v>126</v>
      </c>
      <c r="AX540" s="18"/>
      <c r="AY540" s="11"/>
      <c r="AZ540" s="28"/>
      <c r="BA540" s="28"/>
      <c r="BB540" s="41"/>
      <c r="BC540" s="70">
        <v>0</v>
      </c>
      <c r="BD540" s="71">
        <v>0</v>
      </c>
      <c r="BE540" s="42"/>
      <c r="BF540" s="28"/>
      <c r="BG540" s="40"/>
      <c r="BH540" s="42"/>
      <c r="BI540" s="40"/>
      <c r="BJ540" s="42"/>
      <c r="BK540" s="54"/>
      <c r="BL540" s="40"/>
    </row>
    <row r="541" spans="1:64" ht="15" thickBot="1" x14ac:dyDescent="0.35">
      <c r="A541" s="29" t="s">
        <v>250</v>
      </c>
      <c r="B541" s="29">
        <v>0</v>
      </c>
      <c r="C541" s="7">
        <v>0</v>
      </c>
      <c r="D541" s="8"/>
      <c r="E541" s="8"/>
      <c r="F541" s="8"/>
      <c r="G541" s="9"/>
      <c r="H541" s="8" t="s">
        <v>104</v>
      </c>
      <c r="I541" s="8"/>
      <c r="J541" s="7"/>
      <c r="K541" s="28"/>
      <c r="L541" s="12" t="s">
        <v>84</v>
      </c>
      <c r="M541" s="18">
        <f>SUM(M538:M540)</f>
        <v>0</v>
      </c>
      <c r="N541" s="18">
        <f>SUM(N538:N540)</f>
        <v>0</v>
      </c>
      <c r="O541" s="10">
        <v>0</v>
      </c>
      <c r="P541" s="18">
        <v>0</v>
      </c>
      <c r="Q541" s="11">
        <v>0</v>
      </c>
      <c r="R541" s="18">
        <v>0</v>
      </c>
      <c r="S541" s="18">
        <v>0</v>
      </c>
      <c r="T541" s="13"/>
      <c r="U541" s="27"/>
      <c r="V541" s="26"/>
      <c r="W541" s="28"/>
      <c r="AB541" s="50"/>
      <c r="AC541" s="8"/>
      <c r="AD541" s="8"/>
      <c r="AE541" s="6"/>
      <c r="AF541" s="8"/>
      <c r="AG541" s="7"/>
      <c r="AH541" s="6"/>
      <c r="AI541" s="7"/>
      <c r="AJ541" s="6"/>
      <c r="AK541" s="33" t="s">
        <v>857</v>
      </c>
      <c r="AL541" s="34"/>
      <c r="AM541" s="7"/>
      <c r="AP541" s="84" t="s">
        <v>128</v>
      </c>
      <c r="AQ541" s="52">
        <v>1</v>
      </c>
      <c r="AR541" s="37">
        <v>2</v>
      </c>
      <c r="AS541" s="42"/>
      <c r="AT541" s="40"/>
      <c r="AU541" s="28"/>
      <c r="AV541" s="28">
        <v>40</v>
      </c>
      <c r="AW541" s="28" t="s">
        <v>129</v>
      </c>
      <c r="AX541" s="28"/>
      <c r="AY541" s="40"/>
      <c r="AZ541" s="28"/>
      <c r="BA541" s="28" t="s">
        <v>6</v>
      </c>
      <c r="BB541" s="68"/>
      <c r="BC541">
        <f>SUM(BC539:BC540)</f>
        <v>0</v>
      </c>
      <c r="BD541">
        <f>SUM(BD539:BD540)</f>
        <v>0</v>
      </c>
      <c r="BE541" s="47">
        <v>0</v>
      </c>
      <c r="BF541" s="27">
        <v>0</v>
      </c>
      <c r="BG541" s="49">
        <v>0</v>
      </c>
      <c r="BH541" s="75">
        <v>0</v>
      </c>
      <c r="BI541" s="49">
        <v>0</v>
      </c>
      <c r="BJ541" s="47"/>
      <c r="BK541" s="51"/>
      <c r="BL541" s="49">
        <f>SUM(BJ540:BJ541)</f>
        <v>0</v>
      </c>
    </row>
    <row r="542" spans="1:64" ht="15" thickBot="1" x14ac:dyDescent="0.35">
      <c r="A542" s="42" t="s">
        <v>105</v>
      </c>
      <c r="B542" s="42">
        <v>193</v>
      </c>
      <c r="C542" s="40">
        <v>346</v>
      </c>
      <c r="D542" s="28"/>
      <c r="E542" s="38" t="s">
        <v>60</v>
      </c>
      <c r="F542" s="28"/>
      <c r="G542" s="41"/>
      <c r="H542" s="67">
        <v>6</v>
      </c>
      <c r="I542" s="43" t="s">
        <v>106</v>
      </c>
      <c r="J542" s="40">
        <f>SUM(H542)</f>
        <v>6</v>
      </c>
      <c r="K542" s="28"/>
      <c r="L542" s="32"/>
      <c r="M542" s="33"/>
      <c r="N542" s="35"/>
      <c r="O542" s="34"/>
      <c r="P542" s="34"/>
      <c r="Q542" s="35"/>
      <c r="R542" s="33"/>
      <c r="S542" s="35"/>
      <c r="T542" s="6" t="s">
        <v>104</v>
      </c>
      <c r="U542" s="34"/>
      <c r="V542" s="35"/>
      <c r="W542" s="28"/>
      <c r="AB542" s="46" t="s">
        <v>858</v>
      </c>
      <c r="AC542" s="27">
        <v>0</v>
      </c>
      <c r="AD542" s="27">
        <v>112</v>
      </c>
      <c r="AE542" s="13">
        <v>0</v>
      </c>
      <c r="AF542" s="27">
        <v>0</v>
      </c>
      <c r="AG542" s="26">
        <v>0</v>
      </c>
      <c r="AH542" s="13"/>
      <c r="AI542" s="26"/>
      <c r="AJ542" s="13">
        <v>0</v>
      </c>
      <c r="AK542" s="47">
        <v>1</v>
      </c>
      <c r="AL542" s="74" t="s">
        <v>436</v>
      </c>
      <c r="AM542" s="26"/>
      <c r="AP542" s="84" t="s">
        <v>132</v>
      </c>
      <c r="AQ542" s="42">
        <v>0</v>
      </c>
      <c r="AR542" s="37">
        <v>0</v>
      </c>
      <c r="AS542" s="42"/>
      <c r="AT542" s="40"/>
      <c r="AU542" s="28"/>
      <c r="AV542" s="28"/>
      <c r="AW542" s="28"/>
      <c r="AX542" s="28"/>
      <c r="AY542" s="40"/>
      <c r="AZ542" s="28"/>
      <c r="BA542" s="28" t="s">
        <v>6</v>
      </c>
      <c r="BB542" s="33" t="s">
        <v>89</v>
      </c>
      <c r="BC542" s="78">
        <v>401</v>
      </c>
      <c r="BD542" s="79">
        <v>396</v>
      </c>
      <c r="BE542" s="34"/>
      <c r="BF542" s="8"/>
      <c r="BG542" s="35"/>
      <c r="BH542" s="80"/>
      <c r="BI542" s="34"/>
      <c r="BJ542" s="33"/>
      <c r="BK542" s="34" t="s">
        <v>91</v>
      </c>
      <c r="BL542" s="35"/>
    </row>
    <row r="543" spans="1:64" ht="15" thickBot="1" x14ac:dyDescent="0.35">
      <c r="A543" s="67" t="s">
        <v>84</v>
      </c>
      <c r="B543" s="47">
        <f>SUM(B541:B542)</f>
        <v>193</v>
      </c>
      <c r="C543" s="49">
        <f>SUM(C541:C542)</f>
        <v>346</v>
      </c>
      <c r="G543" s="46">
        <f>6*70</f>
        <v>420</v>
      </c>
      <c r="H543" s="48"/>
      <c r="I543" s="48"/>
      <c r="J543" s="49"/>
      <c r="K543" s="28"/>
      <c r="L543" s="69" t="s">
        <v>109</v>
      </c>
      <c r="M543" s="42">
        <v>3438</v>
      </c>
      <c r="N543" s="40">
        <v>0</v>
      </c>
      <c r="O543" s="28">
        <v>0</v>
      </c>
      <c r="P543" s="43">
        <v>0</v>
      </c>
      <c r="Q543" s="40">
        <v>0</v>
      </c>
      <c r="R543" s="42">
        <v>0</v>
      </c>
      <c r="S543" s="40">
        <v>0</v>
      </c>
      <c r="T543" s="28"/>
      <c r="U543" s="28"/>
      <c r="V543" s="40"/>
      <c r="W543" s="28"/>
      <c r="AA543" s="28"/>
      <c r="AB543" s="44" t="s">
        <v>6</v>
      </c>
      <c r="AC543" s="45"/>
      <c r="AD543" s="45"/>
      <c r="AE543" s="10">
        <v>0</v>
      </c>
      <c r="AF543" s="18">
        <v>0</v>
      </c>
      <c r="AG543" s="11">
        <v>0</v>
      </c>
      <c r="AH543" s="10"/>
      <c r="AI543" s="11"/>
      <c r="AJ543" s="67"/>
      <c r="AK543" s="42"/>
      <c r="AM543" s="40"/>
      <c r="AN543" s="28"/>
      <c r="AP543" s="84" t="s">
        <v>81</v>
      </c>
      <c r="AQ543" s="42">
        <v>25</v>
      </c>
      <c r="AR543" s="37">
        <v>35</v>
      </c>
      <c r="AS543" s="42"/>
      <c r="AT543" s="40"/>
      <c r="AU543" s="28"/>
      <c r="AV543" s="28"/>
      <c r="AW543" s="28"/>
      <c r="AX543" s="28"/>
      <c r="AY543" s="40"/>
      <c r="AZ543" s="45"/>
      <c r="BA543" s="28"/>
      <c r="BB543" s="52" t="s">
        <v>85</v>
      </c>
      <c r="BC543" s="42">
        <v>0</v>
      </c>
      <c r="BD543" s="40">
        <v>0</v>
      </c>
      <c r="BE543" s="28"/>
      <c r="BF543" s="28"/>
      <c r="BG543" s="40"/>
      <c r="BJ543" s="42"/>
      <c r="BK543" s="43"/>
      <c r="BL543" s="40"/>
    </row>
    <row r="544" spans="1:64" ht="15" thickBot="1" x14ac:dyDescent="0.35">
      <c r="A544" s="29" t="s">
        <v>108</v>
      </c>
      <c r="B544" s="29">
        <v>0</v>
      </c>
      <c r="C544" s="7">
        <v>0</v>
      </c>
      <c r="D544" s="8"/>
      <c r="E544" s="8">
        <v>511</v>
      </c>
      <c r="F544" s="8"/>
      <c r="G544" s="50"/>
      <c r="H544" s="6" t="s">
        <v>104</v>
      </c>
      <c r="I544" s="31"/>
      <c r="J544" s="30"/>
      <c r="K544" s="28"/>
      <c r="L544" s="46"/>
      <c r="M544" s="47"/>
      <c r="N544" s="49"/>
      <c r="O544" s="48"/>
      <c r="P544" s="48"/>
      <c r="Q544" s="49"/>
      <c r="R544" s="72"/>
      <c r="S544" s="73"/>
      <c r="T544" s="48"/>
      <c r="U544" s="48"/>
      <c r="V544" s="49"/>
      <c r="W544" s="28"/>
      <c r="AA544" s="28"/>
      <c r="AB544" s="41"/>
      <c r="AE544" s="10">
        <v>0</v>
      </c>
      <c r="AF544" s="18">
        <v>0</v>
      </c>
      <c r="AG544" s="11">
        <v>0</v>
      </c>
      <c r="AH544" s="10"/>
      <c r="AI544" s="11"/>
      <c r="AJ544" s="47"/>
      <c r="AK544" s="72"/>
      <c r="AL544" s="74"/>
      <c r="AM544" s="49"/>
      <c r="AN544" s="28"/>
      <c r="AP544" s="10" t="s">
        <v>138</v>
      </c>
      <c r="AQ544" s="36">
        <v>0</v>
      </c>
      <c r="AR544" s="37">
        <v>0</v>
      </c>
      <c r="AS544" s="42"/>
      <c r="AT544" s="11"/>
      <c r="AU544" s="18"/>
      <c r="AV544" s="18"/>
      <c r="AW544" s="18"/>
      <c r="AX544" s="18"/>
      <c r="AY544" s="11"/>
      <c r="AZ544" s="28"/>
      <c r="BA544" s="28" t="s">
        <v>6</v>
      </c>
      <c r="BB544" s="67" t="s">
        <v>113</v>
      </c>
      <c r="BC544" s="42">
        <v>554</v>
      </c>
      <c r="BD544" s="40">
        <v>547</v>
      </c>
      <c r="BE544" s="28"/>
      <c r="BF544" s="28"/>
      <c r="BG544" s="40"/>
      <c r="BH544" s="28"/>
      <c r="BI544" s="28"/>
      <c r="BJ544" s="67">
        <v>64</v>
      </c>
      <c r="BK544" s="43" t="s">
        <v>73</v>
      </c>
      <c r="BL544" s="40"/>
    </row>
    <row r="545" spans="1:65" ht="15" thickBot="1" x14ac:dyDescent="0.35">
      <c r="A545" s="52" t="s">
        <v>109</v>
      </c>
      <c r="B545" s="36">
        <v>1019</v>
      </c>
      <c r="C545" s="11">
        <v>2178</v>
      </c>
      <c r="D545" s="45"/>
      <c r="E545" s="45">
        <v>0</v>
      </c>
      <c r="F545" s="45"/>
      <c r="G545" s="69"/>
      <c r="H545" s="45">
        <v>8</v>
      </c>
      <c r="I545" s="28" t="s">
        <v>114</v>
      </c>
      <c r="J545" s="40"/>
      <c r="K545" s="28"/>
      <c r="L545" s="50" t="s">
        <v>93</v>
      </c>
      <c r="M545" s="8">
        <v>0</v>
      </c>
      <c r="N545" s="8">
        <v>0</v>
      </c>
      <c r="O545" s="6"/>
      <c r="P545" s="8"/>
      <c r="Q545" s="7"/>
      <c r="R545" s="8">
        <v>0</v>
      </c>
      <c r="S545" s="8">
        <v>0</v>
      </c>
      <c r="T545" s="10" t="s">
        <v>116</v>
      </c>
      <c r="U545" s="8"/>
      <c r="V545" s="7"/>
      <c r="W545" s="28"/>
      <c r="AA545" s="28"/>
      <c r="AB545" s="33"/>
      <c r="AC545" s="6"/>
      <c r="AD545" s="7"/>
      <c r="AE545" s="8"/>
      <c r="AF545" s="8"/>
      <c r="AG545" s="8"/>
      <c r="AH545" s="6"/>
      <c r="AI545" s="7"/>
      <c r="AJ545" s="8"/>
      <c r="AK545" s="29"/>
      <c r="AL545" s="164"/>
      <c r="AM545" s="7"/>
      <c r="AN545" s="28"/>
      <c r="AP545" s="84" t="s">
        <v>56</v>
      </c>
      <c r="AQ545" s="42">
        <v>6</v>
      </c>
      <c r="AR545" s="54">
        <v>5</v>
      </c>
      <c r="AS545" s="42"/>
      <c r="AT545" s="40"/>
      <c r="AU545" s="28"/>
      <c r="AV545" s="28"/>
      <c r="AW545" s="28"/>
      <c r="AX545" s="28"/>
      <c r="AY545" s="40"/>
      <c r="AZ545" s="28"/>
      <c r="BA545" s="28"/>
      <c r="BB545" s="47" t="s">
        <v>84</v>
      </c>
      <c r="BC545" s="47">
        <f>SUM(BC542:BC544)</f>
        <v>955</v>
      </c>
      <c r="BD545" s="49">
        <f>SUM(BD542:BD544)</f>
        <v>943</v>
      </c>
      <c r="BE545" s="81">
        <v>0</v>
      </c>
      <c r="BF545" s="27">
        <v>0</v>
      </c>
      <c r="BG545" s="82">
        <f>+BG542</f>
        <v>0</v>
      </c>
      <c r="BH545" s="74">
        <v>0</v>
      </c>
      <c r="BI545" s="74">
        <v>0</v>
      </c>
      <c r="BJ545" s="47"/>
      <c r="BK545" s="51"/>
      <c r="BL545" s="49">
        <f>SUM(BJ544)</f>
        <v>64</v>
      </c>
    </row>
    <row r="546" spans="1:65" ht="15" thickBot="1" x14ac:dyDescent="0.35">
      <c r="A546" s="76" t="s">
        <v>84</v>
      </c>
      <c r="B546" s="42">
        <f>SUM(B544:B545)</f>
        <v>1019</v>
      </c>
      <c r="C546" s="40">
        <f>SUM(C544:C545)</f>
        <v>2178</v>
      </c>
      <c r="D546" s="28"/>
      <c r="E546" s="28">
        <f>SUM(E544:E545)</f>
        <v>511</v>
      </c>
      <c r="F546" s="28"/>
      <c r="G546" s="46">
        <f>375*8</f>
        <v>3000</v>
      </c>
      <c r="H546" s="48"/>
      <c r="I546" s="48"/>
      <c r="J546" s="49">
        <f>SUM(H545)</f>
        <v>8</v>
      </c>
      <c r="K546" s="28"/>
      <c r="L546" s="12" t="s">
        <v>99</v>
      </c>
      <c r="M546" s="37">
        <v>44166</v>
      </c>
      <c r="N546" s="37">
        <v>42070</v>
      </c>
      <c r="O546" s="10"/>
      <c r="P546" s="18"/>
      <c r="Q546" s="11"/>
      <c r="R546" s="18">
        <v>7190</v>
      </c>
      <c r="S546" s="18">
        <v>300</v>
      </c>
      <c r="T546" s="10"/>
      <c r="U546" s="18"/>
      <c r="V546" s="11"/>
      <c r="W546" s="28"/>
      <c r="AA546" s="28"/>
      <c r="AB546" s="67"/>
      <c r="AC546" s="42"/>
      <c r="AD546" s="40"/>
      <c r="AE546" s="28"/>
      <c r="AF546" s="28"/>
      <c r="AG546" s="28"/>
      <c r="AH546" s="42"/>
      <c r="AI546" s="40"/>
      <c r="AJ546" s="28"/>
      <c r="AK546" s="42"/>
      <c r="AL546" s="54" t="s">
        <v>831</v>
      </c>
      <c r="AM546" s="40"/>
      <c r="AN546" s="28"/>
      <c r="AP546" s="36" t="s">
        <v>67</v>
      </c>
      <c r="AQ546" s="10">
        <v>52</v>
      </c>
      <c r="AR546" s="18">
        <v>46</v>
      </c>
      <c r="AS546" s="42"/>
      <c r="AT546" s="11"/>
      <c r="AU546" s="18"/>
      <c r="AV546" s="18"/>
      <c r="AW546" s="18"/>
      <c r="AX546" s="18"/>
      <c r="AY546" s="11"/>
      <c r="AZ546" s="28"/>
      <c r="BA546" s="28" t="s">
        <v>6</v>
      </c>
      <c r="BB546" s="52" t="s">
        <v>113</v>
      </c>
      <c r="BC546" s="42">
        <v>359</v>
      </c>
      <c r="BD546" s="85">
        <v>648</v>
      </c>
      <c r="BE546" s="37"/>
      <c r="BF546" s="18"/>
      <c r="BG546" s="54"/>
      <c r="BH546" s="52"/>
      <c r="BI546" s="40"/>
      <c r="BJ546" s="67"/>
      <c r="BK546" s="34" t="s">
        <v>130</v>
      </c>
      <c r="BL546" s="40"/>
    </row>
    <row r="547" spans="1:65" ht="15" thickBot="1" x14ac:dyDescent="0.35">
      <c r="A547" s="33" t="s">
        <v>785</v>
      </c>
      <c r="B547" s="33">
        <v>344</v>
      </c>
      <c r="C547" s="35">
        <v>417</v>
      </c>
      <c r="D547" s="33"/>
      <c r="E547" s="34"/>
      <c r="F547" s="34"/>
      <c r="G547" s="32">
        <v>490</v>
      </c>
      <c r="H547" s="33" t="s">
        <v>118</v>
      </c>
      <c r="I547" s="34"/>
      <c r="J547" s="35"/>
      <c r="K547" s="28"/>
      <c r="L547" s="12" t="s">
        <v>120</v>
      </c>
      <c r="M547" s="37">
        <v>352</v>
      </c>
      <c r="N547" s="37">
        <v>30770</v>
      </c>
      <c r="O547" s="10"/>
      <c r="P547" s="18"/>
      <c r="Q547" s="11"/>
      <c r="R547" s="18">
        <v>505</v>
      </c>
      <c r="S547" s="18"/>
      <c r="T547" s="10"/>
      <c r="U547" s="18"/>
      <c r="V547" s="11"/>
      <c r="W547" s="28"/>
      <c r="AA547" s="28"/>
      <c r="AB547" s="36"/>
      <c r="AC547" s="10"/>
      <c r="AD547" s="11"/>
      <c r="AE547" s="18"/>
      <c r="AF547" s="18"/>
      <c r="AG547" s="18"/>
      <c r="AH547" s="10"/>
      <c r="AI547" s="11"/>
      <c r="AJ547" s="18"/>
      <c r="AK547" s="10">
        <v>1</v>
      </c>
      <c r="AL547" s="37" t="s">
        <v>859</v>
      </c>
      <c r="AM547" s="11"/>
      <c r="AN547" s="28"/>
      <c r="AP547" s="13" t="s">
        <v>84</v>
      </c>
      <c r="AQ547" s="13">
        <f>SUM(AQ535:AQ546)</f>
        <v>195</v>
      </c>
      <c r="AR547" s="27">
        <f>SUM(AR535:AR546)</f>
        <v>265</v>
      </c>
      <c r="AS547" s="47"/>
      <c r="AT547" s="26">
        <f>SUM(AT539:AT546)</f>
        <v>0</v>
      </c>
      <c r="AU547" s="27"/>
      <c r="AV547" s="27"/>
      <c r="AW547" s="27"/>
      <c r="AX547" s="27"/>
      <c r="AY547" s="26">
        <f>SUM(AV539:AV541)</f>
        <v>99</v>
      </c>
      <c r="AZ547" s="28"/>
      <c r="BA547" s="28"/>
      <c r="BB547" s="42" t="s">
        <v>475</v>
      </c>
      <c r="BC547" s="67"/>
      <c r="BD547" s="85"/>
      <c r="BE547" s="28"/>
      <c r="BF547" s="18"/>
      <c r="BG547" s="28"/>
      <c r="BH547" s="52"/>
      <c r="BI547" s="86"/>
      <c r="BJ547" s="52">
        <v>53</v>
      </c>
      <c r="BK547" s="43" t="s">
        <v>73</v>
      </c>
      <c r="BL547" s="40"/>
      <c r="BM547" t="s">
        <v>6</v>
      </c>
    </row>
    <row r="548" spans="1:65" ht="15" thickBot="1" x14ac:dyDescent="0.35">
      <c r="A548" s="67" t="s">
        <v>93</v>
      </c>
      <c r="B548" s="67">
        <v>4943</v>
      </c>
      <c r="C548" s="56">
        <v>5338</v>
      </c>
      <c r="G548" s="41">
        <v>5550</v>
      </c>
      <c r="H548" s="42"/>
      <c r="I548" s="28"/>
      <c r="J548" s="40"/>
      <c r="K548" s="28"/>
      <c r="L548" s="12" t="s">
        <v>84</v>
      </c>
      <c r="M548" s="18">
        <f>SUM(M545:M547)</f>
        <v>44518</v>
      </c>
      <c r="N548" s="18">
        <f>SUM(N545:N547)</f>
        <v>72840</v>
      </c>
      <c r="O548" s="10">
        <v>0</v>
      </c>
      <c r="P548" s="18">
        <v>0</v>
      </c>
      <c r="Q548" s="11">
        <v>0</v>
      </c>
      <c r="R548" s="18">
        <f>SUM(R545:R547)</f>
        <v>7695</v>
      </c>
      <c r="S548" s="18">
        <f>SUM(S545:S547)</f>
        <v>300</v>
      </c>
      <c r="T548" s="10"/>
      <c r="U548" s="18"/>
      <c r="V548" s="11"/>
      <c r="W548" s="28"/>
      <c r="AA548" s="28"/>
      <c r="AB548" s="42"/>
      <c r="AC548" s="42"/>
      <c r="AD548" s="40"/>
      <c r="AE548" s="28"/>
      <c r="AF548" s="28"/>
      <c r="AG548" s="28"/>
      <c r="AH548" s="42"/>
      <c r="AI548" s="40"/>
      <c r="AJ548" s="28"/>
      <c r="AK548" s="42">
        <v>2</v>
      </c>
      <c r="AL548" s="28" t="s">
        <v>124</v>
      </c>
      <c r="AM548" s="40"/>
      <c r="AN548" s="28"/>
      <c r="AP548" s="32"/>
      <c r="AQ548" s="53"/>
      <c r="AR548" s="97"/>
      <c r="AS548" s="33"/>
      <c r="AT548" s="7"/>
      <c r="AU548" s="6"/>
      <c r="AV548" s="8"/>
      <c r="AW548" s="31"/>
      <c r="AX548" s="8"/>
      <c r="AY548" s="7"/>
      <c r="AZ548" s="28"/>
      <c r="BA548" s="28"/>
      <c r="BB548" s="59" t="s">
        <v>84</v>
      </c>
      <c r="BC548" s="13">
        <f>SUM(BC546:BC547)</f>
        <v>359</v>
      </c>
      <c r="BD548" s="60">
        <f>SUM(BD546:BD547)</f>
        <v>648</v>
      </c>
      <c r="BE548" s="81">
        <v>0</v>
      </c>
      <c r="BF548" s="27">
        <v>0</v>
      </c>
      <c r="BG548" s="27">
        <v>0</v>
      </c>
      <c r="BH548" s="13">
        <v>0</v>
      </c>
      <c r="BI548" s="26">
        <v>0</v>
      </c>
      <c r="BJ548" s="13"/>
      <c r="BK548" s="43"/>
      <c r="BL548" s="26">
        <f>SUM(BJ546:BJ547)</f>
        <v>53</v>
      </c>
    </row>
    <row r="549" spans="1:65" ht="15" thickBot="1" x14ac:dyDescent="0.35">
      <c r="A549" s="42" t="s">
        <v>120</v>
      </c>
      <c r="B549" s="42">
        <v>3903</v>
      </c>
      <c r="C549" s="40">
        <v>4348</v>
      </c>
      <c r="D549" s="42"/>
      <c r="E549" s="107" t="s">
        <v>60</v>
      </c>
      <c r="F549" s="28"/>
      <c r="G549" s="41">
        <v>4600</v>
      </c>
      <c r="H549" s="42">
        <v>69</v>
      </c>
      <c r="I549" s="28" t="s">
        <v>101</v>
      </c>
      <c r="J549" s="40"/>
      <c r="K549" s="28"/>
      <c r="L549" s="17"/>
      <c r="M549" s="27"/>
      <c r="N549" s="27"/>
      <c r="O549" s="13"/>
      <c r="P549" s="27"/>
      <c r="Q549" s="26"/>
      <c r="R549" s="27"/>
      <c r="S549" s="27"/>
      <c r="T549" s="13"/>
      <c r="U549" s="27"/>
      <c r="V549" s="26"/>
      <c r="W549" s="28"/>
      <c r="AA549" s="28"/>
      <c r="AB549" s="47"/>
      <c r="AC549" s="47"/>
      <c r="AD549" s="49"/>
      <c r="AE549" s="48"/>
      <c r="AF549" s="48"/>
      <c r="AG549" s="48"/>
      <c r="AH549" s="47"/>
      <c r="AI549" s="49"/>
      <c r="AJ549" s="48"/>
      <c r="AK549" s="165"/>
      <c r="AL549" s="48"/>
      <c r="AM549" s="49"/>
      <c r="AN549" s="28"/>
      <c r="AP549" s="62"/>
      <c r="AQ549" s="72"/>
      <c r="AR549" s="73"/>
      <c r="AS549" s="47"/>
      <c r="AT549" s="49"/>
      <c r="AU549" s="47"/>
      <c r="AV549" s="48"/>
      <c r="AW549" s="48"/>
      <c r="AX549" s="48"/>
      <c r="AY549" s="49"/>
      <c r="BA549" s="28"/>
      <c r="BB549" s="88" t="s">
        <v>139</v>
      </c>
      <c r="BC549" s="33">
        <v>3</v>
      </c>
      <c r="BD549" s="34">
        <v>4</v>
      </c>
      <c r="BE549" s="152"/>
      <c r="BF549" s="89"/>
      <c r="BG549" s="66"/>
      <c r="BH549" s="8"/>
      <c r="BI549" s="35"/>
      <c r="BJ549" s="34" t="s">
        <v>140</v>
      </c>
      <c r="BK549" s="34"/>
      <c r="BL549" s="35"/>
    </row>
    <row r="550" spans="1:65" ht="15" thickBot="1" x14ac:dyDescent="0.35">
      <c r="A550" s="47" t="s">
        <v>84</v>
      </c>
      <c r="B550" s="47">
        <f>SUM(B547:B549)</f>
        <v>9190</v>
      </c>
      <c r="C550" s="49">
        <f>SUM(C547:C549)</f>
        <v>10103</v>
      </c>
      <c r="D550" s="47"/>
      <c r="E550" s="48"/>
      <c r="F550" s="48"/>
      <c r="G550" s="46">
        <f>SUM(G547:G549)</f>
        <v>10640</v>
      </c>
      <c r="H550" s="47"/>
      <c r="I550" s="48"/>
      <c r="J550" s="49">
        <f>SUM(H549:H550)</f>
        <v>69</v>
      </c>
      <c r="K550" s="28"/>
      <c r="L550" s="12" t="s">
        <v>105</v>
      </c>
      <c r="M550" s="34">
        <v>1788</v>
      </c>
      <c r="N550" s="34">
        <v>1804</v>
      </c>
      <c r="O550" s="33"/>
      <c r="P550" s="34"/>
      <c r="Q550" s="35"/>
      <c r="R550" s="34">
        <v>47</v>
      </c>
      <c r="S550" s="34">
        <v>0</v>
      </c>
      <c r="T550" s="33"/>
      <c r="U550" s="34"/>
      <c r="V550" s="35"/>
      <c r="W550" s="28"/>
      <c r="AA550" s="28"/>
      <c r="AB550" s="32" t="s">
        <v>97</v>
      </c>
      <c r="AC550" s="28">
        <v>154</v>
      </c>
      <c r="AD550" s="28">
        <v>156</v>
      </c>
      <c r="AE550" s="33"/>
      <c r="AF550" s="34"/>
      <c r="AG550" s="34"/>
      <c r="AH550" s="33"/>
      <c r="AI550" s="35"/>
      <c r="AJ550" s="35"/>
      <c r="AK550" s="33"/>
      <c r="AL550" s="34"/>
      <c r="AM550" s="35"/>
      <c r="AN550" s="28"/>
      <c r="AP550" s="67" t="s">
        <v>63</v>
      </c>
      <c r="AQ550" s="33">
        <v>5</v>
      </c>
      <c r="AR550" s="35">
        <v>5</v>
      </c>
      <c r="AU550" s="33"/>
      <c r="AV550" s="34"/>
      <c r="AW550" s="34"/>
      <c r="AX550" s="34"/>
      <c r="AY550" s="35"/>
      <c r="AZ550" s="28"/>
      <c r="BA550" s="28"/>
      <c r="BB550" s="42" t="s">
        <v>164</v>
      </c>
      <c r="BC550" s="42">
        <v>0</v>
      </c>
      <c r="BD550" s="43">
        <v>3</v>
      </c>
      <c r="BE550" s="42"/>
      <c r="BF550" s="28"/>
      <c r="BG550" s="40"/>
      <c r="BH550" s="28"/>
      <c r="BI550" s="40"/>
      <c r="BJ550" s="28"/>
      <c r="BK550" s="28"/>
      <c r="BL550" s="40"/>
    </row>
    <row r="551" spans="1:65" x14ac:dyDescent="0.3">
      <c r="A551" s="41" t="s">
        <v>88</v>
      </c>
      <c r="B551" s="42">
        <v>431</v>
      </c>
      <c r="C551" s="40">
        <v>491</v>
      </c>
      <c r="D551" s="28"/>
      <c r="E551" s="45">
        <v>0</v>
      </c>
      <c r="F551" s="40"/>
      <c r="G551" s="40">
        <v>1968</v>
      </c>
      <c r="H551" s="28" t="s">
        <v>131</v>
      </c>
      <c r="J551" s="40"/>
      <c r="K551" s="28"/>
      <c r="L551" s="44" t="s">
        <v>99</v>
      </c>
      <c r="M551" s="18">
        <v>605</v>
      </c>
      <c r="N551" s="18"/>
      <c r="O551" s="10"/>
      <c r="P551" s="18"/>
      <c r="Q551" s="11"/>
      <c r="R551" s="18">
        <v>0</v>
      </c>
      <c r="S551" s="18">
        <v>0</v>
      </c>
      <c r="T551" s="10" t="s">
        <v>135</v>
      </c>
      <c r="U551" s="18"/>
      <c r="V551" s="11"/>
      <c r="W551" s="28"/>
      <c r="AA551" s="28"/>
      <c r="AB551" s="41" t="s">
        <v>89</v>
      </c>
      <c r="AC551" s="28">
        <v>461</v>
      </c>
      <c r="AD551" s="28">
        <v>456</v>
      </c>
      <c r="AE551" s="42"/>
      <c r="AF551" s="28"/>
      <c r="AG551" s="28"/>
      <c r="AH551" s="42"/>
      <c r="AI551" s="40"/>
      <c r="AJ551" s="40"/>
      <c r="AK551" s="42" t="s">
        <v>832</v>
      </c>
      <c r="AL551" s="28"/>
      <c r="AM551" s="40"/>
      <c r="AN551" s="28"/>
      <c r="AP551" s="67" t="s">
        <v>716</v>
      </c>
      <c r="AQ551" s="42">
        <v>0</v>
      </c>
      <c r="AR551" s="40">
        <v>0</v>
      </c>
      <c r="AU551" s="42"/>
      <c r="AV551" s="28"/>
      <c r="AW551" s="28"/>
      <c r="AX551" s="28"/>
      <c r="AY551" s="40"/>
      <c r="AZ551" s="28"/>
      <c r="BA551" s="28"/>
      <c r="BB551" s="153" t="s">
        <v>250</v>
      </c>
      <c r="BC551" s="42"/>
      <c r="BD551" s="43">
        <f>2+1</f>
        <v>3</v>
      </c>
      <c r="BE551" s="42"/>
      <c r="BF551" s="28"/>
      <c r="BG551" s="40"/>
      <c r="BH551" s="28"/>
      <c r="BI551" s="40"/>
      <c r="BJ551" s="28"/>
      <c r="BK551" s="28"/>
      <c r="BL551" s="40"/>
    </row>
    <row r="552" spans="1:65" x14ac:dyDescent="0.3">
      <c r="A552" s="41" t="s">
        <v>102</v>
      </c>
      <c r="B552" s="42">
        <v>511</v>
      </c>
      <c r="C552" s="85">
        <v>588</v>
      </c>
      <c r="D552" s="28"/>
      <c r="E552" s="45">
        <v>0</v>
      </c>
      <c r="F552" s="40"/>
      <c r="G552" s="40">
        <v>1530</v>
      </c>
      <c r="H552" s="43">
        <v>10</v>
      </c>
      <c r="I552" s="28" t="s">
        <v>134</v>
      </c>
      <c r="J552" s="40"/>
      <c r="K552" s="28"/>
      <c r="L552" s="12"/>
      <c r="M552" s="18"/>
      <c r="N552" s="18"/>
      <c r="O552" s="10"/>
      <c r="P552" s="18"/>
      <c r="Q552" s="11"/>
      <c r="R552" s="18"/>
      <c r="S552" s="18"/>
      <c r="T552" s="10"/>
      <c r="U552" s="18"/>
      <c r="V552" s="11"/>
      <c r="W552" s="28"/>
      <c r="AA552" s="28"/>
      <c r="AB552" s="44" t="s">
        <v>137</v>
      </c>
      <c r="AC552" s="18">
        <v>275</v>
      </c>
      <c r="AD552" s="18">
        <v>265</v>
      </c>
      <c r="AE552" s="10"/>
      <c r="AF552" s="18"/>
      <c r="AG552" s="18"/>
      <c r="AH552" s="52"/>
      <c r="AI552" s="85"/>
      <c r="AJ552" s="40"/>
      <c r="AK552" s="84" t="s">
        <v>833</v>
      </c>
      <c r="AL552" s="37"/>
      <c r="AM552" s="40"/>
      <c r="AN552" s="28"/>
      <c r="AP552" s="52" t="s">
        <v>56</v>
      </c>
      <c r="AQ552" s="52">
        <v>5</v>
      </c>
      <c r="AR552" s="85">
        <v>5</v>
      </c>
      <c r="AS552" s="28"/>
      <c r="AT552" s="28"/>
      <c r="AU552" s="42"/>
      <c r="AV552" s="28" t="s">
        <v>173</v>
      </c>
      <c r="AW552" s="28"/>
      <c r="AX552" s="28"/>
      <c r="AY552" s="40"/>
      <c r="AZ552" s="28"/>
      <c r="BA552" s="28"/>
      <c r="BB552" s="92" t="s">
        <v>113</v>
      </c>
      <c r="BC552" s="67">
        <f>34+3+3+1+9</f>
        <v>50</v>
      </c>
      <c r="BD552" s="43">
        <f>2+31+1+3+4+4</f>
        <v>45</v>
      </c>
      <c r="BE552" s="52"/>
      <c r="BF552" s="54"/>
      <c r="BG552" s="85"/>
      <c r="BH552" s="18"/>
      <c r="BI552" s="40"/>
      <c r="BJ552" s="18" t="s">
        <v>142</v>
      </c>
      <c r="BK552" s="18"/>
      <c r="BL552" s="39" t="s">
        <v>730</v>
      </c>
    </row>
    <row r="553" spans="1:65" ht="15" thickBot="1" x14ac:dyDescent="0.35">
      <c r="A553" s="87" t="s">
        <v>84</v>
      </c>
      <c r="B553" s="59">
        <f>SUM(B551:B552)</f>
        <v>942</v>
      </c>
      <c r="C553" s="26">
        <f>SUM(C551:C552)</f>
        <v>1079</v>
      </c>
      <c r="D553" s="27"/>
      <c r="E553" s="16">
        <f>SUM(E549:E552)</f>
        <v>0</v>
      </c>
      <c r="F553" s="26"/>
      <c r="G553" s="49">
        <f>1968+1530</f>
        <v>3498</v>
      </c>
      <c r="H553" s="48">
        <v>5</v>
      </c>
      <c r="I553" s="189" t="s">
        <v>815</v>
      </c>
      <c r="J553" s="49">
        <f>SUM(H551:H552)</f>
        <v>10</v>
      </c>
      <c r="K553" s="28"/>
      <c r="L553" s="12" t="s">
        <v>84</v>
      </c>
      <c r="M553" s="18">
        <f>SUM(M550:M552)</f>
        <v>2393</v>
      </c>
      <c r="N553" s="18">
        <f>SUM(N550:N552)</f>
        <v>1804</v>
      </c>
      <c r="O553" s="10">
        <v>0</v>
      </c>
      <c r="P553" s="18">
        <v>0</v>
      </c>
      <c r="Q553" s="11">
        <v>0</v>
      </c>
      <c r="R553" s="18">
        <f>SUM(R550:R552)</f>
        <v>47</v>
      </c>
      <c r="S553" s="18">
        <f>SUM(S550:S552)</f>
        <v>0</v>
      </c>
      <c r="T553" s="10"/>
      <c r="U553" s="18"/>
      <c r="V553" s="11"/>
      <c r="W553" s="28"/>
      <c r="AA553" s="28"/>
      <c r="AB553" s="41" t="s">
        <v>84</v>
      </c>
      <c r="AC553" s="28">
        <f>SUM(AC550:AC552)</f>
        <v>890</v>
      </c>
      <c r="AD553" s="28">
        <f>SUM(AD550:AD552)</f>
        <v>877</v>
      </c>
      <c r="AE553" s="42">
        <v>0</v>
      </c>
      <c r="AF553" s="28">
        <v>0</v>
      </c>
      <c r="AG553" s="28">
        <v>0</v>
      </c>
      <c r="AH553" s="42">
        <v>0</v>
      </c>
      <c r="AI553" s="40">
        <v>0</v>
      </c>
      <c r="AJ553" s="40">
        <v>0</v>
      </c>
      <c r="AK553" s="67">
        <v>22</v>
      </c>
      <c r="AL553" s="28" t="s">
        <v>141</v>
      </c>
      <c r="AM553" s="40"/>
      <c r="AN553" s="28"/>
      <c r="AP553" s="52" t="s">
        <v>67</v>
      </c>
      <c r="AQ553" s="52">
        <v>7</v>
      </c>
      <c r="AR553" s="56">
        <v>7</v>
      </c>
      <c r="AU553" s="42"/>
      <c r="AV553" s="28">
        <v>0</v>
      </c>
      <c r="AW553" s="28" t="s">
        <v>213</v>
      </c>
      <c r="AX553" s="28"/>
      <c r="AY553" s="40"/>
      <c r="AZ553" s="28"/>
      <c r="BA553" s="28"/>
      <c r="BB553" s="42" t="s">
        <v>657</v>
      </c>
      <c r="BC553" s="67">
        <v>0</v>
      </c>
      <c r="BD553" s="43">
        <f>1+7</f>
        <v>8</v>
      </c>
      <c r="BE553" s="52"/>
      <c r="BF553" s="54"/>
      <c r="BG553" s="85"/>
      <c r="BH553" s="18"/>
      <c r="BI553" s="40"/>
      <c r="BJ553" s="154" t="s">
        <v>146</v>
      </c>
      <c r="BK553" s="28"/>
      <c r="BL553" s="94" t="s">
        <v>253</v>
      </c>
    </row>
    <row r="554" spans="1:65" ht="15" thickBot="1" x14ac:dyDescent="0.35">
      <c r="A554" s="36" t="s">
        <v>93</v>
      </c>
      <c r="B554" s="42">
        <v>5216</v>
      </c>
      <c r="C554" s="90">
        <v>5999</v>
      </c>
      <c r="D554" s="3"/>
      <c r="E554" s="91" t="s">
        <v>60</v>
      </c>
      <c r="F554" s="18"/>
      <c r="G554" s="44">
        <v>6825</v>
      </c>
      <c r="H554" s="10" t="s">
        <v>116</v>
      </c>
      <c r="I554" s="18"/>
      <c r="J554" s="11"/>
      <c r="K554" s="28"/>
      <c r="L554" s="12"/>
      <c r="M554" s="18"/>
      <c r="N554" s="18"/>
      <c r="O554" s="10"/>
      <c r="P554" s="18"/>
      <c r="Q554" s="11"/>
      <c r="R554" s="18"/>
      <c r="S554" s="18"/>
      <c r="T554" s="10"/>
      <c r="U554" s="18"/>
      <c r="V554" s="11"/>
      <c r="W554" s="28"/>
      <c r="AA554" s="28"/>
      <c r="AB554" s="46"/>
      <c r="AC554" s="48"/>
      <c r="AD554" s="48"/>
      <c r="AE554" s="47"/>
      <c r="AF554" s="48"/>
      <c r="AG554" s="48"/>
      <c r="AH554" s="47"/>
      <c r="AI554" s="49"/>
      <c r="AJ554" s="49"/>
      <c r="AK554" s="47"/>
      <c r="AL554" s="48" t="s">
        <v>145</v>
      </c>
      <c r="AM554" s="49"/>
      <c r="AN554" s="28"/>
      <c r="AP554" s="10" t="s">
        <v>78</v>
      </c>
      <c r="AQ554" s="52">
        <v>1</v>
      </c>
      <c r="AR554" s="85">
        <v>1</v>
      </c>
      <c r="AS554" s="28"/>
      <c r="AT554" s="28"/>
      <c r="AU554" s="42"/>
      <c r="AV554" s="28">
        <v>16</v>
      </c>
      <c r="AW554" s="28" t="s">
        <v>183</v>
      </c>
      <c r="AX554" s="28"/>
      <c r="AY554" s="40"/>
      <c r="AZ554" s="28"/>
      <c r="BA554" s="28"/>
      <c r="BB554" s="127" t="s">
        <v>817</v>
      </c>
      <c r="BC554" s="67">
        <v>0</v>
      </c>
      <c r="BD554" s="43">
        <v>1</v>
      </c>
      <c r="BE554" s="42"/>
      <c r="BF554" s="28"/>
      <c r="BG554" s="40"/>
      <c r="BH554" s="28"/>
      <c r="BI554" s="40"/>
      <c r="BJ554" s="28"/>
      <c r="BK554" s="28"/>
      <c r="BL554" s="40"/>
    </row>
    <row r="555" spans="1:65" x14ac:dyDescent="0.3">
      <c r="A555" s="10" t="s">
        <v>99</v>
      </c>
      <c r="B555" s="42">
        <v>12596</v>
      </c>
      <c r="C555" s="40">
        <v>15313</v>
      </c>
      <c r="D555" s="3"/>
      <c r="E555" s="91" t="s">
        <v>60</v>
      </c>
      <c r="F555" s="18"/>
      <c r="G555" s="12">
        <v>16039</v>
      </c>
      <c r="H555" s="10">
        <v>136</v>
      </c>
      <c r="I555" s="37" t="s">
        <v>144</v>
      </c>
      <c r="J555" s="11"/>
      <c r="K555" s="28"/>
      <c r="L555" s="12"/>
      <c r="M555" s="18"/>
      <c r="N555" s="18"/>
      <c r="O555" s="10"/>
      <c r="P555" s="18"/>
      <c r="Q555" s="11"/>
      <c r="R555" s="18"/>
      <c r="S555" s="18"/>
      <c r="T555" s="10"/>
      <c r="U555" s="18"/>
      <c r="V555" s="11"/>
      <c r="W555" s="28"/>
      <c r="AA555" s="28"/>
      <c r="AB555" s="42"/>
      <c r="AC555" s="42"/>
      <c r="AD555" s="40"/>
      <c r="AE555" s="28"/>
      <c r="AF555" s="28"/>
      <c r="AG555" s="28"/>
      <c r="AH555" s="42"/>
      <c r="AI555" s="28"/>
      <c r="AJ555" s="41"/>
      <c r="AK555" s="28" t="s">
        <v>149</v>
      </c>
      <c r="AL555" s="28"/>
      <c r="AM555" s="40"/>
      <c r="AN555" s="28" t="s">
        <v>6</v>
      </c>
      <c r="AO555" s="95"/>
      <c r="AP555" s="52" t="s">
        <v>115</v>
      </c>
      <c r="AQ555" s="52">
        <v>0</v>
      </c>
      <c r="AR555" s="85">
        <v>0</v>
      </c>
      <c r="AS555" s="28"/>
      <c r="AT555" s="28"/>
      <c r="AU555" s="42"/>
      <c r="AV555" s="28" t="s">
        <v>6</v>
      </c>
      <c r="AW555" s="28"/>
      <c r="AX555" s="28"/>
      <c r="AY555" s="40"/>
      <c r="AZ555" s="28"/>
      <c r="BA555" s="28"/>
      <c r="BB555" s="52" t="s">
        <v>133</v>
      </c>
      <c r="BC555" s="67">
        <v>1</v>
      </c>
      <c r="BD555" s="43">
        <f>2+1</f>
        <v>3</v>
      </c>
      <c r="BE555" s="52" t="s">
        <v>150</v>
      </c>
      <c r="BF555" s="54"/>
      <c r="BG555" s="85"/>
      <c r="BH555" s="18"/>
      <c r="BI555" s="40"/>
      <c r="BJ555" s="28" t="s">
        <v>151</v>
      </c>
      <c r="BK555" s="28"/>
      <c r="BL555" s="185"/>
    </row>
    <row r="556" spans="1:65" ht="15" thickBot="1" x14ac:dyDescent="0.35">
      <c r="A556" s="10" t="s">
        <v>120</v>
      </c>
      <c r="B556" s="42">
        <v>4273</v>
      </c>
      <c r="C556" s="40">
        <v>4757</v>
      </c>
      <c r="D556" s="3"/>
      <c r="E556" s="91" t="s">
        <v>60</v>
      </c>
      <c r="F556" s="18"/>
      <c r="G556" s="12">
        <v>4930</v>
      </c>
      <c r="H556" s="84">
        <v>18</v>
      </c>
      <c r="I556" s="37" t="s">
        <v>148</v>
      </c>
      <c r="J556" s="11"/>
      <c r="K556" s="28"/>
      <c r="L556" s="44"/>
      <c r="M556" s="18"/>
      <c r="N556" s="18"/>
      <c r="O556" s="10"/>
      <c r="P556" s="18"/>
      <c r="Q556" s="11"/>
      <c r="R556" s="18"/>
      <c r="S556" s="18"/>
      <c r="T556" s="10"/>
      <c r="U556" s="18"/>
      <c r="V556" s="11"/>
      <c r="W556" s="28"/>
      <c r="Y556" t="s">
        <v>6</v>
      </c>
      <c r="AB556" s="36" t="s">
        <v>99</v>
      </c>
      <c r="AC556" s="10">
        <v>0</v>
      </c>
      <c r="AD556" s="11">
        <v>0</v>
      </c>
      <c r="AE556" s="18">
        <v>0</v>
      </c>
      <c r="AF556" s="18">
        <v>0</v>
      </c>
      <c r="AG556" s="18">
        <v>0</v>
      </c>
      <c r="AH556" s="52">
        <v>68984</v>
      </c>
      <c r="AI556" s="45">
        <v>1724</v>
      </c>
      <c r="AJ556" s="41">
        <v>0</v>
      </c>
      <c r="AK556" s="45">
        <v>4</v>
      </c>
      <c r="AL556" s="37" t="s">
        <v>153</v>
      </c>
      <c r="AM556" s="40"/>
      <c r="AP556" s="52" t="s">
        <v>72</v>
      </c>
      <c r="AQ556" s="52">
        <v>0</v>
      </c>
      <c r="AR556" s="85">
        <v>0</v>
      </c>
      <c r="AU556" s="42"/>
      <c r="AV556" s="28"/>
      <c r="AW556" s="28"/>
      <c r="AX556" s="28"/>
      <c r="AY556" s="40"/>
      <c r="AZ556" s="28"/>
      <c r="BA556" s="28"/>
      <c r="BB556" s="52" t="s">
        <v>85</v>
      </c>
      <c r="BC556" s="42">
        <f>5+8</f>
        <v>13</v>
      </c>
      <c r="BD556" s="43">
        <f>5+9</f>
        <v>14</v>
      </c>
      <c r="BE556" s="42"/>
      <c r="BF556" s="54"/>
      <c r="BG556" s="40"/>
      <c r="BH556" s="45"/>
      <c r="BI556" s="56"/>
      <c r="BJ556" s="43" t="s">
        <v>692</v>
      </c>
      <c r="BK556" s="28" t="s">
        <v>666</v>
      </c>
      <c r="BL556" s="40" t="s">
        <v>860</v>
      </c>
    </row>
    <row r="557" spans="1:65" ht="16.2" thickBot="1" x14ac:dyDescent="0.35">
      <c r="A557" s="10" t="s">
        <v>84</v>
      </c>
      <c r="B557" s="42">
        <f>SUM(B554:B556)</f>
        <v>22085</v>
      </c>
      <c r="C557" s="40">
        <f>SUM(C554:C556)</f>
        <v>26069</v>
      </c>
      <c r="D557" s="3"/>
      <c r="E557" s="91" t="s">
        <v>60</v>
      </c>
      <c r="F557" s="18"/>
      <c r="G557" s="12">
        <f>SUM(G554:G556)</f>
        <v>27794</v>
      </c>
      <c r="H557" s="42">
        <v>9</v>
      </c>
      <c r="I557" s="54" t="s">
        <v>152</v>
      </c>
      <c r="J557" s="40"/>
      <c r="K557" s="28"/>
      <c r="L557" s="12"/>
      <c r="M557" s="18"/>
      <c r="N557" s="18"/>
      <c r="O557" s="10"/>
      <c r="P557" s="18"/>
      <c r="Q557" s="11"/>
      <c r="R557" s="18"/>
      <c r="S557" s="18"/>
      <c r="T557" s="10"/>
      <c r="U557" s="18"/>
      <c r="V557" s="11"/>
      <c r="W557" s="28"/>
      <c r="AB557" s="32"/>
      <c r="AC557" s="6"/>
      <c r="AD557" s="7"/>
      <c r="AE557" s="8"/>
      <c r="AF557" s="8"/>
      <c r="AG557" s="8"/>
      <c r="AH557" s="6"/>
      <c r="AI557" s="7"/>
      <c r="AJ557" s="8"/>
      <c r="AK557" s="29" t="s">
        <v>157</v>
      </c>
      <c r="AL557" s="8"/>
      <c r="AM557" s="7"/>
      <c r="AP557" s="52" t="s">
        <v>84</v>
      </c>
      <c r="AQ557" s="47">
        <f>SUM(AQ550:AQ556)</f>
        <v>18</v>
      </c>
      <c r="AR557" s="49">
        <f>SUM(AR550:AR556)</f>
        <v>18</v>
      </c>
      <c r="AS557" s="28"/>
      <c r="AT557" s="28"/>
      <c r="AU557" s="47"/>
      <c r="AV557" s="48"/>
      <c r="AW557" s="48"/>
      <c r="AX557" s="48"/>
      <c r="AY557" s="49">
        <f>SUM(AV554)</f>
        <v>16</v>
      </c>
      <c r="AZ557" s="28"/>
      <c r="BA557" s="28"/>
      <c r="BB557" s="151" t="s">
        <v>93</v>
      </c>
      <c r="BC557" s="36">
        <v>0</v>
      </c>
      <c r="BD557" s="37">
        <v>0</v>
      </c>
      <c r="BE557" s="10"/>
      <c r="BF557" s="18"/>
      <c r="BG557" s="11"/>
      <c r="BH557" s="18"/>
      <c r="BI557" s="11"/>
      <c r="BJ557" s="158" t="s">
        <v>861</v>
      </c>
      <c r="BK557" s="178" t="s">
        <v>465</v>
      </c>
      <c r="BL557" s="114" t="s">
        <v>179</v>
      </c>
    </row>
    <row r="558" spans="1:65" ht="15" thickBot="1" x14ac:dyDescent="0.35">
      <c r="A558" s="13"/>
      <c r="B558" s="47"/>
      <c r="C558" s="49"/>
      <c r="D558" s="27"/>
      <c r="E558" s="27"/>
      <c r="F558" s="27"/>
      <c r="G558" s="17"/>
      <c r="H558" s="47"/>
      <c r="I558" s="27"/>
      <c r="J558" s="60">
        <f>SUM(H555:H557)</f>
        <v>163</v>
      </c>
      <c r="K558" s="28"/>
      <c r="L558" s="17"/>
      <c r="M558" s="27"/>
      <c r="N558" s="27"/>
      <c r="O558" s="13"/>
      <c r="P558" s="27"/>
      <c r="Q558" s="26"/>
      <c r="R558" s="27"/>
      <c r="S558" s="27"/>
      <c r="T558" s="13"/>
      <c r="U558" s="27"/>
      <c r="V558" s="26"/>
      <c r="W558" s="28"/>
      <c r="AB558" s="68" t="s">
        <v>99</v>
      </c>
      <c r="AC558" s="42">
        <v>0</v>
      </c>
      <c r="AD558" s="40">
        <v>0</v>
      </c>
      <c r="AE558">
        <v>0</v>
      </c>
      <c r="AF558">
        <v>0</v>
      </c>
      <c r="AG558">
        <v>0</v>
      </c>
      <c r="AH558" s="42">
        <v>239724</v>
      </c>
      <c r="AI558" s="40">
        <v>92921</v>
      </c>
      <c r="AJ558" s="43">
        <v>0</v>
      </c>
      <c r="AK558" s="42">
        <v>2</v>
      </c>
      <c r="AL558" s="54" t="s">
        <v>163</v>
      </c>
      <c r="AM558" s="40"/>
      <c r="AP558" s="32" t="s">
        <v>63</v>
      </c>
      <c r="AQ558" s="123">
        <f>5+1+1</f>
        <v>7</v>
      </c>
      <c r="AR558" s="123">
        <f>14+1+2</f>
        <v>17</v>
      </c>
      <c r="AS558" s="33"/>
      <c r="AT558" s="7"/>
      <c r="AU558" s="6"/>
      <c r="AV558" s="34" t="s">
        <v>140</v>
      </c>
      <c r="AW558" s="8"/>
      <c r="AX558" s="8"/>
      <c r="AY558" s="7"/>
      <c r="AZ558" s="28"/>
      <c r="BA558" s="28"/>
      <c r="BB558" s="42" t="s">
        <v>862</v>
      </c>
      <c r="BC558" s="42">
        <v>1</v>
      </c>
      <c r="BD558" s="54">
        <v>2</v>
      </c>
      <c r="BE558" s="10"/>
      <c r="BF558" s="18"/>
      <c r="BG558" s="11"/>
      <c r="BH558" s="18"/>
      <c r="BI558" s="11"/>
      <c r="BJ558" s="158" t="s">
        <v>165</v>
      </c>
      <c r="BK558" s="186" t="s">
        <v>863</v>
      </c>
      <c r="BL558" s="39" t="s">
        <v>864</v>
      </c>
    </row>
    <row r="559" spans="1:65" ht="15" thickBot="1" x14ac:dyDescent="0.35">
      <c r="A559" s="6" t="s">
        <v>105</v>
      </c>
      <c r="B559" s="6">
        <v>995</v>
      </c>
      <c r="C559" s="7">
        <v>1903</v>
      </c>
      <c r="D559" s="8"/>
      <c r="E559" s="80">
        <v>392</v>
      </c>
      <c r="F559" s="66"/>
      <c r="G559" s="8">
        <v>2686</v>
      </c>
      <c r="H559" s="6" t="s">
        <v>162</v>
      </c>
      <c r="I559" s="8"/>
      <c r="J559" s="7"/>
      <c r="L559" s="101" t="s">
        <v>84</v>
      </c>
      <c r="M559" s="102">
        <f>SUM(M553+M548+M543+M541+M537+M532)</f>
        <v>66071</v>
      </c>
      <c r="N559" s="102">
        <f>SUM(N553+N548+N543+N541+N537+N532)</f>
        <v>114745</v>
      </c>
      <c r="O559" s="103">
        <v>0</v>
      </c>
      <c r="P559" s="102">
        <v>0</v>
      </c>
      <c r="Q559" s="104">
        <v>0</v>
      </c>
      <c r="R559" s="102">
        <f>SUM(R553+R548+R543+R541+R532+R537)</f>
        <v>7742</v>
      </c>
      <c r="S559" s="102">
        <f>SUM(S553+S548+S541+S537+S532)</f>
        <v>300</v>
      </c>
      <c r="T559" s="105"/>
      <c r="U559" s="102"/>
      <c r="V559" s="106"/>
      <c r="AB559" s="44" t="s">
        <v>6</v>
      </c>
      <c r="AC559" s="10"/>
      <c r="AD559" s="11"/>
      <c r="AE559" s="18"/>
      <c r="AF559" s="18"/>
      <c r="AG559" s="18"/>
      <c r="AH559" s="10"/>
      <c r="AI559" s="11"/>
      <c r="AJ559" s="18"/>
      <c r="AK559" s="10">
        <v>11</v>
      </c>
      <c r="AL559" s="37" t="s">
        <v>153</v>
      </c>
      <c r="AM559" s="11"/>
      <c r="AP559" s="44" t="s">
        <v>78</v>
      </c>
      <c r="AQ559" s="37">
        <f>1+7+17</f>
        <v>25</v>
      </c>
      <c r="AR559" s="37">
        <f>5+9+12</f>
        <v>26</v>
      </c>
      <c r="AS559" s="42"/>
      <c r="AT559" s="11"/>
      <c r="AU559" s="10"/>
      <c r="AV559" s="37">
        <v>26</v>
      </c>
      <c r="AW559" s="37" t="s">
        <v>215</v>
      </c>
      <c r="AX559" s="18"/>
      <c r="AY559" s="11"/>
      <c r="AZ559" s="28"/>
      <c r="BA559" s="28"/>
      <c r="BB559" s="36" t="s">
        <v>169</v>
      </c>
      <c r="BC559" s="36">
        <v>3</v>
      </c>
      <c r="BD559" s="37">
        <v>2</v>
      </c>
      <c r="BE559" s="10"/>
      <c r="BF559" s="18"/>
      <c r="BG559" s="11"/>
      <c r="BH559" s="18"/>
      <c r="BI559" s="11"/>
      <c r="BJ559" s="158" t="s">
        <v>650</v>
      </c>
      <c r="BK559" s="37" t="s">
        <v>425</v>
      </c>
      <c r="BL559" s="39"/>
    </row>
    <row r="560" spans="1:65" ht="15" thickBot="1" x14ac:dyDescent="0.35">
      <c r="A560" s="36" t="s">
        <v>99</v>
      </c>
      <c r="B560" s="10">
        <v>698</v>
      </c>
      <c r="C560" s="11">
        <v>803</v>
      </c>
      <c r="D560" s="18"/>
      <c r="E560" s="18">
        <v>322</v>
      </c>
      <c r="F560" s="85"/>
      <c r="G560" s="18">
        <v>2370</v>
      </c>
      <c r="H560" s="42"/>
      <c r="I560" s="54"/>
      <c r="J560" s="11"/>
      <c r="AB560" s="46" t="s">
        <v>6</v>
      </c>
      <c r="AC560" s="47"/>
      <c r="AD560" s="49"/>
      <c r="AE560" s="48"/>
      <c r="AF560" s="48"/>
      <c r="AG560" s="48"/>
      <c r="AH560" s="47"/>
      <c r="AI560" s="49"/>
      <c r="AJ560" s="48"/>
      <c r="AK560" s="47"/>
      <c r="AL560" s="48"/>
      <c r="AM560" s="49"/>
      <c r="AP560" s="125" t="s">
        <v>209</v>
      </c>
      <c r="AQ560" s="54">
        <v>0</v>
      </c>
      <c r="AR560" s="54">
        <v>0</v>
      </c>
      <c r="AS560" s="42"/>
      <c r="AT560" s="40"/>
      <c r="AU560" s="42"/>
      <c r="AV560" s="28">
        <v>5</v>
      </c>
      <c r="AW560" s="28" t="s">
        <v>210</v>
      </c>
      <c r="AX560" s="28"/>
      <c r="AY560" s="96"/>
      <c r="AZ560" s="28"/>
      <c r="BA560" s="28"/>
      <c r="BB560" s="36" t="s">
        <v>99</v>
      </c>
      <c r="BC560" s="36">
        <v>0</v>
      </c>
      <c r="BD560" s="37">
        <v>0</v>
      </c>
      <c r="BE560" s="10"/>
      <c r="BF560" s="18"/>
      <c r="BG560" s="11"/>
      <c r="BH560" s="18"/>
      <c r="BI560" s="11"/>
      <c r="BJ560" s="179" t="s">
        <v>865</v>
      </c>
      <c r="BK560" s="37" t="s">
        <v>714</v>
      </c>
      <c r="BL560" s="39"/>
    </row>
    <row r="561" spans="1:64" x14ac:dyDescent="0.3">
      <c r="A561" s="10"/>
      <c r="B561" s="10"/>
      <c r="C561" s="39"/>
      <c r="D561" s="18"/>
      <c r="E561" s="18"/>
      <c r="F561" s="85"/>
      <c r="G561" s="18"/>
      <c r="H561" s="42">
        <v>33</v>
      </c>
      <c r="I561" s="37" t="s">
        <v>101</v>
      </c>
      <c r="J561" s="11"/>
      <c r="M561" s="115"/>
      <c r="AB561" s="6"/>
      <c r="AC561" s="6"/>
      <c r="AD561" s="7"/>
      <c r="AE561" s="8"/>
      <c r="AF561" s="8"/>
      <c r="AG561" s="8"/>
      <c r="AH561" s="6"/>
      <c r="AI561" s="7"/>
      <c r="AJ561" s="8"/>
      <c r="AK561" s="29"/>
      <c r="AL561" s="8"/>
      <c r="AM561" s="7"/>
      <c r="AN561" s="45"/>
      <c r="AP561" s="44" t="s">
        <v>168</v>
      </c>
      <c r="AQ561" s="54">
        <v>1</v>
      </c>
      <c r="AR561" s="54">
        <v>1</v>
      </c>
      <c r="AS561" s="42"/>
      <c r="AT561" s="11"/>
      <c r="AU561" s="10"/>
      <c r="AV561" s="37">
        <f>2+9+3+1+1+2+1+1</f>
        <v>20</v>
      </c>
      <c r="AW561" s="37" t="s">
        <v>213</v>
      </c>
      <c r="AX561" s="18" t="s">
        <v>6</v>
      </c>
      <c r="AY561" s="11"/>
      <c r="AZ561" s="28"/>
      <c r="BA561" s="28"/>
      <c r="BB561" s="150" t="s">
        <v>200</v>
      </c>
      <c r="BC561" s="36">
        <v>0</v>
      </c>
      <c r="BD561" s="37">
        <v>0</v>
      </c>
      <c r="BE561" s="10"/>
      <c r="BF561" s="37"/>
      <c r="BG561" s="11"/>
      <c r="BH561" s="18"/>
      <c r="BI561" s="11"/>
      <c r="BJ561" s="158" t="s">
        <v>325</v>
      </c>
      <c r="BK561" s="54" t="s">
        <v>866</v>
      </c>
      <c r="BL561" s="39"/>
    </row>
    <row r="562" spans="1:64" ht="15" thickBot="1" x14ac:dyDescent="0.35">
      <c r="A562" s="13" t="s">
        <v>84</v>
      </c>
      <c r="B562" s="10">
        <f>SUM(B559:B561)</f>
        <v>1693</v>
      </c>
      <c r="C562" s="11">
        <f>SUM(C559:C561)</f>
        <v>2706</v>
      </c>
      <c r="D562" s="27"/>
      <c r="E562" s="27">
        <f>SUM(E559:E561)</f>
        <v>714</v>
      </c>
      <c r="F562" s="26"/>
      <c r="G562" s="27">
        <f>SUM(G559:G561)</f>
        <v>5056</v>
      </c>
      <c r="H562" s="13"/>
      <c r="I562" s="81"/>
      <c r="J562" s="26">
        <f>SUM(H560:H561)</f>
        <v>33</v>
      </c>
      <c r="K562" s="43"/>
      <c r="M562" s="115"/>
      <c r="N562" s="190"/>
      <c r="O562" s="115"/>
      <c r="P562" s="115"/>
      <c r="Q562" s="115"/>
      <c r="R562" s="115"/>
      <c r="S562" s="115"/>
      <c r="AB562" s="36"/>
      <c r="AC562" s="10"/>
      <c r="AD562" s="11"/>
      <c r="AE562" s="18"/>
      <c r="AF562" s="18"/>
      <c r="AG562" s="18"/>
      <c r="AH562" s="36"/>
      <c r="AI562" s="11"/>
      <c r="AJ562" s="18"/>
      <c r="AK562" s="36"/>
      <c r="AL562" s="37"/>
      <c r="AM562" s="11"/>
      <c r="AN562" s="45"/>
      <c r="AP562" s="125" t="s">
        <v>81</v>
      </c>
      <c r="AQ562" s="54">
        <v>0</v>
      </c>
      <c r="AR562" s="54">
        <v>0</v>
      </c>
      <c r="AS562" s="42"/>
      <c r="AT562" s="40"/>
      <c r="AU562" s="42"/>
      <c r="AV562" s="54">
        <f>5+4+6+2+12+2+6+9</f>
        <v>46</v>
      </c>
      <c r="AW562" s="128" t="s">
        <v>222</v>
      </c>
      <c r="AX562" s="28"/>
      <c r="AY562" s="40" t="s">
        <v>6</v>
      </c>
      <c r="AZ562" s="37"/>
      <c r="BA562" s="37"/>
      <c r="BB562" s="36" t="s">
        <v>504</v>
      </c>
      <c r="BC562" s="36">
        <v>0</v>
      </c>
      <c r="BD562" s="37">
        <v>2</v>
      </c>
      <c r="BE562" s="10"/>
      <c r="BF562" s="18"/>
      <c r="BG562" s="11"/>
      <c r="BH562" s="18"/>
      <c r="BI562" s="11"/>
      <c r="BJ562" s="37" t="s">
        <v>867</v>
      </c>
      <c r="BK562" s="37" t="s">
        <v>868</v>
      </c>
      <c r="BL562" s="180"/>
    </row>
    <row r="563" spans="1:64" ht="15" thickBot="1" x14ac:dyDescent="0.35">
      <c r="A563" s="42" t="s">
        <v>181</v>
      </c>
      <c r="B563" s="33">
        <v>2522</v>
      </c>
      <c r="C563" s="35">
        <v>3389</v>
      </c>
      <c r="D563" s="28"/>
      <c r="E563" s="107" t="s">
        <v>60</v>
      </c>
      <c r="F563" s="43"/>
      <c r="G563" s="41"/>
      <c r="H563" s="18" t="s">
        <v>182</v>
      </c>
      <c r="I563" s="28"/>
      <c r="J563" s="11"/>
      <c r="K563" s="28"/>
      <c r="M563" s="166"/>
      <c r="AA563" s="28"/>
      <c r="AB563" s="103" t="s">
        <v>84</v>
      </c>
      <c r="AC563" s="103">
        <f>SUM(AC562+AC558+AC556+AC553+AC546+AC548+AC544+AC540+AC537+AC534+AC535)</f>
        <v>2166</v>
      </c>
      <c r="AD563" s="104">
        <f>SUM(AD562+AD558+AD556+AD553+AD546+AD544+AD540+AD537+AD535+AD534+AD542)</f>
        <v>2367</v>
      </c>
      <c r="AE563" s="103">
        <v>0</v>
      </c>
      <c r="AF563" s="102">
        <v>0</v>
      </c>
      <c r="AG563" s="102">
        <v>0</v>
      </c>
      <c r="AH563" s="109">
        <f>SUM(AH562+AH558+AH556+AH553+AH550+AH548+AH544+AH540+AH537+AH535+AH534)</f>
        <v>308708</v>
      </c>
      <c r="AI563" s="110">
        <f>SUM(AI562+AI558+AI556+AI553+AI548+AI544+AI539+AI537+AI535+AI534)</f>
        <v>94645</v>
      </c>
      <c r="AJ563" s="110">
        <v>0</v>
      </c>
      <c r="AK563" s="111" t="s">
        <v>844</v>
      </c>
      <c r="AL563" s="111"/>
      <c r="AM563" s="104">
        <f>SUM(AK534:AK562)</f>
        <v>49</v>
      </c>
      <c r="AN563" s="45"/>
      <c r="AP563" s="125" t="s">
        <v>72</v>
      </c>
      <c r="AQ563" s="54">
        <f>3+6</f>
        <v>9</v>
      </c>
      <c r="AR563" s="45">
        <f>3+8+2</f>
        <v>13</v>
      </c>
      <c r="AS563" s="42"/>
      <c r="AT563" s="40"/>
      <c r="AU563" s="42"/>
      <c r="AV563" s="54">
        <v>6</v>
      </c>
      <c r="AW563" s="54" t="s">
        <v>216</v>
      </c>
      <c r="AX563" s="45"/>
      <c r="AY563" s="40"/>
      <c r="AZ563" s="28"/>
      <c r="BA563" s="28"/>
      <c r="BB563" s="150" t="s">
        <v>211</v>
      </c>
      <c r="BC563" s="36">
        <f>19+3</f>
        <v>22</v>
      </c>
      <c r="BD563" s="37">
        <v>0</v>
      </c>
      <c r="BE563" s="10"/>
      <c r="BF563" s="18"/>
      <c r="BG563" s="11"/>
      <c r="BH563" s="18"/>
      <c r="BI563" s="11"/>
      <c r="BJ563" s="159" t="s">
        <v>310</v>
      </c>
      <c r="BK563" s="37" t="s">
        <v>869</v>
      </c>
      <c r="BL563" s="39"/>
    </row>
    <row r="564" spans="1:64" x14ac:dyDescent="0.3">
      <c r="A564" s="42" t="s">
        <v>120</v>
      </c>
      <c r="B564" s="42">
        <v>0</v>
      </c>
      <c r="C564" s="40">
        <v>0</v>
      </c>
      <c r="D564" s="28"/>
      <c r="E564" s="107" t="s">
        <v>60</v>
      </c>
      <c r="F564" s="43"/>
      <c r="G564" s="68"/>
      <c r="H564" s="43"/>
      <c r="I564" s="28" t="s">
        <v>284</v>
      </c>
      <c r="J564" s="11"/>
      <c r="K564" s="28"/>
      <c r="L564" s="28"/>
      <c r="N564" s="191"/>
      <c r="AA564" s="28"/>
      <c r="AB564" s="52" t="s">
        <v>193</v>
      </c>
      <c r="AC564" s="28"/>
      <c r="AD564" s="28"/>
      <c r="AE564" s="28"/>
      <c r="AF564" s="28"/>
      <c r="AG564" s="28"/>
      <c r="AH564" s="28"/>
      <c r="AI564" s="28"/>
      <c r="AM564" t="s">
        <v>6</v>
      </c>
      <c r="AN564" s="45"/>
      <c r="AP564" s="125" t="s">
        <v>115</v>
      </c>
      <c r="AQ564" s="54">
        <f>3+1</f>
        <v>4</v>
      </c>
      <c r="AR564" s="45">
        <f>3+1+7</f>
        <v>11</v>
      </c>
      <c r="AS564" s="42"/>
      <c r="AT564" s="40"/>
      <c r="AU564" s="42"/>
      <c r="AV564" s="54">
        <v>5</v>
      </c>
      <c r="AW564" s="54" t="s">
        <v>870</v>
      </c>
      <c r="AX564" s="28"/>
      <c r="AY564" s="40"/>
      <c r="AZ564" s="28"/>
      <c r="BB564" s="150" t="s">
        <v>64</v>
      </c>
      <c r="BC564" s="36">
        <v>7</v>
      </c>
      <c r="BD564" s="37">
        <v>7</v>
      </c>
      <c r="BE564" s="10"/>
      <c r="BF564" s="18"/>
      <c r="BG564" s="11"/>
      <c r="BH564" s="18"/>
      <c r="BI564" s="11"/>
      <c r="BJ564" s="128" t="s">
        <v>871</v>
      </c>
      <c r="BK564" s="37" t="s">
        <v>280</v>
      </c>
      <c r="BL564" s="39"/>
    </row>
    <row r="565" spans="1:64" x14ac:dyDescent="0.3">
      <c r="A565" s="42" t="s">
        <v>84</v>
      </c>
      <c r="B565" s="42">
        <f>SUM(B563:B564)</f>
        <v>2522</v>
      </c>
      <c r="C565" s="40">
        <f>SUM(C563:C564)</f>
        <v>3389</v>
      </c>
      <c r="D565" s="28"/>
      <c r="E565" s="107" t="s">
        <v>60</v>
      </c>
      <c r="F565" s="43"/>
      <c r="G565" s="41">
        <f>25*160</f>
        <v>4000</v>
      </c>
      <c r="H565" s="28">
        <v>25</v>
      </c>
      <c r="I565" s="43" t="s">
        <v>101</v>
      </c>
      <c r="J565" s="40"/>
      <c r="L565" s="108"/>
      <c r="M565" s="115"/>
      <c r="O565" s="116"/>
      <c r="AA565" s="28"/>
      <c r="AN565" s="45"/>
      <c r="AP565" s="125" t="s">
        <v>56</v>
      </c>
      <c r="AQ565" s="54">
        <f>4+1+14+12</f>
        <v>31</v>
      </c>
      <c r="AR565" s="45">
        <f>4+1+17+17+2</f>
        <v>41</v>
      </c>
      <c r="AS565" s="42"/>
      <c r="AT565" s="40"/>
      <c r="AU565" s="42"/>
      <c r="AV565" s="54">
        <v>1</v>
      </c>
      <c r="AW565" s="54" t="s">
        <v>352</v>
      </c>
      <c r="AX565" s="28"/>
      <c r="AY565" s="40"/>
      <c r="AZ565" s="28"/>
      <c r="BB565" s="36" t="s">
        <v>184</v>
      </c>
      <c r="BC565" s="36"/>
      <c r="BD565" s="37"/>
      <c r="BE565" s="10"/>
      <c r="BF565" s="18"/>
      <c r="BG565" s="11"/>
      <c r="BH565" s="18"/>
      <c r="BI565" s="11"/>
      <c r="BJ565" s="128" t="s">
        <v>872</v>
      </c>
      <c r="BK565" s="37" t="s">
        <v>873</v>
      </c>
      <c r="BL565" s="39"/>
    </row>
    <row r="566" spans="1:64" ht="15" thickBot="1" x14ac:dyDescent="0.35">
      <c r="A566" s="13"/>
      <c r="B566" s="13"/>
      <c r="C566" s="26"/>
      <c r="D566" s="27"/>
      <c r="E566" s="27"/>
      <c r="F566" s="27"/>
      <c r="G566" s="17"/>
      <c r="H566" s="48"/>
      <c r="I566" s="48" t="s">
        <v>727</v>
      </c>
      <c r="J566" s="49">
        <f>SUM(H564:H566)</f>
        <v>25</v>
      </c>
      <c r="O566" s="122"/>
      <c r="AN566" s="45"/>
      <c r="AP566" s="125" t="s">
        <v>138</v>
      </c>
      <c r="AQ566" s="54">
        <v>0</v>
      </c>
      <c r="AR566" s="45">
        <v>1</v>
      </c>
      <c r="AS566" s="42"/>
      <c r="AT566" s="40"/>
      <c r="AU566" s="42"/>
      <c r="AV566" s="54">
        <v>15</v>
      </c>
      <c r="AW566" s="54" t="s">
        <v>221</v>
      </c>
      <c r="AX566" s="28"/>
      <c r="AY566" s="40"/>
      <c r="AZ566" s="28"/>
      <c r="BB566" s="36" t="s">
        <v>874</v>
      </c>
      <c r="BC566" s="10">
        <v>6</v>
      </c>
      <c r="BD566" s="37">
        <v>7</v>
      </c>
      <c r="BE566" s="10"/>
      <c r="BF566" s="18"/>
      <c r="BG566" s="39"/>
      <c r="BH566" s="18"/>
      <c r="BI566" s="11"/>
      <c r="BJ566" s="159" t="s">
        <v>875</v>
      </c>
      <c r="BK566" s="37" t="s">
        <v>377</v>
      </c>
      <c r="BL566" s="39"/>
    </row>
    <row r="567" spans="1:64" ht="16.2" thickBot="1" x14ac:dyDescent="0.35">
      <c r="A567" s="117" t="s">
        <v>84</v>
      </c>
      <c r="B567" s="117">
        <f>SUM(B565+B562+B557+B553+B550+B546+B543+B539+B535+B532)</f>
        <v>42540</v>
      </c>
      <c r="C567" s="192">
        <f>SUM(C565+C562+C557+C553+C550+C546+C543+C539+C535+C532)</f>
        <v>52881</v>
      </c>
      <c r="D567" s="119"/>
      <c r="E567" s="119">
        <f>SUM(E562+E546)</f>
        <v>1225</v>
      </c>
      <c r="F567" s="120"/>
      <c r="G567" s="121">
        <f>SUM(G565+G562+G557+G553+G550+G543+G539+G535+G532+G546)</f>
        <v>62491</v>
      </c>
      <c r="H567" s="13" t="s">
        <v>199</v>
      </c>
      <c r="I567" s="81"/>
      <c r="J567" s="26">
        <f>SUM(J533:J566)</f>
        <v>359</v>
      </c>
      <c r="AN567" s="45"/>
      <c r="AP567" s="125" t="s">
        <v>67</v>
      </c>
      <c r="AQ567" s="54">
        <f>10+1+14</f>
        <v>25</v>
      </c>
      <c r="AR567" s="45">
        <f>10+2+14</f>
        <v>26</v>
      </c>
      <c r="AS567" s="42"/>
      <c r="AT567" s="40"/>
      <c r="AU567" s="42"/>
      <c r="AV567" s="54">
        <v>1</v>
      </c>
      <c r="AW567" s="54" t="s">
        <v>851</v>
      </c>
      <c r="AX567" s="28"/>
      <c r="AY567" s="40"/>
      <c r="AZ567" s="28"/>
      <c r="BB567" s="150" t="s">
        <v>445</v>
      </c>
      <c r="BC567" s="10">
        <v>0</v>
      </c>
      <c r="BD567" s="37">
        <v>45</v>
      </c>
      <c r="BE567" s="10"/>
      <c r="BF567" s="18"/>
      <c r="BG567" s="11"/>
      <c r="BH567" s="18"/>
      <c r="BI567" s="11"/>
      <c r="BJ567" s="179" t="s">
        <v>876</v>
      </c>
      <c r="BK567" s="37" t="s">
        <v>539</v>
      </c>
      <c r="BL567" s="39"/>
    </row>
    <row r="568" spans="1:64" x14ac:dyDescent="0.3">
      <c r="AN568" s="45"/>
      <c r="AP568" s="125" t="s">
        <v>122</v>
      </c>
      <c r="AQ568" s="54">
        <v>0</v>
      </c>
      <c r="AR568" s="45">
        <v>0</v>
      </c>
      <c r="AS568" s="42"/>
      <c r="AT568" s="40"/>
      <c r="AU568" s="42"/>
      <c r="AV568" s="54">
        <v>3</v>
      </c>
      <c r="AW568" s="54" t="s">
        <v>853</v>
      </c>
      <c r="AX568" s="28"/>
      <c r="AY568" s="40"/>
      <c r="AZ568" s="28"/>
      <c r="BB568" s="92" t="s">
        <v>358</v>
      </c>
      <c r="BC568" s="84">
        <v>0</v>
      </c>
      <c r="BD568" s="54">
        <v>9</v>
      </c>
      <c r="BE568" s="84"/>
      <c r="BF568" s="45"/>
      <c r="BG568" s="85"/>
      <c r="BH568" s="18"/>
      <c r="BI568" s="11"/>
      <c r="BJ568" s="179" t="s">
        <v>822</v>
      </c>
      <c r="BK568" s="54" t="s">
        <v>693</v>
      </c>
      <c r="BL568" s="86"/>
    </row>
    <row r="569" spans="1:64" x14ac:dyDescent="0.3">
      <c r="B569" s="126"/>
      <c r="C569" s="126"/>
      <c r="M569" t="s">
        <v>6</v>
      </c>
      <c r="AN569" s="45"/>
      <c r="AP569" s="125" t="s">
        <v>227</v>
      </c>
      <c r="AQ569" s="54">
        <v>0</v>
      </c>
      <c r="AR569" s="45">
        <v>0</v>
      </c>
      <c r="AS569" s="42"/>
      <c r="AT569" s="40"/>
      <c r="AU569" s="42"/>
      <c r="AV569" s="54">
        <v>1</v>
      </c>
      <c r="AW569" s="54" t="s">
        <v>877</v>
      </c>
      <c r="AX569" s="28"/>
      <c r="AY569" s="40"/>
      <c r="BB569" s="67" t="s">
        <v>564</v>
      </c>
      <c r="BC569" s="84">
        <v>0</v>
      </c>
      <c r="BD569" s="54">
        <v>0</v>
      </c>
      <c r="BE569" s="84"/>
      <c r="BF569" s="45"/>
      <c r="BG569" s="85"/>
      <c r="BH569" s="45"/>
      <c r="BI569" s="85"/>
      <c r="BJ569" s="179"/>
      <c r="BK569" s="54"/>
      <c r="BL569" s="180"/>
    </row>
    <row r="570" spans="1:64" x14ac:dyDescent="0.3">
      <c r="AN570" s="45"/>
      <c r="AP570" s="41" t="s">
        <v>230</v>
      </c>
      <c r="AQ570" s="54">
        <f>4+7+4+1+2+3</f>
        <v>21</v>
      </c>
      <c r="AR570" s="45">
        <f>4+7+5+2+3</f>
        <v>21</v>
      </c>
      <c r="AS570" s="42"/>
      <c r="AT570" s="40"/>
      <c r="AU570" s="42"/>
      <c r="AV570" s="54">
        <v>8</v>
      </c>
      <c r="AW570" s="54" t="s">
        <v>655</v>
      </c>
      <c r="AX570" s="28"/>
      <c r="AY570" s="40"/>
      <c r="BB570" s="67" t="s">
        <v>403</v>
      </c>
      <c r="BC570" s="84">
        <v>0</v>
      </c>
      <c r="BD570" s="54">
        <v>2</v>
      </c>
      <c r="BE570" s="84"/>
      <c r="BF570" s="45"/>
      <c r="BG570" s="85"/>
      <c r="BH570" s="45"/>
      <c r="BI570" s="85"/>
      <c r="BJ570" s="179"/>
      <c r="BK570" s="54"/>
      <c r="BL570" s="180"/>
    </row>
    <row r="571" spans="1:64" x14ac:dyDescent="0.3">
      <c r="AP571" s="68" t="s">
        <v>125</v>
      </c>
      <c r="AQ571" s="54">
        <v>0</v>
      </c>
      <c r="AR571" s="45">
        <v>0</v>
      </c>
      <c r="AS571" s="42"/>
      <c r="AT571" s="40"/>
      <c r="AU571" s="42"/>
      <c r="AV571" s="54">
        <v>1</v>
      </c>
      <c r="AW571" s="54" t="s">
        <v>774</v>
      </c>
      <c r="AX571" s="28"/>
      <c r="AY571" s="40"/>
      <c r="BB571" s="127" t="s">
        <v>756</v>
      </c>
      <c r="BC571" s="84">
        <v>0</v>
      </c>
      <c r="BD571" s="54">
        <v>2</v>
      </c>
      <c r="BE571" s="42"/>
      <c r="BF571" s="45"/>
      <c r="BG571" s="40"/>
      <c r="BH571" s="45"/>
      <c r="BI571" s="85"/>
      <c r="BJ571" s="158"/>
      <c r="BK571" s="54"/>
      <c r="BL571" s="86"/>
    </row>
    <row r="572" spans="1:64" x14ac:dyDescent="0.3">
      <c r="AP572" s="68" t="s">
        <v>132</v>
      </c>
      <c r="AQ572" s="54">
        <f>1+11</f>
        <v>12</v>
      </c>
      <c r="AR572" s="45">
        <f>1+5</f>
        <v>6</v>
      </c>
      <c r="AS572" s="42"/>
      <c r="AT572" s="40"/>
      <c r="AU572" s="42"/>
      <c r="AV572" s="54">
        <v>1</v>
      </c>
      <c r="AW572" s="54" t="s">
        <v>878</v>
      </c>
      <c r="AX572" s="28"/>
      <c r="AY572" s="40"/>
      <c r="BB572" s="127" t="s">
        <v>218</v>
      </c>
      <c r="BC572" s="84">
        <v>0</v>
      </c>
      <c r="BD572" s="54">
        <v>28</v>
      </c>
      <c r="BE572" s="42"/>
      <c r="BF572" s="45">
        <v>0</v>
      </c>
      <c r="BG572" s="40"/>
      <c r="BH572" s="45"/>
      <c r="BI572" s="85"/>
      <c r="BJ572" s="179"/>
      <c r="BK572" s="54"/>
      <c r="BL572" s="180"/>
    </row>
    <row r="573" spans="1:64" x14ac:dyDescent="0.3">
      <c r="AM573" t="s">
        <v>6</v>
      </c>
      <c r="AP573" s="41" t="s">
        <v>6</v>
      </c>
      <c r="AS573" s="42"/>
      <c r="AT573" s="40"/>
      <c r="AU573" s="42"/>
      <c r="AV573" s="54">
        <v>1</v>
      </c>
      <c r="AW573" s="54" t="s">
        <v>879</v>
      </c>
      <c r="AX573" s="28"/>
      <c r="AY573" s="40"/>
      <c r="BB573" s="181" t="s">
        <v>108</v>
      </c>
      <c r="BC573" s="10">
        <v>3</v>
      </c>
      <c r="BD573" s="18">
        <v>2</v>
      </c>
      <c r="BE573" s="10"/>
      <c r="BF573" s="18"/>
      <c r="BG573" s="11"/>
      <c r="BH573" s="18"/>
      <c r="BI573" s="11"/>
      <c r="BJ573" s="179"/>
      <c r="BK573" s="37"/>
      <c r="BL573" s="182"/>
    </row>
    <row r="574" spans="1:64" ht="15" thickBot="1" x14ac:dyDescent="0.35">
      <c r="H574" t="s">
        <v>6</v>
      </c>
      <c r="AP574" s="46" t="s">
        <v>84</v>
      </c>
      <c r="AQ574" s="48">
        <f>SUM(AQ558:AQ573)</f>
        <v>135</v>
      </c>
      <c r="AR574" s="48">
        <f>SUM(AR558:AR573)</f>
        <v>163</v>
      </c>
      <c r="AS574" s="47"/>
      <c r="AT574" s="49"/>
      <c r="AU574" s="47"/>
      <c r="AV574" s="48">
        <v>1</v>
      </c>
      <c r="AW574" s="48" t="s">
        <v>880</v>
      </c>
      <c r="AX574" s="48"/>
      <c r="AY574" s="49">
        <f>SUM(AV559:AV574)</f>
        <v>141</v>
      </c>
      <c r="BB574" s="13" t="s">
        <v>84</v>
      </c>
      <c r="BC574" s="13">
        <f>SUM(BC549:BC573)</f>
        <v>109</v>
      </c>
      <c r="BD574" s="27">
        <f>SUM(BD549:BD573)</f>
        <v>189</v>
      </c>
      <c r="BE574" s="13">
        <v>0</v>
      </c>
      <c r="BF574" s="27">
        <f>SUM(BF549:BF573)</f>
        <v>0</v>
      </c>
      <c r="BG574" s="26">
        <f>SUM(BG549:BG573)</f>
        <v>0</v>
      </c>
      <c r="BH574" s="58">
        <v>0</v>
      </c>
      <c r="BI574" s="26">
        <v>0</v>
      </c>
      <c r="BJ574" s="81"/>
      <c r="BK574" s="27"/>
      <c r="BL574" s="26">
        <f>4+5+6+4+10+9+14+11+4</f>
        <v>67</v>
      </c>
    </row>
    <row r="575" spans="1:64" ht="15" thickBot="1" x14ac:dyDescent="0.35">
      <c r="H575" t="s">
        <v>6</v>
      </c>
      <c r="AP575" s="169" t="s">
        <v>84</v>
      </c>
      <c r="AQ575" s="170">
        <f>SUM(AQ574+AQ557+AQ547+AQ532)</f>
        <v>1707</v>
      </c>
      <c r="AR575" s="170">
        <f>SUM(AR574+AR557+AR547+AR532)</f>
        <v>1807</v>
      </c>
      <c r="AS575" s="171"/>
      <c r="AT575" s="172"/>
      <c r="AU575" s="170"/>
      <c r="AV575" s="170"/>
      <c r="AW575" s="170"/>
      <c r="AX575" s="170"/>
      <c r="AY575" s="172">
        <f>SUM(AY531:AY574)</f>
        <v>348</v>
      </c>
      <c r="BB575" s="13" t="s">
        <v>223</v>
      </c>
      <c r="BC575" s="13">
        <f>SUM(BC574+BC548+BC545+BC541+BC538+BC535+BC533)</f>
        <v>1586</v>
      </c>
      <c r="BD575" s="26">
        <f>SUM(BD574+BD548+BD545+BD541+BD538+BD535+BD533)</f>
        <v>1951</v>
      </c>
      <c r="BE575" s="26">
        <f>SUM(BE574+BE548+BE545+BE541+BE538+BE535+BE533)</f>
        <v>0</v>
      </c>
      <c r="BF575" s="26">
        <f>SUM(BF574+BF548+BF545+BF541+BF538+BF535+BF533)</f>
        <v>0</v>
      </c>
      <c r="BG575" s="26">
        <f>SUM(BG574+BG548+BG545+BG541+BG538+BG535+BG533)</f>
        <v>0</v>
      </c>
      <c r="BH575" s="160">
        <f>SUM(BH574+BH548+BH545+BH541+BH537+BH535+BH533)</f>
        <v>58157</v>
      </c>
      <c r="BI575" s="26">
        <f>SUM(BI574+BI548+BI545+BI541+BI537+BI535+BI533)</f>
        <v>21998</v>
      </c>
      <c r="BJ575" s="81"/>
      <c r="BK575" s="27" t="s">
        <v>247</v>
      </c>
      <c r="BL575" s="26">
        <f>SUM(BL533:BL574)</f>
        <v>220</v>
      </c>
    </row>
    <row r="576" spans="1:64" x14ac:dyDescent="0.3">
      <c r="K576" s="28"/>
      <c r="BB576" s="131" t="s">
        <v>225</v>
      </c>
      <c r="BD576">
        <f>SUM(BL574)</f>
        <v>67</v>
      </c>
      <c r="BF576" t="s">
        <v>184</v>
      </c>
      <c r="BG576" s="132"/>
    </row>
    <row r="577" spans="1:65" x14ac:dyDescent="0.3">
      <c r="K577" s="28"/>
      <c r="BB577" t="s">
        <v>229</v>
      </c>
      <c r="BD577">
        <v>20</v>
      </c>
    </row>
    <row r="578" spans="1:65" x14ac:dyDescent="0.3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BB578" t="s">
        <v>232</v>
      </c>
      <c r="BD578" t="s">
        <v>233</v>
      </c>
      <c r="BF578">
        <f>SUM(AQ575)</f>
        <v>1707</v>
      </c>
      <c r="BH578" t="s">
        <v>234</v>
      </c>
      <c r="BJ578" t="s">
        <v>233</v>
      </c>
      <c r="BL578">
        <f>SUM(BC575)</f>
        <v>1586</v>
      </c>
    </row>
    <row r="579" spans="1:65" ht="18" x14ac:dyDescent="0.35">
      <c r="B579" s="133"/>
      <c r="BA579" t="s">
        <v>6</v>
      </c>
      <c r="BD579" t="s">
        <v>236</v>
      </c>
      <c r="BF579">
        <f>SUM(AR575)</f>
        <v>1807</v>
      </c>
      <c r="BJ579" t="s">
        <v>236</v>
      </c>
      <c r="BL579">
        <f>SUM(BD575)</f>
        <v>1951</v>
      </c>
    </row>
    <row r="580" spans="1:65" x14ac:dyDescent="0.3">
      <c r="BB580" s="134" t="s">
        <v>238</v>
      </c>
      <c r="BC580" s="135" t="s">
        <v>239</v>
      </c>
      <c r="BD580" s="136"/>
      <c r="BE580" s="134" t="s">
        <v>240</v>
      </c>
      <c r="BF580" s="135" t="s">
        <v>241</v>
      </c>
      <c r="BG580" s="136"/>
      <c r="BH580" s="134"/>
      <c r="BI580" s="135" t="s">
        <v>242</v>
      </c>
      <c r="BJ580" s="137" t="s">
        <v>243</v>
      </c>
      <c r="BK580" s="135"/>
      <c r="BL580" s="135"/>
      <c r="BM580" s="136"/>
    </row>
    <row r="581" spans="1:65" x14ac:dyDescent="0.3">
      <c r="BB581" s="138" t="s">
        <v>233</v>
      </c>
      <c r="BC581" s="28"/>
      <c r="BD581" s="139">
        <f>SUM(B567)</f>
        <v>42540</v>
      </c>
      <c r="BE581" s="138" t="s">
        <v>233</v>
      </c>
      <c r="BF581" s="28"/>
      <c r="BG581" s="139">
        <f>SUM(AC563)</f>
        <v>2166</v>
      </c>
      <c r="BH581" s="138" t="s">
        <v>233</v>
      </c>
      <c r="BI581" s="28"/>
      <c r="BJ581" s="140">
        <f>SUM(BL578+BG581)</f>
        <v>3752</v>
      </c>
      <c r="BK581" s="28" t="s">
        <v>245</v>
      </c>
      <c r="BL581" s="140">
        <f>SUM(BJ581+BD581)</f>
        <v>46292</v>
      </c>
      <c r="BM581" s="139"/>
    </row>
    <row r="582" spans="1:65" ht="18" x14ac:dyDescent="0.35">
      <c r="B582" s="133"/>
      <c r="BB582" s="142" t="s">
        <v>236</v>
      </c>
      <c r="BC582" s="143"/>
      <c r="BD582" s="144">
        <f>SUM(C567)</f>
        <v>52881</v>
      </c>
      <c r="BE582" s="142" t="s">
        <v>236</v>
      </c>
      <c r="BF582" s="143"/>
      <c r="BG582" s="144">
        <f>SUM(AD563)</f>
        <v>2367</v>
      </c>
      <c r="BH582" s="142" t="s">
        <v>236</v>
      </c>
      <c r="BI582" s="143"/>
      <c r="BJ582" s="145">
        <f>SUM(BL579+BG582)</f>
        <v>4318</v>
      </c>
      <c r="BK582" s="143"/>
      <c r="BL582" s="145">
        <f>SUM(BJ582+BD582)</f>
        <v>57199</v>
      </c>
      <c r="BM582" s="144"/>
    </row>
    <row r="588" spans="1:65" ht="15.6" x14ac:dyDescent="0.3">
      <c r="D588" s="1" t="s">
        <v>0</v>
      </c>
      <c r="P588" s="1" t="s">
        <v>1</v>
      </c>
    </row>
    <row r="589" spans="1:65" ht="15.6" x14ac:dyDescent="0.3">
      <c r="E589" t="s">
        <v>2</v>
      </c>
      <c r="Q589" t="s">
        <v>3</v>
      </c>
      <c r="AE589" s="2"/>
      <c r="AF589" s="1" t="s">
        <v>0</v>
      </c>
      <c r="AG589" s="1"/>
      <c r="AI589" s="1"/>
      <c r="AJ589" s="1"/>
      <c r="AS589" s="1" t="s">
        <v>4</v>
      </c>
      <c r="BE589" s="1"/>
      <c r="BF589" s="1" t="s">
        <v>5</v>
      </c>
      <c r="BG589" s="1"/>
      <c r="BH589" s="1"/>
      <c r="BI589" s="1"/>
      <c r="BJ589" s="1"/>
    </row>
    <row r="590" spans="1:65" ht="15.6" x14ac:dyDescent="0.3">
      <c r="A590" t="s">
        <v>6</v>
      </c>
      <c r="D590" t="s">
        <v>7</v>
      </c>
      <c r="O590" t="s">
        <v>8</v>
      </c>
      <c r="AE590" s="3"/>
      <c r="AF590" s="2" t="s">
        <v>9</v>
      </c>
      <c r="AG590" s="1"/>
      <c r="AI590" s="1"/>
      <c r="AJ590" s="1"/>
      <c r="AT590" t="s">
        <v>2</v>
      </c>
      <c r="BG590" t="s">
        <v>2</v>
      </c>
    </row>
    <row r="591" spans="1:65" ht="15.6" x14ac:dyDescent="0.3">
      <c r="E591" t="s">
        <v>881</v>
      </c>
      <c r="Q591" t="s">
        <v>881</v>
      </c>
      <c r="AF591" s="3" t="s">
        <v>11</v>
      </c>
      <c r="AG591" s="1"/>
      <c r="AI591" s="1"/>
      <c r="AJ591" s="1"/>
      <c r="AR591" t="s">
        <v>12</v>
      </c>
      <c r="BE591" t="s">
        <v>13</v>
      </c>
    </row>
    <row r="592" spans="1:65" ht="15" thickBot="1" x14ac:dyDescent="0.35">
      <c r="I592" s="4" t="s">
        <v>14</v>
      </c>
      <c r="U592" s="5" t="s">
        <v>15</v>
      </c>
      <c r="AG592" t="s">
        <v>881</v>
      </c>
      <c r="AT592" t="s">
        <v>881</v>
      </c>
      <c r="AY592" s="5"/>
      <c r="BG592" t="s">
        <v>881</v>
      </c>
      <c r="BK592" s="5" t="s">
        <v>16</v>
      </c>
    </row>
    <row r="593" spans="1:64" ht="15" thickBot="1" x14ac:dyDescent="0.35">
      <c r="A593" s="6" t="s">
        <v>17</v>
      </c>
      <c r="B593" s="6" t="s">
        <v>18</v>
      </c>
      <c r="C593" s="7"/>
      <c r="D593" s="8" t="s">
        <v>19</v>
      </c>
      <c r="E593" s="8"/>
      <c r="F593" s="8"/>
      <c r="G593" s="9" t="s">
        <v>20</v>
      </c>
      <c r="H593" s="8" t="s">
        <v>21</v>
      </c>
      <c r="I593" s="8"/>
      <c r="J593" s="7"/>
      <c r="L593" s="6" t="s">
        <v>17</v>
      </c>
      <c r="M593" s="187" t="s">
        <v>778</v>
      </c>
      <c r="N593" s="7"/>
      <c r="O593" s="8" t="s">
        <v>779</v>
      </c>
      <c r="P593" s="8"/>
      <c r="Q593" s="8"/>
      <c r="R593" s="6" t="s">
        <v>24</v>
      </c>
      <c r="S593" s="7"/>
      <c r="T593" s="8" t="s">
        <v>21</v>
      </c>
      <c r="U593" s="8"/>
      <c r="V593" s="7"/>
      <c r="AL593" s="5" t="s">
        <v>25</v>
      </c>
      <c r="AX593" s="5" t="s">
        <v>26</v>
      </c>
      <c r="BB593" s="6" t="s">
        <v>17</v>
      </c>
      <c r="BC593" s="6" t="s">
        <v>27</v>
      </c>
      <c r="BD593" s="7"/>
      <c r="BE593" s="8" t="s">
        <v>28</v>
      </c>
      <c r="BF593" s="8"/>
      <c r="BG593" s="8"/>
      <c r="BH593" s="6" t="s">
        <v>29</v>
      </c>
      <c r="BI593" s="7" t="s">
        <v>30</v>
      </c>
      <c r="BJ593" s="8" t="s">
        <v>31</v>
      </c>
      <c r="BK593" s="8"/>
      <c r="BL593" s="7"/>
    </row>
    <row r="594" spans="1:64" x14ac:dyDescent="0.3">
      <c r="A594" s="10" t="s">
        <v>32</v>
      </c>
      <c r="B594" s="10"/>
      <c r="C594" s="11"/>
      <c r="D594" s="3"/>
      <c r="E594" s="3"/>
      <c r="F594" s="3"/>
      <c r="G594" s="12"/>
      <c r="H594" s="3" t="s">
        <v>33</v>
      </c>
      <c r="I594" s="3"/>
      <c r="J594" s="11"/>
      <c r="L594" s="10"/>
      <c r="M594" s="10"/>
      <c r="N594" s="11"/>
      <c r="O594" s="3"/>
      <c r="P594" s="3"/>
      <c r="Q594" s="3"/>
      <c r="R594" s="10"/>
      <c r="S594" s="11"/>
      <c r="T594" s="3" t="s">
        <v>33</v>
      </c>
      <c r="U594" s="3"/>
      <c r="V594" s="11"/>
      <c r="AB594" s="6" t="s">
        <v>34</v>
      </c>
      <c r="AC594" s="6" t="s">
        <v>35</v>
      </c>
      <c r="AD594" s="7"/>
      <c r="AE594" s="6" t="s">
        <v>36</v>
      </c>
      <c r="AF594" s="8"/>
      <c r="AG594" s="7"/>
      <c r="AH594" s="8" t="s">
        <v>37</v>
      </c>
      <c r="AI594" s="8"/>
      <c r="AJ594" s="9" t="s">
        <v>30</v>
      </c>
      <c r="AK594" s="8" t="s">
        <v>38</v>
      </c>
      <c r="AL594" s="8"/>
      <c r="AM594" s="7"/>
      <c r="AP594" s="6" t="s">
        <v>17</v>
      </c>
      <c r="AQ594" s="6" t="s">
        <v>39</v>
      </c>
      <c r="AR594" s="7"/>
      <c r="AS594" s="6" t="s">
        <v>29</v>
      </c>
      <c r="AT594" s="7" t="s">
        <v>30</v>
      </c>
      <c r="AU594" s="8" t="s">
        <v>40</v>
      </c>
      <c r="AV594" s="8"/>
      <c r="AW594" s="8"/>
      <c r="AX594" s="8"/>
      <c r="AY594" s="7"/>
      <c r="BB594" s="10"/>
      <c r="BC594" s="10"/>
      <c r="BD594" s="11"/>
      <c r="BE594" s="3"/>
      <c r="BF594" s="3"/>
      <c r="BG594" s="3"/>
      <c r="BH594" s="10"/>
      <c r="BI594" s="11" t="s">
        <v>6</v>
      </c>
      <c r="BJ594" s="3" t="s">
        <v>41</v>
      </c>
      <c r="BK594" s="3"/>
      <c r="BL594" s="11"/>
    </row>
    <row r="595" spans="1:64" ht="15" thickBot="1" x14ac:dyDescent="0.35">
      <c r="A595" s="13" t="s">
        <v>42</v>
      </c>
      <c r="B595" s="14" t="s">
        <v>43</v>
      </c>
      <c r="C595" s="15" t="s">
        <v>44</v>
      </c>
      <c r="D595" s="16" t="s">
        <v>45</v>
      </c>
      <c r="E595" s="16" t="s">
        <v>46</v>
      </c>
      <c r="F595" s="16" t="s">
        <v>47</v>
      </c>
      <c r="G595" s="17" t="s">
        <v>48</v>
      </c>
      <c r="H595" s="18" t="s">
        <v>49</v>
      </c>
      <c r="I595" s="18"/>
      <c r="J595" s="11"/>
      <c r="L595" s="10" t="s">
        <v>50</v>
      </c>
      <c r="M595" s="19" t="s">
        <v>43</v>
      </c>
      <c r="N595" s="20" t="s">
        <v>44</v>
      </c>
      <c r="O595" s="21" t="s">
        <v>43</v>
      </c>
      <c r="P595" s="188" t="s">
        <v>51</v>
      </c>
      <c r="Q595" s="21" t="s">
        <v>44</v>
      </c>
      <c r="R595" s="22" t="s">
        <v>43</v>
      </c>
      <c r="S595" s="23" t="s">
        <v>44</v>
      </c>
      <c r="T595" s="18" t="s">
        <v>49</v>
      </c>
      <c r="U595" s="18"/>
      <c r="V595" s="11"/>
      <c r="AB595" s="10" t="s">
        <v>50</v>
      </c>
      <c r="AC595" s="22" t="s">
        <v>43</v>
      </c>
      <c r="AD595" s="23" t="s">
        <v>44</v>
      </c>
      <c r="AE595" s="22" t="s">
        <v>45</v>
      </c>
      <c r="AF595" s="24" t="s">
        <v>46</v>
      </c>
      <c r="AG595" s="23" t="s">
        <v>52</v>
      </c>
      <c r="AH595" s="24" t="s">
        <v>43</v>
      </c>
      <c r="AI595" s="24" t="s">
        <v>44</v>
      </c>
      <c r="AJ595" s="25" t="s">
        <v>43</v>
      </c>
      <c r="AK595" s="3" t="s">
        <v>53</v>
      </c>
      <c r="AL595" s="3"/>
      <c r="AM595" s="11"/>
      <c r="AP595" s="13" t="s">
        <v>42</v>
      </c>
      <c r="AQ595" s="13" t="s">
        <v>43</v>
      </c>
      <c r="AR595" s="26" t="s">
        <v>44</v>
      </c>
      <c r="AS595" s="13" t="s">
        <v>43</v>
      </c>
      <c r="AT595" s="26" t="s">
        <v>44</v>
      </c>
      <c r="AU595" s="27"/>
      <c r="AV595" s="27"/>
      <c r="AW595" s="27"/>
      <c r="AX595" s="27"/>
      <c r="AY595" s="26"/>
      <c r="BB595" s="13" t="s">
        <v>42</v>
      </c>
      <c r="BC595" s="13" t="s">
        <v>43</v>
      </c>
      <c r="BD595" s="26" t="s">
        <v>44</v>
      </c>
      <c r="BE595" s="27" t="s">
        <v>45</v>
      </c>
      <c r="BF595" s="27" t="s">
        <v>46</v>
      </c>
      <c r="BG595" s="27" t="s">
        <v>52</v>
      </c>
      <c r="BH595" s="13" t="s">
        <v>43</v>
      </c>
      <c r="BI595" s="26" t="s">
        <v>44</v>
      </c>
      <c r="BJ595" s="27" t="s">
        <v>54</v>
      </c>
      <c r="BK595" s="27"/>
      <c r="BL595" s="26"/>
    </row>
    <row r="596" spans="1:64" ht="15" thickBot="1" x14ac:dyDescent="0.35">
      <c r="A596" s="6"/>
      <c r="B596" s="6"/>
      <c r="C596" s="7"/>
      <c r="D596" s="8"/>
      <c r="E596" s="8"/>
      <c r="F596" s="7"/>
      <c r="G596" s="8"/>
      <c r="H596" s="6" t="s">
        <v>396</v>
      </c>
      <c r="I596" s="8"/>
      <c r="J596" s="7"/>
      <c r="K596" s="28"/>
      <c r="L596" s="9"/>
      <c r="M596" s="8"/>
      <c r="N596" s="8"/>
      <c r="O596" s="6"/>
      <c r="P596" s="8"/>
      <c r="Q596" s="7"/>
      <c r="R596" s="8"/>
      <c r="S596" s="8"/>
      <c r="T596" s="6" t="s">
        <v>396</v>
      </c>
      <c r="U596" s="8"/>
      <c r="V596" s="7"/>
      <c r="W596" s="28"/>
      <c r="AB596" s="13"/>
      <c r="AC596" s="13"/>
      <c r="AD596" s="26"/>
      <c r="AE596" s="13"/>
      <c r="AF596" s="27"/>
      <c r="AG596" s="26"/>
      <c r="AH596" s="27"/>
      <c r="AI596" s="27"/>
      <c r="AJ596" s="17"/>
      <c r="AK596" s="27"/>
      <c r="AL596" s="27"/>
      <c r="AM596" s="26"/>
      <c r="AP596" s="32" t="s">
        <v>6</v>
      </c>
      <c r="AQ596" s="43"/>
      <c r="AR596" s="54"/>
      <c r="AS596" s="33"/>
      <c r="AT596" s="35"/>
      <c r="AU596" s="33"/>
      <c r="AV596" s="34" t="s">
        <v>91</v>
      </c>
      <c r="AW596" s="34"/>
      <c r="AX596" s="34"/>
      <c r="AY596" s="35"/>
      <c r="AZ596" s="28"/>
      <c r="BB596" s="32" t="s">
        <v>85</v>
      </c>
      <c r="BC596">
        <v>0</v>
      </c>
      <c r="BD596">
        <v>0</v>
      </c>
      <c r="BE596" s="33"/>
      <c r="BF596" s="34"/>
      <c r="BG596" s="34"/>
      <c r="BH596" s="33"/>
      <c r="BI596" s="35"/>
      <c r="BJ596" s="34" t="s">
        <v>58</v>
      </c>
      <c r="BK596" s="8"/>
      <c r="BL596" s="7"/>
    </row>
    <row r="597" spans="1:64" x14ac:dyDescent="0.3">
      <c r="A597" s="10" t="s">
        <v>59</v>
      </c>
      <c r="B597" s="36">
        <v>852</v>
      </c>
      <c r="C597" s="11">
        <v>811</v>
      </c>
      <c r="D597" s="37"/>
      <c r="E597" s="38" t="s">
        <v>60</v>
      </c>
      <c r="F597" s="39"/>
      <c r="G597" s="37">
        <v>1120</v>
      </c>
      <c r="H597" s="36">
        <v>4</v>
      </c>
      <c r="I597" s="37" t="s">
        <v>61</v>
      </c>
      <c r="J597" s="40"/>
      <c r="K597" s="28"/>
      <c r="L597" s="41" t="s">
        <v>59</v>
      </c>
      <c r="M597" s="28">
        <v>13067</v>
      </c>
      <c r="N597" s="28">
        <v>33180</v>
      </c>
      <c r="O597" s="42">
        <v>0</v>
      </c>
      <c r="P597" s="43">
        <v>0</v>
      </c>
      <c r="Q597" s="40">
        <v>0</v>
      </c>
      <c r="R597" s="43">
        <v>0</v>
      </c>
      <c r="S597" s="43">
        <v>0</v>
      </c>
      <c r="T597" s="42"/>
      <c r="U597" s="28"/>
      <c r="V597" s="40"/>
      <c r="W597" s="28"/>
      <c r="AB597" s="9"/>
      <c r="AC597" s="8"/>
      <c r="AD597" s="8"/>
      <c r="AE597" s="6"/>
      <c r="AF597" s="8"/>
      <c r="AG597" s="7"/>
      <c r="AH597" s="8"/>
      <c r="AI597" s="8"/>
      <c r="AJ597" s="9"/>
      <c r="AK597" s="6" t="s">
        <v>62</v>
      </c>
      <c r="AL597" s="8"/>
      <c r="AM597" s="7"/>
      <c r="AP597" s="41" t="s">
        <v>56</v>
      </c>
      <c r="AQ597" s="43">
        <v>1309</v>
      </c>
      <c r="AR597" s="54">
        <v>1296</v>
      </c>
      <c r="AS597" s="42"/>
      <c r="AT597" s="40"/>
      <c r="AU597" s="42"/>
      <c r="AV597" s="28"/>
      <c r="AW597" s="28"/>
      <c r="AX597" s="28"/>
      <c r="AY597" s="40"/>
      <c r="AZ597" s="28"/>
      <c r="BB597" s="44" t="s">
        <v>64</v>
      </c>
      <c r="BC597" s="18">
        <v>107</v>
      </c>
      <c r="BD597" s="18">
        <v>139</v>
      </c>
      <c r="BE597" s="10">
        <v>0</v>
      </c>
      <c r="BF597" s="18">
        <v>0</v>
      </c>
      <c r="BG597" s="18">
        <v>0</v>
      </c>
      <c r="BH597" s="10">
        <v>0</v>
      </c>
      <c r="BI597" s="11">
        <v>0</v>
      </c>
      <c r="BJ597" s="45">
        <v>8</v>
      </c>
      <c r="BK597" s="28" t="s">
        <v>474</v>
      </c>
      <c r="BL597" s="11"/>
    </row>
    <row r="598" spans="1:64" ht="15" thickBot="1" x14ac:dyDescent="0.35">
      <c r="A598" s="36" t="s">
        <v>6</v>
      </c>
      <c r="B598" s="10"/>
      <c r="C598" s="11"/>
      <c r="D598" s="18"/>
      <c r="E598" s="18"/>
      <c r="F598" s="18"/>
      <c r="G598" s="36"/>
      <c r="H598" s="42">
        <v>0</v>
      </c>
      <c r="I598" s="28" t="s">
        <v>528</v>
      </c>
      <c r="J598" s="40">
        <f>SUM(H597+H598)</f>
        <v>4</v>
      </c>
      <c r="K598" s="28"/>
      <c r="L598" s="12"/>
      <c r="M598" s="37"/>
      <c r="N598" s="37"/>
      <c r="O598" s="10"/>
      <c r="P598" s="18"/>
      <c r="Q598" s="11"/>
      <c r="R598" s="18"/>
      <c r="S598" s="18"/>
      <c r="T598" s="10"/>
      <c r="U598" s="18"/>
      <c r="V598" s="11"/>
      <c r="W598" s="28"/>
      <c r="AB598" s="41"/>
      <c r="AE598" s="42"/>
      <c r="AF598" s="28"/>
      <c r="AG598" s="40"/>
      <c r="AJ598" s="41"/>
      <c r="AK598" s="42"/>
      <c r="AL598" s="37" t="s">
        <v>6</v>
      </c>
      <c r="AM598" s="40"/>
      <c r="AP598" s="62" t="s">
        <v>6</v>
      </c>
      <c r="AQ598" s="43"/>
      <c r="AR598" s="43"/>
      <c r="AS598" s="47"/>
      <c r="AT598" s="49"/>
      <c r="AU598" s="47"/>
      <c r="AV598" s="48">
        <f>176/2</f>
        <v>88</v>
      </c>
      <c r="AW598" s="48" t="s">
        <v>73</v>
      </c>
      <c r="AX598" s="48"/>
      <c r="AY598" s="49">
        <f>SUM(AV598)</f>
        <v>88</v>
      </c>
      <c r="AZ598" s="28"/>
      <c r="BA598" s="28"/>
      <c r="BB598" s="46" t="s">
        <v>84</v>
      </c>
      <c r="BC598">
        <f>SUM(BC596:BC597)</f>
        <v>107</v>
      </c>
      <c r="BD598">
        <f>SUM(BD596:BD597)</f>
        <v>139</v>
      </c>
      <c r="BE598" s="47"/>
      <c r="BF598" s="48"/>
      <c r="BG598" s="48"/>
      <c r="BH598" s="47"/>
      <c r="BI598" s="49"/>
      <c r="BJ598" s="48"/>
      <c r="BK598" s="48" t="s">
        <v>249</v>
      </c>
      <c r="BL598" s="49">
        <f>SUM(BJ597:BJ598)</f>
        <v>8</v>
      </c>
    </row>
    <row r="599" spans="1:64" ht="15" thickBot="1" x14ac:dyDescent="0.35">
      <c r="A599" s="32"/>
      <c r="B599" s="34"/>
      <c r="C599" s="34"/>
      <c r="D599" s="33"/>
      <c r="E599" s="34"/>
      <c r="F599" s="35"/>
      <c r="G599" s="34"/>
      <c r="H599" s="6" t="s">
        <v>70</v>
      </c>
      <c r="I599" s="8"/>
      <c r="J599" s="7"/>
      <c r="K599" s="28"/>
      <c r="L599" s="17"/>
      <c r="M599" s="27"/>
      <c r="N599" s="27"/>
      <c r="O599" s="13"/>
      <c r="P599" s="27"/>
      <c r="Q599" s="26"/>
      <c r="R599" s="27"/>
      <c r="S599" s="27"/>
      <c r="T599" s="13"/>
      <c r="U599" s="27"/>
      <c r="V599" s="26"/>
      <c r="W599" s="28"/>
      <c r="AB599" s="44" t="s">
        <v>59</v>
      </c>
      <c r="AC599" s="37">
        <v>883</v>
      </c>
      <c r="AD599" s="37">
        <v>963</v>
      </c>
      <c r="AE599" s="10">
        <v>0</v>
      </c>
      <c r="AF599" s="18">
        <v>0</v>
      </c>
      <c r="AG599" s="39">
        <v>0</v>
      </c>
      <c r="AH599" s="2">
        <v>0</v>
      </c>
      <c r="AI599" s="2">
        <v>0</v>
      </c>
      <c r="AJ599" s="12">
        <v>0</v>
      </c>
      <c r="AK599" s="36">
        <v>1</v>
      </c>
      <c r="AL599" t="s">
        <v>398</v>
      </c>
      <c r="AM599" s="11"/>
      <c r="AP599" s="10"/>
      <c r="AQ599" s="29"/>
      <c r="AR599" s="31"/>
      <c r="AS599" s="33"/>
      <c r="AT599" s="7"/>
      <c r="AU599" s="8"/>
      <c r="AV599" s="8"/>
      <c r="AW599" s="8"/>
      <c r="AX599" s="8"/>
      <c r="AY599" s="7"/>
      <c r="AZ599" s="28"/>
      <c r="BA599" s="28"/>
      <c r="BB599" s="33"/>
      <c r="BC599" s="33"/>
      <c r="BD599" s="35"/>
      <c r="BE599" s="34"/>
      <c r="BF599" s="34"/>
      <c r="BG599" s="34"/>
      <c r="BH599" s="33"/>
      <c r="BI599" s="35"/>
      <c r="BJ599" s="53" t="s">
        <v>82</v>
      </c>
      <c r="BK599" s="34"/>
      <c r="BL599" s="35"/>
    </row>
    <row r="600" spans="1:64" ht="15" thickBot="1" x14ac:dyDescent="0.35">
      <c r="A600" s="44" t="s">
        <v>74</v>
      </c>
      <c r="B600" s="37">
        <v>1176</v>
      </c>
      <c r="C600" s="18">
        <v>2357</v>
      </c>
      <c r="D600" s="36"/>
      <c r="E600" s="38" t="s">
        <v>60</v>
      </c>
      <c r="F600" s="39"/>
      <c r="G600" s="37">
        <v>2910</v>
      </c>
      <c r="H600" s="36">
        <v>1</v>
      </c>
      <c r="I600" s="28" t="s">
        <v>75</v>
      </c>
      <c r="J600" s="11"/>
      <c r="K600" s="28"/>
      <c r="L600" s="32"/>
      <c r="M600" s="34"/>
      <c r="N600" s="34"/>
      <c r="O600" s="33"/>
      <c r="P600" s="34"/>
      <c r="Q600" s="35"/>
      <c r="R600" s="34"/>
      <c r="S600" s="34"/>
      <c r="T600" s="33"/>
      <c r="U600" s="34"/>
      <c r="V600" s="35"/>
      <c r="W600" s="28"/>
      <c r="AB600" s="46"/>
      <c r="AE600" s="47"/>
      <c r="AF600" s="51"/>
      <c r="AG600" s="49"/>
      <c r="AH600" s="28"/>
      <c r="AI600" s="28"/>
      <c r="AJ600" s="62"/>
      <c r="AK600" s="47">
        <v>3</v>
      </c>
      <c r="AL600" s="48" t="s">
        <v>66</v>
      </c>
      <c r="AM600" s="49"/>
      <c r="AP600" s="36" t="s">
        <v>63</v>
      </c>
      <c r="AQ600" s="10">
        <v>119</v>
      </c>
      <c r="AR600" s="18">
        <v>128</v>
      </c>
      <c r="AS600" s="42"/>
      <c r="AT600" s="11"/>
      <c r="AU600" s="18"/>
      <c r="AV600" s="18" t="s">
        <v>110</v>
      </c>
      <c r="AW600" s="18" t="s">
        <v>111</v>
      </c>
      <c r="AX600" s="18" t="s">
        <v>112</v>
      </c>
      <c r="AY600" s="11"/>
      <c r="AZ600" s="28"/>
      <c r="BA600" s="28"/>
      <c r="BB600" s="47" t="s">
        <v>85</v>
      </c>
      <c r="BC600" s="47">
        <v>6</v>
      </c>
      <c r="BD600" s="49">
        <v>6</v>
      </c>
      <c r="BE600" s="48"/>
      <c r="BF600" s="48">
        <v>0</v>
      </c>
      <c r="BG600" s="48">
        <v>0</v>
      </c>
      <c r="BH600" s="47">
        <v>0</v>
      </c>
      <c r="BI600" s="49">
        <v>0</v>
      </c>
      <c r="BJ600" s="51">
        <v>1</v>
      </c>
      <c r="BK600" s="48" t="s">
        <v>86</v>
      </c>
      <c r="BL600" s="49">
        <f>SUM(BJ600)</f>
        <v>1</v>
      </c>
    </row>
    <row r="601" spans="1:64" x14ac:dyDescent="0.3">
      <c r="A601" s="41"/>
      <c r="D601" s="42"/>
      <c r="E601" s="28"/>
      <c r="F601" s="40"/>
      <c r="H601" s="42">
        <v>1</v>
      </c>
      <c r="I601" s="28" t="s">
        <v>79</v>
      </c>
      <c r="J601" s="40"/>
      <c r="K601" s="28"/>
      <c r="L601" s="41"/>
      <c r="M601" s="28"/>
      <c r="N601" s="28"/>
      <c r="O601" s="42"/>
      <c r="P601" s="28"/>
      <c r="Q601" s="40"/>
      <c r="R601" s="28"/>
      <c r="S601" s="28"/>
      <c r="T601" s="42" t="s">
        <v>80</v>
      </c>
      <c r="U601" s="28"/>
      <c r="V601" s="40"/>
      <c r="W601" s="28"/>
      <c r="AB601" s="50" t="s">
        <v>6</v>
      </c>
      <c r="AC601" s="8"/>
      <c r="AD601" s="8"/>
      <c r="AE601" s="6"/>
      <c r="AF601" s="8"/>
      <c r="AG601" s="7"/>
      <c r="AH601" s="6"/>
      <c r="AI601" s="7"/>
      <c r="AJ601" s="8"/>
      <c r="AK601" s="29"/>
      <c r="AL601" s="8"/>
      <c r="AM601" s="7"/>
      <c r="AP601" s="10" t="s">
        <v>115</v>
      </c>
      <c r="AQ601" s="36">
        <v>62</v>
      </c>
      <c r="AR601" s="37">
        <v>66</v>
      </c>
      <c r="AS601" s="42"/>
      <c r="AT601" s="11"/>
      <c r="AU601" s="18"/>
      <c r="AV601" s="18"/>
      <c r="AW601" s="18"/>
      <c r="AX601" s="18"/>
      <c r="AY601" s="11"/>
      <c r="AZ601" s="28"/>
      <c r="BA601" s="28"/>
      <c r="BB601" s="50" t="s">
        <v>107</v>
      </c>
      <c r="BC601" s="31">
        <v>0</v>
      </c>
      <c r="BD601" s="31">
        <v>0</v>
      </c>
      <c r="BE601" s="29"/>
      <c r="BF601" s="31"/>
      <c r="BG601" s="30"/>
      <c r="BH601" s="55">
        <v>0</v>
      </c>
      <c r="BI601" s="8">
        <v>0</v>
      </c>
      <c r="BJ601" s="29"/>
      <c r="BK601" s="34" t="s">
        <v>92</v>
      </c>
      <c r="BL601" s="35"/>
    </row>
    <row r="602" spans="1:64" ht="15" thickBot="1" x14ac:dyDescent="0.35">
      <c r="A602" s="46"/>
      <c r="B602" s="48"/>
      <c r="C602" s="48"/>
      <c r="D602" s="47"/>
      <c r="E602" s="48"/>
      <c r="F602" s="49"/>
      <c r="G602" s="48"/>
      <c r="H602" s="47">
        <v>16</v>
      </c>
      <c r="I602" s="28" t="s">
        <v>83</v>
      </c>
      <c r="J602" s="49">
        <f>SUM(H600:H602)</f>
        <v>18</v>
      </c>
      <c r="K602" s="28"/>
      <c r="L602" s="17" t="s">
        <v>74</v>
      </c>
      <c r="M602" s="27">
        <v>7485</v>
      </c>
      <c r="N602" s="27">
        <v>215</v>
      </c>
      <c r="O602" s="13">
        <v>0</v>
      </c>
      <c r="P602" s="27">
        <v>0</v>
      </c>
      <c r="Q602" s="26">
        <v>0</v>
      </c>
      <c r="R602" s="27">
        <v>5</v>
      </c>
      <c r="S602" s="27">
        <v>0</v>
      </c>
      <c r="T602" s="13"/>
      <c r="U602" s="27"/>
      <c r="V602" s="26"/>
      <c r="W602" s="28"/>
      <c r="AB602" s="41" t="s">
        <v>76</v>
      </c>
      <c r="AC602">
        <v>0</v>
      </c>
      <c r="AD602">
        <v>0</v>
      </c>
      <c r="AE602" s="42">
        <v>0</v>
      </c>
      <c r="AF602" s="43">
        <v>0</v>
      </c>
      <c r="AG602" s="40">
        <v>0</v>
      </c>
      <c r="AH602" s="42">
        <v>0</v>
      </c>
      <c r="AI602" s="40">
        <v>0</v>
      </c>
      <c r="AJ602" s="43">
        <v>0</v>
      </c>
      <c r="AK602" s="42"/>
      <c r="AL602" s="28" t="s">
        <v>780</v>
      </c>
      <c r="AM602" s="40"/>
      <c r="AP602" s="52" t="s">
        <v>72</v>
      </c>
      <c r="AQ602" s="52">
        <v>14</v>
      </c>
      <c r="AR602" s="54">
        <v>8</v>
      </c>
      <c r="AS602" s="42"/>
      <c r="AT602" s="40"/>
      <c r="AU602" s="28"/>
      <c r="AV602" s="28"/>
      <c r="AW602" s="28"/>
      <c r="AX602" s="28"/>
      <c r="AY602" s="40"/>
      <c r="AZ602" s="28"/>
      <c r="BA602" s="28"/>
      <c r="BB602" s="41" t="s">
        <v>99</v>
      </c>
      <c r="BC602" s="45">
        <v>0</v>
      </c>
      <c r="BD602" s="45">
        <v>0</v>
      </c>
      <c r="BE602" s="42">
        <v>0</v>
      </c>
      <c r="BF602" s="45">
        <v>0</v>
      </c>
      <c r="BG602" s="40">
        <v>0</v>
      </c>
      <c r="BH602" s="45">
        <v>67423</v>
      </c>
      <c r="BI602" s="56">
        <v>18029</v>
      </c>
      <c r="BJ602" s="52">
        <v>30</v>
      </c>
      <c r="BK602" s="37" t="s">
        <v>100</v>
      </c>
      <c r="BL602" s="40"/>
    </row>
    <row r="603" spans="1:64" ht="15" thickBot="1" x14ac:dyDescent="0.35">
      <c r="A603" s="33"/>
      <c r="B603" s="33"/>
      <c r="C603" s="35"/>
      <c r="D603" s="34"/>
      <c r="E603" s="34"/>
      <c r="F603" s="34"/>
      <c r="G603" s="32"/>
      <c r="H603" s="6" t="s">
        <v>87</v>
      </c>
      <c r="I603" s="34"/>
      <c r="J603" s="35"/>
      <c r="K603" s="28"/>
      <c r="L603" s="12" t="s">
        <v>88</v>
      </c>
      <c r="M603" s="37">
        <v>0</v>
      </c>
      <c r="N603" s="37">
        <v>0</v>
      </c>
      <c r="O603" s="10"/>
      <c r="P603" s="18"/>
      <c r="Q603" s="11"/>
      <c r="R603" s="18"/>
      <c r="S603" s="18"/>
      <c r="T603" s="33" t="s">
        <v>6</v>
      </c>
      <c r="U603" s="31"/>
      <c r="V603" s="7"/>
      <c r="W603" s="28"/>
      <c r="AB603" s="6" t="s">
        <v>89</v>
      </c>
      <c r="AC603" s="6">
        <v>5</v>
      </c>
      <c r="AD603" s="7">
        <v>30</v>
      </c>
      <c r="AE603" s="8"/>
      <c r="AF603" s="8"/>
      <c r="AG603" s="8"/>
      <c r="AH603" s="6"/>
      <c r="AI603" s="7"/>
      <c r="AJ603" s="9"/>
      <c r="AK603" s="31" t="s">
        <v>90</v>
      </c>
      <c r="AL603" s="8"/>
      <c r="AM603" s="7"/>
      <c r="AP603" s="36" t="s">
        <v>78</v>
      </c>
      <c r="AQ603" s="36">
        <f>53+4</f>
        <v>57</v>
      </c>
      <c r="AR603" s="37">
        <v>29</v>
      </c>
      <c r="AS603" s="42"/>
      <c r="AT603" s="11"/>
      <c r="AU603" s="18"/>
      <c r="AV603" s="37"/>
      <c r="AW603" s="18"/>
      <c r="AX603" s="37"/>
      <c r="AY603" s="11"/>
      <c r="AZ603" s="28"/>
      <c r="BA603" s="28"/>
      <c r="BB603" s="17" t="s">
        <v>84</v>
      </c>
      <c r="BC603" s="18">
        <f>SUM(BC601:BC602)</f>
        <v>0</v>
      </c>
      <c r="BD603" s="18">
        <f>SUM(BD601:BD602)</f>
        <v>0</v>
      </c>
      <c r="BE603" s="13"/>
      <c r="BF603" s="27"/>
      <c r="BG603" s="26"/>
      <c r="BH603" s="58">
        <f>+BH602+BH601</f>
        <v>67423</v>
      </c>
      <c r="BI603" s="27">
        <f>+BI602+BI601</f>
        <v>18029</v>
      </c>
      <c r="BJ603" s="59"/>
      <c r="BK603" s="48" t="s">
        <v>506</v>
      </c>
      <c r="BL603" s="60">
        <f>SUM(BJ602:BJ603)</f>
        <v>30</v>
      </c>
    </row>
    <row r="604" spans="1:64" x14ac:dyDescent="0.3">
      <c r="A604" s="36" t="s">
        <v>93</v>
      </c>
      <c r="B604" s="36">
        <v>2008</v>
      </c>
      <c r="C604" s="11">
        <v>2720</v>
      </c>
      <c r="D604" s="37"/>
      <c r="E604" s="38" t="s">
        <v>60</v>
      </c>
      <c r="F604" s="37"/>
      <c r="G604" s="12">
        <v>2760</v>
      </c>
      <c r="H604" s="36">
        <v>1</v>
      </c>
      <c r="I604" s="37" t="s">
        <v>101</v>
      </c>
      <c r="J604" s="40"/>
      <c r="K604" s="28"/>
      <c r="L604" s="44" t="s">
        <v>95</v>
      </c>
      <c r="M604" s="37">
        <v>0</v>
      </c>
      <c r="N604" s="37">
        <v>0</v>
      </c>
      <c r="O604" s="10"/>
      <c r="P604" s="18"/>
      <c r="Q604" s="11"/>
      <c r="R604" s="18"/>
      <c r="S604" s="18"/>
      <c r="T604" s="10" t="s">
        <v>96</v>
      </c>
      <c r="U604" s="37"/>
      <c r="V604" s="11"/>
      <c r="W604" s="28"/>
      <c r="AB604" s="36" t="s">
        <v>97</v>
      </c>
      <c r="AC604" s="10">
        <v>34</v>
      </c>
      <c r="AD604" s="11">
        <v>12</v>
      </c>
      <c r="AE604" s="18">
        <v>0</v>
      </c>
      <c r="AF604" s="18">
        <v>0</v>
      </c>
      <c r="AG604" s="18">
        <v>0</v>
      </c>
      <c r="AH604" s="36">
        <v>0</v>
      </c>
      <c r="AI604" s="11">
        <v>0</v>
      </c>
      <c r="AJ604" s="12">
        <v>0</v>
      </c>
      <c r="AK604" s="37">
        <v>2</v>
      </c>
      <c r="AL604" s="37" t="s">
        <v>781</v>
      </c>
      <c r="AM604" s="11"/>
      <c r="AP604" s="10" t="s">
        <v>122</v>
      </c>
      <c r="AQ604" s="36">
        <v>36</v>
      </c>
      <c r="AR604" s="37">
        <v>37</v>
      </c>
      <c r="AS604" s="42"/>
      <c r="AT604" s="11"/>
      <c r="AU604" s="18"/>
      <c r="AV604" s="18">
        <v>34</v>
      </c>
      <c r="AW604" s="18" t="s">
        <v>123</v>
      </c>
      <c r="AX604" s="18"/>
      <c r="AY604" s="11"/>
      <c r="AZ604" s="28" t="s">
        <v>6</v>
      </c>
      <c r="BA604" s="28"/>
      <c r="BB604" s="32"/>
      <c r="BC604" s="63">
        <v>0</v>
      </c>
      <c r="BD604" s="64">
        <v>0</v>
      </c>
      <c r="BE604" s="33"/>
      <c r="BF604" s="8"/>
      <c r="BG604" s="35"/>
      <c r="BH604" s="65"/>
      <c r="BI604" s="66"/>
      <c r="BJ604" s="29"/>
      <c r="BK604" s="31"/>
      <c r="BL604" s="35"/>
    </row>
    <row r="605" spans="1:64" ht="15" thickBot="1" x14ac:dyDescent="0.35">
      <c r="A605" s="47"/>
      <c r="B605" s="47"/>
      <c r="C605" s="49"/>
      <c r="D605" s="48"/>
      <c r="E605" s="48"/>
      <c r="F605" s="48"/>
      <c r="G605" s="46"/>
      <c r="H605" s="47">
        <v>18</v>
      </c>
      <c r="I605" s="37" t="s">
        <v>94</v>
      </c>
      <c r="J605" s="49">
        <f>SUM(H604:H605)</f>
        <v>19</v>
      </c>
      <c r="K605" s="28"/>
      <c r="L605" s="12" t="s">
        <v>102</v>
      </c>
      <c r="M605" s="18">
        <v>0</v>
      </c>
      <c r="N605" s="18">
        <v>1840</v>
      </c>
      <c r="O605" s="10"/>
      <c r="P605" s="18"/>
      <c r="Q605" s="11"/>
      <c r="R605" s="18"/>
      <c r="S605" s="18"/>
      <c r="T605" s="10"/>
      <c r="U605" s="18"/>
      <c r="V605" s="11"/>
      <c r="W605" s="28"/>
      <c r="AB605" s="42" t="s">
        <v>84</v>
      </c>
      <c r="AC605" s="10">
        <f>SUM(AC603:AC604)</f>
        <v>39</v>
      </c>
      <c r="AD605" s="11">
        <f>SUM(AD603:AD604)</f>
        <v>42</v>
      </c>
      <c r="AE605" s="18"/>
      <c r="AF605" s="18"/>
      <c r="AG605" s="18"/>
      <c r="AH605" s="10"/>
      <c r="AI605" s="11"/>
      <c r="AJ605" s="12"/>
      <c r="AK605" s="57"/>
      <c r="AL605" s="37" t="s">
        <v>6</v>
      </c>
      <c r="AM605" s="11"/>
      <c r="AP605" s="10" t="s">
        <v>125</v>
      </c>
      <c r="AQ605" s="36">
        <v>2</v>
      </c>
      <c r="AR605" s="37">
        <v>8</v>
      </c>
      <c r="AS605" s="42"/>
      <c r="AT605" s="11"/>
      <c r="AU605" s="18"/>
      <c r="AV605" s="18">
        <v>57</v>
      </c>
      <c r="AW605" s="18" t="s">
        <v>126</v>
      </c>
      <c r="AX605" s="18"/>
      <c r="AY605" s="11"/>
      <c r="AZ605" s="28"/>
      <c r="BA605" s="28"/>
      <c r="BB605" s="41"/>
      <c r="BC605" s="70">
        <v>0</v>
      </c>
      <c r="BD605" s="71">
        <v>0</v>
      </c>
      <c r="BE605" s="42"/>
      <c r="BF605" s="28"/>
      <c r="BG605" s="40"/>
      <c r="BH605" s="42"/>
      <c r="BI605" s="40"/>
      <c r="BJ605" s="42"/>
      <c r="BK605" s="54"/>
      <c r="BL605" s="40"/>
    </row>
    <row r="606" spans="1:64" ht="15" thickBot="1" x14ac:dyDescent="0.35">
      <c r="A606" s="29" t="s">
        <v>250</v>
      </c>
      <c r="B606" s="29">
        <v>0</v>
      </c>
      <c r="C606" s="7">
        <v>0</v>
      </c>
      <c r="D606" s="8"/>
      <c r="E606" s="8"/>
      <c r="F606" s="8"/>
      <c r="G606" s="9"/>
      <c r="H606" s="8" t="s">
        <v>104</v>
      </c>
      <c r="I606" s="8"/>
      <c r="J606" s="7"/>
      <c r="K606" s="28"/>
      <c r="L606" s="12" t="s">
        <v>84</v>
      </c>
      <c r="M606" s="18">
        <f>SUM(M603:M605)</f>
        <v>0</v>
      </c>
      <c r="N606" s="18">
        <f>SUM(N603:N605)</f>
        <v>1840</v>
      </c>
      <c r="O606" s="10">
        <v>0</v>
      </c>
      <c r="P606" s="18">
        <v>0</v>
      </c>
      <c r="Q606" s="11">
        <v>0</v>
      </c>
      <c r="R606" s="18">
        <v>0</v>
      </c>
      <c r="S606" s="18">
        <v>0</v>
      </c>
      <c r="T606" s="13"/>
      <c r="U606" s="27"/>
      <c r="V606" s="26"/>
      <c r="W606" s="28"/>
      <c r="AB606" s="50"/>
      <c r="AC606" s="8"/>
      <c r="AD606" s="8"/>
      <c r="AE606" s="6"/>
      <c r="AF606" s="8"/>
      <c r="AG606" s="7"/>
      <c r="AH606" s="6"/>
      <c r="AI606" s="7"/>
      <c r="AJ606" s="6"/>
      <c r="AK606" s="33" t="s">
        <v>6</v>
      </c>
      <c r="AL606" s="34"/>
      <c r="AM606" s="7"/>
      <c r="AP606" s="84" t="s">
        <v>128</v>
      </c>
      <c r="AQ606" s="52">
        <v>3</v>
      </c>
      <c r="AR606" s="37">
        <v>0</v>
      </c>
      <c r="AS606" s="42"/>
      <c r="AT606" s="40"/>
      <c r="AU606" s="28"/>
      <c r="AV606" s="28">
        <v>15</v>
      </c>
      <c r="AW606" s="28" t="s">
        <v>129</v>
      </c>
      <c r="AX606" s="28"/>
      <c r="AY606" s="40"/>
      <c r="AZ606" s="28"/>
      <c r="BA606" s="28" t="s">
        <v>6</v>
      </c>
      <c r="BB606" s="68"/>
      <c r="BC606">
        <f>SUM(BC604:BC605)</f>
        <v>0</v>
      </c>
      <c r="BD606">
        <f>SUM(BD604:BD605)</f>
        <v>0</v>
      </c>
      <c r="BE606" s="47">
        <v>0</v>
      </c>
      <c r="BF606" s="27">
        <v>0</v>
      </c>
      <c r="BG606" s="49">
        <v>0</v>
      </c>
      <c r="BH606" s="75">
        <v>0</v>
      </c>
      <c r="BI606" s="49">
        <v>0</v>
      </c>
      <c r="BJ606" s="47"/>
      <c r="BK606" s="51"/>
      <c r="BL606" s="49">
        <f>SUM(BJ605:BJ606)</f>
        <v>0</v>
      </c>
    </row>
    <row r="607" spans="1:64" ht="15" thickBot="1" x14ac:dyDescent="0.35">
      <c r="A607" s="42" t="s">
        <v>105</v>
      </c>
      <c r="B607" s="42">
        <v>168</v>
      </c>
      <c r="C607" s="40">
        <v>245</v>
      </c>
      <c r="D607" s="28"/>
      <c r="E607" s="38" t="s">
        <v>60</v>
      </c>
      <c r="F607" s="28"/>
      <c r="G607" s="41"/>
      <c r="H607" s="67">
        <v>5</v>
      </c>
      <c r="I607" s="43" t="s">
        <v>106</v>
      </c>
      <c r="J607" s="40">
        <f>SUM(H607)</f>
        <v>5</v>
      </c>
      <c r="K607" s="28"/>
      <c r="L607" s="32"/>
      <c r="M607" s="33"/>
      <c r="N607" s="35"/>
      <c r="O607" s="34"/>
      <c r="P607" s="34"/>
      <c r="Q607" s="35"/>
      <c r="R607" s="33"/>
      <c r="S607" s="35"/>
      <c r="T607" s="6" t="s">
        <v>104</v>
      </c>
      <c r="U607" s="34"/>
      <c r="V607" s="35"/>
      <c r="W607" s="28"/>
      <c r="AB607" s="46"/>
      <c r="AC607" s="27"/>
      <c r="AD607" s="27"/>
      <c r="AE607" s="13"/>
      <c r="AF607" s="27"/>
      <c r="AG607" s="26"/>
      <c r="AH607" s="13"/>
      <c r="AI607" s="26"/>
      <c r="AJ607" s="13"/>
      <c r="AK607" s="47"/>
      <c r="AL607" s="74"/>
      <c r="AM607" s="26"/>
      <c r="AP607" s="84" t="s">
        <v>132</v>
      </c>
      <c r="AQ607" s="42">
        <v>0</v>
      </c>
      <c r="AR607" s="37">
        <v>0</v>
      </c>
      <c r="AS607" s="42"/>
      <c r="AT607" s="40"/>
      <c r="AU607" s="28"/>
      <c r="AV607" s="28"/>
      <c r="AW607" s="28"/>
      <c r="AX607" s="28"/>
      <c r="AY607" s="40"/>
      <c r="AZ607" s="28"/>
      <c r="BA607" s="28" t="s">
        <v>6</v>
      </c>
      <c r="BB607" s="33" t="s">
        <v>89</v>
      </c>
      <c r="BC607" s="78">
        <v>340</v>
      </c>
      <c r="BD607" s="79">
        <f>339+15</f>
        <v>354</v>
      </c>
      <c r="BE607" s="34"/>
      <c r="BF607" s="8"/>
      <c r="BG607" s="35"/>
      <c r="BH607" s="80"/>
      <c r="BI607" s="34"/>
      <c r="BJ607" s="33"/>
      <c r="BK607" s="34" t="s">
        <v>91</v>
      </c>
      <c r="BL607" s="35"/>
    </row>
    <row r="608" spans="1:64" ht="15" thickBot="1" x14ac:dyDescent="0.35">
      <c r="A608" s="67" t="s">
        <v>84</v>
      </c>
      <c r="B608" s="47">
        <f>SUM(B606:B607)</f>
        <v>168</v>
      </c>
      <c r="C608" s="49">
        <f>SUM(C606:C607)</f>
        <v>245</v>
      </c>
      <c r="G608" s="46">
        <f>5*70</f>
        <v>350</v>
      </c>
      <c r="H608" s="48"/>
      <c r="I608" s="48"/>
      <c r="J608" s="49"/>
      <c r="K608" s="28"/>
      <c r="L608" s="69" t="s">
        <v>109</v>
      </c>
      <c r="M608" s="42">
        <v>2124</v>
      </c>
      <c r="N608" s="40">
        <v>0</v>
      </c>
      <c r="O608" s="28">
        <v>0</v>
      </c>
      <c r="P608" s="43">
        <v>0</v>
      </c>
      <c r="Q608" s="40">
        <v>0</v>
      </c>
      <c r="R608" s="42">
        <v>0</v>
      </c>
      <c r="S608" s="40">
        <v>0</v>
      </c>
      <c r="T608" s="28"/>
      <c r="U608" s="28"/>
      <c r="V608" s="40"/>
      <c r="W608" s="28"/>
      <c r="AA608" s="28"/>
      <c r="AB608" s="44"/>
      <c r="AC608" s="45"/>
      <c r="AD608" s="45"/>
      <c r="AE608" s="10"/>
      <c r="AF608" s="18"/>
      <c r="AG608" s="11"/>
      <c r="AH608" s="10"/>
      <c r="AI608" s="11"/>
      <c r="AJ608" s="67"/>
      <c r="AK608" s="42"/>
      <c r="AM608" s="40"/>
      <c r="AN608" s="28"/>
      <c r="AP608" s="84" t="s">
        <v>81</v>
      </c>
      <c r="AQ608" s="42">
        <v>19</v>
      </c>
      <c r="AR608" s="37">
        <v>0</v>
      </c>
      <c r="AS608" s="42"/>
      <c r="AT608" s="40"/>
      <c r="AU608" s="28"/>
      <c r="AV608" s="28"/>
      <c r="AW608" s="28"/>
      <c r="AX608" s="28"/>
      <c r="AY608" s="40"/>
      <c r="AZ608" s="45"/>
      <c r="BA608" s="28"/>
      <c r="BB608" s="52" t="s">
        <v>85</v>
      </c>
      <c r="BC608" s="42">
        <v>0</v>
      </c>
      <c r="BD608" s="40">
        <v>0</v>
      </c>
      <c r="BE608" s="28"/>
      <c r="BF608" s="28"/>
      <c r="BG608" s="40"/>
      <c r="BJ608" s="42"/>
      <c r="BK608" s="43"/>
      <c r="BL608" s="40"/>
    </row>
    <row r="609" spans="1:65" ht="15" thickBot="1" x14ac:dyDescent="0.35">
      <c r="A609" s="29" t="s">
        <v>108</v>
      </c>
      <c r="B609" s="29">
        <v>0</v>
      </c>
      <c r="C609" s="7">
        <v>0</v>
      </c>
      <c r="D609" s="8"/>
      <c r="E609" s="8">
        <v>772</v>
      </c>
      <c r="F609" s="8"/>
      <c r="G609" s="50"/>
      <c r="H609" s="6" t="s">
        <v>104</v>
      </c>
      <c r="I609" s="31"/>
      <c r="J609" s="30"/>
      <c r="K609" s="28"/>
      <c r="L609" s="46"/>
      <c r="M609" s="47"/>
      <c r="N609" s="49"/>
      <c r="O609" s="48"/>
      <c r="P609" s="48"/>
      <c r="Q609" s="49"/>
      <c r="R609" s="72"/>
      <c r="S609" s="73"/>
      <c r="T609" s="48"/>
      <c r="U609" s="48"/>
      <c r="V609" s="49"/>
      <c r="W609" s="28"/>
      <c r="AA609" s="28"/>
      <c r="AB609" s="41"/>
      <c r="AE609" s="10">
        <v>0</v>
      </c>
      <c r="AF609" s="18">
        <v>0</v>
      </c>
      <c r="AG609" s="11">
        <v>0</v>
      </c>
      <c r="AH609" s="10"/>
      <c r="AI609" s="11"/>
      <c r="AJ609" s="47"/>
      <c r="AK609" s="72"/>
      <c r="AL609" s="74"/>
      <c r="AM609" s="49"/>
      <c r="AN609" s="28"/>
      <c r="AP609" s="10" t="s">
        <v>138</v>
      </c>
      <c r="AQ609" s="36">
        <v>4</v>
      </c>
      <c r="AR609" s="37">
        <v>0</v>
      </c>
      <c r="AS609" s="42"/>
      <c r="AT609" s="11"/>
      <c r="AU609" s="18"/>
      <c r="AV609" s="18"/>
      <c r="AW609" s="18"/>
      <c r="AX609" s="18"/>
      <c r="AY609" s="11"/>
      <c r="AZ609" s="28"/>
      <c r="BA609" s="28" t="s">
        <v>6</v>
      </c>
      <c r="BB609" s="67" t="s">
        <v>113</v>
      </c>
      <c r="BC609" s="42">
        <v>561</v>
      </c>
      <c r="BD609" s="40">
        <v>643</v>
      </c>
      <c r="BE609" s="28"/>
      <c r="BF609" s="28"/>
      <c r="BG609" s="40"/>
      <c r="BH609" s="28"/>
      <c r="BI609" s="28"/>
      <c r="BJ609" s="67">
        <v>70</v>
      </c>
      <c r="BK609" s="43" t="s">
        <v>73</v>
      </c>
      <c r="BL609" s="40"/>
    </row>
    <row r="610" spans="1:65" ht="15" thickBot="1" x14ac:dyDescent="0.35">
      <c r="A610" s="52" t="s">
        <v>109</v>
      </c>
      <c r="B610" s="36">
        <v>860</v>
      </c>
      <c r="C610" s="11">
        <v>855</v>
      </c>
      <c r="D610" s="45"/>
      <c r="E610" s="45">
        <v>0</v>
      </c>
      <c r="F610" s="45"/>
      <c r="G610" s="69"/>
      <c r="H610" s="45">
        <v>6</v>
      </c>
      <c r="I610" s="28" t="s">
        <v>114</v>
      </c>
      <c r="J610" s="40"/>
      <c r="K610" s="28"/>
      <c r="L610" s="50" t="s">
        <v>93</v>
      </c>
      <c r="M610" s="8">
        <v>0</v>
      </c>
      <c r="N610" s="8">
        <v>0</v>
      </c>
      <c r="O610" s="6"/>
      <c r="P610" s="8"/>
      <c r="Q610" s="7"/>
      <c r="R610" s="8">
        <v>0</v>
      </c>
      <c r="S610" s="8">
        <v>0</v>
      </c>
      <c r="T610" s="10" t="s">
        <v>116</v>
      </c>
      <c r="U610" s="8"/>
      <c r="V610" s="7"/>
      <c r="W610" s="28"/>
      <c r="AA610" s="28"/>
      <c r="AB610" s="33"/>
      <c r="AC610" s="6"/>
      <c r="AD610" s="7"/>
      <c r="AE610" s="8"/>
      <c r="AF610" s="8"/>
      <c r="AG610" s="8"/>
      <c r="AH610" s="6"/>
      <c r="AI610" s="7"/>
      <c r="AJ610" s="8"/>
      <c r="AK610" s="29"/>
      <c r="AL610" s="164"/>
      <c r="AM610" s="7"/>
      <c r="AN610" s="28"/>
      <c r="AP610" s="84" t="s">
        <v>56</v>
      </c>
      <c r="AQ610" s="42">
        <v>0</v>
      </c>
      <c r="AR610" s="54">
        <v>0</v>
      </c>
      <c r="AS610" s="42"/>
      <c r="AT610" s="40"/>
      <c r="AU610" s="28"/>
      <c r="AV610" s="28"/>
      <c r="AW610" s="28"/>
      <c r="AX610" s="28"/>
      <c r="AY610" s="40"/>
      <c r="AZ610" s="28"/>
      <c r="BA610" s="28"/>
      <c r="BB610" s="47" t="s">
        <v>84</v>
      </c>
      <c r="BC610" s="47">
        <f>SUM(BC607:BC609)</f>
        <v>901</v>
      </c>
      <c r="BD610" s="49">
        <f>SUM(BD607:BD609)</f>
        <v>997</v>
      </c>
      <c r="BE610" s="81">
        <v>0</v>
      </c>
      <c r="BF610" s="27">
        <v>0</v>
      </c>
      <c r="BG610" s="82">
        <f>+BG607</f>
        <v>0</v>
      </c>
      <c r="BH610" s="74">
        <v>0</v>
      </c>
      <c r="BI610" s="74">
        <v>0</v>
      </c>
      <c r="BJ610" s="47"/>
      <c r="BK610" s="51"/>
      <c r="BL610" s="49">
        <f>SUM(BJ609)</f>
        <v>70</v>
      </c>
    </row>
    <row r="611" spans="1:65" ht="15" thickBot="1" x14ac:dyDescent="0.35">
      <c r="A611" s="76" t="s">
        <v>84</v>
      </c>
      <c r="B611" s="42">
        <f>SUM(B609:B610)</f>
        <v>860</v>
      </c>
      <c r="C611" s="40">
        <f>SUM(C609:C610)</f>
        <v>855</v>
      </c>
      <c r="D611" s="28"/>
      <c r="E611" s="28">
        <f>SUM(E609:E610)</f>
        <v>772</v>
      </c>
      <c r="F611" s="28"/>
      <c r="G611" s="46">
        <f>375*6</f>
        <v>2250</v>
      </c>
      <c r="H611" s="48"/>
      <c r="I611" s="48"/>
      <c r="J611" s="49">
        <f>SUM(H610)</f>
        <v>6</v>
      </c>
      <c r="K611" s="28"/>
      <c r="L611" s="12" t="s">
        <v>99</v>
      </c>
      <c r="M611" s="37">
        <v>92179</v>
      </c>
      <c r="N611" s="37">
        <v>50688</v>
      </c>
      <c r="O611" s="10"/>
      <c r="P611" s="18"/>
      <c r="Q611" s="11"/>
      <c r="R611" s="18">
        <v>5924</v>
      </c>
      <c r="S611" s="18">
        <v>153</v>
      </c>
      <c r="T611" s="10"/>
      <c r="U611" s="18"/>
      <c r="V611" s="11"/>
      <c r="W611" s="28"/>
      <c r="AA611" s="28"/>
      <c r="AB611" s="67"/>
      <c r="AC611" s="42"/>
      <c r="AD611" s="40"/>
      <c r="AE611" s="28"/>
      <c r="AF611" s="28"/>
      <c r="AG611" s="28"/>
      <c r="AH611" s="42"/>
      <c r="AI611" s="40"/>
      <c r="AJ611" s="28"/>
      <c r="AK611" s="42"/>
      <c r="AL611" s="54" t="s">
        <v>831</v>
      </c>
      <c r="AM611" s="40"/>
      <c r="AN611" s="28"/>
      <c r="AP611" s="36" t="s">
        <v>67</v>
      </c>
      <c r="AQ611" s="10">
        <v>46</v>
      </c>
      <c r="AR611" s="18">
        <v>44</v>
      </c>
      <c r="AS611" s="42"/>
      <c r="AT611" s="11"/>
      <c r="AU611" s="18"/>
      <c r="AV611" s="18"/>
      <c r="AW611" s="18"/>
      <c r="AX611" s="18"/>
      <c r="AY611" s="11"/>
      <c r="AZ611" s="28"/>
      <c r="BA611" s="28" t="s">
        <v>6</v>
      </c>
      <c r="BB611" s="52" t="s">
        <v>113</v>
      </c>
      <c r="BC611" s="42">
        <v>726</v>
      </c>
      <c r="BD611" s="85">
        <v>759</v>
      </c>
      <c r="BE611" s="37"/>
      <c r="BF611" s="18"/>
      <c r="BG611" s="54"/>
      <c r="BH611" s="52"/>
      <c r="BI611" s="40"/>
      <c r="BJ611" s="67"/>
      <c r="BK611" s="34" t="s">
        <v>130</v>
      </c>
      <c r="BL611" s="40"/>
    </row>
    <row r="612" spans="1:65" ht="15" thickBot="1" x14ac:dyDescent="0.35">
      <c r="A612" s="33" t="s">
        <v>785</v>
      </c>
      <c r="B612" s="33">
        <v>0</v>
      </c>
      <c r="C612" s="35">
        <v>0</v>
      </c>
      <c r="D612" s="33"/>
      <c r="E612" s="34"/>
      <c r="F612" s="34"/>
      <c r="G612" s="32"/>
      <c r="H612" s="33" t="s">
        <v>118</v>
      </c>
      <c r="I612" s="34"/>
      <c r="J612" s="35"/>
      <c r="K612" s="28"/>
      <c r="L612" s="12" t="s">
        <v>120</v>
      </c>
      <c r="M612" s="37">
        <v>35</v>
      </c>
      <c r="N612" s="37">
        <v>22688</v>
      </c>
      <c r="O612" s="10"/>
      <c r="P612" s="18"/>
      <c r="Q612" s="11"/>
      <c r="R612" s="18">
        <v>758</v>
      </c>
      <c r="S612" s="18">
        <v>1</v>
      </c>
      <c r="T612" s="10"/>
      <c r="U612" s="18"/>
      <c r="V612" s="11"/>
      <c r="W612" s="28"/>
      <c r="AA612" s="28"/>
      <c r="AB612" s="36"/>
      <c r="AC612" s="10"/>
      <c r="AD612" s="11"/>
      <c r="AE612" s="18"/>
      <c r="AF612" s="18"/>
      <c r="AG612" s="18"/>
      <c r="AH612" s="10"/>
      <c r="AI612" s="11"/>
      <c r="AJ612" s="18"/>
      <c r="AK612" s="10"/>
      <c r="AL612" s="37" t="s">
        <v>859</v>
      </c>
      <c r="AM612" s="11"/>
      <c r="AN612" s="28"/>
      <c r="AP612" s="13" t="s">
        <v>84</v>
      </c>
      <c r="AQ612" s="13">
        <f>SUM(AQ600:AQ611)</f>
        <v>362</v>
      </c>
      <c r="AR612" s="27">
        <f>SUM(AR600:AR611)</f>
        <v>320</v>
      </c>
      <c r="AS612" s="47"/>
      <c r="AT612" s="26">
        <f>SUM(AT604:AT611)</f>
        <v>0</v>
      </c>
      <c r="AU612" s="27"/>
      <c r="AV612" s="27"/>
      <c r="AW612" s="27"/>
      <c r="AX612" s="27"/>
      <c r="AY612" s="26">
        <f>SUM(AV604:AV606)</f>
        <v>106</v>
      </c>
      <c r="AZ612" s="28"/>
      <c r="BA612" s="28"/>
      <c r="BB612" s="42" t="s">
        <v>475</v>
      </c>
      <c r="BC612" s="67"/>
      <c r="BD612" s="85"/>
      <c r="BE612" s="28"/>
      <c r="BF612" s="18"/>
      <c r="BG612" s="28"/>
      <c r="BH612" s="52"/>
      <c r="BI612" s="86"/>
      <c r="BJ612" s="52">
        <v>53</v>
      </c>
      <c r="BK612" s="43" t="s">
        <v>73</v>
      </c>
      <c r="BL612" s="40"/>
      <c r="BM612" t="s">
        <v>6</v>
      </c>
    </row>
    <row r="613" spans="1:65" ht="15" thickBot="1" x14ac:dyDescent="0.35">
      <c r="A613" s="67" t="s">
        <v>93</v>
      </c>
      <c r="B613" s="67">
        <v>3549</v>
      </c>
      <c r="C613" s="56">
        <v>4088</v>
      </c>
      <c r="G613" s="41">
        <v>4300</v>
      </c>
      <c r="H613" s="42">
        <v>7</v>
      </c>
      <c r="I613" s="28" t="s">
        <v>127</v>
      </c>
      <c r="J613" s="40"/>
      <c r="K613" s="28"/>
      <c r="L613" s="12" t="s">
        <v>84</v>
      </c>
      <c r="M613" s="18">
        <f>SUM(M610:M612)</f>
        <v>92214</v>
      </c>
      <c r="N613" s="18">
        <f>SUM(N610:N612)</f>
        <v>73376</v>
      </c>
      <c r="O613" s="10">
        <v>0</v>
      </c>
      <c r="P613" s="18">
        <v>0</v>
      </c>
      <c r="Q613" s="11">
        <v>0</v>
      </c>
      <c r="R613" s="18">
        <f>SUM(R610:R612)</f>
        <v>6682</v>
      </c>
      <c r="S613" s="18">
        <f>SUM(S610:S612)</f>
        <v>154</v>
      </c>
      <c r="T613" s="10"/>
      <c r="U613" s="18"/>
      <c r="V613" s="11"/>
      <c r="W613" s="28"/>
      <c r="AA613" s="28"/>
      <c r="AB613" s="42"/>
      <c r="AC613" s="42"/>
      <c r="AD613" s="40"/>
      <c r="AE613" s="28"/>
      <c r="AF613" s="28"/>
      <c r="AG613" s="28"/>
      <c r="AH613" s="42"/>
      <c r="AI613" s="40"/>
      <c r="AJ613" s="28"/>
      <c r="AK613" s="42">
        <v>2</v>
      </c>
      <c r="AL613" s="28" t="s">
        <v>882</v>
      </c>
      <c r="AM613" s="40"/>
      <c r="AN613" s="28"/>
      <c r="AP613" s="32"/>
      <c r="AQ613" s="53"/>
      <c r="AR613" s="97"/>
      <c r="AS613" s="33"/>
      <c r="AT613" s="7"/>
      <c r="AU613" s="6"/>
      <c r="AV613" s="8"/>
      <c r="AW613" s="31"/>
      <c r="AX613" s="8"/>
      <c r="AY613" s="7"/>
      <c r="AZ613" s="28"/>
      <c r="BA613" s="28"/>
      <c r="BB613" s="59" t="s">
        <v>84</v>
      </c>
      <c r="BC613" s="13">
        <f>SUM(BC611:BC612)</f>
        <v>726</v>
      </c>
      <c r="BD613" s="60">
        <f>SUM(BD611:BD612)</f>
        <v>759</v>
      </c>
      <c r="BE613" s="81">
        <v>0</v>
      </c>
      <c r="BF613" s="27">
        <v>0</v>
      </c>
      <c r="BG613" s="27">
        <v>0</v>
      </c>
      <c r="BH613" s="13">
        <v>0</v>
      </c>
      <c r="BI613" s="26">
        <v>0</v>
      </c>
      <c r="BJ613" s="13"/>
      <c r="BK613" s="43"/>
      <c r="BL613" s="26">
        <f>SUM(BJ611:BJ612)</f>
        <v>53</v>
      </c>
    </row>
    <row r="614" spans="1:65" ht="15" thickBot="1" x14ac:dyDescent="0.35">
      <c r="A614" s="42" t="s">
        <v>120</v>
      </c>
      <c r="B614" s="42">
        <v>3821</v>
      </c>
      <c r="C614" s="40">
        <v>4285</v>
      </c>
      <c r="D614" s="42"/>
      <c r="E614" s="107" t="s">
        <v>60</v>
      </c>
      <c r="F614" s="28"/>
      <c r="G614" s="41">
        <f>31*150</f>
        <v>4650</v>
      </c>
      <c r="H614" s="42">
        <v>55</v>
      </c>
      <c r="I614" s="28" t="s">
        <v>101</v>
      </c>
      <c r="J614" s="40"/>
      <c r="K614" s="28"/>
      <c r="L614" s="17"/>
      <c r="M614" s="27"/>
      <c r="N614" s="27"/>
      <c r="O614" s="13"/>
      <c r="P614" s="27"/>
      <c r="Q614" s="26"/>
      <c r="R614" s="27"/>
      <c r="S614" s="27"/>
      <c r="T614" s="13"/>
      <c r="U614" s="27"/>
      <c r="V614" s="26"/>
      <c r="W614" s="28"/>
      <c r="AA614" s="28"/>
      <c r="AB614" s="47"/>
      <c r="AC614" s="47"/>
      <c r="AD614" s="49"/>
      <c r="AE614" s="48"/>
      <c r="AF614" s="48"/>
      <c r="AG614" s="48"/>
      <c r="AH614" s="47"/>
      <c r="AI614" s="49"/>
      <c r="AJ614" s="48"/>
      <c r="AK614" s="165"/>
      <c r="AL614" s="48"/>
      <c r="AM614" s="49"/>
      <c r="AN614" s="28"/>
      <c r="AP614" s="62"/>
      <c r="AQ614" s="72"/>
      <c r="AR614" s="73"/>
      <c r="AS614" s="47"/>
      <c r="AT614" s="49"/>
      <c r="AU614" s="47"/>
      <c r="AV614" s="48"/>
      <c r="AW614" s="48"/>
      <c r="AX614" s="48"/>
      <c r="AY614" s="49"/>
      <c r="BA614" s="28"/>
      <c r="BB614" s="88" t="s">
        <v>139</v>
      </c>
      <c r="BC614" s="33">
        <v>0</v>
      </c>
      <c r="BD614" s="34">
        <v>19</v>
      </c>
      <c r="BE614" s="152"/>
      <c r="BF614" s="89"/>
      <c r="BG614" s="66"/>
      <c r="BH614" s="8"/>
      <c r="BI614" s="35"/>
      <c r="BJ614" s="34" t="s">
        <v>140</v>
      </c>
      <c r="BK614" s="34"/>
      <c r="BL614" s="35"/>
    </row>
    <row r="615" spans="1:65" ht="15" thickBot="1" x14ac:dyDescent="0.35">
      <c r="A615" s="47" t="s">
        <v>84</v>
      </c>
      <c r="B615" s="47">
        <f>SUM(B612:B614)</f>
        <v>7370</v>
      </c>
      <c r="C615" s="49">
        <f>SUM(C612:C614)</f>
        <v>8373</v>
      </c>
      <c r="D615" s="47"/>
      <c r="E615" s="48"/>
      <c r="F615" s="48"/>
      <c r="G615" s="46">
        <f>SUM(G612:G614)</f>
        <v>8950</v>
      </c>
      <c r="H615" s="47"/>
      <c r="I615" s="48"/>
      <c r="J615" s="49">
        <f>SUM(H614:H615)</f>
        <v>55</v>
      </c>
      <c r="K615" s="28"/>
      <c r="L615" s="12" t="s">
        <v>105</v>
      </c>
      <c r="M615" s="34">
        <v>463</v>
      </c>
      <c r="N615" s="34">
        <v>2996</v>
      </c>
      <c r="O615" s="33"/>
      <c r="P615" s="34"/>
      <c r="Q615" s="35"/>
      <c r="R615" s="34">
        <v>19</v>
      </c>
      <c r="S615" s="34">
        <v>0</v>
      </c>
      <c r="T615" s="33"/>
      <c r="U615" s="34"/>
      <c r="V615" s="35"/>
      <c r="W615" s="28"/>
      <c r="AA615" s="28"/>
      <c r="AB615" s="32" t="s">
        <v>97</v>
      </c>
      <c r="AC615" s="28">
        <v>31</v>
      </c>
      <c r="AD615" s="28">
        <v>37</v>
      </c>
      <c r="AE615" s="33"/>
      <c r="AF615" s="34"/>
      <c r="AG615" s="34"/>
      <c r="AH615" s="33"/>
      <c r="AI615" s="35"/>
      <c r="AJ615" s="35"/>
      <c r="AK615" s="33" t="s">
        <v>883</v>
      </c>
      <c r="AL615" s="34"/>
      <c r="AM615" s="35"/>
      <c r="AN615" s="28"/>
      <c r="AP615" s="67" t="s">
        <v>63</v>
      </c>
      <c r="AQ615" s="33">
        <v>2</v>
      </c>
      <c r="AR615" s="35">
        <v>2</v>
      </c>
      <c r="AU615" s="33"/>
      <c r="AV615" s="34"/>
      <c r="AW615" s="34"/>
      <c r="AX615" s="34"/>
      <c r="AY615" s="35"/>
      <c r="AZ615" s="28"/>
      <c r="BA615" s="28"/>
      <c r="BB615" s="42" t="s">
        <v>164</v>
      </c>
      <c r="BC615" s="42">
        <v>4</v>
      </c>
      <c r="BD615" s="43">
        <v>0</v>
      </c>
      <c r="BE615" s="42"/>
      <c r="BF615" s="28"/>
      <c r="BG615" s="40"/>
      <c r="BH615" s="28"/>
      <c r="BI615" s="40"/>
      <c r="BJ615" s="28"/>
      <c r="BK615" s="28"/>
      <c r="BL615" s="40"/>
    </row>
    <row r="616" spans="1:65" x14ac:dyDescent="0.3">
      <c r="A616" s="41" t="s">
        <v>88</v>
      </c>
      <c r="B616" s="42">
        <v>434</v>
      </c>
      <c r="C616" s="40">
        <v>592</v>
      </c>
      <c r="D616" s="28"/>
      <c r="E616" s="45">
        <v>0</v>
      </c>
      <c r="F616" s="40"/>
      <c r="G616" s="40">
        <v>1708</v>
      </c>
      <c r="H616" s="28" t="s">
        <v>131</v>
      </c>
      <c r="J616" s="40"/>
      <c r="K616" s="28"/>
      <c r="L616" s="44" t="s">
        <v>99</v>
      </c>
      <c r="M616" s="18">
        <v>134</v>
      </c>
      <c r="N616" s="18">
        <v>0</v>
      </c>
      <c r="O616" s="10"/>
      <c r="P616" s="18"/>
      <c r="Q616" s="11"/>
      <c r="R616" s="18">
        <v>0</v>
      </c>
      <c r="S616" s="18">
        <v>0</v>
      </c>
      <c r="T616" s="10" t="s">
        <v>135</v>
      </c>
      <c r="U616" s="18"/>
      <c r="V616" s="11"/>
      <c r="W616" s="28"/>
      <c r="AA616" s="28"/>
      <c r="AB616" s="41" t="s">
        <v>89</v>
      </c>
      <c r="AC616" s="28">
        <f>582+58</f>
        <v>640</v>
      </c>
      <c r="AD616" s="28">
        <v>648</v>
      </c>
      <c r="AE616" s="42"/>
      <c r="AF616" s="28"/>
      <c r="AG616" s="28"/>
      <c r="AH616" s="42"/>
      <c r="AI616" s="40"/>
      <c r="AJ616" s="40"/>
      <c r="AK616" s="42" t="s">
        <v>833</v>
      </c>
      <c r="AL616" s="28"/>
      <c r="AM616" s="40"/>
      <c r="AN616" s="28"/>
      <c r="AP616" s="67" t="s">
        <v>716</v>
      </c>
      <c r="AQ616" s="42">
        <v>0</v>
      </c>
      <c r="AR616" s="40">
        <v>0</v>
      </c>
      <c r="AU616" s="42"/>
      <c r="AV616" s="28"/>
      <c r="AW616" s="28"/>
      <c r="AX616" s="28"/>
      <c r="AY616" s="40"/>
      <c r="AZ616" s="28"/>
      <c r="BA616" s="28"/>
      <c r="BB616" s="153" t="s">
        <v>108</v>
      </c>
      <c r="BC616" s="42">
        <v>6</v>
      </c>
      <c r="BD616" s="43">
        <v>0</v>
      </c>
      <c r="BE616" s="42"/>
      <c r="BF616" s="28"/>
      <c r="BG616" s="40"/>
      <c r="BH616" s="28"/>
      <c r="BI616" s="40"/>
      <c r="BJ616" s="28"/>
      <c r="BK616" s="28"/>
      <c r="BL616" s="40"/>
    </row>
    <row r="617" spans="1:65" x14ac:dyDescent="0.3">
      <c r="A617" s="41" t="s">
        <v>102</v>
      </c>
      <c r="B617" s="42">
        <v>464</v>
      </c>
      <c r="C617" s="85">
        <v>526</v>
      </c>
      <c r="D617" s="28"/>
      <c r="E617" s="45">
        <v>0</v>
      </c>
      <c r="F617" s="40"/>
      <c r="G617" s="40">
        <v>1489</v>
      </c>
      <c r="H617" s="43">
        <v>9</v>
      </c>
      <c r="I617" s="28" t="s">
        <v>134</v>
      </c>
      <c r="J617" s="40"/>
      <c r="K617" s="28"/>
      <c r="L617" s="12"/>
      <c r="M617" s="18"/>
      <c r="N617" s="18"/>
      <c r="O617" s="10"/>
      <c r="P617" s="18"/>
      <c r="Q617" s="11"/>
      <c r="R617" s="18"/>
      <c r="S617" s="18"/>
      <c r="T617" s="10"/>
      <c r="U617" s="18"/>
      <c r="V617" s="11"/>
      <c r="W617" s="28"/>
      <c r="AA617" s="28"/>
      <c r="AB617" s="44" t="s">
        <v>137</v>
      </c>
      <c r="AC617" s="18">
        <v>219</v>
      </c>
      <c r="AD617" s="18">
        <v>187</v>
      </c>
      <c r="AE617" s="10"/>
      <c r="AF617" s="18"/>
      <c r="AG617" s="18"/>
      <c r="AH617" s="52"/>
      <c r="AI617" s="85"/>
      <c r="AJ617" s="40"/>
      <c r="AK617" s="84">
        <v>1</v>
      </c>
      <c r="AL617" s="37" t="s">
        <v>884</v>
      </c>
      <c r="AM617" s="40"/>
      <c r="AN617" s="28"/>
      <c r="AP617" s="52" t="s">
        <v>56</v>
      </c>
      <c r="AQ617" s="52">
        <v>4</v>
      </c>
      <c r="AR617" s="85">
        <v>3</v>
      </c>
      <c r="AS617" s="28"/>
      <c r="AT617" s="28"/>
      <c r="AU617" s="42"/>
      <c r="AV617" s="28" t="s">
        <v>173</v>
      </c>
      <c r="AW617" s="28"/>
      <c r="AX617" s="28"/>
      <c r="AY617" s="40"/>
      <c r="AZ617" s="28"/>
      <c r="BA617" s="28"/>
      <c r="BB617" s="92" t="s">
        <v>113</v>
      </c>
      <c r="BC617" s="67">
        <f>11+8+12+64+8+4</f>
        <v>107</v>
      </c>
      <c r="BD617" s="43">
        <f>7+2+5+17+62+9+8</f>
        <v>110</v>
      </c>
      <c r="BE617" s="52"/>
      <c r="BF617" s="54"/>
      <c r="BG617" s="85"/>
      <c r="BH617" s="18"/>
      <c r="BI617" s="40"/>
      <c r="BJ617" s="18" t="s">
        <v>142</v>
      </c>
      <c r="BK617" s="18"/>
      <c r="BL617" s="39" t="s">
        <v>814</v>
      </c>
    </row>
    <row r="618" spans="1:65" ht="15" thickBot="1" x14ac:dyDescent="0.35">
      <c r="A618" s="87" t="s">
        <v>84</v>
      </c>
      <c r="B618" s="59">
        <f>SUM(B616:B617)</f>
        <v>898</v>
      </c>
      <c r="C618" s="26">
        <f>SUM(C616:C617)</f>
        <v>1118</v>
      </c>
      <c r="D618" s="27"/>
      <c r="E618" s="16">
        <f>SUM(E614:E617)</f>
        <v>0</v>
      </c>
      <c r="F618" s="26"/>
      <c r="G618" s="49">
        <f>1968+1530</f>
        <v>3498</v>
      </c>
      <c r="H618" s="48">
        <v>4</v>
      </c>
      <c r="I618" s="189" t="s">
        <v>815</v>
      </c>
      <c r="J618" s="49">
        <f>SUM(H616:H617)</f>
        <v>9</v>
      </c>
      <c r="K618" s="28"/>
      <c r="L618" s="12" t="s">
        <v>84</v>
      </c>
      <c r="M618" s="18">
        <f>SUM(M615:M617)</f>
        <v>597</v>
      </c>
      <c r="N618" s="18">
        <f>SUM(N615:N617)</f>
        <v>2996</v>
      </c>
      <c r="O618" s="10">
        <v>0</v>
      </c>
      <c r="P618" s="18">
        <v>0</v>
      </c>
      <c r="Q618" s="11">
        <v>0</v>
      </c>
      <c r="R618" s="18">
        <f>SUM(R615:R617)</f>
        <v>19</v>
      </c>
      <c r="S618" s="18">
        <f>SUM(S615:S617)</f>
        <v>0</v>
      </c>
      <c r="T618" s="10"/>
      <c r="U618" s="18"/>
      <c r="V618" s="11"/>
      <c r="W618" s="28"/>
      <c r="AA618" s="28"/>
      <c r="AB618" s="41" t="s">
        <v>84</v>
      </c>
      <c r="AC618" s="28">
        <f>SUM(AC615:AC617)</f>
        <v>890</v>
      </c>
      <c r="AD618" s="28">
        <f>SUM(AD615:AD617)</f>
        <v>872</v>
      </c>
      <c r="AE618" s="42">
        <v>0</v>
      </c>
      <c r="AF618" s="28">
        <v>0</v>
      </c>
      <c r="AG618" s="28">
        <v>0</v>
      </c>
      <c r="AH618" s="42">
        <v>0</v>
      </c>
      <c r="AI618" s="40">
        <v>0</v>
      </c>
      <c r="AJ618" s="40">
        <v>0</v>
      </c>
      <c r="AK618" s="67">
        <v>17</v>
      </c>
      <c r="AL618" s="28" t="s">
        <v>141</v>
      </c>
      <c r="AM618" s="40"/>
      <c r="AN618" s="28"/>
      <c r="AP618" s="52" t="s">
        <v>67</v>
      </c>
      <c r="AQ618" s="52">
        <v>3</v>
      </c>
      <c r="AR618" s="56">
        <v>6</v>
      </c>
      <c r="AU618" s="42"/>
      <c r="AV618" s="28"/>
      <c r="AW618" s="28" t="s">
        <v>213</v>
      </c>
      <c r="AX618" s="28"/>
      <c r="AY618" s="40"/>
      <c r="AZ618" s="28"/>
      <c r="BA618" s="28"/>
      <c r="BB618" s="42" t="s">
        <v>657</v>
      </c>
      <c r="BC618" s="67">
        <v>0</v>
      </c>
      <c r="BD618" s="43">
        <v>0</v>
      </c>
      <c r="BE618" s="52"/>
      <c r="BF618" s="54"/>
      <c r="BG618" s="85"/>
      <c r="BH618" s="18"/>
      <c r="BI618" s="40"/>
      <c r="BJ618" s="154" t="s">
        <v>146</v>
      </c>
      <c r="BK618" s="28"/>
      <c r="BL618" s="94" t="s">
        <v>253</v>
      </c>
    </row>
    <row r="619" spans="1:65" ht="15" thickBot="1" x14ac:dyDescent="0.35">
      <c r="A619" s="36" t="s">
        <v>93</v>
      </c>
      <c r="B619" s="42">
        <v>5377</v>
      </c>
      <c r="C619" s="90">
        <v>6114</v>
      </c>
      <c r="D619" s="3"/>
      <c r="E619" s="91" t="s">
        <v>60</v>
      </c>
      <c r="F619" s="18"/>
      <c r="G619" s="44">
        <v>6470</v>
      </c>
      <c r="H619" s="10" t="s">
        <v>116</v>
      </c>
      <c r="I619" s="18"/>
      <c r="J619" s="11"/>
      <c r="K619" s="28"/>
      <c r="L619" s="12"/>
      <c r="M619" s="18"/>
      <c r="N619" s="18"/>
      <c r="O619" s="10"/>
      <c r="P619" s="18"/>
      <c r="Q619" s="11"/>
      <c r="R619" s="18"/>
      <c r="S619" s="18"/>
      <c r="T619" s="10"/>
      <c r="U619" s="18"/>
      <c r="V619" s="11"/>
      <c r="W619" s="28"/>
      <c r="AA619" s="28"/>
      <c r="AB619" s="46"/>
      <c r="AC619" s="48"/>
      <c r="AD619" s="48"/>
      <c r="AE619" s="47"/>
      <c r="AF619" s="48"/>
      <c r="AG619" s="48"/>
      <c r="AH619" s="47"/>
      <c r="AI619" s="49"/>
      <c r="AJ619" s="49"/>
      <c r="AK619" s="47">
        <v>2</v>
      </c>
      <c r="AL619" s="48" t="s">
        <v>145</v>
      </c>
      <c r="AM619" s="49"/>
      <c r="AN619" s="28"/>
      <c r="AP619" s="10" t="s">
        <v>78</v>
      </c>
      <c r="AQ619" s="52">
        <v>0</v>
      </c>
      <c r="AR619" s="85">
        <v>0</v>
      </c>
      <c r="AS619" s="28"/>
      <c r="AT619" s="28"/>
      <c r="AU619" s="42"/>
      <c r="AV619" s="28">
        <v>11</v>
      </c>
      <c r="AW619" s="28" t="s">
        <v>183</v>
      </c>
      <c r="AX619" s="28"/>
      <c r="AY619" s="40"/>
      <c r="AZ619" s="28"/>
      <c r="BA619" s="28"/>
      <c r="BB619" s="127" t="s">
        <v>817</v>
      </c>
      <c r="BC619" s="67">
        <v>0</v>
      </c>
      <c r="BD619" s="43">
        <v>0</v>
      </c>
      <c r="BE619" s="42"/>
      <c r="BF619" s="28"/>
      <c r="BG619" s="40"/>
      <c r="BH619" s="28"/>
      <c r="BI619" s="40"/>
      <c r="BJ619" s="28"/>
      <c r="BK619" s="28"/>
      <c r="BL619" s="40"/>
    </row>
    <row r="620" spans="1:65" x14ac:dyDescent="0.3">
      <c r="A620" s="10" t="s">
        <v>99</v>
      </c>
      <c r="B620" s="42">
        <v>11189</v>
      </c>
      <c r="C620" s="40">
        <v>13161</v>
      </c>
      <c r="D620" s="3"/>
      <c r="E620" s="91" t="s">
        <v>60</v>
      </c>
      <c r="F620" s="18"/>
      <c r="G620" s="12">
        <v>16971</v>
      </c>
      <c r="H620" s="10">
        <v>134</v>
      </c>
      <c r="I620" s="37" t="s">
        <v>144</v>
      </c>
      <c r="J620" s="11"/>
      <c r="K620" s="28"/>
      <c r="L620" s="12"/>
      <c r="M620" s="18"/>
      <c r="N620" s="18"/>
      <c r="O620" s="10"/>
      <c r="P620" s="18"/>
      <c r="Q620" s="11"/>
      <c r="R620" s="18"/>
      <c r="S620" s="18"/>
      <c r="T620" s="10"/>
      <c r="U620" s="18"/>
      <c r="V620" s="11"/>
      <c r="W620" s="28"/>
      <c r="AA620" s="28"/>
      <c r="AB620" s="42"/>
      <c r="AC620" s="42"/>
      <c r="AD620" s="40"/>
      <c r="AE620" s="28"/>
      <c r="AF620" s="28"/>
      <c r="AG620" s="28"/>
      <c r="AH620" s="42"/>
      <c r="AI620" s="28"/>
      <c r="AJ620" s="41"/>
      <c r="AK620" s="28" t="s">
        <v>149</v>
      </c>
      <c r="AL620" s="28"/>
      <c r="AM620" s="40"/>
      <c r="AN620" s="28" t="s">
        <v>6</v>
      </c>
      <c r="AO620" s="95"/>
      <c r="AP620" s="52" t="s">
        <v>115</v>
      </c>
      <c r="AQ620" s="52">
        <v>0</v>
      </c>
      <c r="AR620" s="85">
        <v>0</v>
      </c>
      <c r="AS620" s="28"/>
      <c r="AT620" s="28"/>
      <c r="AU620" s="42"/>
      <c r="AV620" s="28" t="s">
        <v>6</v>
      </c>
      <c r="AW620" s="28"/>
      <c r="AX620" s="28"/>
      <c r="AY620" s="40"/>
      <c r="AZ620" s="28"/>
      <c r="BA620" s="28"/>
      <c r="BB620" s="52" t="s">
        <v>133</v>
      </c>
      <c r="BC620" s="67">
        <f>2+31</f>
        <v>33</v>
      </c>
      <c r="BD620" s="43">
        <f>3+30</f>
        <v>33</v>
      </c>
      <c r="BE620" s="52" t="s">
        <v>150</v>
      </c>
      <c r="BF620" s="54"/>
      <c r="BG620" s="85"/>
      <c r="BH620" s="18"/>
      <c r="BI620" s="40"/>
      <c r="BJ620" s="28" t="s">
        <v>151</v>
      </c>
      <c r="BK620" s="28"/>
      <c r="BL620" s="185"/>
    </row>
    <row r="621" spans="1:65" ht="15" thickBot="1" x14ac:dyDescent="0.35">
      <c r="A621" s="10" t="s">
        <v>120</v>
      </c>
      <c r="B621" s="42">
        <v>4254</v>
      </c>
      <c r="C621" s="40">
        <v>4938</v>
      </c>
      <c r="D621" s="3"/>
      <c r="E621" s="91" t="s">
        <v>60</v>
      </c>
      <c r="F621" s="18"/>
      <c r="G621" s="12">
        <v>5099</v>
      </c>
      <c r="H621" s="84">
        <v>30</v>
      </c>
      <c r="I621" s="37" t="s">
        <v>148</v>
      </c>
      <c r="J621" s="11"/>
      <c r="K621" s="28"/>
      <c r="L621" s="44"/>
      <c r="M621" s="18"/>
      <c r="N621" s="18"/>
      <c r="O621" s="10"/>
      <c r="P621" s="18"/>
      <c r="Q621" s="11"/>
      <c r="R621" s="18"/>
      <c r="S621" s="18"/>
      <c r="T621" s="10"/>
      <c r="U621" s="18"/>
      <c r="V621" s="11"/>
      <c r="W621" s="28"/>
      <c r="Y621" t="s">
        <v>6</v>
      </c>
      <c r="AB621" s="36" t="s">
        <v>99</v>
      </c>
      <c r="AC621" s="10">
        <v>0</v>
      </c>
      <c r="AD621" s="11">
        <v>0</v>
      </c>
      <c r="AE621" s="18">
        <v>0</v>
      </c>
      <c r="AF621" s="18">
        <v>0</v>
      </c>
      <c r="AG621" s="18">
        <v>0</v>
      </c>
      <c r="AH621" s="52">
        <v>60670</v>
      </c>
      <c r="AI621" s="45">
        <v>3407</v>
      </c>
      <c r="AJ621" s="41">
        <v>0</v>
      </c>
      <c r="AK621" s="45">
        <v>5</v>
      </c>
      <c r="AL621" s="37" t="s">
        <v>153</v>
      </c>
      <c r="AM621" s="40"/>
      <c r="AP621" s="52" t="s">
        <v>72</v>
      </c>
      <c r="AQ621" s="52">
        <v>0</v>
      </c>
      <c r="AR621" s="85">
        <v>0</v>
      </c>
      <c r="AU621" s="42"/>
      <c r="AV621" s="28"/>
      <c r="AW621" s="28"/>
      <c r="AX621" s="28"/>
      <c r="AY621" s="40"/>
      <c r="AZ621" s="28"/>
      <c r="BA621" s="28"/>
      <c r="BB621" s="52" t="s">
        <v>85</v>
      </c>
      <c r="BC621" s="42">
        <v>0</v>
      </c>
      <c r="BD621" s="43">
        <v>0</v>
      </c>
      <c r="BE621" s="42"/>
      <c r="BF621" s="54"/>
      <c r="BG621" s="40"/>
      <c r="BH621" s="45"/>
      <c r="BI621" s="56"/>
      <c r="BJ621" s="43" t="s">
        <v>425</v>
      </c>
      <c r="BK621" s="28" t="s">
        <v>822</v>
      </c>
      <c r="BL621" s="40" t="s">
        <v>885</v>
      </c>
    </row>
    <row r="622" spans="1:65" ht="16.2" thickBot="1" x14ac:dyDescent="0.35">
      <c r="A622" s="10" t="s">
        <v>84</v>
      </c>
      <c r="B622" s="42">
        <f>SUM(B619:B621)</f>
        <v>20820</v>
      </c>
      <c r="C622" s="40">
        <f>SUM(C619:C621)</f>
        <v>24213</v>
      </c>
      <c r="D622" s="3"/>
      <c r="E622" s="91" t="s">
        <v>60</v>
      </c>
      <c r="F622" s="18"/>
      <c r="G622" s="12">
        <f>SUM(G619:G621)</f>
        <v>28540</v>
      </c>
      <c r="H622" s="42">
        <v>0</v>
      </c>
      <c r="I622" s="54" t="s">
        <v>152</v>
      </c>
      <c r="J622" s="40"/>
      <c r="K622" s="28"/>
      <c r="L622" s="12"/>
      <c r="M622" s="18"/>
      <c r="N622" s="18"/>
      <c r="O622" s="10"/>
      <c r="P622" s="18"/>
      <c r="Q622" s="11"/>
      <c r="R622" s="18"/>
      <c r="S622" s="18"/>
      <c r="T622" s="10"/>
      <c r="U622" s="18"/>
      <c r="V622" s="11"/>
      <c r="W622" s="28"/>
      <c r="AB622" s="32"/>
      <c r="AC622" s="6"/>
      <c r="AD622" s="7"/>
      <c r="AE622" s="8"/>
      <c r="AF622" s="8"/>
      <c r="AG622" s="8"/>
      <c r="AH622" s="6"/>
      <c r="AI622" s="7"/>
      <c r="AJ622" s="8"/>
      <c r="AK622" s="29" t="s">
        <v>157</v>
      </c>
      <c r="AL622" s="8"/>
      <c r="AM622" s="7"/>
      <c r="AP622" s="52" t="s">
        <v>84</v>
      </c>
      <c r="AQ622" s="47">
        <f>SUM(AQ615:AQ621)</f>
        <v>9</v>
      </c>
      <c r="AR622" s="49">
        <f>SUM(AR615:AR621)</f>
        <v>11</v>
      </c>
      <c r="AS622" s="28"/>
      <c r="AT622" s="28"/>
      <c r="AU622" s="47"/>
      <c r="AV622" s="48"/>
      <c r="AW622" s="48"/>
      <c r="AX622" s="48"/>
      <c r="AY622" s="49">
        <f>SUM(AV619)</f>
        <v>11</v>
      </c>
      <c r="AZ622" s="28"/>
      <c r="BA622" s="28"/>
      <c r="BB622" s="151" t="s">
        <v>93</v>
      </c>
      <c r="BC622" s="36">
        <v>6</v>
      </c>
      <c r="BD622" s="37">
        <f>1+6</f>
        <v>7</v>
      </c>
      <c r="BE622" s="10"/>
      <c r="BF622" s="18"/>
      <c r="BG622" s="11"/>
      <c r="BH622" s="18"/>
      <c r="BI622" s="11"/>
      <c r="BJ622" s="158" t="s">
        <v>541</v>
      </c>
      <c r="BK622" s="178" t="s">
        <v>886</v>
      </c>
      <c r="BL622" s="114" t="s">
        <v>649</v>
      </c>
    </row>
    <row r="623" spans="1:65" ht="15" thickBot="1" x14ac:dyDescent="0.35">
      <c r="A623" s="13"/>
      <c r="B623" s="47"/>
      <c r="C623" s="49"/>
      <c r="D623" s="27"/>
      <c r="E623" s="27"/>
      <c r="F623" s="27"/>
      <c r="G623" s="17"/>
      <c r="H623" s="47"/>
      <c r="I623" s="27"/>
      <c r="J623" s="60">
        <f>SUM(H620:H622)</f>
        <v>164</v>
      </c>
      <c r="K623" s="28"/>
      <c r="L623" s="17"/>
      <c r="M623" s="27"/>
      <c r="N623" s="27"/>
      <c r="O623" s="13"/>
      <c r="P623" s="27"/>
      <c r="Q623" s="26"/>
      <c r="R623" s="27"/>
      <c r="S623" s="27"/>
      <c r="T623" s="13"/>
      <c r="U623" s="27"/>
      <c r="V623" s="26"/>
      <c r="W623" s="28"/>
      <c r="AB623" s="68" t="s">
        <v>99</v>
      </c>
      <c r="AC623" s="42">
        <v>0</v>
      </c>
      <c r="AD623" s="40">
        <v>0</v>
      </c>
      <c r="AE623">
        <v>0</v>
      </c>
      <c r="AF623">
        <v>0</v>
      </c>
      <c r="AG623">
        <v>0</v>
      </c>
      <c r="AH623" s="42">
        <v>264299</v>
      </c>
      <c r="AI623" s="40">
        <v>98357</v>
      </c>
      <c r="AJ623" s="43">
        <v>0</v>
      </c>
      <c r="AK623" s="42">
        <v>3</v>
      </c>
      <c r="AL623" s="54" t="s">
        <v>163</v>
      </c>
      <c r="AM623" s="40"/>
      <c r="AP623" s="32" t="s">
        <v>63</v>
      </c>
      <c r="AQ623" s="123">
        <f>4+7+2+1+1+7</f>
        <v>22</v>
      </c>
      <c r="AR623" s="123">
        <f>2+2+2+1+11</f>
        <v>18</v>
      </c>
      <c r="AS623" s="33"/>
      <c r="AT623" s="7"/>
      <c r="AU623" s="6"/>
      <c r="AV623" s="34" t="s">
        <v>140</v>
      </c>
      <c r="AW623" s="8"/>
      <c r="AX623" s="8"/>
      <c r="AY623" s="7"/>
      <c r="AZ623" s="28"/>
      <c r="BA623" s="28"/>
      <c r="BB623" s="42" t="s">
        <v>214</v>
      </c>
      <c r="BC623" s="42">
        <v>0</v>
      </c>
      <c r="BD623" s="54">
        <v>1</v>
      </c>
      <c r="BE623" s="10"/>
      <c r="BF623" s="18"/>
      <c r="BG623" s="11"/>
      <c r="BH623" s="18"/>
      <c r="BI623" s="11"/>
      <c r="BJ623" s="158" t="s">
        <v>320</v>
      </c>
      <c r="BK623" s="186" t="s">
        <v>887</v>
      </c>
      <c r="BL623" s="39" t="s">
        <v>868</v>
      </c>
    </row>
    <row r="624" spans="1:65" ht="15" thickBot="1" x14ac:dyDescent="0.35">
      <c r="A624" s="6" t="s">
        <v>105</v>
      </c>
      <c r="B624" s="6">
        <v>1270</v>
      </c>
      <c r="C624" s="7">
        <v>1386</v>
      </c>
      <c r="D624" s="8"/>
      <c r="E624" s="80">
        <v>1148</v>
      </c>
      <c r="F624" s="66"/>
      <c r="G624" s="8">
        <v>3476</v>
      </c>
      <c r="H624" s="6" t="s">
        <v>162</v>
      </c>
      <c r="I624" s="8"/>
      <c r="J624" s="7"/>
      <c r="L624" s="101" t="s">
        <v>84</v>
      </c>
      <c r="M624" s="102">
        <f>SUM(M618+M613+M608+M606+M602+M597)</f>
        <v>115487</v>
      </c>
      <c r="N624" s="102">
        <f>SUM(N618+N613+N608+N606+N602+N597)</f>
        <v>111607</v>
      </c>
      <c r="O624" s="103">
        <v>0</v>
      </c>
      <c r="P624" s="102">
        <v>0</v>
      </c>
      <c r="Q624" s="104">
        <v>0</v>
      </c>
      <c r="R624" s="102">
        <f>SUM(R618+R613+R608+R606+R597+R602)</f>
        <v>6706</v>
      </c>
      <c r="S624" s="102">
        <f>SUM(S618+S613+S606+S602+S597)</f>
        <v>154</v>
      </c>
      <c r="T624" s="105"/>
      <c r="U624" s="102"/>
      <c r="V624" s="106"/>
      <c r="AB624" s="44" t="s">
        <v>6</v>
      </c>
      <c r="AC624" s="10"/>
      <c r="AD624" s="11"/>
      <c r="AE624" s="18"/>
      <c r="AF624" s="18"/>
      <c r="AG624" s="18"/>
      <c r="AH624" s="10"/>
      <c r="AI624" s="11"/>
      <c r="AJ624" s="18"/>
      <c r="AK624" s="10">
        <v>12</v>
      </c>
      <c r="AL624" s="37" t="s">
        <v>153</v>
      </c>
      <c r="AM624" s="11"/>
      <c r="AP624" s="44" t="s">
        <v>78</v>
      </c>
      <c r="AQ624" s="37">
        <f>6+30+18+3+11</f>
        <v>68</v>
      </c>
      <c r="AR624" s="37">
        <f>10+14+22+12</f>
        <v>58</v>
      </c>
      <c r="AS624" s="42"/>
      <c r="AT624" s="11"/>
      <c r="AU624" s="10"/>
      <c r="AV624" s="37">
        <f>2+12+13+16</f>
        <v>43</v>
      </c>
      <c r="AW624" s="37" t="s">
        <v>215</v>
      </c>
      <c r="AX624" s="18"/>
      <c r="AY624" s="11"/>
      <c r="AZ624" s="28"/>
      <c r="BA624" s="28"/>
      <c r="BB624" s="36" t="s">
        <v>169</v>
      </c>
      <c r="BC624" s="36">
        <f>4+3</f>
        <v>7</v>
      </c>
      <c r="BD624" s="37">
        <f>4+1</f>
        <v>5</v>
      </c>
      <c r="BE624" s="10"/>
      <c r="BF624" s="18"/>
      <c r="BG624" s="11"/>
      <c r="BH624" s="18"/>
      <c r="BI624" s="11"/>
      <c r="BJ624" s="158" t="s">
        <v>888</v>
      </c>
      <c r="BK624" s="37" t="s">
        <v>539</v>
      </c>
      <c r="BL624" s="39" t="s">
        <v>257</v>
      </c>
    </row>
    <row r="625" spans="1:64" ht="15" thickBot="1" x14ac:dyDescent="0.35">
      <c r="A625" s="36" t="s">
        <v>99</v>
      </c>
      <c r="B625" s="10">
        <v>675</v>
      </c>
      <c r="C625" s="11">
        <v>1014</v>
      </c>
      <c r="D625" s="18"/>
      <c r="E625" s="18">
        <v>887</v>
      </c>
      <c r="F625" s="85"/>
      <c r="G625" s="18">
        <v>3476</v>
      </c>
      <c r="H625" s="42"/>
      <c r="I625" s="54"/>
      <c r="J625" s="11"/>
      <c r="AB625" s="46" t="s">
        <v>6</v>
      </c>
      <c r="AC625" s="47"/>
      <c r="AD625" s="49"/>
      <c r="AE625" s="48"/>
      <c r="AF625" s="48"/>
      <c r="AG625" s="48"/>
      <c r="AH625" s="47"/>
      <c r="AI625" s="49"/>
      <c r="AJ625" s="48"/>
      <c r="AK625" s="47"/>
      <c r="AL625" s="48"/>
      <c r="AM625" s="49"/>
      <c r="AP625" s="125" t="s">
        <v>209</v>
      </c>
      <c r="AQ625" s="54">
        <v>0</v>
      </c>
      <c r="AR625" s="54">
        <v>0</v>
      </c>
      <c r="AS625" s="42"/>
      <c r="AT625" s="40"/>
      <c r="AU625" s="42"/>
      <c r="AV625" s="28">
        <v>6</v>
      </c>
      <c r="AW625" s="28" t="s">
        <v>210</v>
      </c>
      <c r="AX625" s="28"/>
      <c r="AY625" s="96"/>
      <c r="AZ625" s="28"/>
      <c r="BA625" s="28"/>
      <c r="BB625" s="36" t="s">
        <v>99</v>
      </c>
      <c r="BC625" s="36">
        <v>0</v>
      </c>
      <c r="BD625" s="37">
        <f>2+1</f>
        <v>3</v>
      </c>
      <c r="BE625" s="10"/>
      <c r="BF625" s="18"/>
      <c r="BG625" s="11"/>
      <c r="BH625" s="18"/>
      <c r="BI625" s="11"/>
      <c r="BJ625" s="179" t="s">
        <v>345</v>
      </c>
      <c r="BK625" s="37" t="s">
        <v>889</v>
      </c>
      <c r="BL625" s="39" t="s">
        <v>890</v>
      </c>
    </row>
    <row r="626" spans="1:64" x14ac:dyDescent="0.3">
      <c r="A626" s="10"/>
      <c r="B626" s="10"/>
      <c r="C626" s="39"/>
      <c r="D626" s="18"/>
      <c r="E626" s="18"/>
      <c r="F626" s="85"/>
      <c r="G626" s="18"/>
      <c r="H626" s="42">
        <v>44</v>
      </c>
      <c r="I626" s="37" t="s">
        <v>101</v>
      </c>
      <c r="J626" s="11"/>
      <c r="M626" s="115"/>
      <c r="AB626" s="6"/>
      <c r="AC626" s="6"/>
      <c r="AD626" s="7"/>
      <c r="AE626" s="8"/>
      <c r="AF626" s="8"/>
      <c r="AG626" s="8"/>
      <c r="AH626" s="6"/>
      <c r="AI626" s="7"/>
      <c r="AJ626" s="8"/>
      <c r="AK626" s="29"/>
      <c r="AL626" s="8"/>
      <c r="AM626" s="7"/>
      <c r="AN626" s="45"/>
      <c r="AP626" s="44" t="s">
        <v>168</v>
      </c>
      <c r="AQ626" s="54">
        <v>1</v>
      </c>
      <c r="AR626" s="54">
        <v>1</v>
      </c>
      <c r="AS626" s="42"/>
      <c r="AT626" s="11"/>
      <c r="AU626" s="10"/>
      <c r="AV626" s="37">
        <f>2+3+5+4+5+9+10</f>
        <v>38</v>
      </c>
      <c r="AW626" s="37" t="s">
        <v>213</v>
      </c>
      <c r="AX626" s="18" t="s">
        <v>6</v>
      </c>
      <c r="AY626" s="11"/>
      <c r="AZ626" s="28"/>
      <c r="BA626" s="28"/>
      <c r="BB626" s="150" t="s">
        <v>200</v>
      </c>
      <c r="BC626" s="36">
        <v>0</v>
      </c>
      <c r="BD626" s="37">
        <v>1</v>
      </c>
      <c r="BE626" s="10"/>
      <c r="BF626" s="37"/>
      <c r="BG626" s="11"/>
      <c r="BH626" s="18"/>
      <c r="BI626" s="11"/>
      <c r="BJ626" s="158" t="s">
        <v>891</v>
      </c>
      <c r="BK626" s="54" t="s">
        <v>892</v>
      </c>
      <c r="BL626" s="39" t="s">
        <v>893</v>
      </c>
    </row>
    <row r="627" spans="1:64" ht="15" thickBot="1" x14ac:dyDescent="0.35">
      <c r="A627" s="13" t="s">
        <v>84</v>
      </c>
      <c r="B627" s="10">
        <f>SUM(B624:B626)</f>
        <v>1945</v>
      </c>
      <c r="C627" s="11">
        <f>SUM(C624:C626)</f>
        <v>2400</v>
      </c>
      <c r="D627" s="27"/>
      <c r="E627" s="27">
        <f>SUM(E624:E626)</f>
        <v>2035</v>
      </c>
      <c r="F627" s="26"/>
      <c r="G627" s="27">
        <f>SUM(G624:G626)</f>
        <v>6952</v>
      </c>
      <c r="H627" s="13"/>
      <c r="I627" s="81"/>
      <c r="J627" s="26">
        <f>SUM(H625:H626)</f>
        <v>44</v>
      </c>
      <c r="K627" s="43"/>
      <c r="M627" s="115"/>
      <c r="N627" s="190"/>
      <c r="O627" s="115"/>
      <c r="P627" s="115"/>
      <c r="Q627" s="115"/>
      <c r="R627" s="115"/>
      <c r="S627" s="115"/>
      <c r="AB627" s="36"/>
      <c r="AC627" s="10"/>
      <c r="AD627" s="11"/>
      <c r="AE627" s="18"/>
      <c r="AF627" s="18"/>
      <c r="AG627" s="18"/>
      <c r="AH627" s="36"/>
      <c r="AI627" s="11"/>
      <c r="AJ627" s="18"/>
      <c r="AK627" s="36"/>
      <c r="AL627" s="37"/>
      <c r="AM627" s="11"/>
      <c r="AN627" s="45"/>
      <c r="AP627" s="125" t="s">
        <v>81</v>
      </c>
      <c r="AQ627" s="54">
        <v>2</v>
      </c>
      <c r="AR627" s="54">
        <f>1+1</f>
        <v>2</v>
      </c>
      <c r="AS627" s="42"/>
      <c r="AT627" s="40"/>
      <c r="AU627" s="42"/>
      <c r="AV627" s="54">
        <f>4+4+4+4+7+2</f>
        <v>25</v>
      </c>
      <c r="AW627" s="128" t="s">
        <v>222</v>
      </c>
      <c r="AX627" s="28"/>
      <c r="AY627" s="40" t="s">
        <v>6</v>
      </c>
      <c r="AZ627" s="37"/>
      <c r="BA627" s="37"/>
      <c r="BB627" s="36" t="s">
        <v>196</v>
      </c>
      <c r="BC627" s="36">
        <v>5</v>
      </c>
      <c r="BD627" s="37">
        <v>0</v>
      </c>
      <c r="BE627" s="10"/>
      <c r="BF627" s="18"/>
      <c r="BG627" s="11"/>
      <c r="BH627" s="18"/>
      <c r="BI627" s="11"/>
      <c r="BJ627" s="37" t="s">
        <v>894</v>
      </c>
      <c r="BK627" s="37" t="s">
        <v>895</v>
      </c>
      <c r="BL627" s="180" t="s">
        <v>519</v>
      </c>
    </row>
    <row r="628" spans="1:64" ht="15" thickBot="1" x14ac:dyDescent="0.35">
      <c r="A628" s="42" t="s">
        <v>181</v>
      </c>
      <c r="B628" s="33">
        <v>2722</v>
      </c>
      <c r="C628" s="35">
        <v>3113</v>
      </c>
      <c r="D628" s="28"/>
      <c r="E628" s="107" t="s">
        <v>60</v>
      </c>
      <c r="F628" s="43"/>
      <c r="G628" s="41"/>
      <c r="H628" s="18" t="s">
        <v>182</v>
      </c>
      <c r="I628" s="28"/>
      <c r="J628" s="11"/>
      <c r="K628" s="28"/>
      <c r="M628" s="166"/>
      <c r="AA628" s="28"/>
      <c r="AB628" s="103" t="s">
        <v>84</v>
      </c>
      <c r="AC628" s="103">
        <f>SUM(AC627+AC623+AC621+AC618+AC611+AC613+AC609+AC605+AC602+AC599+AC600)</f>
        <v>1812</v>
      </c>
      <c r="AD628" s="104">
        <f>SUM(AD627+AD623+AD621+AD618+AD611+AD609+AD605+AD602+AD600+AD599)</f>
        <v>1877</v>
      </c>
      <c r="AE628" s="103">
        <v>0</v>
      </c>
      <c r="AF628" s="102">
        <v>0</v>
      </c>
      <c r="AG628" s="102">
        <v>0</v>
      </c>
      <c r="AH628" s="109">
        <f>SUM(AH627+AH623+AH621+AH618+AH615+AH613+AH609+AH605+AH602+AH600+AH599)</f>
        <v>324969</v>
      </c>
      <c r="AI628" s="110">
        <f>SUM(AI627+AI623+AI621+AI618+AI613+AI609+AI604+AI602+AI600+AI599)</f>
        <v>101764</v>
      </c>
      <c r="AJ628" s="110">
        <v>0</v>
      </c>
      <c r="AK628" s="111" t="s">
        <v>844</v>
      </c>
      <c r="AL628" s="111"/>
      <c r="AM628" s="104">
        <f>SUM(AK599:AK627)</f>
        <v>48</v>
      </c>
      <c r="AN628" s="45"/>
      <c r="AP628" s="125" t="s">
        <v>72</v>
      </c>
      <c r="AQ628" s="54">
        <f>8+3+2+1+1+1+27</f>
        <v>43</v>
      </c>
      <c r="AR628" s="45">
        <f>8+3+1+4+26</f>
        <v>42</v>
      </c>
      <c r="AS628" s="42"/>
      <c r="AT628" s="40"/>
      <c r="AU628" s="42"/>
      <c r="AV628" s="54">
        <v>1</v>
      </c>
      <c r="AW628" s="54" t="s">
        <v>216</v>
      </c>
      <c r="AX628" s="45"/>
      <c r="AY628" s="40"/>
      <c r="AZ628" s="28"/>
      <c r="BA628" s="28"/>
      <c r="BB628" s="150" t="s">
        <v>211</v>
      </c>
      <c r="BC628" s="36">
        <v>13</v>
      </c>
      <c r="BD628" s="37">
        <v>19</v>
      </c>
      <c r="BE628" s="10"/>
      <c r="BF628" s="18"/>
      <c r="BG628" s="11"/>
      <c r="BH628" s="18"/>
      <c r="BI628" s="11"/>
      <c r="BJ628" s="159" t="s">
        <v>602</v>
      </c>
      <c r="BK628" s="37" t="s">
        <v>896</v>
      </c>
      <c r="BL628" s="39" t="s">
        <v>897</v>
      </c>
    </row>
    <row r="629" spans="1:64" x14ac:dyDescent="0.3">
      <c r="A629" s="42" t="s">
        <v>120</v>
      </c>
      <c r="B629" s="42">
        <v>0</v>
      </c>
      <c r="C629" s="40">
        <v>0</v>
      </c>
      <c r="D629" s="28"/>
      <c r="E629" s="107" t="s">
        <v>60</v>
      </c>
      <c r="F629" s="43"/>
      <c r="G629" s="68"/>
      <c r="H629" s="43"/>
      <c r="I629" s="28" t="s">
        <v>284</v>
      </c>
      <c r="J629" s="11"/>
      <c r="K629" s="28"/>
      <c r="L629" s="28"/>
      <c r="N629" s="191"/>
      <c r="AA629" s="28"/>
      <c r="AB629" s="52" t="s">
        <v>193</v>
      </c>
      <c r="AC629" s="28"/>
      <c r="AD629" s="28"/>
      <c r="AE629" s="28"/>
      <c r="AF629" s="28"/>
      <c r="AG629" s="28"/>
      <c r="AH629" s="28"/>
      <c r="AI629" s="28"/>
      <c r="AM629" t="s">
        <v>6</v>
      </c>
      <c r="AN629" s="45"/>
      <c r="AP629" s="125" t="s">
        <v>115</v>
      </c>
      <c r="AQ629" s="54">
        <f>3+23+1</f>
        <v>27</v>
      </c>
      <c r="AR629" s="45">
        <f>3+17+1+11</f>
        <v>32</v>
      </c>
      <c r="AS629" s="42"/>
      <c r="AT629" s="40"/>
      <c r="AU629" s="42"/>
      <c r="AV629" s="54">
        <v>1</v>
      </c>
      <c r="AW629" s="54" t="s">
        <v>898</v>
      </c>
      <c r="AX629" s="28"/>
      <c r="AY629" s="40"/>
      <c r="AZ629" s="28"/>
      <c r="BB629" s="150" t="s">
        <v>64</v>
      </c>
      <c r="BC629" s="36">
        <v>1</v>
      </c>
      <c r="BD629" s="37">
        <v>0</v>
      </c>
      <c r="BE629" s="10"/>
      <c r="BF629" s="18"/>
      <c r="BG629" s="11"/>
      <c r="BH629" s="18"/>
      <c r="BI629" s="11"/>
      <c r="BJ629" s="128" t="s">
        <v>899</v>
      </c>
      <c r="BK629" s="37" t="s">
        <v>693</v>
      </c>
      <c r="BL629" s="39" t="s">
        <v>900</v>
      </c>
    </row>
    <row r="630" spans="1:64" x14ac:dyDescent="0.3">
      <c r="A630" s="42" t="s">
        <v>84</v>
      </c>
      <c r="B630" s="42">
        <f>SUM(B628:B629)</f>
        <v>2722</v>
      </c>
      <c r="C630" s="40">
        <f>SUM(C628:C629)</f>
        <v>3113</v>
      </c>
      <c r="D630" s="28"/>
      <c r="E630" s="107" t="s">
        <v>60</v>
      </c>
      <c r="F630" s="43"/>
      <c r="G630" s="41">
        <v>3750</v>
      </c>
      <c r="H630" s="28">
        <v>25</v>
      </c>
      <c r="I630" s="43" t="s">
        <v>101</v>
      </c>
      <c r="J630" s="40"/>
      <c r="L630" s="108"/>
      <c r="M630" s="193"/>
      <c r="O630" s="116"/>
      <c r="AA630" s="28"/>
      <c r="AN630" s="45"/>
      <c r="AP630" s="125" t="s">
        <v>56</v>
      </c>
      <c r="AQ630" s="54">
        <f>10+20+3+6+3+2+8</f>
        <v>52</v>
      </c>
      <c r="AR630" s="45">
        <f>10+22+6+7+34</f>
        <v>79</v>
      </c>
      <c r="AS630" s="42"/>
      <c r="AT630" s="40"/>
      <c r="AU630" s="42"/>
      <c r="AV630" s="54">
        <v>1</v>
      </c>
      <c r="AW630" s="54" t="s">
        <v>638</v>
      </c>
      <c r="AX630" s="28"/>
      <c r="AY630" s="40"/>
      <c r="AZ630" s="28"/>
      <c r="BB630" s="36" t="s">
        <v>184</v>
      </c>
      <c r="BC630" s="36">
        <v>0</v>
      </c>
      <c r="BD630" s="37">
        <v>0</v>
      </c>
      <c r="BE630" s="10"/>
      <c r="BF630" s="18"/>
      <c r="BG630" s="11"/>
      <c r="BH630" s="18"/>
      <c r="BI630" s="11"/>
      <c r="BJ630" s="128" t="s">
        <v>901</v>
      </c>
      <c r="BK630" s="37" t="s">
        <v>902</v>
      </c>
      <c r="BL630" s="39" t="s">
        <v>295</v>
      </c>
    </row>
    <row r="631" spans="1:64" ht="15" thickBot="1" x14ac:dyDescent="0.35">
      <c r="A631" s="13"/>
      <c r="B631" s="13"/>
      <c r="C631" s="26"/>
      <c r="D631" s="27"/>
      <c r="E631" s="27"/>
      <c r="F631" s="27"/>
      <c r="G631" s="17"/>
      <c r="H631" s="48"/>
      <c r="I631" s="48" t="s">
        <v>727</v>
      </c>
      <c r="J631" s="49">
        <f>SUM(H629:H631)</f>
        <v>25</v>
      </c>
      <c r="O631" s="122"/>
      <c r="AN631" s="45"/>
      <c r="AP631" s="125" t="s">
        <v>138</v>
      </c>
      <c r="AQ631" s="54">
        <v>0</v>
      </c>
      <c r="AR631" s="45">
        <v>1</v>
      </c>
      <c r="AS631" s="42"/>
      <c r="AT631" s="40"/>
      <c r="AU631" s="42"/>
      <c r="AV631" s="54">
        <f>13+2+3+3+7</f>
        <v>28</v>
      </c>
      <c r="AW631" s="54" t="s">
        <v>221</v>
      </c>
      <c r="AX631" s="28"/>
      <c r="AY631" s="40"/>
      <c r="AZ631" s="28"/>
      <c r="BB631" s="36" t="s">
        <v>107</v>
      </c>
      <c r="BC631" s="10">
        <v>2</v>
      </c>
      <c r="BD631" s="37">
        <v>2</v>
      </c>
      <c r="BE631" s="10"/>
      <c r="BF631" s="18"/>
      <c r="BG631" s="39"/>
      <c r="BH631" s="18"/>
      <c r="BI631" s="11"/>
      <c r="BJ631" s="159" t="s">
        <v>651</v>
      </c>
      <c r="BK631" s="37"/>
      <c r="BL631" s="39"/>
    </row>
    <row r="632" spans="1:64" ht="16.2" thickBot="1" x14ac:dyDescent="0.35">
      <c r="A632" s="117" t="s">
        <v>84</v>
      </c>
      <c r="B632" s="117">
        <f>SUM(B630+B627+B622+B618+B615+B611+B608+B604+B600+B597)</f>
        <v>38819</v>
      </c>
      <c r="C632" s="192">
        <f>SUM(C630+C627+C622+C618+C615+C611+C608+C604+C600+C597)</f>
        <v>46205</v>
      </c>
      <c r="D632" s="119"/>
      <c r="E632" s="119">
        <f>SUM(E627+E611)</f>
        <v>2807</v>
      </c>
      <c r="F632" s="120"/>
      <c r="G632" s="121">
        <f>SUM(G630+G627+G622+G618+G615+G608+G604+G600+G597+G611)</f>
        <v>61080</v>
      </c>
      <c r="H632" s="13" t="s">
        <v>199</v>
      </c>
      <c r="I632" s="81"/>
      <c r="J632" s="26">
        <f>SUM(J598:J631)</f>
        <v>349</v>
      </c>
      <c r="AN632" s="45"/>
      <c r="AP632" s="125" t="s">
        <v>67</v>
      </c>
      <c r="AQ632" s="54">
        <f>7+3+2+15</f>
        <v>27</v>
      </c>
      <c r="AR632" s="45">
        <f>2+13+2+1+4+2+16</f>
        <v>40</v>
      </c>
      <c r="AS632" s="42"/>
      <c r="AT632" s="40"/>
      <c r="AU632" s="42"/>
      <c r="AV632" s="54">
        <v>9</v>
      </c>
      <c r="AW632" s="54" t="s">
        <v>903</v>
      </c>
      <c r="AX632" s="28"/>
      <c r="AY632" s="40"/>
      <c r="AZ632" s="28"/>
      <c r="BB632" s="150" t="s">
        <v>669</v>
      </c>
      <c r="BC632" s="10">
        <v>5</v>
      </c>
      <c r="BD632" s="37">
        <v>5</v>
      </c>
      <c r="BE632" s="10"/>
      <c r="BF632" s="18"/>
      <c r="BG632" s="11"/>
      <c r="BH632" s="18"/>
      <c r="BI632" s="11"/>
      <c r="BJ632" s="179"/>
      <c r="BK632" s="37"/>
      <c r="BL632" s="39"/>
    </row>
    <row r="633" spans="1:64" x14ac:dyDescent="0.3">
      <c r="AN633" s="45"/>
      <c r="AP633" s="125" t="s">
        <v>122</v>
      </c>
      <c r="AQ633" s="54">
        <v>5</v>
      </c>
      <c r="AR633" s="45">
        <f>1+5+10</f>
        <v>16</v>
      </c>
      <c r="AS633" s="42"/>
      <c r="AT633" s="40"/>
      <c r="AU633" s="42"/>
      <c r="AV633" s="54">
        <v>1</v>
      </c>
      <c r="AW633" s="54" t="s">
        <v>853</v>
      </c>
      <c r="AX633" s="28"/>
      <c r="AY633" s="40"/>
      <c r="AZ633" s="28"/>
      <c r="BB633" s="92" t="s">
        <v>358</v>
      </c>
      <c r="BC633" s="84">
        <v>18</v>
      </c>
      <c r="BD633" s="54">
        <v>17</v>
      </c>
      <c r="BE633" s="84"/>
      <c r="BF633" s="45"/>
      <c r="BG633" s="85"/>
      <c r="BH633" s="18"/>
      <c r="BI633" s="11"/>
      <c r="BJ633" s="179"/>
      <c r="BK633" s="54"/>
      <c r="BL633" s="86"/>
    </row>
    <row r="634" spans="1:64" x14ac:dyDescent="0.3">
      <c r="B634" s="126"/>
      <c r="C634" s="126"/>
      <c r="AN634" s="45"/>
      <c r="AP634" s="125" t="s">
        <v>227</v>
      </c>
      <c r="AQ634" s="54">
        <v>0</v>
      </c>
      <c r="AR634" s="45">
        <v>0</v>
      </c>
      <c r="AS634" s="42"/>
      <c r="AT634" s="40"/>
      <c r="AU634" s="42"/>
      <c r="AV634" s="54">
        <v>1</v>
      </c>
      <c r="AW634" s="54" t="s">
        <v>877</v>
      </c>
      <c r="AX634" s="28"/>
      <c r="AY634" s="40"/>
      <c r="BB634" s="67" t="s">
        <v>564</v>
      </c>
      <c r="BC634" s="84">
        <f>1+7</f>
        <v>8</v>
      </c>
      <c r="BD634" s="54">
        <v>5</v>
      </c>
      <c r="BE634" s="84"/>
      <c r="BF634" s="45"/>
      <c r="BG634" s="85"/>
      <c r="BH634" s="45"/>
      <c r="BI634" s="85"/>
      <c r="BJ634" s="179"/>
      <c r="BK634" s="54"/>
      <c r="BL634" s="180"/>
    </row>
    <row r="635" spans="1:64" x14ac:dyDescent="0.3">
      <c r="AN635" s="45"/>
      <c r="AP635" s="41" t="s">
        <v>230</v>
      </c>
      <c r="AQ635" s="54">
        <f>2+5+2+3+3</f>
        <v>15</v>
      </c>
      <c r="AR635" s="45">
        <f>8+10+4+3</f>
        <v>25</v>
      </c>
      <c r="AS635" s="42"/>
      <c r="AT635" s="40"/>
      <c r="AU635" s="42"/>
      <c r="AV635" s="54">
        <v>7</v>
      </c>
      <c r="AW635" s="54" t="s">
        <v>655</v>
      </c>
      <c r="AX635" s="28"/>
      <c r="AY635" s="40"/>
      <c r="BB635" s="67" t="s">
        <v>102</v>
      </c>
      <c r="BC635" s="84">
        <v>4</v>
      </c>
      <c r="BD635" s="54">
        <v>5</v>
      </c>
      <c r="BE635" s="84"/>
      <c r="BF635" s="45"/>
      <c r="BG635" s="85"/>
      <c r="BH635" s="45"/>
      <c r="BI635" s="85"/>
      <c r="BJ635" s="179"/>
      <c r="BK635" s="54"/>
      <c r="BL635" s="180"/>
    </row>
    <row r="636" spans="1:64" x14ac:dyDescent="0.3">
      <c r="AP636" s="68" t="s">
        <v>125</v>
      </c>
      <c r="AQ636" s="54">
        <v>0</v>
      </c>
      <c r="AR636" s="45">
        <v>0</v>
      </c>
      <c r="AS636" s="42"/>
      <c r="AT636" s="40"/>
      <c r="AU636" s="42"/>
      <c r="AV636" s="54">
        <v>1</v>
      </c>
      <c r="AW636" s="54" t="s">
        <v>904</v>
      </c>
      <c r="AX636" s="28"/>
      <c r="AY636" s="40"/>
      <c r="BB636" s="127" t="s">
        <v>756</v>
      </c>
      <c r="BC636" s="84">
        <v>7</v>
      </c>
      <c r="BD636" s="54">
        <v>7</v>
      </c>
      <c r="BE636" s="42"/>
      <c r="BF636" s="45"/>
      <c r="BG636" s="40"/>
      <c r="BH636" s="45"/>
      <c r="BI636" s="85"/>
      <c r="BJ636" s="158"/>
      <c r="BK636" s="54"/>
      <c r="BL636" s="86"/>
    </row>
    <row r="637" spans="1:64" x14ac:dyDescent="0.3">
      <c r="AP637" s="68" t="s">
        <v>132</v>
      </c>
      <c r="AQ637" s="54">
        <f>3+1</f>
        <v>4</v>
      </c>
      <c r="AR637" s="45">
        <f>2+1</f>
        <v>3</v>
      </c>
      <c r="AS637" s="42"/>
      <c r="AT637" s="40"/>
      <c r="AU637" s="42"/>
      <c r="AV637" s="54">
        <v>4</v>
      </c>
      <c r="AW637" s="54" t="s">
        <v>905</v>
      </c>
      <c r="AX637" s="28"/>
      <c r="AY637" s="40"/>
      <c r="BB637" s="127" t="s">
        <v>218</v>
      </c>
      <c r="BC637" s="84">
        <v>21</v>
      </c>
      <c r="BD637" s="54">
        <v>13</v>
      </c>
      <c r="BE637" s="42"/>
      <c r="BF637" s="45">
        <v>3</v>
      </c>
      <c r="BG637" s="40"/>
      <c r="BH637" s="45"/>
      <c r="BI637" s="85"/>
      <c r="BJ637" s="179"/>
      <c r="BK637" s="54"/>
      <c r="BL637" s="180"/>
    </row>
    <row r="638" spans="1:64" x14ac:dyDescent="0.3">
      <c r="AM638" t="s">
        <v>6</v>
      </c>
      <c r="AP638" s="41" t="s">
        <v>6</v>
      </c>
      <c r="AS638" s="42"/>
      <c r="AT638" s="40"/>
      <c r="AU638" s="42"/>
      <c r="AV638" s="54">
        <v>1</v>
      </c>
      <c r="AW638" s="54" t="s">
        <v>906</v>
      </c>
      <c r="AX638" s="28"/>
      <c r="AY638" s="40"/>
      <c r="BB638" s="181" t="s">
        <v>220</v>
      </c>
      <c r="BC638" s="10">
        <f>1+4</f>
        <v>5</v>
      </c>
      <c r="BD638" s="18">
        <f>7+4</f>
        <v>11</v>
      </c>
      <c r="BE638" s="10"/>
      <c r="BF638" s="18"/>
      <c r="BG638" s="11"/>
      <c r="BH638" s="18"/>
      <c r="BI638" s="11"/>
      <c r="BJ638" s="179"/>
      <c r="BK638" s="37"/>
      <c r="BL638" s="182"/>
    </row>
    <row r="639" spans="1:64" ht="15" thickBot="1" x14ac:dyDescent="0.35">
      <c r="H639" t="s">
        <v>6</v>
      </c>
      <c r="AP639" s="46" t="s">
        <v>84</v>
      </c>
      <c r="AQ639" s="48">
        <f>SUM(AQ623:AQ638)</f>
        <v>266</v>
      </c>
      <c r="AR639" s="48">
        <f>SUM(AR623:AR638)</f>
        <v>317</v>
      </c>
      <c r="AS639" s="47"/>
      <c r="AT639" s="49"/>
      <c r="AU639" s="47"/>
      <c r="AV639" s="48"/>
      <c r="AW639" s="48" t="s">
        <v>6</v>
      </c>
      <c r="AX639" s="48"/>
      <c r="AY639" s="49">
        <f>SUM(AV624:AV639)</f>
        <v>167</v>
      </c>
      <c r="BB639" s="13" t="s">
        <v>84</v>
      </c>
      <c r="BC639" s="13">
        <f>SUM(BC614:BC638)</f>
        <v>252</v>
      </c>
      <c r="BD639" s="27">
        <f>SUM(BD614:BD638)</f>
        <v>263</v>
      </c>
      <c r="BE639" s="13">
        <v>0</v>
      </c>
      <c r="BF639" s="27">
        <f>SUM(BF614:BF638)</f>
        <v>3</v>
      </c>
      <c r="BG639" s="26">
        <f>SUM(BG614:BG638)</f>
        <v>0</v>
      </c>
      <c r="BH639" s="58">
        <v>0</v>
      </c>
      <c r="BI639" s="26">
        <v>0</v>
      </c>
      <c r="BJ639" s="81"/>
      <c r="BK639" s="27"/>
      <c r="BL639" s="26">
        <f>10+6+12+4+11+3+8+17+5+10+13</f>
        <v>99</v>
      </c>
    </row>
    <row r="640" spans="1:64" ht="15" thickBot="1" x14ac:dyDescent="0.35">
      <c r="H640" t="s">
        <v>6</v>
      </c>
      <c r="AP640" s="169" t="s">
        <v>84</v>
      </c>
      <c r="AQ640" s="170">
        <f>SUM(AQ639+AQ622+AQ612+AQ597)</f>
        <v>1946</v>
      </c>
      <c r="AR640" s="170">
        <f>SUM(AR639+AR622+AR612+AR597)</f>
        <v>1944</v>
      </c>
      <c r="AS640" s="171"/>
      <c r="AT640" s="172"/>
      <c r="AU640" s="170"/>
      <c r="AV640" s="170"/>
      <c r="AW640" s="170"/>
      <c r="AX640" s="170"/>
      <c r="AY640" s="172">
        <f>SUM(AY596:AY639)</f>
        <v>372</v>
      </c>
      <c r="BB640" s="13" t="s">
        <v>223</v>
      </c>
      <c r="BC640" s="13">
        <f>SUM(BC639+BC613+BC610+BC606+BC603+BC600+BC598)</f>
        <v>1992</v>
      </c>
      <c r="BD640" s="26">
        <f>SUM(BD639+BD613+BD610+BD606+BD603+BD600+BD598)</f>
        <v>2164</v>
      </c>
      <c r="BE640" s="26">
        <f>SUM(BE639+BE613+BE610+BE606+BE603+BE600+BE598)</f>
        <v>0</v>
      </c>
      <c r="BF640" s="26">
        <f>SUM(BF639+BF613+BF610+BF606+BF603+BF600+BF598)</f>
        <v>3</v>
      </c>
      <c r="BG640" s="26">
        <f>SUM(BG639+BG613+BG610+BG606+BG603+BG600+BG598)</f>
        <v>0</v>
      </c>
      <c r="BH640" s="160">
        <f>SUM(BH639+BH613+BH610+BH606+BH602+BH600+BH598)</f>
        <v>67423</v>
      </c>
      <c r="BI640" s="26">
        <f>SUM(BI639+BI613+BI610+BI606+BI602+BI600+BI598)</f>
        <v>18029</v>
      </c>
      <c r="BJ640" s="81"/>
      <c r="BK640" s="27" t="s">
        <v>247</v>
      </c>
      <c r="BL640" s="26">
        <f>SUM(BL598:BL639)</f>
        <v>261</v>
      </c>
    </row>
    <row r="641" spans="1:65" x14ac:dyDescent="0.3">
      <c r="K641" s="28"/>
      <c r="BB641" s="131" t="s">
        <v>225</v>
      </c>
      <c r="BD641">
        <f>SUM(BL639)</f>
        <v>99</v>
      </c>
      <c r="BF641" t="s">
        <v>184</v>
      </c>
      <c r="BG641" s="132"/>
    </row>
    <row r="642" spans="1:65" x14ac:dyDescent="0.3">
      <c r="K642" s="28"/>
      <c r="BB642" t="s">
        <v>229</v>
      </c>
      <c r="BD642">
        <v>22</v>
      </c>
    </row>
    <row r="643" spans="1:65" x14ac:dyDescent="0.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BB643" t="s">
        <v>232</v>
      </c>
      <c r="BD643" t="s">
        <v>233</v>
      </c>
      <c r="BF643">
        <f>SUM(AQ640)</f>
        <v>1946</v>
      </c>
      <c r="BH643" t="s">
        <v>234</v>
      </c>
      <c r="BJ643" t="s">
        <v>233</v>
      </c>
      <c r="BL643">
        <f>SUM(BC640)</f>
        <v>1992</v>
      </c>
    </row>
    <row r="644" spans="1:65" ht="18" x14ac:dyDescent="0.35">
      <c r="B644" s="133"/>
      <c r="BA644" t="s">
        <v>6</v>
      </c>
      <c r="BD644" t="s">
        <v>236</v>
      </c>
      <c r="BF644">
        <f>SUM(AR640)</f>
        <v>1944</v>
      </c>
      <c r="BJ644" t="s">
        <v>236</v>
      </c>
      <c r="BL644">
        <f>SUM(BD640)</f>
        <v>2164</v>
      </c>
    </row>
    <row r="645" spans="1:65" x14ac:dyDescent="0.3">
      <c r="BB645" s="134" t="s">
        <v>238</v>
      </c>
      <c r="BC645" s="135" t="s">
        <v>239</v>
      </c>
      <c r="BD645" s="136"/>
      <c r="BE645" s="134" t="s">
        <v>240</v>
      </c>
      <c r="BF645" s="135" t="s">
        <v>241</v>
      </c>
      <c r="BG645" s="136"/>
      <c r="BH645" s="134"/>
      <c r="BI645" s="135" t="s">
        <v>242</v>
      </c>
      <c r="BJ645" s="137" t="s">
        <v>243</v>
      </c>
      <c r="BK645" s="135"/>
      <c r="BL645" s="135"/>
      <c r="BM645" s="136"/>
    </row>
    <row r="646" spans="1:65" x14ac:dyDescent="0.3">
      <c r="BB646" s="138" t="s">
        <v>233</v>
      </c>
      <c r="BC646" s="28"/>
      <c r="BD646" s="139">
        <f>SUM(B632)</f>
        <v>38819</v>
      </c>
      <c r="BE646" s="138" t="s">
        <v>233</v>
      </c>
      <c r="BF646" s="28"/>
      <c r="BG646" s="139">
        <f>SUM(AC628)</f>
        <v>1812</v>
      </c>
      <c r="BH646" s="138" t="s">
        <v>233</v>
      </c>
      <c r="BI646" s="28"/>
      <c r="BJ646" s="140">
        <f>SUM(BL643+BG646)</f>
        <v>3804</v>
      </c>
      <c r="BK646" s="28" t="s">
        <v>245</v>
      </c>
      <c r="BL646" s="140">
        <f>SUM(BJ646+BD646)</f>
        <v>42623</v>
      </c>
      <c r="BM646" s="139"/>
    </row>
    <row r="647" spans="1:65" ht="18" x14ac:dyDescent="0.35">
      <c r="B647" s="133"/>
      <c r="BB647" s="142" t="s">
        <v>236</v>
      </c>
      <c r="BC647" s="143"/>
      <c r="BD647" s="144">
        <f>SUM(C632)</f>
        <v>46205</v>
      </c>
      <c r="BE647" s="142" t="s">
        <v>236</v>
      </c>
      <c r="BF647" s="143"/>
      <c r="BG647" s="144">
        <f>SUM(AD628)</f>
        <v>1877</v>
      </c>
      <c r="BH647" s="142" t="s">
        <v>236</v>
      </c>
      <c r="BI647" s="143"/>
      <c r="BJ647" s="145">
        <f>SUM(BL644+BG647)</f>
        <v>4041</v>
      </c>
      <c r="BK647" s="143"/>
      <c r="BL647" s="145">
        <f>SUM(BJ647+BD647)</f>
        <v>50246</v>
      </c>
      <c r="BM647" s="144"/>
    </row>
    <row r="651" spans="1:65" ht="15.6" x14ac:dyDescent="0.3">
      <c r="D651" s="1" t="s">
        <v>0</v>
      </c>
      <c r="P651" s="1" t="s">
        <v>1</v>
      </c>
    </row>
    <row r="652" spans="1:65" ht="15.6" x14ac:dyDescent="0.3">
      <c r="E652" t="s">
        <v>2</v>
      </c>
      <c r="Q652" t="s">
        <v>3</v>
      </c>
      <c r="AE652" s="2"/>
      <c r="AF652" s="1" t="s">
        <v>0</v>
      </c>
      <c r="AG652" s="1"/>
      <c r="AI652" s="1"/>
      <c r="AJ652" s="1"/>
      <c r="AS652" s="1" t="s">
        <v>4</v>
      </c>
      <c r="BE652" s="1"/>
      <c r="BF652" s="1" t="s">
        <v>5</v>
      </c>
      <c r="BG652" s="1"/>
      <c r="BH652" s="1"/>
      <c r="BI652" s="1"/>
      <c r="BJ652" s="1"/>
    </row>
    <row r="653" spans="1:65" ht="15.6" x14ac:dyDescent="0.3">
      <c r="A653" t="s">
        <v>6</v>
      </c>
      <c r="D653" t="s">
        <v>7</v>
      </c>
      <c r="O653" t="s">
        <v>8</v>
      </c>
      <c r="AE653" s="3"/>
      <c r="AF653" s="2" t="s">
        <v>9</v>
      </c>
      <c r="AG653" s="1"/>
      <c r="AI653" s="1"/>
      <c r="AJ653" s="1"/>
      <c r="AT653" t="s">
        <v>2</v>
      </c>
      <c r="BG653" t="s">
        <v>2</v>
      </c>
    </row>
    <row r="654" spans="1:65" ht="15.6" x14ac:dyDescent="0.3">
      <c r="E654" t="s">
        <v>907</v>
      </c>
      <c r="Q654" t="s">
        <v>907</v>
      </c>
      <c r="AF654" s="3" t="s">
        <v>11</v>
      </c>
      <c r="AG654" s="1"/>
      <c r="AI654" s="1"/>
      <c r="AJ654" s="1"/>
      <c r="AR654" t="s">
        <v>12</v>
      </c>
      <c r="BE654" t="s">
        <v>13</v>
      </c>
    </row>
    <row r="655" spans="1:65" ht="15" thickBot="1" x14ac:dyDescent="0.35">
      <c r="I655" s="4" t="s">
        <v>14</v>
      </c>
      <c r="U655" s="5" t="s">
        <v>15</v>
      </c>
      <c r="AG655" t="s">
        <v>907</v>
      </c>
      <c r="AT655" t="s">
        <v>907</v>
      </c>
      <c r="AY655" s="5"/>
      <c r="BG655" t="s">
        <v>907</v>
      </c>
      <c r="BK655" s="5" t="s">
        <v>16</v>
      </c>
    </row>
    <row r="656" spans="1:65" ht="15" thickBot="1" x14ac:dyDescent="0.35">
      <c r="A656" s="6" t="s">
        <v>17</v>
      </c>
      <c r="B656" s="6" t="s">
        <v>18</v>
      </c>
      <c r="C656" s="7"/>
      <c r="D656" s="8" t="s">
        <v>19</v>
      </c>
      <c r="E656" s="8"/>
      <c r="F656" s="8"/>
      <c r="G656" s="9" t="s">
        <v>20</v>
      </c>
      <c r="H656" s="8" t="s">
        <v>21</v>
      </c>
      <c r="I656" s="8"/>
      <c r="J656" s="7"/>
      <c r="L656" s="6" t="s">
        <v>17</v>
      </c>
      <c r="M656" s="187" t="s">
        <v>778</v>
      </c>
      <c r="N656" s="7"/>
      <c r="O656" s="8" t="s">
        <v>779</v>
      </c>
      <c r="P656" s="8"/>
      <c r="Q656" s="8"/>
      <c r="R656" s="6" t="s">
        <v>24</v>
      </c>
      <c r="S656" s="7"/>
      <c r="T656" s="8" t="s">
        <v>21</v>
      </c>
      <c r="U656" s="8"/>
      <c r="V656" s="7"/>
      <c r="AL656" s="5" t="s">
        <v>25</v>
      </c>
      <c r="AX656" s="5" t="s">
        <v>26</v>
      </c>
      <c r="BB656" s="6" t="s">
        <v>17</v>
      </c>
      <c r="BC656" s="6" t="s">
        <v>27</v>
      </c>
      <c r="BD656" s="7"/>
      <c r="BE656" s="8" t="s">
        <v>28</v>
      </c>
      <c r="BF656" s="8"/>
      <c r="BG656" s="8"/>
      <c r="BH656" s="6" t="s">
        <v>29</v>
      </c>
      <c r="BI656" s="7" t="s">
        <v>30</v>
      </c>
      <c r="BJ656" s="8" t="s">
        <v>31</v>
      </c>
      <c r="BK656" s="8"/>
      <c r="BL656" s="7"/>
    </row>
    <row r="657" spans="1:64" x14ac:dyDescent="0.3">
      <c r="A657" s="10" t="s">
        <v>32</v>
      </c>
      <c r="B657" s="10"/>
      <c r="C657" s="11"/>
      <c r="D657" s="3"/>
      <c r="E657" s="3"/>
      <c r="F657" s="3"/>
      <c r="G657" s="12"/>
      <c r="H657" s="3" t="s">
        <v>33</v>
      </c>
      <c r="I657" s="3"/>
      <c r="J657" s="11"/>
      <c r="L657" s="10"/>
      <c r="M657" s="10"/>
      <c r="N657" s="11"/>
      <c r="O657" s="3"/>
      <c r="P657" s="3"/>
      <c r="Q657" s="3"/>
      <c r="R657" s="10"/>
      <c r="S657" s="11"/>
      <c r="T657" s="3" t="s">
        <v>33</v>
      </c>
      <c r="U657" s="3"/>
      <c r="V657" s="11"/>
      <c r="AB657" s="6" t="s">
        <v>34</v>
      </c>
      <c r="AC657" s="6" t="s">
        <v>35</v>
      </c>
      <c r="AD657" s="7"/>
      <c r="AE657" s="6" t="s">
        <v>36</v>
      </c>
      <c r="AF657" s="8"/>
      <c r="AG657" s="7"/>
      <c r="AH657" s="8" t="s">
        <v>37</v>
      </c>
      <c r="AI657" s="8"/>
      <c r="AJ657" s="9" t="s">
        <v>30</v>
      </c>
      <c r="AK657" s="8" t="s">
        <v>38</v>
      </c>
      <c r="AL657" s="8"/>
      <c r="AM657" s="7"/>
      <c r="AP657" s="6" t="s">
        <v>17</v>
      </c>
      <c r="AQ657" s="6" t="s">
        <v>39</v>
      </c>
      <c r="AR657" s="7"/>
      <c r="AS657" s="6" t="s">
        <v>29</v>
      </c>
      <c r="AT657" s="7" t="s">
        <v>30</v>
      </c>
      <c r="AU657" s="8" t="s">
        <v>40</v>
      </c>
      <c r="AV657" s="8"/>
      <c r="AW657" s="8"/>
      <c r="AX657" s="8"/>
      <c r="AY657" s="7"/>
      <c r="BB657" s="10"/>
      <c r="BC657" s="10"/>
      <c r="BD657" s="11"/>
      <c r="BE657" s="3"/>
      <c r="BF657" s="3"/>
      <c r="BG657" s="3"/>
      <c r="BH657" s="10"/>
      <c r="BI657" s="11" t="s">
        <v>6</v>
      </c>
      <c r="BJ657" s="3" t="s">
        <v>41</v>
      </c>
      <c r="BK657" s="3"/>
      <c r="BL657" s="11"/>
    </row>
    <row r="658" spans="1:64" ht="15" thickBot="1" x14ac:dyDescent="0.35">
      <c r="A658" s="13" t="s">
        <v>42</v>
      </c>
      <c r="B658" s="14" t="s">
        <v>43</v>
      </c>
      <c r="C658" s="15" t="s">
        <v>44</v>
      </c>
      <c r="D658" s="16" t="s">
        <v>45</v>
      </c>
      <c r="E658" s="16" t="s">
        <v>46</v>
      </c>
      <c r="F658" s="16" t="s">
        <v>47</v>
      </c>
      <c r="G658" s="17" t="s">
        <v>48</v>
      </c>
      <c r="H658" s="18" t="s">
        <v>49</v>
      </c>
      <c r="I658" s="18"/>
      <c r="J658" s="11"/>
      <c r="L658" s="10" t="s">
        <v>50</v>
      </c>
      <c r="M658" s="19" t="s">
        <v>43</v>
      </c>
      <c r="N658" s="20" t="s">
        <v>44</v>
      </c>
      <c r="O658" s="21" t="s">
        <v>43</v>
      </c>
      <c r="P658" s="188" t="s">
        <v>51</v>
      </c>
      <c r="Q658" s="21" t="s">
        <v>44</v>
      </c>
      <c r="R658" s="22" t="s">
        <v>43</v>
      </c>
      <c r="S658" s="23" t="s">
        <v>44</v>
      </c>
      <c r="T658" s="18" t="s">
        <v>49</v>
      </c>
      <c r="U658" s="18"/>
      <c r="V658" s="11"/>
      <c r="AB658" s="10" t="s">
        <v>50</v>
      </c>
      <c r="AC658" s="22" t="s">
        <v>43</v>
      </c>
      <c r="AD658" s="23" t="s">
        <v>44</v>
      </c>
      <c r="AE658" s="22" t="s">
        <v>45</v>
      </c>
      <c r="AF658" s="24" t="s">
        <v>46</v>
      </c>
      <c r="AG658" s="23" t="s">
        <v>52</v>
      </c>
      <c r="AH658" s="24" t="s">
        <v>43</v>
      </c>
      <c r="AI658" s="24" t="s">
        <v>44</v>
      </c>
      <c r="AJ658" s="25" t="s">
        <v>43</v>
      </c>
      <c r="AK658" s="3" t="s">
        <v>53</v>
      </c>
      <c r="AL658" s="3"/>
      <c r="AM658" s="11"/>
      <c r="AP658" s="13" t="s">
        <v>42</v>
      </c>
      <c r="AQ658" s="13" t="s">
        <v>43</v>
      </c>
      <c r="AR658" s="26" t="s">
        <v>44</v>
      </c>
      <c r="AS658" s="13" t="s">
        <v>43</v>
      </c>
      <c r="AT658" s="26" t="s">
        <v>44</v>
      </c>
      <c r="AU658" s="27"/>
      <c r="AV658" s="27"/>
      <c r="AW658" s="27"/>
      <c r="AX658" s="27"/>
      <c r="AY658" s="26"/>
      <c r="BB658" s="13" t="s">
        <v>42</v>
      </c>
      <c r="BC658" s="13" t="s">
        <v>43</v>
      </c>
      <c r="BD658" s="26" t="s">
        <v>44</v>
      </c>
      <c r="BE658" s="27" t="s">
        <v>45</v>
      </c>
      <c r="BF658" s="27" t="s">
        <v>46</v>
      </c>
      <c r="BG658" s="27" t="s">
        <v>52</v>
      </c>
      <c r="BH658" s="13" t="s">
        <v>43</v>
      </c>
      <c r="BI658" s="26" t="s">
        <v>44</v>
      </c>
      <c r="BJ658" s="27" t="s">
        <v>54</v>
      </c>
      <c r="BK658" s="27"/>
      <c r="BL658" s="26"/>
    </row>
    <row r="659" spans="1:64" ht="15" thickBot="1" x14ac:dyDescent="0.35">
      <c r="A659" s="6"/>
      <c r="B659" s="6"/>
      <c r="C659" s="7"/>
      <c r="D659" s="8"/>
      <c r="E659" s="8"/>
      <c r="F659" s="7"/>
      <c r="G659" s="8"/>
      <c r="H659" s="6" t="s">
        <v>396</v>
      </c>
      <c r="I659" s="8"/>
      <c r="J659" s="7"/>
      <c r="K659" s="28"/>
      <c r="L659" s="9"/>
      <c r="M659" s="8"/>
      <c r="N659" s="8"/>
      <c r="O659" s="6"/>
      <c r="P659" s="8"/>
      <c r="Q659" s="7"/>
      <c r="R659" s="8"/>
      <c r="S659" s="8"/>
      <c r="T659" s="6" t="s">
        <v>396</v>
      </c>
      <c r="U659" s="8"/>
      <c r="V659" s="7"/>
      <c r="W659" s="28"/>
      <c r="AB659" s="13"/>
      <c r="AC659" s="13"/>
      <c r="AD659" s="26"/>
      <c r="AE659" s="13"/>
      <c r="AF659" s="27"/>
      <c r="AG659" s="26"/>
      <c r="AH659" s="27"/>
      <c r="AI659" s="27"/>
      <c r="AJ659" s="17"/>
      <c r="AK659" s="27"/>
      <c r="AL659" s="27"/>
      <c r="AM659" s="26"/>
      <c r="AP659" s="32" t="s">
        <v>6</v>
      </c>
      <c r="AQ659" s="43"/>
      <c r="AR659" s="54"/>
      <c r="AS659" s="33"/>
      <c r="AT659" s="35"/>
      <c r="AU659" s="33"/>
      <c r="AV659" s="34" t="s">
        <v>91</v>
      </c>
      <c r="AW659" s="34"/>
      <c r="AX659" s="34"/>
      <c r="AY659" s="35"/>
      <c r="AZ659" s="28"/>
      <c r="BB659" s="32" t="s">
        <v>85</v>
      </c>
      <c r="BC659">
        <v>0</v>
      </c>
      <c r="BD659">
        <v>17</v>
      </c>
      <c r="BE659" s="33"/>
      <c r="BF659" s="34"/>
      <c r="BG659" s="34"/>
      <c r="BH659" s="33"/>
      <c r="BI659" s="35"/>
      <c r="BJ659" s="34" t="s">
        <v>58</v>
      </c>
      <c r="BK659" s="8"/>
      <c r="BL659" s="7"/>
    </row>
    <row r="660" spans="1:64" x14ac:dyDescent="0.3">
      <c r="A660" s="10" t="s">
        <v>59</v>
      </c>
      <c r="B660" s="36">
        <v>1068</v>
      </c>
      <c r="C660" s="11">
        <v>736</v>
      </c>
      <c r="D660" s="37"/>
      <c r="E660" s="38" t="s">
        <v>60</v>
      </c>
      <c r="F660" s="39"/>
      <c r="G660" s="37">
        <v>1120</v>
      </c>
      <c r="H660" s="36">
        <v>4</v>
      </c>
      <c r="I660" s="37" t="s">
        <v>61</v>
      </c>
      <c r="J660" s="40"/>
      <c r="K660" s="28"/>
      <c r="L660" s="41" t="s">
        <v>59</v>
      </c>
      <c r="M660" s="28">
        <v>26616</v>
      </c>
      <c r="N660" s="28">
        <v>46226</v>
      </c>
      <c r="O660" s="42">
        <v>0</v>
      </c>
      <c r="P660" s="43">
        <v>0</v>
      </c>
      <c r="Q660" s="40">
        <v>0</v>
      </c>
      <c r="R660" s="43">
        <v>0</v>
      </c>
      <c r="S660" s="43">
        <v>0</v>
      </c>
      <c r="T660" s="42"/>
      <c r="U660" s="28"/>
      <c r="V660" s="40"/>
      <c r="W660" s="28"/>
      <c r="AB660" s="9"/>
      <c r="AC660" s="8"/>
      <c r="AD660" s="8"/>
      <c r="AE660" s="6"/>
      <c r="AF660" s="8"/>
      <c r="AG660" s="7"/>
      <c r="AH660" s="8"/>
      <c r="AI660" s="8"/>
      <c r="AJ660" s="9"/>
      <c r="AK660" s="6" t="s">
        <v>62</v>
      </c>
      <c r="AL660" s="8"/>
      <c r="AM660" s="7"/>
      <c r="AP660" s="41" t="s">
        <v>56</v>
      </c>
      <c r="AQ660" s="43">
        <v>1226</v>
      </c>
      <c r="AR660" s="54">
        <v>1198</v>
      </c>
      <c r="AS660" s="42"/>
      <c r="AT660" s="40"/>
      <c r="AU660" s="42"/>
      <c r="AV660" s="28"/>
      <c r="AW660" s="28"/>
      <c r="AX660" s="28"/>
      <c r="AY660" s="40"/>
      <c r="AZ660" s="28"/>
      <c r="BB660" s="44" t="s">
        <v>64</v>
      </c>
      <c r="BC660" s="18">
        <v>135</v>
      </c>
      <c r="BD660" s="18">
        <v>147</v>
      </c>
      <c r="BE660" s="10">
        <v>0</v>
      </c>
      <c r="BF660" s="18">
        <v>0</v>
      </c>
      <c r="BG660" s="18">
        <v>0</v>
      </c>
      <c r="BH660" s="10">
        <v>0</v>
      </c>
      <c r="BI660" s="11">
        <v>0</v>
      </c>
      <c r="BJ660" s="45">
        <v>13</v>
      </c>
      <c r="BK660" s="28" t="s">
        <v>474</v>
      </c>
      <c r="BL660" s="11"/>
    </row>
    <row r="661" spans="1:64" ht="15" thickBot="1" x14ac:dyDescent="0.35">
      <c r="A661" s="36" t="s">
        <v>6</v>
      </c>
      <c r="B661" s="10"/>
      <c r="C661" s="11"/>
      <c r="D661" s="18"/>
      <c r="E661" s="18"/>
      <c r="F661" s="18"/>
      <c r="G661" s="36"/>
      <c r="H661" s="42">
        <v>0</v>
      </c>
      <c r="I661" s="28" t="s">
        <v>528</v>
      </c>
      <c r="J661" s="40">
        <f>SUM(H660+H661)</f>
        <v>4</v>
      </c>
      <c r="K661" s="28"/>
      <c r="L661" s="12"/>
      <c r="M661" s="37"/>
      <c r="N661" s="37"/>
      <c r="O661" s="10"/>
      <c r="P661" s="18"/>
      <c r="Q661" s="11"/>
      <c r="R661" s="18"/>
      <c r="S661" s="18"/>
      <c r="T661" s="10"/>
      <c r="U661" s="18"/>
      <c r="V661" s="11"/>
      <c r="W661" s="28"/>
      <c r="AB661" s="41"/>
      <c r="AE661" s="42"/>
      <c r="AF661" s="28"/>
      <c r="AG661" s="40"/>
      <c r="AJ661" s="41"/>
      <c r="AK661" s="42"/>
      <c r="AL661" s="37" t="s">
        <v>6</v>
      </c>
      <c r="AM661" s="40"/>
      <c r="AP661" s="62" t="s">
        <v>6</v>
      </c>
      <c r="AQ661" s="43"/>
      <c r="AR661" s="43"/>
      <c r="AS661" s="47"/>
      <c r="AT661" s="49"/>
      <c r="AU661" s="47"/>
      <c r="AV661" s="48">
        <v>91</v>
      </c>
      <c r="AW661" s="48" t="s">
        <v>73</v>
      </c>
      <c r="AX661" s="48"/>
      <c r="AY661" s="49">
        <f>SUM(AV661)</f>
        <v>91</v>
      </c>
      <c r="AZ661" s="28"/>
      <c r="BA661" s="28"/>
      <c r="BB661" s="46" t="s">
        <v>84</v>
      </c>
      <c r="BC661">
        <f>SUM(BC659:BC660)</f>
        <v>135</v>
      </c>
      <c r="BD661">
        <f>SUM(BD659:BD660)</f>
        <v>164</v>
      </c>
      <c r="BE661" s="47"/>
      <c r="BF661" s="48"/>
      <c r="BG661" s="48"/>
      <c r="BH661" s="47"/>
      <c r="BI661" s="49"/>
      <c r="BJ661" s="48"/>
      <c r="BK661" s="48" t="s">
        <v>249</v>
      </c>
      <c r="BL661" s="49">
        <f>SUM(BJ660:BJ661)</f>
        <v>13</v>
      </c>
    </row>
    <row r="662" spans="1:64" ht="15" thickBot="1" x14ac:dyDescent="0.35">
      <c r="A662" s="32"/>
      <c r="B662" s="34"/>
      <c r="C662" s="34"/>
      <c r="D662" s="33"/>
      <c r="E662" s="34"/>
      <c r="F662" s="35"/>
      <c r="G662" s="34"/>
      <c r="H662" s="6" t="s">
        <v>70</v>
      </c>
      <c r="I662" s="8"/>
      <c r="J662" s="7"/>
      <c r="K662" s="28"/>
      <c r="L662" s="17"/>
      <c r="M662" s="27"/>
      <c r="N662" s="27"/>
      <c r="O662" s="13"/>
      <c r="P662" s="27"/>
      <c r="Q662" s="26"/>
      <c r="R662" s="27"/>
      <c r="S662" s="27"/>
      <c r="T662" s="13"/>
      <c r="U662" s="27"/>
      <c r="V662" s="26"/>
      <c r="W662" s="28"/>
      <c r="AB662" s="44" t="s">
        <v>59</v>
      </c>
      <c r="AC662" s="37">
        <v>1176</v>
      </c>
      <c r="AD662" s="37">
        <v>815</v>
      </c>
      <c r="AE662" s="10">
        <v>0</v>
      </c>
      <c r="AF662" s="18">
        <v>0</v>
      </c>
      <c r="AG662" s="39">
        <v>0</v>
      </c>
      <c r="AH662" s="2">
        <v>0</v>
      </c>
      <c r="AI662" s="2">
        <v>0</v>
      </c>
      <c r="AJ662" s="12">
        <v>0</v>
      </c>
      <c r="AK662" s="36">
        <v>1</v>
      </c>
      <c r="AL662" t="s">
        <v>398</v>
      </c>
      <c r="AM662" s="11"/>
      <c r="AP662" s="10"/>
      <c r="AQ662" s="29"/>
      <c r="AR662" s="31"/>
      <c r="AS662" s="33"/>
      <c r="AT662" s="7"/>
      <c r="AU662" s="8"/>
      <c r="AV662" s="8"/>
      <c r="AW662" s="8"/>
      <c r="AX662" s="8"/>
      <c r="AY662" s="7"/>
      <c r="AZ662" s="28"/>
      <c r="BA662" s="28"/>
      <c r="BB662" s="33"/>
      <c r="BC662" s="33"/>
      <c r="BD662" s="35"/>
      <c r="BE662" s="34"/>
      <c r="BF662" s="34"/>
      <c r="BG662" s="34"/>
      <c r="BH662" s="33"/>
      <c r="BI662" s="35"/>
      <c r="BJ662" s="53" t="s">
        <v>82</v>
      </c>
      <c r="BK662" s="34"/>
      <c r="BL662" s="35"/>
    </row>
    <row r="663" spans="1:64" ht="15" thickBot="1" x14ac:dyDescent="0.35">
      <c r="A663" s="44" t="s">
        <v>74</v>
      </c>
      <c r="B663" s="37">
        <v>1117</v>
      </c>
      <c r="C663" s="18">
        <v>2141</v>
      </c>
      <c r="D663" s="36"/>
      <c r="E663" s="38" t="s">
        <v>60</v>
      </c>
      <c r="F663" s="39"/>
      <c r="G663" s="37">
        <v>2492</v>
      </c>
      <c r="H663" s="36">
        <v>3</v>
      </c>
      <c r="I663" s="28" t="s">
        <v>75</v>
      </c>
      <c r="J663" s="11"/>
      <c r="K663" s="28"/>
      <c r="L663" s="32"/>
      <c r="M663" s="34"/>
      <c r="N663" s="34"/>
      <c r="O663" s="33"/>
      <c r="P663" s="34"/>
      <c r="Q663" s="35"/>
      <c r="R663" s="34"/>
      <c r="S663" s="34"/>
      <c r="T663" s="33"/>
      <c r="U663" s="34"/>
      <c r="V663" s="35"/>
      <c r="W663" s="28"/>
      <c r="AB663" s="46"/>
      <c r="AE663" s="47"/>
      <c r="AF663" s="51"/>
      <c r="AG663" s="49"/>
      <c r="AH663" s="28"/>
      <c r="AI663" s="28"/>
      <c r="AJ663" s="62"/>
      <c r="AK663" s="47">
        <v>3</v>
      </c>
      <c r="AL663" s="48" t="s">
        <v>66</v>
      </c>
      <c r="AM663" s="49"/>
      <c r="AP663" s="36" t="s">
        <v>63</v>
      </c>
      <c r="AQ663" s="10">
        <v>33</v>
      </c>
      <c r="AR663" s="18">
        <v>35</v>
      </c>
      <c r="AS663" s="42"/>
      <c r="AT663" s="11"/>
      <c r="AU663" s="18"/>
      <c r="AV663" s="18" t="s">
        <v>110</v>
      </c>
      <c r="AW663" s="18" t="s">
        <v>111</v>
      </c>
      <c r="AX663" s="18" t="s">
        <v>112</v>
      </c>
      <c r="AY663" s="11"/>
      <c r="AZ663" s="28"/>
      <c r="BA663" s="28"/>
      <c r="BB663" s="47" t="s">
        <v>85</v>
      </c>
      <c r="BC663" s="47">
        <v>13</v>
      </c>
      <c r="BD663" s="49">
        <v>10</v>
      </c>
      <c r="BE663" s="48"/>
      <c r="BF663" s="48">
        <v>0</v>
      </c>
      <c r="BG663" s="48">
        <v>0</v>
      </c>
      <c r="BH663" s="47">
        <v>0</v>
      </c>
      <c r="BI663" s="49">
        <v>0</v>
      </c>
      <c r="BJ663" s="51">
        <v>3</v>
      </c>
      <c r="BK663" s="48" t="s">
        <v>86</v>
      </c>
      <c r="BL663" s="49">
        <f>SUM(BJ663)</f>
        <v>3</v>
      </c>
    </row>
    <row r="664" spans="1:64" x14ac:dyDescent="0.3">
      <c r="A664" s="41"/>
      <c r="D664" s="42"/>
      <c r="E664" s="28"/>
      <c r="F664" s="40"/>
      <c r="H664" s="42">
        <v>1</v>
      </c>
      <c r="I664" s="28" t="s">
        <v>79</v>
      </c>
      <c r="J664" s="40"/>
      <c r="K664" s="28"/>
      <c r="L664" s="41"/>
      <c r="M664" s="28"/>
      <c r="N664" s="28"/>
      <c r="O664" s="42"/>
      <c r="P664" s="28"/>
      <c r="Q664" s="40"/>
      <c r="R664" s="28"/>
      <c r="S664" s="28"/>
      <c r="T664" s="42" t="s">
        <v>80</v>
      </c>
      <c r="U664" s="28"/>
      <c r="V664" s="40"/>
      <c r="W664" s="28"/>
      <c r="AB664" s="50" t="s">
        <v>6</v>
      </c>
      <c r="AC664" s="8"/>
      <c r="AD664" s="8"/>
      <c r="AE664" s="6"/>
      <c r="AF664" s="8"/>
      <c r="AG664" s="7"/>
      <c r="AH664" s="6"/>
      <c r="AI664" s="7"/>
      <c r="AJ664" s="8"/>
      <c r="AK664" s="29"/>
      <c r="AL664" s="8"/>
      <c r="AM664" s="7"/>
      <c r="AP664" s="10" t="s">
        <v>115</v>
      </c>
      <c r="AQ664" s="36">
        <v>52</v>
      </c>
      <c r="AR664" s="37">
        <v>34</v>
      </c>
      <c r="AS664" s="42"/>
      <c r="AT664" s="11"/>
      <c r="AU664" s="18"/>
      <c r="AV664" s="18"/>
      <c r="AW664" s="18"/>
      <c r="AX664" s="18"/>
      <c r="AY664" s="11"/>
      <c r="AZ664" s="28"/>
      <c r="BA664" s="28"/>
      <c r="BB664" s="50" t="s">
        <v>107</v>
      </c>
      <c r="BC664" s="31">
        <v>0</v>
      </c>
      <c r="BD664" s="31">
        <v>0</v>
      </c>
      <c r="BE664" s="29"/>
      <c r="BF664" s="31"/>
      <c r="BG664" s="30"/>
      <c r="BH664" s="55">
        <v>0</v>
      </c>
      <c r="BI664" s="8">
        <v>0</v>
      </c>
      <c r="BJ664" s="29"/>
      <c r="BK664" s="34" t="s">
        <v>92</v>
      </c>
      <c r="BL664" s="35"/>
    </row>
    <row r="665" spans="1:64" ht="15" thickBot="1" x14ac:dyDescent="0.35">
      <c r="A665" s="46"/>
      <c r="B665" s="48"/>
      <c r="C665" s="48"/>
      <c r="D665" s="47"/>
      <c r="E665" s="48"/>
      <c r="F665" s="49"/>
      <c r="G665" s="48"/>
      <c r="H665" s="47">
        <v>12</v>
      </c>
      <c r="I665" s="28" t="s">
        <v>83</v>
      </c>
      <c r="J665" s="49">
        <f>SUM(H663:H665)</f>
        <v>16</v>
      </c>
      <c r="K665" s="28"/>
      <c r="L665" s="17" t="s">
        <v>74</v>
      </c>
      <c r="M665" s="27">
        <v>2903</v>
      </c>
      <c r="N665" s="27">
        <v>60</v>
      </c>
      <c r="O665" s="13">
        <v>0</v>
      </c>
      <c r="P665" s="27">
        <v>0</v>
      </c>
      <c r="Q665" s="26">
        <v>0</v>
      </c>
      <c r="R665" s="27">
        <v>14</v>
      </c>
      <c r="S665" s="27">
        <v>0</v>
      </c>
      <c r="T665" s="13"/>
      <c r="U665" s="27"/>
      <c r="V665" s="26"/>
      <c r="W665" s="28"/>
      <c r="AB665" s="41" t="s">
        <v>76</v>
      </c>
      <c r="AC665">
        <v>0</v>
      </c>
      <c r="AD665">
        <v>0</v>
      </c>
      <c r="AE665" s="42">
        <v>0</v>
      </c>
      <c r="AF665" s="43">
        <v>0</v>
      </c>
      <c r="AG665" s="40">
        <v>0</v>
      </c>
      <c r="AH665" s="42">
        <v>0</v>
      </c>
      <c r="AI665" s="40">
        <v>0</v>
      </c>
      <c r="AJ665" s="43">
        <v>0</v>
      </c>
      <c r="AK665" s="42"/>
      <c r="AL665" s="28" t="s">
        <v>780</v>
      </c>
      <c r="AM665" s="40"/>
      <c r="AP665" s="52" t="s">
        <v>72</v>
      </c>
      <c r="AQ665" s="52">
        <v>14</v>
      </c>
      <c r="AR665" s="54">
        <v>7</v>
      </c>
      <c r="AS665" s="42"/>
      <c r="AT665" s="40"/>
      <c r="AU665" s="28"/>
      <c r="AV665" s="28"/>
      <c r="AW665" s="28"/>
      <c r="AX665" s="28"/>
      <c r="AY665" s="40"/>
      <c r="AZ665" s="28"/>
      <c r="BA665" s="28"/>
      <c r="BB665" s="41" t="s">
        <v>99</v>
      </c>
      <c r="BC665" s="45">
        <v>0</v>
      </c>
      <c r="BD665" s="45">
        <v>0</v>
      </c>
      <c r="BE665" s="42">
        <v>0</v>
      </c>
      <c r="BF665" s="45">
        <v>0</v>
      </c>
      <c r="BG665" s="40">
        <v>0</v>
      </c>
      <c r="BH665" s="45">
        <v>66521</v>
      </c>
      <c r="BI665" s="56">
        <v>19089</v>
      </c>
      <c r="BJ665" s="52">
        <v>24</v>
      </c>
      <c r="BK665" s="37" t="s">
        <v>100</v>
      </c>
      <c r="BL665" s="40"/>
    </row>
    <row r="666" spans="1:64" ht="15" thickBot="1" x14ac:dyDescent="0.35">
      <c r="A666" s="33"/>
      <c r="B666" s="33"/>
      <c r="C666" s="35"/>
      <c r="D666" s="34"/>
      <c r="E666" s="34"/>
      <c r="F666" s="34"/>
      <c r="G666" s="32"/>
      <c r="H666" s="6" t="s">
        <v>87</v>
      </c>
      <c r="I666" s="34"/>
      <c r="J666" s="35"/>
      <c r="K666" s="28"/>
      <c r="L666" s="12" t="s">
        <v>88</v>
      </c>
      <c r="M666" s="37">
        <v>0</v>
      </c>
      <c r="N666" s="37">
        <v>0</v>
      </c>
      <c r="O666" s="10"/>
      <c r="P666" s="18"/>
      <c r="Q666" s="11"/>
      <c r="R666" s="18"/>
      <c r="S666" s="18"/>
      <c r="T666" s="33" t="s">
        <v>6</v>
      </c>
      <c r="U666" s="31"/>
      <c r="V666" s="7"/>
      <c r="W666" s="28"/>
      <c r="AB666" s="6" t="s">
        <v>89</v>
      </c>
      <c r="AC666" s="6">
        <v>93</v>
      </c>
      <c r="AD666" s="7">
        <v>49</v>
      </c>
      <c r="AE666" s="8"/>
      <c r="AF666" s="8"/>
      <c r="AG666" s="8"/>
      <c r="AH666" s="6"/>
      <c r="AI666" s="7"/>
      <c r="AJ666" s="9"/>
      <c r="AK666" s="31" t="s">
        <v>90</v>
      </c>
      <c r="AL666" s="8"/>
      <c r="AM666" s="7"/>
      <c r="AP666" s="36" t="s">
        <v>78</v>
      </c>
      <c r="AQ666" s="36">
        <v>30</v>
      </c>
      <c r="AR666" s="37">
        <v>46</v>
      </c>
      <c r="AS666" s="42"/>
      <c r="AT666" s="11"/>
      <c r="AU666" s="18"/>
      <c r="AV666" s="37"/>
      <c r="AW666" s="18"/>
      <c r="AX666" s="37"/>
      <c r="AY666" s="11"/>
      <c r="AZ666" s="28"/>
      <c r="BA666" s="28"/>
      <c r="BB666" s="17" t="s">
        <v>84</v>
      </c>
      <c r="BC666" s="18">
        <f>SUM(BC664:BC665)</f>
        <v>0</v>
      </c>
      <c r="BD666" s="18">
        <f>SUM(BD664:BD665)</f>
        <v>0</v>
      </c>
      <c r="BE666" s="13"/>
      <c r="BF666" s="27"/>
      <c r="BG666" s="26"/>
      <c r="BH666" s="58">
        <f>+BH665+BH664</f>
        <v>66521</v>
      </c>
      <c r="BI666" s="27">
        <f>+BI665+BI664</f>
        <v>19089</v>
      </c>
      <c r="BJ666" s="59"/>
      <c r="BK666" s="48" t="s">
        <v>506</v>
      </c>
      <c r="BL666" s="60">
        <f>SUM(BJ665:BJ666)</f>
        <v>24</v>
      </c>
    </row>
    <row r="667" spans="1:64" x14ac:dyDescent="0.3">
      <c r="A667" s="36" t="s">
        <v>93</v>
      </c>
      <c r="B667" s="36">
        <v>2423</v>
      </c>
      <c r="C667" s="11">
        <v>3345</v>
      </c>
      <c r="D667" s="37"/>
      <c r="E667" s="38" t="s">
        <v>60</v>
      </c>
      <c r="F667" s="37"/>
      <c r="G667" s="12">
        <f>24*145</f>
        <v>3480</v>
      </c>
      <c r="H667" s="36"/>
      <c r="I667" s="37" t="s">
        <v>101</v>
      </c>
      <c r="J667" s="40"/>
      <c r="K667" s="28"/>
      <c r="L667" s="44" t="s">
        <v>95</v>
      </c>
      <c r="M667" s="37">
        <v>0</v>
      </c>
      <c r="N667" s="37">
        <v>0</v>
      </c>
      <c r="O667" s="10"/>
      <c r="P667" s="18"/>
      <c r="Q667" s="11"/>
      <c r="R667" s="18"/>
      <c r="S667" s="18"/>
      <c r="T667" s="10" t="s">
        <v>96</v>
      </c>
      <c r="U667" s="37"/>
      <c r="V667" s="11"/>
      <c r="W667" s="28"/>
      <c r="AB667" s="36" t="s">
        <v>97</v>
      </c>
      <c r="AC667" s="10">
        <v>22</v>
      </c>
      <c r="AD667" s="11">
        <v>24</v>
      </c>
      <c r="AE667" s="18">
        <v>0</v>
      </c>
      <c r="AF667" s="18">
        <v>0</v>
      </c>
      <c r="AG667" s="18">
        <v>0</v>
      </c>
      <c r="AH667" s="36">
        <v>0</v>
      </c>
      <c r="AI667" s="11">
        <v>0</v>
      </c>
      <c r="AJ667" s="12">
        <v>0</v>
      </c>
      <c r="AK667" s="37">
        <v>3</v>
      </c>
      <c r="AL667" s="37" t="s">
        <v>781</v>
      </c>
      <c r="AM667" s="11"/>
      <c r="AP667" s="10" t="s">
        <v>122</v>
      </c>
      <c r="AQ667" s="36">
        <v>52</v>
      </c>
      <c r="AR667" s="37">
        <v>37</v>
      </c>
      <c r="AS667" s="42"/>
      <c r="AT667" s="11"/>
      <c r="AU667" s="18"/>
      <c r="AV667" s="18">
        <v>42</v>
      </c>
      <c r="AW667" s="18" t="s">
        <v>123</v>
      </c>
      <c r="AX667" s="18"/>
      <c r="AY667" s="11"/>
      <c r="AZ667" s="28" t="s">
        <v>6</v>
      </c>
      <c r="BA667" s="28"/>
      <c r="BB667" s="32"/>
      <c r="BC667" s="63">
        <v>0</v>
      </c>
      <c r="BD667" s="64">
        <v>0</v>
      </c>
      <c r="BE667" s="33"/>
      <c r="BF667" s="8"/>
      <c r="BG667" s="35"/>
      <c r="BH667" s="65"/>
      <c r="BI667" s="66"/>
      <c r="BJ667" s="29"/>
      <c r="BK667" s="31"/>
      <c r="BL667" s="35"/>
    </row>
    <row r="668" spans="1:64" ht="15" thickBot="1" x14ac:dyDescent="0.35">
      <c r="A668" s="47"/>
      <c r="B668" s="47"/>
      <c r="C668" s="49"/>
      <c r="D668" s="48"/>
      <c r="E668" s="48"/>
      <c r="F668" s="48"/>
      <c r="G668" s="46"/>
      <c r="H668" s="47">
        <v>24</v>
      </c>
      <c r="I668" s="37" t="s">
        <v>94</v>
      </c>
      <c r="J668" s="49">
        <f>SUM(H667:H668)</f>
        <v>24</v>
      </c>
      <c r="K668" s="28"/>
      <c r="L668" s="12" t="s">
        <v>102</v>
      </c>
      <c r="M668" s="18">
        <v>0</v>
      </c>
      <c r="N668" s="18">
        <v>690</v>
      </c>
      <c r="O668" s="10"/>
      <c r="P668" s="18"/>
      <c r="Q668" s="11"/>
      <c r="R668" s="18"/>
      <c r="S668" s="18"/>
      <c r="T668" s="10"/>
      <c r="U668" s="18"/>
      <c r="V668" s="11"/>
      <c r="W668" s="28"/>
      <c r="AB668" s="42" t="s">
        <v>84</v>
      </c>
      <c r="AC668" s="10">
        <f>SUM(AC666:AC667)</f>
        <v>115</v>
      </c>
      <c r="AD668" s="11">
        <f>SUM(AD666:AD667)</f>
        <v>73</v>
      </c>
      <c r="AE668" s="18"/>
      <c r="AF668" s="18"/>
      <c r="AG668" s="18"/>
      <c r="AH668" s="10"/>
      <c r="AI668" s="11"/>
      <c r="AJ668" s="12"/>
      <c r="AK668" s="57">
        <v>1</v>
      </c>
      <c r="AL668" s="37" t="s">
        <v>908</v>
      </c>
      <c r="AM668" s="11"/>
      <c r="AP668" s="10" t="s">
        <v>125</v>
      </c>
      <c r="AQ668" s="36">
        <v>0</v>
      </c>
      <c r="AR668" s="37">
        <v>0</v>
      </c>
      <c r="AS668" s="42"/>
      <c r="AT668" s="11"/>
      <c r="AU668" s="18"/>
      <c r="AV668" s="18">
        <v>12</v>
      </c>
      <c r="AW668" s="18" t="s">
        <v>126</v>
      </c>
      <c r="AX668" s="18"/>
      <c r="AY668" s="11"/>
      <c r="AZ668" s="28"/>
      <c r="BA668" s="28"/>
      <c r="BB668" s="41"/>
      <c r="BC668" s="70">
        <v>0</v>
      </c>
      <c r="BD668" s="71">
        <v>0</v>
      </c>
      <c r="BE668" s="42"/>
      <c r="BF668" s="28"/>
      <c r="BG668" s="40"/>
      <c r="BH668" s="42"/>
      <c r="BI668" s="40"/>
      <c r="BJ668" s="42"/>
      <c r="BK668" s="54"/>
      <c r="BL668" s="40"/>
    </row>
    <row r="669" spans="1:64" ht="15" thickBot="1" x14ac:dyDescent="0.35">
      <c r="A669" s="29" t="s">
        <v>250</v>
      </c>
      <c r="B669" s="29">
        <v>0</v>
      </c>
      <c r="C669" s="7">
        <v>0</v>
      </c>
      <c r="D669" s="8"/>
      <c r="E669" s="8"/>
      <c r="F669" s="8"/>
      <c r="G669" s="9"/>
      <c r="H669" s="8" t="s">
        <v>104</v>
      </c>
      <c r="I669" s="8"/>
      <c r="J669" s="7"/>
      <c r="K669" s="28"/>
      <c r="L669" s="12" t="s">
        <v>84</v>
      </c>
      <c r="M669" s="18">
        <f>SUM(M666:M668)</f>
        <v>0</v>
      </c>
      <c r="N669" s="18">
        <f>SUM(N666:N668)</f>
        <v>690</v>
      </c>
      <c r="O669" s="10">
        <v>0</v>
      </c>
      <c r="P669" s="18">
        <v>0</v>
      </c>
      <c r="Q669" s="11">
        <v>0</v>
      </c>
      <c r="R669" s="18">
        <v>0</v>
      </c>
      <c r="S669" s="18">
        <v>0</v>
      </c>
      <c r="T669" s="13"/>
      <c r="U669" s="27"/>
      <c r="V669" s="26"/>
      <c r="W669" s="28"/>
      <c r="AB669" s="50"/>
      <c r="AC669" s="8"/>
      <c r="AD669" s="8"/>
      <c r="AE669" s="6"/>
      <c r="AF669" s="8"/>
      <c r="AG669" s="7"/>
      <c r="AH669" s="6"/>
      <c r="AI669" s="7"/>
      <c r="AJ669" s="6"/>
      <c r="AK669" s="33" t="s">
        <v>6</v>
      </c>
      <c r="AL669" s="34"/>
      <c r="AM669" s="7"/>
      <c r="AP669" s="84" t="s">
        <v>128</v>
      </c>
      <c r="AQ669" s="52">
        <v>0</v>
      </c>
      <c r="AR669" s="37">
        <v>0</v>
      </c>
      <c r="AS669" s="42"/>
      <c r="AT669" s="40"/>
      <c r="AU669" s="28"/>
      <c r="AV669" s="28">
        <v>34</v>
      </c>
      <c r="AW669" s="28" t="s">
        <v>129</v>
      </c>
      <c r="AX669" s="28"/>
      <c r="AY669" s="40"/>
      <c r="AZ669" s="28"/>
      <c r="BA669" s="28" t="s">
        <v>6</v>
      </c>
      <c r="BB669" s="68"/>
      <c r="BC669">
        <f>SUM(BC667:BC668)</f>
        <v>0</v>
      </c>
      <c r="BD669">
        <f>SUM(BD667:BD668)</f>
        <v>0</v>
      </c>
      <c r="BE669" s="47">
        <v>0</v>
      </c>
      <c r="BF669" s="27">
        <v>0</v>
      </c>
      <c r="BG669" s="49">
        <v>0</v>
      </c>
      <c r="BH669" s="75">
        <v>0</v>
      </c>
      <c r="BI669" s="49">
        <v>0</v>
      </c>
      <c r="BJ669" s="47"/>
      <c r="BK669" s="51"/>
      <c r="BL669" s="49">
        <f>SUM(BJ668:BJ669)</f>
        <v>0</v>
      </c>
    </row>
    <row r="670" spans="1:64" ht="15" thickBot="1" x14ac:dyDescent="0.35">
      <c r="A670" s="42" t="s">
        <v>105</v>
      </c>
      <c r="B670" s="42">
        <v>172</v>
      </c>
      <c r="C670" s="40">
        <v>220</v>
      </c>
      <c r="D670" s="28"/>
      <c r="E670" s="38" t="s">
        <v>60</v>
      </c>
      <c r="F670" s="28"/>
      <c r="G670" s="41"/>
      <c r="H670" s="67">
        <v>7</v>
      </c>
      <c r="I670" s="43" t="s">
        <v>106</v>
      </c>
      <c r="J670" s="40">
        <f>SUM(H670)</f>
        <v>7</v>
      </c>
      <c r="K670" s="28"/>
      <c r="L670" s="32"/>
      <c r="M670" s="33"/>
      <c r="N670" s="35"/>
      <c r="O670" s="34"/>
      <c r="P670" s="34"/>
      <c r="Q670" s="35"/>
      <c r="R670" s="33"/>
      <c r="S670" s="35"/>
      <c r="T670" s="6" t="s">
        <v>104</v>
      </c>
      <c r="U670" s="34"/>
      <c r="V670" s="35"/>
      <c r="W670" s="28"/>
      <c r="AB670" s="46"/>
      <c r="AC670" s="27"/>
      <c r="AD670" s="27"/>
      <c r="AE670" s="13"/>
      <c r="AF670" s="27"/>
      <c r="AG670" s="26"/>
      <c r="AH670" s="13"/>
      <c r="AI670" s="26"/>
      <c r="AJ670" s="13"/>
      <c r="AK670" s="47"/>
      <c r="AL670" s="74"/>
      <c r="AM670" s="26"/>
      <c r="AP670" s="84" t="s">
        <v>132</v>
      </c>
      <c r="AQ670" s="42">
        <v>0</v>
      </c>
      <c r="AR670" s="37">
        <v>0</v>
      </c>
      <c r="AS670" s="42"/>
      <c r="AT670" s="40"/>
      <c r="AU670" s="28"/>
      <c r="AV670" s="28"/>
      <c r="AW670" s="28"/>
      <c r="AX670" s="28"/>
      <c r="AY670" s="40"/>
      <c r="AZ670" s="28"/>
      <c r="BA670" s="28" t="s">
        <v>6</v>
      </c>
      <c r="BB670" s="33" t="s">
        <v>89</v>
      </c>
      <c r="BC670" s="78">
        <v>348</v>
      </c>
      <c r="BD670" s="79">
        <v>362</v>
      </c>
      <c r="BE670" s="34"/>
      <c r="BF670" s="8"/>
      <c r="BG670" s="35"/>
      <c r="BH670" s="80"/>
      <c r="BI670" s="34"/>
      <c r="BJ670" s="33"/>
      <c r="BK670" s="34" t="s">
        <v>91</v>
      </c>
      <c r="BL670" s="35"/>
    </row>
    <row r="671" spans="1:64" ht="15" thickBot="1" x14ac:dyDescent="0.35">
      <c r="A671" s="67" t="s">
        <v>84</v>
      </c>
      <c r="B671" s="47">
        <f>SUM(B669:B670)</f>
        <v>172</v>
      </c>
      <c r="C671" s="49">
        <f>SUM(C669:C670)</f>
        <v>220</v>
      </c>
      <c r="G671" s="46">
        <f>7*70</f>
        <v>490</v>
      </c>
      <c r="H671" s="48"/>
      <c r="I671" s="48"/>
      <c r="J671" s="49"/>
      <c r="K671" s="28"/>
      <c r="L671" s="69" t="s">
        <v>109</v>
      </c>
      <c r="M671" s="42">
        <v>2954</v>
      </c>
      <c r="N671" s="40">
        <v>0</v>
      </c>
      <c r="O671" s="28">
        <v>0</v>
      </c>
      <c r="P671" s="43">
        <v>0</v>
      </c>
      <c r="Q671" s="40">
        <v>0</v>
      </c>
      <c r="R671" s="42">
        <v>0</v>
      </c>
      <c r="S671" s="40">
        <v>0</v>
      </c>
      <c r="T671" s="28"/>
      <c r="U671" s="28"/>
      <c r="V671" s="40"/>
      <c r="W671" s="28"/>
      <c r="AA671" s="28"/>
      <c r="AB671" s="44"/>
      <c r="AC671" s="45"/>
      <c r="AD671" s="45"/>
      <c r="AE671" s="10"/>
      <c r="AF671" s="18"/>
      <c r="AG671" s="11"/>
      <c r="AH671" s="10"/>
      <c r="AI671" s="11"/>
      <c r="AJ671" s="67"/>
      <c r="AK671" s="42"/>
      <c r="AM671" s="40"/>
      <c r="AN671" s="28"/>
      <c r="AP671" s="84" t="s">
        <v>81</v>
      </c>
      <c r="AQ671" s="42">
        <v>0</v>
      </c>
      <c r="AR671" s="37">
        <v>0</v>
      </c>
      <c r="AS671" s="42"/>
      <c r="AT671" s="40"/>
      <c r="AU671" s="28"/>
      <c r="AV671" s="28"/>
      <c r="AW671" s="28"/>
      <c r="AX671" s="28"/>
      <c r="AY671" s="40"/>
      <c r="AZ671" s="45"/>
      <c r="BA671" s="28"/>
      <c r="BB671" s="52" t="s">
        <v>85</v>
      </c>
      <c r="BC671" s="42">
        <v>0</v>
      </c>
      <c r="BD671" s="40">
        <v>0</v>
      </c>
      <c r="BE671" s="28"/>
      <c r="BF671" s="28"/>
      <c r="BG671" s="40"/>
      <c r="BJ671" s="42"/>
      <c r="BK671" s="43"/>
      <c r="BL671" s="40"/>
    </row>
    <row r="672" spans="1:64" ht="15" thickBot="1" x14ac:dyDescent="0.35">
      <c r="A672" s="29" t="s">
        <v>108</v>
      </c>
      <c r="B672" s="29">
        <v>0</v>
      </c>
      <c r="C672" s="7">
        <v>0</v>
      </c>
      <c r="D672" s="8"/>
      <c r="E672" s="8">
        <v>1323</v>
      </c>
      <c r="F672" s="8"/>
      <c r="G672" s="50"/>
      <c r="H672" s="6" t="s">
        <v>104</v>
      </c>
      <c r="I672" s="31"/>
      <c r="J672" s="30"/>
      <c r="K672" s="28"/>
      <c r="L672" s="46"/>
      <c r="M672" s="47"/>
      <c r="N672" s="49"/>
      <c r="O672" s="48"/>
      <c r="P672" s="48"/>
      <c r="Q672" s="49"/>
      <c r="R672" s="72"/>
      <c r="S672" s="73"/>
      <c r="T672" s="48"/>
      <c r="U672" s="48"/>
      <c r="V672" s="49"/>
      <c r="W672" s="28"/>
      <c r="AA672" s="28"/>
      <c r="AB672" s="41"/>
      <c r="AE672" s="10">
        <v>0</v>
      </c>
      <c r="AF672" s="18">
        <v>0</v>
      </c>
      <c r="AG672" s="11">
        <v>0</v>
      </c>
      <c r="AH672" s="10"/>
      <c r="AI672" s="11"/>
      <c r="AJ672" s="47"/>
      <c r="AK672" s="72"/>
      <c r="AL672" s="74"/>
      <c r="AM672" s="49"/>
      <c r="AN672" s="28"/>
      <c r="AP672" s="10" t="s">
        <v>138</v>
      </c>
      <c r="AQ672" s="36">
        <v>0</v>
      </c>
      <c r="AR672" s="37">
        <v>0</v>
      </c>
      <c r="AS672" s="42"/>
      <c r="AT672" s="11"/>
      <c r="AU672" s="18"/>
      <c r="AV672" s="18"/>
      <c r="AW672" s="18"/>
      <c r="AX672" s="18"/>
      <c r="AY672" s="11"/>
      <c r="AZ672" s="28"/>
      <c r="BA672" s="28" t="s">
        <v>6</v>
      </c>
      <c r="BB672" s="67" t="s">
        <v>113</v>
      </c>
      <c r="BC672" s="42">
        <v>543</v>
      </c>
      <c r="BD672" s="40">
        <v>544</v>
      </c>
      <c r="BE672" s="28"/>
      <c r="BF672" s="28"/>
      <c r="BG672" s="40"/>
      <c r="BH672" s="28"/>
      <c r="BI672" s="28"/>
      <c r="BJ672" s="67">
        <v>68</v>
      </c>
      <c r="BK672" s="43" t="s">
        <v>73</v>
      </c>
      <c r="BL672" s="40"/>
    </row>
    <row r="673" spans="1:65" ht="15" thickBot="1" x14ac:dyDescent="0.35">
      <c r="A673" s="52" t="s">
        <v>109</v>
      </c>
      <c r="B673" s="36">
        <v>1162</v>
      </c>
      <c r="C673" s="11">
        <v>957</v>
      </c>
      <c r="D673" s="45"/>
      <c r="E673" s="45">
        <v>0</v>
      </c>
      <c r="F673" s="45"/>
      <c r="G673" s="69"/>
      <c r="H673" s="45">
        <v>9</v>
      </c>
      <c r="I673" s="28" t="s">
        <v>114</v>
      </c>
      <c r="J673" s="40"/>
      <c r="K673" s="28"/>
      <c r="L673" s="50" t="s">
        <v>93</v>
      </c>
      <c r="M673" s="8">
        <v>3310</v>
      </c>
      <c r="N673" s="8">
        <v>1770</v>
      </c>
      <c r="O673" s="6"/>
      <c r="P673" s="8"/>
      <c r="Q673" s="7"/>
      <c r="R673" s="8">
        <v>0</v>
      </c>
      <c r="S673" s="8">
        <v>0</v>
      </c>
      <c r="T673" s="10" t="s">
        <v>116</v>
      </c>
      <c r="U673" s="8"/>
      <c r="V673" s="7"/>
      <c r="W673" s="28"/>
      <c r="AA673" s="28"/>
      <c r="AB673" s="33"/>
      <c r="AC673" s="6"/>
      <c r="AD673" s="7"/>
      <c r="AE673" s="8"/>
      <c r="AF673" s="8"/>
      <c r="AG673" s="8"/>
      <c r="AH673" s="6"/>
      <c r="AI673" s="7"/>
      <c r="AJ673" s="8"/>
      <c r="AK673" s="29"/>
      <c r="AL673" s="164"/>
      <c r="AM673" s="7"/>
      <c r="AN673" s="28"/>
      <c r="AP673" s="84" t="s">
        <v>56</v>
      </c>
      <c r="AQ673" s="42">
        <v>0</v>
      </c>
      <c r="AR673" s="54">
        <v>0</v>
      </c>
      <c r="AS673" s="42"/>
      <c r="AT673" s="40"/>
      <c r="AU673" s="28"/>
      <c r="AV673" s="28"/>
      <c r="AW673" s="28"/>
      <c r="AX673" s="28"/>
      <c r="AY673" s="40"/>
      <c r="AZ673" s="28"/>
      <c r="BA673" s="28"/>
      <c r="BB673" s="47" t="s">
        <v>84</v>
      </c>
      <c r="BC673" s="47">
        <f>SUM(BC670:BC672)</f>
        <v>891</v>
      </c>
      <c r="BD673" s="49">
        <f>SUM(BD670:BD672)</f>
        <v>906</v>
      </c>
      <c r="BE673" s="81">
        <v>0</v>
      </c>
      <c r="BF673" s="27">
        <v>0</v>
      </c>
      <c r="BG673" s="82">
        <f>+BG670</f>
        <v>0</v>
      </c>
      <c r="BH673" s="74">
        <v>0</v>
      </c>
      <c r="BI673" s="74">
        <v>0</v>
      </c>
      <c r="BJ673" s="47"/>
      <c r="BK673" s="51"/>
      <c r="BL673" s="49">
        <f>SUM(BJ672)</f>
        <v>68</v>
      </c>
    </row>
    <row r="674" spans="1:65" ht="15" thickBot="1" x14ac:dyDescent="0.35">
      <c r="A674" s="76" t="s">
        <v>84</v>
      </c>
      <c r="B674" s="42">
        <f>SUM(B672:B673)</f>
        <v>1162</v>
      </c>
      <c r="C674" s="40">
        <f>SUM(C672:C673)</f>
        <v>957</v>
      </c>
      <c r="D674" s="28"/>
      <c r="E674" s="28">
        <f>SUM(E672:E673)</f>
        <v>1323</v>
      </c>
      <c r="F674" s="28"/>
      <c r="G674" s="46">
        <f>9*355</f>
        <v>3195</v>
      </c>
      <c r="H674" s="48"/>
      <c r="I674" s="48"/>
      <c r="J674" s="49">
        <f>SUM(H673)</f>
        <v>9</v>
      </c>
      <c r="K674" s="28"/>
      <c r="L674" s="12" t="s">
        <v>99</v>
      </c>
      <c r="M674" s="37">
        <v>31996</v>
      </c>
      <c r="N674" s="37">
        <v>27222</v>
      </c>
      <c r="O674" s="10"/>
      <c r="P674" s="18"/>
      <c r="Q674" s="11"/>
      <c r="R674" s="18">
        <v>5649</v>
      </c>
      <c r="S674" s="18">
        <v>148</v>
      </c>
      <c r="T674" s="10"/>
      <c r="U674" s="18"/>
      <c r="V674" s="11"/>
      <c r="W674" s="28"/>
      <c r="AA674" s="28"/>
      <c r="AB674" s="67"/>
      <c r="AC674" s="42"/>
      <c r="AD674" s="40"/>
      <c r="AE674" s="28"/>
      <c r="AF674" s="28"/>
      <c r="AG674" s="28"/>
      <c r="AH674" s="42"/>
      <c r="AI674" s="40"/>
      <c r="AJ674" s="28"/>
      <c r="AK674" s="42"/>
      <c r="AL674" s="54" t="s">
        <v>831</v>
      </c>
      <c r="AM674" s="40"/>
      <c r="AN674" s="28"/>
      <c r="AP674" s="36" t="s">
        <v>67</v>
      </c>
      <c r="AQ674" s="10">
        <v>21</v>
      </c>
      <c r="AR674" s="18">
        <v>22</v>
      </c>
      <c r="AS674" s="42"/>
      <c r="AT674" s="11"/>
      <c r="AU674" s="18"/>
      <c r="AV674" s="18"/>
      <c r="AW674" s="18"/>
      <c r="AX674" s="18"/>
      <c r="AY674" s="11"/>
      <c r="AZ674" s="28"/>
      <c r="BA674" s="28" t="s">
        <v>6</v>
      </c>
      <c r="BB674" s="52" t="s">
        <v>113</v>
      </c>
      <c r="BC674" s="42">
        <v>701</v>
      </c>
      <c r="BD674" s="85">
        <v>626</v>
      </c>
      <c r="BE674" s="37"/>
      <c r="BF674" s="18"/>
      <c r="BG674" s="54"/>
      <c r="BH674" s="52"/>
      <c r="BI674" s="40"/>
      <c r="BJ674" s="67"/>
      <c r="BK674" s="34" t="s">
        <v>130</v>
      </c>
      <c r="BL674" s="40"/>
    </row>
    <row r="675" spans="1:65" ht="15" thickBot="1" x14ac:dyDescent="0.35">
      <c r="A675" s="33" t="s">
        <v>785</v>
      </c>
      <c r="B675" s="33">
        <v>0</v>
      </c>
      <c r="C675" s="35">
        <v>0</v>
      </c>
      <c r="D675" s="33"/>
      <c r="E675" s="34"/>
      <c r="F675" s="34"/>
      <c r="G675" s="32"/>
      <c r="H675" s="33" t="s">
        <v>118</v>
      </c>
      <c r="I675" s="34"/>
      <c r="J675" s="35"/>
      <c r="K675" s="28"/>
      <c r="L675" s="12" t="s">
        <v>120</v>
      </c>
      <c r="M675" s="37">
        <v>11</v>
      </c>
      <c r="N675" s="37">
        <v>30380</v>
      </c>
      <c r="O675" s="10"/>
      <c r="P675" s="18"/>
      <c r="Q675" s="11"/>
      <c r="R675" s="18">
        <v>562</v>
      </c>
      <c r="S675" s="18"/>
      <c r="T675" s="10"/>
      <c r="U675" s="18"/>
      <c r="V675" s="11"/>
      <c r="W675" s="28"/>
      <c r="AA675" s="28"/>
      <c r="AB675" s="36"/>
      <c r="AC675" s="10"/>
      <c r="AD675" s="11"/>
      <c r="AE675" s="18"/>
      <c r="AF675" s="18"/>
      <c r="AG675" s="18"/>
      <c r="AH675" s="10"/>
      <c r="AI675" s="11"/>
      <c r="AJ675" s="18"/>
      <c r="AK675" s="10">
        <v>5</v>
      </c>
      <c r="AL675" s="37" t="s">
        <v>436</v>
      </c>
      <c r="AM675" s="11"/>
      <c r="AN675" s="28"/>
      <c r="AP675" s="13" t="s">
        <v>84</v>
      </c>
      <c r="AQ675" s="13">
        <f>SUM(AQ663:AQ674)</f>
        <v>202</v>
      </c>
      <c r="AR675" s="27">
        <f>SUM(AR663:AR674)</f>
        <v>181</v>
      </c>
      <c r="AS675" s="47"/>
      <c r="AT675" s="26">
        <f>SUM(AT667:AT674)</f>
        <v>0</v>
      </c>
      <c r="AU675" s="27"/>
      <c r="AV675" s="27"/>
      <c r="AW675" s="27"/>
      <c r="AX675" s="27"/>
      <c r="AY675" s="26">
        <f>SUM(AV667:AV669)</f>
        <v>88</v>
      </c>
      <c r="AZ675" s="28"/>
      <c r="BA675" s="28"/>
      <c r="BB675" s="42" t="s">
        <v>475</v>
      </c>
      <c r="BC675" s="67"/>
      <c r="BD675" s="85"/>
      <c r="BE675" s="28"/>
      <c r="BF675" s="18"/>
      <c r="BG675" s="28"/>
      <c r="BH675" s="52"/>
      <c r="BI675" s="86"/>
      <c r="BJ675" s="52">
        <v>50</v>
      </c>
      <c r="BK675" s="43" t="s">
        <v>73</v>
      </c>
      <c r="BL675" s="40"/>
      <c r="BM675" t="s">
        <v>6</v>
      </c>
    </row>
    <row r="676" spans="1:65" ht="15" thickBot="1" x14ac:dyDescent="0.35">
      <c r="A676" s="67" t="s">
        <v>93</v>
      </c>
      <c r="B676" s="67">
        <v>2571</v>
      </c>
      <c r="C676" s="56">
        <v>2817</v>
      </c>
      <c r="G676" s="41">
        <v>3000</v>
      </c>
      <c r="H676" s="42">
        <v>30</v>
      </c>
      <c r="I676" s="28" t="s">
        <v>127</v>
      </c>
      <c r="J676" s="40"/>
      <c r="K676" s="28"/>
      <c r="L676" s="12" t="s">
        <v>84</v>
      </c>
      <c r="M676" s="18">
        <f>SUM(M673:M675)</f>
        <v>35317</v>
      </c>
      <c r="N676" s="18">
        <f>SUM(N673:N675)</f>
        <v>59372</v>
      </c>
      <c r="O676" s="10">
        <v>0</v>
      </c>
      <c r="P676" s="18">
        <v>0</v>
      </c>
      <c r="Q676" s="11">
        <v>0</v>
      </c>
      <c r="R676" s="18">
        <f>SUM(R673:R675)</f>
        <v>6211</v>
      </c>
      <c r="S676" s="18">
        <f>SUM(S673:S675)</f>
        <v>148</v>
      </c>
      <c r="T676" s="10"/>
      <c r="U676" s="18"/>
      <c r="V676" s="11"/>
      <c r="W676" s="28"/>
      <c r="AA676" s="28"/>
      <c r="AB676" s="42"/>
      <c r="AC676" s="42"/>
      <c r="AD676" s="40"/>
      <c r="AE676" s="28"/>
      <c r="AF676" s="28"/>
      <c r="AG676" s="28"/>
      <c r="AH676" s="42"/>
      <c r="AI676" s="40"/>
      <c r="AJ676" s="28"/>
      <c r="AK676" s="42">
        <v>1</v>
      </c>
      <c r="AL676" s="28" t="s">
        <v>882</v>
      </c>
      <c r="AM676" s="40"/>
      <c r="AN676" s="28"/>
      <c r="AP676" s="32"/>
      <c r="AQ676" s="53"/>
      <c r="AR676" s="97"/>
      <c r="AS676" s="33"/>
      <c r="AT676" s="7"/>
      <c r="AU676" s="6"/>
      <c r="AV676" s="8"/>
      <c r="AW676" s="31"/>
      <c r="AX676" s="8"/>
      <c r="AY676" s="7"/>
      <c r="AZ676" s="28"/>
      <c r="BA676" s="28"/>
      <c r="BB676" s="59" t="s">
        <v>84</v>
      </c>
      <c r="BC676" s="13">
        <f>SUM(BC674:BC675)</f>
        <v>701</v>
      </c>
      <c r="BD676" s="60">
        <f>SUM(BD674:BD675)</f>
        <v>626</v>
      </c>
      <c r="BE676" s="81">
        <v>0</v>
      </c>
      <c r="BF676" s="27">
        <v>0</v>
      </c>
      <c r="BG676" s="27">
        <v>0</v>
      </c>
      <c r="BH676" s="13">
        <v>0</v>
      </c>
      <c r="BI676" s="26">
        <v>0</v>
      </c>
      <c r="BJ676" s="13"/>
      <c r="BK676" s="43"/>
      <c r="BL676" s="26">
        <f>SUM(BJ674:BJ675)</f>
        <v>50</v>
      </c>
    </row>
    <row r="677" spans="1:65" ht="15" thickBot="1" x14ac:dyDescent="0.35">
      <c r="A677" s="42" t="s">
        <v>120</v>
      </c>
      <c r="B677" s="42">
        <v>3760</v>
      </c>
      <c r="C677" s="40">
        <v>3907</v>
      </c>
      <c r="D677" s="42"/>
      <c r="E677" s="107" t="s">
        <v>60</v>
      </c>
      <c r="F677" s="28"/>
      <c r="G677" s="41">
        <v>4560</v>
      </c>
      <c r="H677" s="42">
        <v>30</v>
      </c>
      <c r="I677" s="28" t="s">
        <v>101</v>
      </c>
      <c r="J677" s="40"/>
      <c r="K677" s="28"/>
      <c r="L677" s="17"/>
      <c r="M677" s="27"/>
      <c r="N677" s="27"/>
      <c r="O677" s="13"/>
      <c r="P677" s="27"/>
      <c r="Q677" s="26"/>
      <c r="R677" s="27"/>
      <c r="S677" s="27"/>
      <c r="T677" s="13"/>
      <c r="U677" s="27"/>
      <c r="V677" s="26"/>
      <c r="W677" s="28"/>
      <c r="AA677" s="28"/>
      <c r="AB677" s="47"/>
      <c r="AC677" s="47"/>
      <c r="AD677" s="49"/>
      <c r="AE677" s="48"/>
      <c r="AF677" s="48"/>
      <c r="AG677" s="48"/>
      <c r="AH677" s="47"/>
      <c r="AI677" s="49"/>
      <c r="AJ677" s="48"/>
      <c r="AK677" s="165"/>
      <c r="AL677" s="48"/>
      <c r="AM677" s="49"/>
      <c r="AN677" s="28"/>
      <c r="AP677" s="62"/>
      <c r="AQ677" s="72"/>
      <c r="AR677" s="73"/>
      <c r="AS677" s="47"/>
      <c r="AT677" s="49"/>
      <c r="AU677" s="47"/>
      <c r="AV677" s="48"/>
      <c r="AW677" s="48"/>
      <c r="AX677" s="48"/>
      <c r="AY677" s="49"/>
      <c r="BA677" s="28"/>
      <c r="BB677" s="88" t="s">
        <v>158</v>
      </c>
      <c r="BC677" s="33">
        <v>8</v>
      </c>
      <c r="BD677" s="34">
        <v>7</v>
      </c>
      <c r="BE677" s="152"/>
      <c r="BF677" s="89"/>
      <c r="BG677" s="66">
        <v>7</v>
      </c>
      <c r="BH677" s="8"/>
      <c r="BI677" s="35"/>
      <c r="BJ677" s="34" t="s">
        <v>140</v>
      </c>
      <c r="BK677" s="34"/>
      <c r="BL677" s="35"/>
    </row>
    <row r="678" spans="1:65" ht="15" thickBot="1" x14ac:dyDescent="0.35">
      <c r="A678" s="47" t="s">
        <v>84</v>
      </c>
      <c r="B678" s="47">
        <f>SUM(B675:B677)</f>
        <v>6331</v>
      </c>
      <c r="C678" s="49">
        <f>SUM(C675:C677)</f>
        <v>6724</v>
      </c>
      <c r="D678" s="47"/>
      <c r="E678" s="48"/>
      <c r="F678" s="48"/>
      <c r="G678" s="46">
        <f>SUM(G675:G677)</f>
        <v>7560</v>
      </c>
      <c r="H678" s="47"/>
      <c r="I678" s="48"/>
      <c r="J678" s="49">
        <f>SUM(H677:H678)</f>
        <v>30</v>
      </c>
      <c r="K678" s="28"/>
      <c r="L678" s="12" t="s">
        <v>105</v>
      </c>
      <c r="M678" s="34">
        <v>1051</v>
      </c>
      <c r="N678" s="34">
        <v>3853</v>
      </c>
      <c r="O678" s="33"/>
      <c r="P678" s="34"/>
      <c r="Q678" s="35"/>
      <c r="R678" s="34">
        <v>1</v>
      </c>
      <c r="S678" s="34">
        <v>0</v>
      </c>
      <c r="T678" s="33"/>
      <c r="U678" s="34"/>
      <c r="V678" s="35"/>
      <c r="W678" s="28"/>
      <c r="AA678" s="28"/>
      <c r="AB678" s="32" t="s">
        <v>97</v>
      </c>
      <c r="AC678" s="28">
        <v>136</v>
      </c>
      <c r="AD678" s="28">
        <v>54</v>
      </c>
      <c r="AE678" s="33"/>
      <c r="AF678" s="34"/>
      <c r="AG678" s="34"/>
      <c r="AH678" s="33"/>
      <c r="AI678" s="35"/>
      <c r="AJ678" s="35"/>
      <c r="AK678" s="33" t="s">
        <v>883</v>
      </c>
      <c r="AL678" s="34"/>
      <c r="AM678" s="35"/>
      <c r="AN678" s="28"/>
      <c r="AP678" s="67" t="s">
        <v>63</v>
      </c>
      <c r="AQ678" s="33">
        <v>1</v>
      </c>
      <c r="AR678" s="35">
        <v>1</v>
      </c>
      <c r="AU678" s="33"/>
      <c r="AV678" s="34"/>
      <c r="AW678" s="34"/>
      <c r="AX678" s="34"/>
      <c r="AY678" s="35"/>
      <c r="AZ678" s="28"/>
      <c r="BA678" s="28"/>
      <c r="BB678" s="42" t="s">
        <v>164</v>
      </c>
      <c r="BC678" s="42">
        <v>3</v>
      </c>
      <c r="BD678" s="43">
        <f>3+4</f>
        <v>7</v>
      </c>
      <c r="BE678" s="42"/>
      <c r="BF678" s="28"/>
      <c r="BG678" s="40"/>
      <c r="BH678" s="28"/>
      <c r="BI678" s="40"/>
      <c r="BJ678" s="28"/>
      <c r="BK678" s="28"/>
      <c r="BL678" s="40"/>
    </row>
    <row r="679" spans="1:65" x14ac:dyDescent="0.3">
      <c r="A679" s="41" t="s">
        <v>88</v>
      </c>
      <c r="B679" s="42">
        <v>365</v>
      </c>
      <c r="C679" s="40">
        <v>578</v>
      </c>
      <c r="D679" s="28"/>
      <c r="E679" s="45">
        <v>0</v>
      </c>
      <c r="F679" s="40"/>
      <c r="G679" s="40">
        <v>1703</v>
      </c>
      <c r="H679" s="28" t="s">
        <v>131</v>
      </c>
      <c r="J679" s="40"/>
      <c r="K679" s="28"/>
      <c r="L679" s="44" t="s">
        <v>99</v>
      </c>
      <c r="M679" s="18">
        <v>243</v>
      </c>
      <c r="N679" s="18">
        <v>0</v>
      </c>
      <c r="O679" s="10"/>
      <c r="P679" s="18"/>
      <c r="Q679" s="11"/>
      <c r="R679" s="18">
        <v>0</v>
      </c>
      <c r="S679" s="18">
        <v>0</v>
      </c>
      <c r="T679" s="10" t="s">
        <v>135</v>
      </c>
      <c r="U679" s="18"/>
      <c r="V679" s="11"/>
      <c r="W679" s="28"/>
      <c r="AA679" s="28"/>
      <c r="AB679" s="41" t="s">
        <v>89</v>
      </c>
      <c r="AC679" s="28">
        <v>441</v>
      </c>
      <c r="AD679" s="28">
        <v>450</v>
      </c>
      <c r="AE679" s="42"/>
      <c r="AF679" s="28"/>
      <c r="AG679" s="28"/>
      <c r="AH679" s="42"/>
      <c r="AI679" s="40"/>
      <c r="AJ679" s="40"/>
      <c r="AK679" s="42" t="s">
        <v>833</v>
      </c>
      <c r="AL679" s="28"/>
      <c r="AM679" s="40"/>
      <c r="AN679" s="28"/>
      <c r="AP679" s="67" t="s">
        <v>716</v>
      </c>
      <c r="AQ679" s="42">
        <v>0</v>
      </c>
      <c r="AR679" s="40">
        <v>0</v>
      </c>
      <c r="AU679" s="42"/>
      <c r="AV679" s="28"/>
      <c r="AW679" s="28"/>
      <c r="AX679" s="28"/>
      <c r="AY679" s="40"/>
      <c r="AZ679" s="28"/>
      <c r="BA679" s="28"/>
      <c r="BB679" s="153" t="s">
        <v>108</v>
      </c>
      <c r="BC679" s="42">
        <v>0</v>
      </c>
      <c r="BD679" s="43">
        <v>2</v>
      </c>
      <c r="BE679" s="42"/>
      <c r="BF679" s="28"/>
      <c r="BG679" s="40"/>
      <c r="BH679" s="28"/>
      <c r="BI679" s="40"/>
      <c r="BJ679" s="28"/>
      <c r="BK679" s="28"/>
      <c r="BL679" s="40"/>
    </row>
    <row r="680" spans="1:65" x14ac:dyDescent="0.3">
      <c r="A680" s="41" t="s">
        <v>102</v>
      </c>
      <c r="B680" s="42">
        <v>282</v>
      </c>
      <c r="C680" s="85">
        <v>337</v>
      </c>
      <c r="D680" s="28"/>
      <c r="E680" s="45">
        <v>0</v>
      </c>
      <c r="F680" s="40"/>
      <c r="G680" s="40">
        <v>1338</v>
      </c>
      <c r="H680" s="43">
        <v>8</v>
      </c>
      <c r="I680" s="28" t="s">
        <v>134</v>
      </c>
      <c r="J680" s="40"/>
      <c r="K680" s="28"/>
      <c r="L680" s="12"/>
      <c r="M680" s="18"/>
      <c r="N680" s="18"/>
      <c r="O680" s="10"/>
      <c r="P680" s="18"/>
      <c r="Q680" s="11"/>
      <c r="R680" s="18"/>
      <c r="S680" s="18"/>
      <c r="T680" s="10"/>
      <c r="U680" s="18"/>
      <c r="V680" s="11"/>
      <c r="W680" s="28"/>
      <c r="AA680" s="28"/>
      <c r="AB680" s="44" t="s">
        <v>137</v>
      </c>
      <c r="AC680" s="18">
        <v>246</v>
      </c>
      <c r="AD680" s="18">
        <v>228</v>
      </c>
      <c r="AE680" s="10"/>
      <c r="AF680" s="18"/>
      <c r="AG680" s="18"/>
      <c r="AH680" s="52"/>
      <c r="AI680" s="85"/>
      <c r="AJ680" s="40"/>
      <c r="AK680" s="84">
        <v>4</v>
      </c>
      <c r="AL680" s="37" t="s">
        <v>884</v>
      </c>
      <c r="AM680" s="40"/>
      <c r="AN680" s="28"/>
      <c r="AP680" s="52" t="s">
        <v>56</v>
      </c>
      <c r="AQ680" s="52">
        <v>6</v>
      </c>
      <c r="AR680" s="85">
        <v>6</v>
      </c>
      <c r="AS680" s="28"/>
      <c r="AT680" s="28"/>
      <c r="AU680" s="42"/>
      <c r="AV680" s="28" t="s">
        <v>173</v>
      </c>
      <c r="AW680" s="28"/>
      <c r="AX680" s="28"/>
      <c r="AY680" s="40"/>
      <c r="AZ680" s="28"/>
      <c r="BA680" s="28"/>
      <c r="BB680" s="92" t="s">
        <v>113</v>
      </c>
      <c r="BC680" s="67">
        <f>3+2+45+8+1+1+3+5</f>
        <v>68</v>
      </c>
      <c r="BD680" s="43">
        <f>1+2+33+2+2+5+2+5+3</f>
        <v>55</v>
      </c>
      <c r="BE680" s="52"/>
      <c r="BF680" s="54"/>
      <c r="BG680" s="85"/>
      <c r="BH680" s="18"/>
      <c r="BI680" s="40"/>
      <c r="BJ680" s="18" t="s">
        <v>142</v>
      </c>
      <c r="BK680" s="18"/>
      <c r="BL680" s="39" t="s">
        <v>730</v>
      </c>
    </row>
    <row r="681" spans="1:65" ht="15" thickBot="1" x14ac:dyDescent="0.35">
      <c r="A681" s="87" t="s">
        <v>84</v>
      </c>
      <c r="B681" s="59">
        <f>SUM(B679:B680)</f>
        <v>647</v>
      </c>
      <c r="C681" s="26">
        <f>SUM(C679:C680)</f>
        <v>915</v>
      </c>
      <c r="D681" s="27"/>
      <c r="E681" s="16">
        <f>SUM(E677:E680)</f>
        <v>0</v>
      </c>
      <c r="F681" s="26"/>
      <c r="G681" s="49">
        <f>1703+1380</f>
        <v>3083</v>
      </c>
      <c r="H681" s="48">
        <v>5</v>
      </c>
      <c r="I681" s="189" t="s">
        <v>815</v>
      </c>
      <c r="J681" s="49">
        <f>SUM(H679:H680)</f>
        <v>8</v>
      </c>
      <c r="K681" s="28"/>
      <c r="L681" s="12" t="s">
        <v>84</v>
      </c>
      <c r="M681" s="18">
        <f>SUM(M678:M680)</f>
        <v>1294</v>
      </c>
      <c r="N681" s="18">
        <f>SUM(N678:N680)</f>
        <v>3853</v>
      </c>
      <c r="O681" s="10">
        <v>0</v>
      </c>
      <c r="P681" s="18">
        <v>0</v>
      </c>
      <c r="Q681" s="11">
        <v>0</v>
      </c>
      <c r="R681" s="18">
        <f>SUM(R678:R680)</f>
        <v>1</v>
      </c>
      <c r="S681" s="18">
        <f>SUM(S678:S680)</f>
        <v>0</v>
      </c>
      <c r="T681" s="10"/>
      <c r="U681" s="18"/>
      <c r="V681" s="11"/>
      <c r="W681" s="28"/>
      <c r="AA681" s="28"/>
      <c r="AB681" s="41" t="s">
        <v>84</v>
      </c>
      <c r="AC681" s="28">
        <f>SUM(AC678:AC680)</f>
        <v>823</v>
      </c>
      <c r="AD681" s="28">
        <f>SUM(AD678:AD680)</f>
        <v>732</v>
      </c>
      <c r="AE681" s="42">
        <v>0</v>
      </c>
      <c r="AF681" s="28">
        <v>0</v>
      </c>
      <c r="AG681" s="28">
        <v>0</v>
      </c>
      <c r="AH681" s="42">
        <v>0</v>
      </c>
      <c r="AI681" s="40">
        <v>0</v>
      </c>
      <c r="AJ681" s="40">
        <v>0</v>
      </c>
      <c r="AK681" s="67">
        <v>14</v>
      </c>
      <c r="AL681" s="28" t="s">
        <v>141</v>
      </c>
      <c r="AM681" s="40"/>
      <c r="AN681" s="28"/>
      <c r="AP681" s="52" t="s">
        <v>67</v>
      </c>
      <c r="AQ681" s="52">
        <v>3</v>
      </c>
      <c r="AR681" s="56">
        <v>4</v>
      </c>
      <c r="AU681" s="42"/>
      <c r="AV681" s="28"/>
      <c r="AW681" s="28" t="s">
        <v>213</v>
      </c>
      <c r="AX681" s="28"/>
      <c r="AY681" s="40"/>
      <c r="AZ681" s="28"/>
      <c r="BA681" s="28"/>
      <c r="BB681" s="42" t="s">
        <v>504</v>
      </c>
      <c r="BC681" s="67">
        <v>9</v>
      </c>
      <c r="BD681" s="43">
        <v>6</v>
      </c>
      <c r="BE681" s="52"/>
      <c r="BF681" s="54"/>
      <c r="BG681" s="85"/>
      <c r="BH681" s="18"/>
      <c r="BI681" s="40"/>
      <c r="BJ681" s="154" t="s">
        <v>146</v>
      </c>
      <c r="BK681" s="28"/>
      <c r="BL681" s="94" t="s">
        <v>253</v>
      </c>
    </row>
    <row r="682" spans="1:65" ht="15" thickBot="1" x14ac:dyDescent="0.35">
      <c r="A682" s="36" t="s">
        <v>93</v>
      </c>
      <c r="B682" s="42">
        <v>5528</v>
      </c>
      <c r="C682" s="90">
        <v>5964</v>
      </c>
      <c r="D682" s="3"/>
      <c r="E682" s="91" t="s">
        <v>60</v>
      </c>
      <c r="F682" s="18"/>
      <c r="G682" s="44">
        <v>6406</v>
      </c>
      <c r="H682" s="10" t="s">
        <v>116</v>
      </c>
      <c r="I682" s="18"/>
      <c r="J682" s="11"/>
      <c r="K682" s="28"/>
      <c r="L682" s="12"/>
      <c r="M682" s="18"/>
      <c r="N682" s="18"/>
      <c r="O682" s="10"/>
      <c r="P682" s="18"/>
      <c r="Q682" s="11"/>
      <c r="R682" s="18"/>
      <c r="S682" s="18"/>
      <c r="T682" s="10"/>
      <c r="U682" s="18"/>
      <c r="V682" s="11"/>
      <c r="W682" s="28"/>
      <c r="AA682" s="28"/>
      <c r="AB682" s="46"/>
      <c r="AC682" s="48"/>
      <c r="AD682" s="48"/>
      <c r="AE682" s="47"/>
      <c r="AF682" s="48"/>
      <c r="AG682" s="48"/>
      <c r="AH682" s="47"/>
      <c r="AI682" s="49"/>
      <c r="AJ682" s="49"/>
      <c r="AK682" s="47">
        <v>2</v>
      </c>
      <c r="AL682" s="48" t="s">
        <v>145</v>
      </c>
      <c r="AM682" s="49"/>
      <c r="AN682" s="28"/>
      <c r="AP682" s="10" t="s">
        <v>78</v>
      </c>
      <c r="AQ682" s="52">
        <v>0</v>
      </c>
      <c r="AR682" s="85">
        <v>0</v>
      </c>
      <c r="AS682" s="28"/>
      <c r="AT682" s="28"/>
      <c r="AU682" s="42"/>
      <c r="AV682" s="28">
        <v>9</v>
      </c>
      <c r="AW682" s="28" t="s">
        <v>183</v>
      </c>
      <c r="AX682" s="28"/>
      <c r="AY682" s="40"/>
      <c r="AZ682" s="28"/>
      <c r="BA682" s="28"/>
      <c r="BB682" s="127" t="s">
        <v>817</v>
      </c>
      <c r="BC682" s="67">
        <v>0</v>
      </c>
      <c r="BD682" s="43">
        <v>0</v>
      </c>
      <c r="BE682" s="42"/>
      <c r="BF682" s="28"/>
      <c r="BG682" s="40"/>
      <c r="BH682" s="28"/>
      <c r="BI682" s="40"/>
      <c r="BJ682" s="28"/>
      <c r="BK682" s="28"/>
      <c r="BL682" s="40"/>
    </row>
    <row r="683" spans="1:65" x14ac:dyDescent="0.3">
      <c r="A683" s="10" t="s">
        <v>99</v>
      </c>
      <c r="B683" s="42">
        <v>11704</v>
      </c>
      <c r="C683" s="40">
        <v>12367</v>
      </c>
      <c r="D683" s="3"/>
      <c r="E683" s="91" t="s">
        <v>60</v>
      </c>
      <c r="F683" s="18"/>
      <c r="G683" s="12">
        <v>15035</v>
      </c>
      <c r="H683" s="10">
        <v>138</v>
      </c>
      <c r="I683" s="37" t="s">
        <v>144</v>
      </c>
      <c r="J683" s="11"/>
      <c r="K683" s="28"/>
      <c r="L683" s="12"/>
      <c r="M683" s="18"/>
      <c r="N683" s="18"/>
      <c r="O683" s="10"/>
      <c r="P683" s="18"/>
      <c r="Q683" s="11"/>
      <c r="R683" s="18"/>
      <c r="S683" s="18"/>
      <c r="T683" s="10"/>
      <c r="U683" s="18"/>
      <c r="V683" s="11"/>
      <c r="W683" s="28"/>
      <c r="AA683" s="28"/>
      <c r="AB683" s="42"/>
      <c r="AC683" s="42"/>
      <c r="AD683" s="40"/>
      <c r="AE683" s="28"/>
      <c r="AF683" s="28"/>
      <c r="AG683" s="28"/>
      <c r="AH683" s="42"/>
      <c r="AI683" s="28"/>
      <c r="AJ683" s="41"/>
      <c r="AK683" s="28" t="s">
        <v>149</v>
      </c>
      <c r="AL683" s="28"/>
      <c r="AM683" s="40"/>
      <c r="AN683" s="28" t="s">
        <v>6</v>
      </c>
      <c r="AO683" s="95"/>
      <c r="AP683" s="52" t="s">
        <v>115</v>
      </c>
      <c r="AQ683" s="52">
        <v>0</v>
      </c>
      <c r="AR683" s="85">
        <v>0</v>
      </c>
      <c r="AS683" s="28"/>
      <c r="AT683" s="28"/>
      <c r="AU683" s="42"/>
      <c r="AV683" s="28" t="s">
        <v>6</v>
      </c>
      <c r="AW683" s="28"/>
      <c r="AX683" s="28"/>
      <c r="AY683" s="40"/>
      <c r="AZ683" s="28"/>
      <c r="BA683" s="28"/>
      <c r="BB683" s="52" t="s">
        <v>133</v>
      </c>
      <c r="BC683" s="67">
        <v>2</v>
      </c>
      <c r="BD683" s="43">
        <v>3</v>
      </c>
      <c r="BE683" s="52" t="s">
        <v>150</v>
      </c>
      <c r="BF683" s="54"/>
      <c r="BG683" s="85"/>
      <c r="BH683" s="18"/>
      <c r="BI683" s="40"/>
      <c r="BJ683" s="28" t="s">
        <v>151</v>
      </c>
      <c r="BK683" s="28"/>
      <c r="BL683" s="185"/>
    </row>
    <row r="684" spans="1:65" ht="15" thickBot="1" x14ac:dyDescent="0.35">
      <c r="A684" s="10" t="s">
        <v>120</v>
      </c>
      <c r="B684" s="42">
        <v>4197</v>
      </c>
      <c r="C684" s="40">
        <v>4528</v>
      </c>
      <c r="D684" s="3"/>
      <c r="E684" s="91" t="s">
        <v>60</v>
      </c>
      <c r="F684" s="18"/>
      <c r="G684" s="12">
        <v>5005</v>
      </c>
      <c r="H684" s="84">
        <v>6</v>
      </c>
      <c r="I684" s="37" t="s">
        <v>148</v>
      </c>
      <c r="J684" s="11"/>
      <c r="K684" s="28"/>
      <c r="L684" s="44"/>
      <c r="M684" s="18"/>
      <c r="N684" s="18"/>
      <c r="O684" s="10"/>
      <c r="P684" s="18"/>
      <c r="Q684" s="11"/>
      <c r="R684" s="18"/>
      <c r="S684" s="18"/>
      <c r="T684" s="10"/>
      <c r="U684" s="18"/>
      <c r="V684" s="11"/>
      <c r="W684" s="28"/>
      <c r="Y684" t="s">
        <v>6</v>
      </c>
      <c r="AB684" s="36" t="s">
        <v>99</v>
      </c>
      <c r="AC684" s="10">
        <v>0</v>
      </c>
      <c r="AD684" s="11">
        <v>0</v>
      </c>
      <c r="AE684" s="18">
        <v>0</v>
      </c>
      <c r="AF684" s="18">
        <v>0</v>
      </c>
      <c r="AG684" s="18">
        <v>0</v>
      </c>
      <c r="AH684" s="52">
        <v>49982</v>
      </c>
      <c r="AI684" s="45">
        <v>11028</v>
      </c>
      <c r="AJ684" s="41">
        <v>0</v>
      </c>
      <c r="AK684" s="45">
        <v>4</v>
      </c>
      <c r="AL684" s="37" t="s">
        <v>153</v>
      </c>
      <c r="AM684" s="40"/>
      <c r="AP684" s="52" t="s">
        <v>72</v>
      </c>
      <c r="AQ684" s="52">
        <v>0</v>
      </c>
      <c r="AR684" s="85">
        <v>0</v>
      </c>
      <c r="AU684" s="42"/>
      <c r="AV684" s="28"/>
      <c r="AW684" s="28"/>
      <c r="AX684" s="28"/>
      <c r="AY684" s="40"/>
      <c r="AZ684" s="28"/>
      <c r="BA684" s="28"/>
      <c r="BB684" s="52" t="s">
        <v>85</v>
      </c>
      <c r="BC684" s="42">
        <v>1</v>
      </c>
      <c r="BD684" s="43">
        <v>0</v>
      </c>
      <c r="BE684" s="42"/>
      <c r="BF684" s="54"/>
      <c r="BG684" s="40"/>
      <c r="BH684" s="45"/>
      <c r="BI684" s="56"/>
      <c r="BJ684" s="43" t="s">
        <v>909</v>
      </c>
      <c r="BK684" s="28" t="s">
        <v>910</v>
      </c>
      <c r="BL684" s="40" t="s">
        <v>719</v>
      </c>
    </row>
    <row r="685" spans="1:65" ht="16.2" thickBot="1" x14ac:dyDescent="0.35">
      <c r="A685" s="10" t="s">
        <v>84</v>
      </c>
      <c r="B685" s="42">
        <f>SUM(B682:B684)</f>
        <v>21429</v>
      </c>
      <c r="C685" s="40">
        <f>SUM(C682:C684)</f>
        <v>22859</v>
      </c>
      <c r="D685" s="3"/>
      <c r="E685" s="91" t="s">
        <v>60</v>
      </c>
      <c r="F685" s="18"/>
      <c r="G685" s="12">
        <f>SUM(G682:G684)</f>
        <v>26446</v>
      </c>
      <c r="H685" s="42">
        <v>14</v>
      </c>
      <c r="I685" s="54" t="s">
        <v>152</v>
      </c>
      <c r="J685" s="40"/>
      <c r="K685" s="28"/>
      <c r="L685" s="12"/>
      <c r="M685" s="18"/>
      <c r="N685" s="18"/>
      <c r="O685" s="10"/>
      <c r="P685" s="18"/>
      <c r="Q685" s="11"/>
      <c r="R685" s="18"/>
      <c r="S685" s="18"/>
      <c r="T685" s="10"/>
      <c r="U685" s="18"/>
      <c r="V685" s="11"/>
      <c r="W685" s="28"/>
      <c r="AB685" s="32"/>
      <c r="AC685" s="6"/>
      <c r="AD685" s="7"/>
      <c r="AE685" s="8"/>
      <c r="AF685" s="8"/>
      <c r="AG685" s="8"/>
      <c r="AH685" s="6"/>
      <c r="AI685" s="7"/>
      <c r="AJ685" s="8"/>
      <c r="AK685" s="29" t="s">
        <v>157</v>
      </c>
      <c r="AL685" s="8"/>
      <c r="AM685" s="7"/>
      <c r="AP685" s="52" t="s">
        <v>84</v>
      </c>
      <c r="AQ685" s="47">
        <f>SUM(AQ678:AQ684)</f>
        <v>10</v>
      </c>
      <c r="AR685" s="49">
        <f>SUM(AR678:AR684)</f>
        <v>11</v>
      </c>
      <c r="AS685" s="28"/>
      <c r="AT685" s="28"/>
      <c r="AU685" s="47"/>
      <c r="AV685" s="48"/>
      <c r="AW685" s="48"/>
      <c r="AX685" s="48"/>
      <c r="AY685" s="49">
        <f>SUM(AV682)</f>
        <v>9</v>
      </c>
      <c r="AZ685" s="28"/>
      <c r="BA685" s="28"/>
      <c r="BB685" s="151" t="s">
        <v>93</v>
      </c>
      <c r="BC685" s="36">
        <v>0</v>
      </c>
      <c r="BD685" s="37">
        <v>2</v>
      </c>
      <c r="BE685" s="10"/>
      <c r="BF685" s="18"/>
      <c r="BG685" s="11"/>
      <c r="BH685" s="18"/>
      <c r="BI685" s="11"/>
      <c r="BJ685" s="158" t="s">
        <v>911</v>
      </c>
      <c r="BK685" s="178" t="s">
        <v>584</v>
      </c>
      <c r="BL685" s="114" t="s">
        <v>254</v>
      </c>
    </row>
    <row r="686" spans="1:65" ht="15" thickBot="1" x14ac:dyDescent="0.35">
      <c r="A686" s="13"/>
      <c r="B686" s="47"/>
      <c r="C686" s="49"/>
      <c r="D686" s="27"/>
      <c r="E686" s="27"/>
      <c r="F686" s="27"/>
      <c r="G686" s="17"/>
      <c r="H686" s="47"/>
      <c r="I686" s="27"/>
      <c r="J686" s="60">
        <f>SUM(H683:H685)</f>
        <v>158</v>
      </c>
      <c r="K686" s="28"/>
      <c r="L686" s="17"/>
      <c r="M686" s="27"/>
      <c r="N686" s="27"/>
      <c r="O686" s="13"/>
      <c r="P686" s="27"/>
      <c r="Q686" s="26"/>
      <c r="R686" s="27"/>
      <c r="S686" s="27"/>
      <c r="T686" s="13"/>
      <c r="U686" s="27"/>
      <c r="V686" s="26"/>
      <c r="W686" s="28"/>
      <c r="AB686" s="68" t="s">
        <v>99</v>
      </c>
      <c r="AC686" s="42">
        <v>0</v>
      </c>
      <c r="AD686" s="40">
        <v>0</v>
      </c>
      <c r="AE686">
        <v>0</v>
      </c>
      <c r="AF686">
        <v>0</v>
      </c>
      <c r="AG686">
        <v>0</v>
      </c>
      <c r="AH686" s="42">
        <v>306924</v>
      </c>
      <c r="AI686" s="40">
        <v>118523</v>
      </c>
      <c r="AJ686" s="43">
        <v>0</v>
      </c>
      <c r="AK686" s="42">
        <v>3</v>
      </c>
      <c r="AL686" s="54" t="s">
        <v>163</v>
      </c>
      <c r="AM686" s="40"/>
      <c r="AP686" s="32" t="s">
        <v>63</v>
      </c>
      <c r="AQ686" s="123">
        <f>2+2+3+2+4+11</f>
        <v>24</v>
      </c>
      <c r="AR686" s="123">
        <f>2+2+3+2+15</f>
        <v>24</v>
      </c>
      <c r="AS686" s="33"/>
      <c r="AT686" s="7"/>
      <c r="AU686" s="6"/>
      <c r="AV686" s="34" t="s">
        <v>140</v>
      </c>
      <c r="AW686" s="8"/>
      <c r="AX686" s="8"/>
      <c r="AY686" s="7"/>
      <c r="AZ686" s="28"/>
      <c r="BA686" s="28"/>
      <c r="BB686" s="42" t="s">
        <v>445</v>
      </c>
      <c r="BC686" s="42">
        <v>2</v>
      </c>
      <c r="BD686" s="54">
        <v>0</v>
      </c>
      <c r="BE686" s="10"/>
      <c r="BF686" s="18"/>
      <c r="BG686" s="11"/>
      <c r="BH686" s="18"/>
      <c r="BI686" s="11"/>
      <c r="BJ686" s="158" t="s">
        <v>462</v>
      </c>
      <c r="BK686" s="186" t="s">
        <v>551</v>
      </c>
      <c r="BL686" s="39" t="s">
        <v>912</v>
      </c>
    </row>
    <row r="687" spans="1:65" ht="15" thickBot="1" x14ac:dyDescent="0.35">
      <c r="A687" s="6" t="s">
        <v>105</v>
      </c>
      <c r="B687" s="6">
        <v>1242</v>
      </c>
      <c r="C687" s="7">
        <v>1098</v>
      </c>
      <c r="D687" s="8"/>
      <c r="E687" s="80">
        <v>1151</v>
      </c>
      <c r="F687" s="66"/>
      <c r="G687" s="8">
        <f>40*158</f>
        <v>6320</v>
      </c>
      <c r="H687" s="6" t="s">
        <v>162</v>
      </c>
      <c r="I687" s="8"/>
      <c r="J687" s="7"/>
      <c r="L687" s="101" t="s">
        <v>84</v>
      </c>
      <c r="M687" s="102">
        <f>SUM(M681+M676+M671+M669+M665+M660)</f>
        <v>69084</v>
      </c>
      <c r="N687" s="102">
        <f>SUM(N681+N676+N671+N669+N665+N660)</f>
        <v>110201</v>
      </c>
      <c r="O687" s="103">
        <v>0</v>
      </c>
      <c r="P687" s="102">
        <v>0</v>
      </c>
      <c r="Q687" s="104">
        <v>0</v>
      </c>
      <c r="R687" s="102">
        <f>SUM(R681+R676+R671+R669+R660+R665)</f>
        <v>6226</v>
      </c>
      <c r="S687" s="102">
        <f>SUM(S681+S676+S669+S665+S660)</f>
        <v>148</v>
      </c>
      <c r="T687" s="105"/>
      <c r="U687" s="102"/>
      <c r="V687" s="106"/>
      <c r="AB687" s="44" t="s">
        <v>6</v>
      </c>
      <c r="AC687" s="10"/>
      <c r="AD687" s="11"/>
      <c r="AE687" s="18"/>
      <c r="AF687" s="18"/>
      <c r="AG687" s="18"/>
      <c r="AH687" s="10"/>
      <c r="AI687" s="11"/>
      <c r="AJ687" s="18"/>
      <c r="AK687" s="10">
        <v>13</v>
      </c>
      <c r="AL687" s="37" t="s">
        <v>153</v>
      </c>
      <c r="AM687" s="11"/>
      <c r="AP687" s="44" t="s">
        <v>78</v>
      </c>
      <c r="AQ687" s="37">
        <f>2+5+44</f>
        <v>51</v>
      </c>
      <c r="AR687" s="37">
        <f>4+9+32</f>
        <v>45</v>
      </c>
      <c r="AS687" s="42"/>
      <c r="AT687" s="11"/>
      <c r="AU687" s="10"/>
      <c r="AV687" s="37">
        <v>60</v>
      </c>
      <c r="AW687" s="37" t="s">
        <v>215</v>
      </c>
      <c r="AX687" s="18"/>
      <c r="AY687" s="11"/>
      <c r="AZ687" s="28"/>
      <c r="BA687" s="28"/>
      <c r="BB687" s="36" t="s">
        <v>169</v>
      </c>
      <c r="BC687" s="36">
        <v>3</v>
      </c>
      <c r="BD687" s="37">
        <v>1</v>
      </c>
      <c r="BE687" s="10"/>
      <c r="BF687" s="18"/>
      <c r="BG687" s="11"/>
      <c r="BH687" s="18"/>
      <c r="BI687" s="11"/>
      <c r="BJ687" s="158" t="s">
        <v>913</v>
      </c>
      <c r="BK687" s="37" t="s">
        <v>914</v>
      </c>
      <c r="BL687" s="39" t="s">
        <v>269</v>
      </c>
    </row>
    <row r="688" spans="1:65" ht="15" thickBot="1" x14ac:dyDescent="0.35">
      <c r="A688" s="36" t="s">
        <v>99</v>
      </c>
      <c r="B688" s="10">
        <v>774</v>
      </c>
      <c r="C688" s="11">
        <v>926</v>
      </c>
      <c r="D688" s="18"/>
      <c r="E688" s="18">
        <v>1023</v>
      </c>
      <c r="F688" s="85"/>
      <c r="G688" s="18">
        <f>40*158</f>
        <v>6320</v>
      </c>
      <c r="H688" s="42"/>
      <c r="I688" s="54"/>
      <c r="J688" s="11"/>
      <c r="AB688" s="46" t="s">
        <v>6</v>
      </c>
      <c r="AC688" s="47"/>
      <c r="AD688" s="49"/>
      <c r="AE688" s="48"/>
      <c r="AF688" s="48"/>
      <c r="AG688" s="48"/>
      <c r="AH688" s="47"/>
      <c r="AI688" s="49"/>
      <c r="AJ688" s="48"/>
      <c r="AK688" s="47"/>
      <c r="AL688" s="48"/>
      <c r="AM688" s="49"/>
      <c r="AP688" s="125" t="s">
        <v>209</v>
      </c>
      <c r="AQ688" s="54">
        <v>0</v>
      </c>
      <c r="AR688" s="54">
        <v>0</v>
      </c>
      <c r="AS688" s="42"/>
      <c r="AT688" s="40"/>
      <c r="AU688" s="42"/>
      <c r="AV688" s="28">
        <v>0</v>
      </c>
      <c r="AW688" s="28" t="s">
        <v>210</v>
      </c>
      <c r="AX688" s="28"/>
      <c r="AY688" s="96"/>
      <c r="AZ688" s="28"/>
      <c r="BA688" s="28"/>
      <c r="BB688" s="36" t="s">
        <v>99</v>
      </c>
      <c r="BC688" s="36">
        <v>5</v>
      </c>
      <c r="BD688" s="37">
        <v>0</v>
      </c>
      <c r="BE688" s="10"/>
      <c r="BF688" s="18"/>
      <c r="BG688" s="11"/>
      <c r="BH688" s="18"/>
      <c r="BI688" s="11"/>
      <c r="BJ688" s="179" t="s">
        <v>604</v>
      </c>
      <c r="BK688" s="37" t="s">
        <v>915</v>
      </c>
      <c r="BL688" s="39" t="s">
        <v>586</v>
      </c>
    </row>
    <row r="689" spans="1:64" x14ac:dyDescent="0.3">
      <c r="A689" s="10"/>
      <c r="B689" s="10"/>
      <c r="C689" s="39"/>
      <c r="D689" s="18"/>
      <c r="E689" s="18"/>
      <c r="F689" s="85"/>
      <c r="G689" s="18"/>
      <c r="H689" s="42">
        <v>40</v>
      </c>
      <c r="I689" s="37" t="s">
        <v>101</v>
      </c>
      <c r="J689" s="11"/>
      <c r="M689" s="115"/>
      <c r="AB689" s="6"/>
      <c r="AC689" s="6"/>
      <c r="AD689" s="7"/>
      <c r="AE689" s="8"/>
      <c r="AF689" s="8"/>
      <c r="AG689" s="8"/>
      <c r="AH689" s="6"/>
      <c r="AI689" s="7"/>
      <c r="AJ689" s="8"/>
      <c r="AK689" s="29"/>
      <c r="AL689" s="8"/>
      <c r="AM689" s="7"/>
      <c r="AN689" s="45"/>
      <c r="AP689" s="44" t="s">
        <v>168</v>
      </c>
      <c r="AQ689" s="54">
        <v>3</v>
      </c>
      <c r="AR689" s="54">
        <v>2</v>
      </c>
      <c r="AS689" s="42"/>
      <c r="AT689" s="11"/>
      <c r="AU689" s="10"/>
      <c r="AV689" s="37">
        <f>3+17+7+17</f>
        <v>44</v>
      </c>
      <c r="AW689" s="37" t="s">
        <v>213</v>
      </c>
      <c r="AX689" s="18" t="s">
        <v>6</v>
      </c>
      <c r="AY689" s="11"/>
      <c r="AZ689" s="28"/>
      <c r="BA689" s="28"/>
      <c r="BB689" s="150" t="s">
        <v>358</v>
      </c>
      <c r="BC689" s="36">
        <v>9</v>
      </c>
      <c r="BD689" s="37">
        <v>0</v>
      </c>
      <c r="BE689" s="10"/>
      <c r="BF689" s="37"/>
      <c r="BG689" s="11"/>
      <c r="BH689" s="18"/>
      <c r="BI689" s="11"/>
      <c r="BJ689" s="158" t="s">
        <v>580</v>
      </c>
      <c r="BK689" s="54" t="s">
        <v>172</v>
      </c>
      <c r="BL689" s="39" t="s">
        <v>482</v>
      </c>
    </row>
    <row r="690" spans="1:64" ht="15" thickBot="1" x14ac:dyDescent="0.35">
      <c r="A690" s="13" t="s">
        <v>84</v>
      </c>
      <c r="B690" s="10">
        <f>SUM(B687:B689)</f>
        <v>2016</v>
      </c>
      <c r="C690" s="11">
        <f>SUM(C687:C689)</f>
        <v>2024</v>
      </c>
      <c r="D690" s="27"/>
      <c r="E690" s="27">
        <f>SUM(E687:E689)</f>
        <v>2174</v>
      </c>
      <c r="F690" s="26"/>
      <c r="G690" s="27">
        <f>SUM(G687:G689)</f>
        <v>12640</v>
      </c>
      <c r="H690" s="13"/>
      <c r="I690" s="81"/>
      <c r="J690" s="26">
        <f>SUM(H688:H689)</f>
        <v>40</v>
      </c>
      <c r="K690" s="43"/>
      <c r="M690" s="115"/>
      <c r="N690" s="190"/>
      <c r="O690" s="115"/>
      <c r="P690" s="115"/>
      <c r="Q690" s="115"/>
      <c r="R690" s="115"/>
      <c r="S690" s="115"/>
      <c r="AB690" s="36"/>
      <c r="AC690" s="10"/>
      <c r="AD690" s="11"/>
      <c r="AE690" s="18"/>
      <c r="AF690" s="18"/>
      <c r="AG690" s="18"/>
      <c r="AH690" s="36"/>
      <c r="AI690" s="11"/>
      <c r="AJ690" s="18"/>
      <c r="AK690" s="36"/>
      <c r="AL690" s="37"/>
      <c r="AM690" s="11"/>
      <c r="AN690" s="45"/>
      <c r="AP690" s="125" t="s">
        <v>81</v>
      </c>
      <c r="AQ690" s="54">
        <f>3+11</f>
        <v>14</v>
      </c>
      <c r="AR690" s="54">
        <f>3+11</f>
        <v>14</v>
      </c>
      <c r="AS690" s="42"/>
      <c r="AT690" s="40"/>
      <c r="AU690" s="42"/>
      <c r="AV690" s="54">
        <v>10</v>
      </c>
      <c r="AW690" s="128" t="s">
        <v>217</v>
      </c>
      <c r="AX690" s="28"/>
      <c r="AY690" s="40" t="s">
        <v>6</v>
      </c>
      <c r="AZ690" s="37"/>
      <c r="BA690" s="37"/>
      <c r="BB690" s="36" t="s">
        <v>678</v>
      </c>
      <c r="BC690" s="36">
        <v>38</v>
      </c>
      <c r="BD690" s="37">
        <v>0</v>
      </c>
      <c r="BE690" s="10"/>
      <c r="BF690" s="18"/>
      <c r="BG690" s="11"/>
      <c r="BH690" s="18"/>
      <c r="BI690" s="11"/>
      <c r="BJ690" s="37" t="s">
        <v>322</v>
      </c>
      <c r="BK690" s="37" t="s">
        <v>916</v>
      </c>
      <c r="BL690" s="180" t="s">
        <v>917</v>
      </c>
    </row>
    <row r="691" spans="1:64" ht="15" thickBot="1" x14ac:dyDescent="0.35">
      <c r="A691" s="42" t="s">
        <v>181</v>
      </c>
      <c r="B691" s="33">
        <v>2893</v>
      </c>
      <c r="C691" s="35">
        <v>3036</v>
      </c>
      <c r="D691" s="28"/>
      <c r="E691" s="107" t="s">
        <v>60</v>
      </c>
      <c r="F691" s="43"/>
      <c r="G691" s="41"/>
      <c r="H691" s="18" t="s">
        <v>182</v>
      </c>
      <c r="I691" s="28"/>
      <c r="J691" s="11"/>
      <c r="K691" s="28"/>
      <c r="M691" s="166"/>
      <c r="AA691" s="28"/>
      <c r="AB691" s="103" t="s">
        <v>84</v>
      </c>
      <c r="AC691" s="103">
        <f>SUM(AC690+AC686+AC684+AC681+AC674+AC676+AC672+AC668+AC665+AC662+AC663)</f>
        <v>2114</v>
      </c>
      <c r="AD691" s="104">
        <f>SUM(AD690+AD686+AD684+AD681+AD674+AD672+AD668+AD665+AD663+AD662)</f>
        <v>1620</v>
      </c>
      <c r="AE691" s="103">
        <v>0</v>
      </c>
      <c r="AF691" s="102">
        <v>0</v>
      </c>
      <c r="AG691" s="102">
        <v>0</v>
      </c>
      <c r="AH691" s="109">
        <f>SUM(AH690+AH686+AH684+AH681+AH678+AH676+AH672+AH668+AH665+AH663+AH662)</f>
        <v>356906</v>
      </c>
      <c r="AI691" s="110">
        <f>SUM(AI690+AI686+AI684+AI681+AI676+AI672+AI667+AI665+AI663+AI662)</f>
        <v>129551</v>
      </c>
      <c r="AJ691" s="110">
        <v>0</v>
      </c>
      <c r="AK691" s="111" t="s">
        <v>844</v>
      </c>
      <c r="AL691" s="111"/>
      <c r="AM691" s="104">
        <f>SUM(AK662:AK690)</f>
        <v>54</v>
      </c>
      <c r="AN691" s="45"/>
      <c r="AP691" s="125" t="s">
        <v>72</v>
      </c>
      <c r="AQ691" s="54">
        <f>6+8+3</f>
        <v>17</v>
      </c>
      <c r="AR691" s="45">
        <f>14+6+1+5+3</f>
        <v>29</v>
      </c>
      <c r="AS691" s="42"/>
      <c r="AT691" s="40"/>
      <c r="AU691" s="42"/>
      <c r="AV691" s="54">
        <v>2</v>
      </c>
      <c r="AW691" s="54" t="s">
        <v>216</v>
      </c>
      <c r="AX691" s="45"/>
      <c r="AY691" s="40"/>
      <c r="AZ691" s="28"/>
      <c r="BA691" s="28"/>
      <c r="BB691" s="150" t="s">
        <v>211</v>
      </c>
      <c r="BC691" s="36">
        <v>2</v>
      </c>
      <c r="BD691" s="37">
        <v>0</v>
      </c>
      <c r="BE691" s="10"/>
      <c r="BF691" s="18"/>
      <c r="BG691" s="11"/>
      <c r="BH691" s="18"/>
      <c r="BI691" s="11"/>
      <c r="BJ691" s="159" t="s">
        <v>918</v>
      </c>
      <c r="BK691" s="37"/>
      <c r="BL691" s="39" t="s">
        <v>697</v>
      </c>
    </row>
    <row r="692" spans="1:64" x14ac:dyDescent="0.3">
      <c r="A692" s="42" t="s">
        <v>120</v>
      </c>
      <c r="B692" s="42">
        <v>0</v>
      </c>
      <c r="C692" s="40">
        <v>0</v>
      </c>
      <c r="D692" s="28"/>
      <c r="E692" s="107" t="s">
        <v>60</v>
      </c>
      <c r="F692" s="43"/>
      <c r="G692" s="68"/>
      <c r="H692" s="43"/>
      <c r="I692" s="28" t="s">
        <v>284</v>
      </c>
      <c r="J692" s="11"/>
      <c r="K692" s="28"/>
      <c r="L692" s="28"/>
      <c r="N692" s="191"/>
      <c r="AA692" s="28"/>
      <c r="AB692" s="52" t="s">
        <v>193</v>
      </c>
      <c r="AC692" s="28"/>
      <c r="AD692" s="28"/>
      <c r="AE692" s="28"/>
      <c r="AF692" s="28"/>
      <c r="AG692" s="28"/>
      <c r="AH692" s="28"/>
      <c r="AI692" s="28"/>
      <c r="AM692" t="s">
        <v>6</v>
      </c>
      <c r="AN692" s="45"/>
      <c r="AP692" s="125" t="s">
        <v>115</v>
      </c>
      <c r="AQ692" s="54">
        <f>2+25</f>
        <v>27</v>
      </c>
      <c r="AR692" s="45">
        <f>3+7</f>
        <v>10</v>
      </c>
      <c r="AS692" s="42"/>
      <c r="AT692" s="40"/>
      <c r="AU692" s="42"/>
      <c r="AV692" s="54">
        <v>1</v>
      </c>
      <c r="AW692" s="54" t="s">
        <v>898</v>
      </c>
      <c r="AX692" s="28"/>
      <c r="AY692" s="40"/>
      <c r="AZ692" s="28"/>
      <c r="BB692" s="150" t="s">
        <v>64</v>
      </c>
      <c r="BC692" s="36">
        <f>3+5</f>
        <v>8</v>
      </c>
      <c r="BD692" s="37">
        <v>8</v>
      </c>
      <c r="BE692" s="10"/>
      <c r="BF692" s="18"/>
      <c r="BG692" s="11"/>
      <c r="BH692" s="18"/>
      <c r="BI692" s="11"/>
      <c r="BJ692" s="128" t="s">
        <v>500</v>
      </c>
      <c r="BK692" s="37" t="s">
        <v>919</v>
      </c>
      <c r="BL692" s="39" t="s">
        <v>333</v>
      </c>
    </row>
    <row r="693" spans="1:64" x14ac:dyDescent="0.3">
      <c r="A693" s="42" t="s">
        <v>84</v>
      </c>
      <c r="B693" s="42">
        <f>SUM(B691:B692)</f>
        <v>2893</v>
      </c>
      <c r="C693" s="40">
        <f>SUM(C691:C692)</f>
        <v>3036</v>
      </c>
      <c r="D693" s="28"/>
      <c r="E693" s="107" t="s">
        <v>60</v>
      </c>
      <c r="F693" s="43"/>
      <c r="G693" s="41">
        <v>3600</v>
      </c>
      <c r="H693" s="28">
        <v>24</v>
      </c>
      <c r="I693" s="43" t="s">
        <v>101</v>
      </c>
      <c r="J693" s="40"/>
      <c r="L693" s="108"/>
      <c r="M693" s="193"/>
      <c r="O693" s="116"/>
      <c r="AA693" s="28"/>
      <c r="AN693" s="45"/>
      <c r="AP693" s="125" t="s">
        <v>56</v>
      </c>
      <c r="AQ693" s="54">
        <f>7+1+11</f>
        <v>19</v>
      </c>
      <c r="AR693" s="45">
        <f>1+15</f>
        <v>16</v>
      </c>
      <c r="AS693" s="42"/>
      <c r="AT693" s="40"/>
      <c r="AU693" s="42"/>
      <c r="AV693" s="54">
        <v>1</v>
      </c>
      <c r="AW693" s="54" t="s">
        <v>920</v>
      </c>
      <c r="AX693" s="28"/>
      <c r="AY693" s="40"/>
      <c r="AZ693" s="28"/>
      <c r="BB693" s="36" t="s">
        <v>184</v>
      </c>
      <c r="BC693" s="36"/>
      <c r="BD693" s="37"/>
      <c r="BE693" s="10"/>
      <c r="BF693" s="18"/>
      <c r="BG693" s="11"/>
      <c r="BH693" s="18"/>
      <c r="BI693" s="11"/>
      <c r="BJ693" s="128" t="s">
        <v>921</v>
      </c>
      <c r="BK693" s="37" t="s">
        <v>546</v>
      </c>
      <c r="BL693" s="39" t="s">
        <v>629</v>
      </c>
    </row>
    <row r="694" spans="1:64" ht="15" thickBot="1" x14ac:dyDescent="0.35">
      <c r="A694" s="13"/>
      <c r="B694" s="13"/>
      <c r="C694" s="26"/>
      <c r="D694" s="27"/>
      <c r="E694" s="27"/>
      <c r="F694" s="27"/>
      <c r="G694" s="17"/>
      <c r="H694" s="48"/>
      <c r="I694" s="48" t="s">
        <v>727</v>
      </c>
      <c r="J694" s="49">
        <f>SUM(H692:H694)</f>
        <v>24</v>
      </c>
      <c r="O694" s="122"/>
      <c r="AN694" s="45"/>
      <c r="AP694" s="125" t="s">
        <v>138</v>
      </c>
      <c r="AQ694" s="54">
        <v>0</v>
      </c>
      <c r="AR694" s="45">
        <v>0</v>
      </c>
      <c r="AS694" s="42"/>
      <c r="AT694" s="40"/>
      <c r="AU694" s="42"/>
      <c r="AV694" s="54">
        <v>9</v>
      </c>
      <c r="AW694" s="54" t="s">
        <v>221</v>
      </c>
      <c r="AX694" s="28"/>
      <c r="AY694" s="40"/>
      <c r="AZ694" s="28"/>
      <c r="BB694" s="36" t="s">
        <v>107</v>
      </c>
      <c r="BC694" s="10">
        <v>0</v>
      </c>
      <c r="BD694" s="37">
        <v>0</v>
      </c>
      <c r="BE694" s="10"/>
      <c r="BF694" s="18"/>
      <c r="BG694" s="39"/>
      <c r="BH694" s="18"/>
      <c r="BI694" s="11"/>
      <c r="BJ694" s="159" t="s">
        <v>871</v>
      </c>
      <c r="BK694" s="37" t="s">
        <v>922</v>
      </c>
      <c r="BL694" s="39"/>
    </row>
    <row r="695" spans="1:64" ht="16.2" thickBot="1" x14ac:dyDescent="0.35">
      <c r="A695" s="117" t="s">
        <v>84</v>
      </c>
      <c r="B695" s="117">
        <f>SUM(B693+B690+B685+B681+B678+B674+B671+B667+B663+B660)</f>
        <v>39258</v>
      </c>
      <c r="C695" s="192">
        <f>SUM(C693+C690+C685+C681+C678+C674+C671+C667+C663+C660)</f>
        <v>42957</v>
      </c>
      <c r="D695" s="119"/>
      <c r="E695" s="119">
        <f>SUM(E690+E674)</f>
        <v>3497</v>
      </c>
      <c r="F695" s="120"/>
      <c r="G695" s="121">
        <f>SUM(G693+G690+G685+G681+G678+G671+G667+G663+G660+G674)</f>
        <v>64106</v>
      </c>
      <c r="H695" s="13" t="s">
        <v>199</v>
      </c>
      <c r="I695" s="81"/>
      <c r="J695" s="26">
        <f>SUM(J661:J694)</f>
        <v>320</v>
      </c>
      <c r="AN695" s="45"/>
      <c r="AP695" s="125" t="s">
        <v>67</v>
      </c>
      <c r="AQ695" s="54">
        <f>3+3+2+17</f>
        <v>25</v>
      </c>
      <c r="AR695" s="45">
        <f>4+4+1+9</f>
        <v>18</v>
      </c>
      <c r="AS695" s="42"/>
      <c r="AT695" s="40"/>
      <c r="AU695" s="42"/>
      <c r="AV695" s="54">
        <v>5</v>
      </c>
      <c r="AW695" s="54" t="s">
        <v>903</v>
      </c>
      <c r="AX695" s="28"/>
      <c r="AY695" s="40"/>
      <c r="AZ695" s="28"/>
      <c r="BB695" s="150" t="s">
        <v>120</v>
      </c>
      <c r="BC695" s="10">
        <v>4</v>
      </c>
      <c r="BD695" s="37">
        <v>0</v>
      </c>
      <c r="BE695" s="10"/>
      <c r="BF695" s="18"/>
      <c r="BG695" s="11"/>
      <c r="BH695" s="18"/>
      <c r="BI695" s="11"/>
      <c r="BJ695" s="179"/>
      <c r="BK695" s="37"/>
      <c r="BL695" s="39"/>
    </row>
    <row r="696" spans="1:64" x14ac:dyDescent="0.3">
      <c r="AN696" s="45"/>
      <c r="AP696" s="125" t="s">
        <v>122</v>
      </c>
      <c r="AQ696" s="54">
        <v>5</v>
      </c>
      <c r="AR696" s="45">
        <v>0</v>
      </c>
      <c r="AS696" s="42"/>
      <c r="AT696" s="40"/>
      <c r="AU696" s="42"/>
      <c r="AV696" s="54">
        <v>2</v>
      </c>
      <c r="AW696" s="54" t="s">
        <v>853</v>
      </c>
      <c r="AX696" s="28"/>
      <c r="AY696" s="40"/>
      <c r="AZ696" s="28"/>
      <c r="BB696" s="92" t="s">
        <v>862</v>
      </c>
      <c r="BC696" s="84">
        <v>0</v>
      </c>
      <c r="BD696" s="54">
        <v>2</v>
      </c>
      <c r="BE696" s="84"/>
      <c r="BF696" s="45"/>
      <c r="BG696" s="85"/>
      <c r="BH696" s="18"/>
      <c r="BI696" s="11"/>
      <c r="BJ696" s="179"/>
      <c r="BK696" s="54"/>
      <c r="BL696" s="86"/>
    </row>
    <row r="697" spans="1:64" x14ac:dyDescent="0.3">
      <c r="B697" s="126"/>
      <c r="C697" s="126"/>
      <c r="AN697" s="45"/>
      <c r="AP697" s="125" t="s">
        <v>227</v>
      </c>
      <c r="AQ697" s="54">
        <v>0</v>
      </c>
      <c r="AR697" s="45">
        <v>0</v>
      </c>
      <c r="AS697" s="42"/>
      <c r="AT697" s="40"/>
      <c r="AU697" s="42"/>
      <c r="AV697" s="54">
        <v>1</v>
      </c>
      <c r="AW697" s="54" t="s">
        <v>923</v>
      </c>
      <c r="AX697" s="28"/>
      <c r="AY697" s="40"/>
      <c r="BB697" s="67" t="s">
        <v>564</v>
      </c>
      <c r="BC697" s="84">
        <v>5</v>
      </c>
      <c r="BD697" s="54">
        <f>5+1</f>
        <v>6</v>
      </c>
      <c r="BE697" s="84"/>
      <c r="BF697" s="45"/>
      <c r="BG697" s="85"/>
      <c r="BH697" s="45"/>
      <c r="BI697" s="85"/>
      <c r="BJ697" s="179"/>
      <c r="BK697" s="54"/>
      <c r="BL697" s="180"/>
    </row>
    <row r="698" spans="1:64" x14ac:dyDescent="0.3">
      <c r="AN698" s="45"/>
      <c r="AP698" s="41" t="s">
        <v>230</v>
      </c>
      <c r="AQ698" s="54">
        <f>2+1+1+5+5</f>
        <v>14</v>
      </c>
      <c r="AR698" s="45">
        <f>2+1+1+5+5</f>
        <v>14</v>
      </c>
      <c r="AS698" s="42"/>
      <c r="AT698" s="40"/>
      <c r="AU698" s="42"/>
      <c r="AV698" s="54">
        <v>12</v>
      </c>
      <c r="AW698" s="54" t="s">
        <v>655</v>
      </c>
      <c r="AX698" s="28"/>
      <c r="AY698" s="40"/>
      <c r="BB698" s="67" t="s">
        <v>102</v>
      </c>
      <c r="BC698" s="84">
        <v>0</v>
      </c>
      <c r="BD698" s="54">
        <v>2</v>
      </c>
      <c r="BE698" s="84"/>
      <c r="BF698" s="45"/>
      <c r="BG698" s="85"/>
      <c r="BH698" s="45"/>
      <c r="BI698" s="85"/>
      <c r="BJ698" s="179"/>
      <c r="BK698" s="54"/>
      <c r="BL698" s="180"/>
    </row>
    <row r="699" spans="1:64" x14ac:dyDescent="0.3">
      <c r="AP699" s="68" t="s">
        <v>125</v>
      </c>
      <c r="AQ699" s="54">
        <v>0</v>
      </c>
      <c r="AR699" s="45">
        <v>0</v>
      </c>
      <c r="AS699" s="42"/>
      <c r="AT699" s="40"/>
      <c r="AU699" s="42"/>
      <c r="AV699" s="54">
        <v>2</v>
      </c>
      <c r="AW699" s="54" t="s">
        <v>433</v>
      </c>
      <c r="AX699" s="28"/>
      <c r="AY699" s="40"/>
      <c r="BB699" s="127" t="s">
        <v>89</v>
      </c>
      <c r="BC699" s="84">
        <v>0</v>
      </c>
      <c r="BD699" s="54">
        <v>2</v>
      </c>
      <c r="BE699" s="42"/>
      <c r="BF699" s="45"/>
      <c r="BG699" s="40"/>
      <c r="BH699" s="45"/>
      <c r="BI699" s="85"/>
      <c r="BJ699" s="158"/>
      <c r="BK699" s="54"/>
      <c r="BL699" s="86"/>
    </row>
    <row r="700" spans="1:64" x14ac:dyDescent="0.3">
      <c r="AP700" s="68" t="s">
        <v>132</v>
      </c>
      <c r="AQ700" s="54">
        <v>2</v>
      </c>
      <c r="AR700" s="45">
        <v>3</v>
      </c>
      <c r="AS700" s="42"/>
      <c r="AT700" s="40"/>
      <c r="AU700" s="42"/>
      <c r="AV700" s="54">
        <v>0</v>
      </c>
      <c r="AW700" s="54" t="s">
        <v>905</v>
      </c>
      <c r="AX700" s="28"/>
      <c r="AY700" s="40"/>
      <c r="BB700" s="127" t="s">
        <v>218</v>
      </c>
      <c r="BC700" s="84">
        <v>0</v>
      </c>
      <c r="BD700" s="54">
        <f>24+5</f>
        <v>29</v>
      </c>
      <c r="BE700" s="42"/>
      <c r="BF700" s="45">
        <v>0</v>
      </c>
      <c r="BG700" s="40"/>
      <c r="BH700" s="45"/>
      <c r="BI700" s="85"/>
      <c r="BJ700" s="179"/>
      <c r="BK700" s="54"/>
      <c r="BL700" s="180"/>
    </row>
    <row r="701" spans="1:64" x14ac:dyDescent="0.3">
      <c r="AM701" t="s">
        <v>6</v>
      </c>
      <c r="AP701" s="41" t="s">
        <v>536</v>
      </c>
      <c r="AQ701">
        <v>0</v>
      </c>
      <c r="AR701">
        <v>2</v>
      </c>
      <c r="AS701" s="42"/>
      <c r="AT701" s="40"/>
      <c r="AU701" s="42"/>
      <c r="AV701" s="54">
        <v>1</v>
      </c>
      <c r="AW701" s="54" t="s">
        <v>906</v>
      </c>
      <c r="AX701" s="28"/>
      <c r="AY701" s="40"/>
      <c r="BB701" s="181" t="s">
        <v>924</v>
      </c>
      <c r="BC701" s="10">
        <v>8</v>
      </c>
      <c r="BD701" s="18">
        <v>8</v>
      </c>
      <c r="BE701" s="10"/>
      <c r="BF701" s="18"/>
      <c r="BG701" s="11"/>
      <c r="BH701" s="18"/>
      <c r="BI701" s="11"/>
      <c r="BJ701" s="179"/>
      <c r="BK701" s="37"/>
      <c r="BL701" s="182"/>
    </row>
    <row r="702" spans="1:64" ht="15" thickBot="1" x14ac:dyDescent="0.35">
      <c r="H702" t="s">
        <v>6</v>
      </c>
      <c r="AP702" s="46" t="s">
        <v>84</v>
      </c>
      <c r="AQ702" s="48">
        <f>SUM(AQ686:AQ701)</f>
        <v>201</v>
      </c>
      <c r="AR702" s="48">
        <f>SUM(AR686:AR701)</f>
        <v>177</v>
      </c>
      <c r="AS702" s="47"/>
      <c r="AT702" s="49"/>
      <c r="AU702" s="47"/>
      <c r="AV702" s="48">
        <v>1</v>
      </c>
      <c r="AW702" s="48" t="s">
        <v>352</v>
      </c>
      <c r="AX702" s="48"/>
      <c r="AY702" s="49">
        <f>SUM(AV687:AV702)</f>
        <v>151</v>
      </c>
      <c r="BB702" s="13" t="s">
        <v>84</v>
      </c>
      <c r="BC702" s="13">
        <f>SUM(BC677:BC701)</f>
        <v>175</v>
      </c>
      <c r="BD702" s="27">
        <f>SUM(BD677:BD701)</f>
        <v>140</v>
      </c>
      <c r="BE702" s="13">
        <v>0</v>
      </c>
      <c r="BF702" s="27">
        <f>SUM(BF677:BF701)</f>
        <v>0</v>
      </c>
      <c r="BG702" s="26">
        <f>SUM(BG677:BG701)</f>
        <v>7</v>
      </c>
      <c r="BH702" s="58">
        <v>0</v>
      </c>
      <c r="BI702" s="26">
        <v>0</v>
      </c>
      <c r="BJ702" s="81"/>
      <c r="BK702" s="27"/>
      <c r="BL702" s="26">
        <f>5+4+6+9+10+5+5+7+4+5+3+4+5+3</f>
        <v>75</v>
      </c>
    </row>
    <row r="703" spans="1:64" ht="15" thickBot="1" x14ac:dyDescent="0.35">
      <c r="H703" t="s">
        <v>6</v>
      </c>
      <c r="AP703" s="169" t="s">
        <v>84</v>
      </c>
      <c r="AQ703" s="170">
        <f>SUM(AQ702+AQ685+AQ675+AQ660)</f>
        <v>1639</v>
      </c>
      <c r="AR703" s="170">
        <f>SUM(AR702+AR685+AR675+AR660)</f>
        <v>1567</v>
      </c>
      <c r="AS703" s="171"/>
      <c r="AT703" s="172"/>
      <c r="AU703" s="170"/>
      <c r="AV703" s="170"/>
      <c r="AW703" s="170"/>
      <c r="AX703" s="170"/>
      <c r="AY703" s="172">
        <f>SUM(AY659:AY702)</f>
        <v>339</v>
      </c>
      <c r="BB703" s="13" t="s">
        <v>223</v>
      </c>
      <c r="BC703" s="13">
        <f>SUM(BC702+BC676+BC673+BC669+BC666+BC663+BC661)</f>
        <v>1915</v>
      </c>
      <c r="BD703" s="26">
        <f>SUM(BD702+BD676+BD673+BD669+BD666+BD663+BD661)</f>
        <v>1846</v>
      </c>
      <c r="BE703" s="26">
        <f>SUM(BE702+BE676+BE673+BE669+BE666+BE663+BE661)</f>
        <v>0</v>
      </c>
      <c r="BF703" s="26">
        <f>SUM(BF702+BF676+BF673+BF669+BF666+BF663+BF661)</f>
        <v>0</v>
      </c>
      <c r="BG703" s="26">
        <f>SUM(BG702+BG676+BG673+BG669+BG666+BG663+BG661)</f>
        <v>7</v>
      </c>
      <c r="BH703" s="160">
        <f>SUM(BH702+BH676+BH673+BH669+BH665+BH663+BH661)</f>
        <v>66521</v>
      </c>
      <c r="BI703" s="26">
        <f>SUM(BI702+BI676+BI673+BI669+BI665+BI663+BI661)</f>
        <v>19089</v>
      </c>
      <c r="BJ703" s="81"/>
      <c r="BK703" s="27" t="s">
        <v>247</v>
      </c>
      <c r="BL703" s="26">
        <f>SUM(BL661:BL702)</f>
        <v>233</v>
      </c>
    </row>
    <row r="704" spans="1:64" x14ac:dyDescent="0.3">
      <c r="K704" s="28"/>
      <c r="BB704" s="131" t="s">
        <v>225</v>
      </c>
      <c r="BD704">
        <f>SUM(BL702)</f>
        <v>75</v>
      </c>
      <c r="BF704" t="s">
        <v>184</v>
      </c>
      <c r="BG704" s="132"/>
    </row>
    <row r="705" spans="1:65" x14ac:dyDescent="0.3">
      <c r="K705" s="28"/>
      <c r="BB705" t="s">
        <v>229</v>
      </c>
      <c r="BD705">
        <v>18</v>
      </c>
    </row>
    <row r="706" spans="1:65" x14ac:dyDescent="0.3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BB706" t="s">
        <v>232</v>
      </c>
      <c r="BD706" t="s">
        <v>233</v>
      </c>
      <c r="BF706">
        <f>SUM(AQ703)</f>
        <v>1639</v>
      </c>
      <c r="BH706" t="s">
        <v>234</v>
      </c>
      <c r="BJ706" t="s">
        <v>233</v>
      </c>
      <c r="BL706">
        <f>SUM(BC703)</f>
        <v>1915</v>
      </c>
    </row>
    <row r="707" spans="1:65" ht="18" x14ac:dyDescent="0.35">
      <c r="B707" s="133"/>
      <c r="BA707" t="s">
        <v>6</v>
      </c>
      <c r="BD707" t="s">
        <v>236</v>
      </c>
      <c r="BF707">
        <f>SUM(AR703)</f>
        <v>1567</v>
      </c>
      <c r="BJ707" t="s">
        <v>236</v>
      </c>
      <c r="BL707">
        <f>SUM(BD703)</f>
        <v>1846</v>
      </c>
    </row>
    <row r="708" spans="1:65" x14ac:dyDescent="0.3">
      <c r="BB708" s="134" t="s">
        <v>238</v>
      </c>
      <c r="BC708" s="135" t="s">
        <v>239</v>
      </c>
      <c r="BD708" s="136"/>
      <c r="BE708" s="134" t="s">
        <v>240</v>
      </c>
      <c r="BF708" s="135" t="s">
        <v>241</v>
      </c>
      <c r="BG708" s="136"/>
      <c r="BH708" s="134"/>
      <c r="BI708" s="135" t="s">
        <v>242</v>
      </c>
      <c r="BJ708" s="137" t="s">
        <v>243</v>
      </c>
      <c r="BK708" s="135"/>
      <c r="BL708" s="135"/>
      <c r="BM708" s="136"/>
    </row>
    <row r="709" spans="1:65" x14ac:dyDescent="0.3">
      <c r="BB709" s="138" t="s">
        <v>233</v>
      </c>
      <c r="BC709" s="28"/>
      <c r="BD709" s="139">
        <f>SUM(B695)</f>
        <v>39258</v>
      </c>
      <c r="BE709" s="138" t="s">
        <v>233</v>
      </c>
      <c r="BF709" s="28"/>
      <c r="BG709" s="139">
        <f>SUM(AC691)</f>
        <v>2114</v>
      </c>
      <c r="BH709" s="138" t="s">
        <v>233</v>
      </c>
      <c r="BI709" s="28"/>
      <c r="BJ709" s="140">
        <f>SUM(BL706+BG709)</f>
        <v>4029</v>
      </c>
      <c r="BK709" s="28" t="s">
        <v>245</v>
      </c>
      <c r="BL709" s="140">
        <f>SUM(BJ709+BD709)</f>
        <v>43287</v>
      </c>
      <c r="BM709" s="139"/>
    </row>
    <row r="710" spans="1:65" ht="18" x14ac:dyDescent="0.35">
      <c r="B710" s="133"/>
      <c r="BB710" s="142" t="s">
        <v>236</v>
      </c>
      <c r="BC710" s="143"/>
      <c r="BD710" s="144">
        <f>SUM(C695)</f>
        <v>42957</v>
      </c>
      <c r="BE710" s="142" t="s">
        <v>236</v>
      </c>
      <c r="BF710" s="143"/>
      <c r="BG710" s="144">
        <f>SUM(AD691)</f>
        <v>1620</v>
      </c>
      <c r="BH710" s="142" t="s">
        <v>236</v>
      </c>
      <c r="BI710" s="143"/>
      <c r="BJ710" s="145">
        <f>SUM(BL707+BG710)</f>
        <v>3466</v>
      </c>
      <c r="BK710" s="143"/>
      <c r="BL710" s="145">
        <f>SUM(BJ710+BD710)</f>
        <v>46423</v>
      </c>
      <c r="BM710" s="144"/>
    </row>
    <row r="717" spans="1:65" ht="15.6" x14ac:dyDescent="0.3">
      <c r="D717" s="1" t="s">
        <v>0</v>
      </c>
      <c r="P717" s="1" t="s">
        <v>1</v>
      </c>
    </row>
    <row r="718" spans="1:65" ht="15.6" x14ac:dyDescent="0.3">
      <c r="E718" t="s">
        <v>2</v>
      </c>
      <c r="Q718" t="s">
        <v>3</v>
      </c>
      <c r="AE718" s="2"/>
      <c r="AF718" s="1" t="s">
        <v>0</v>
      </c>
      <c r="AG718" s="1"/>
      <c r="AI718" s="1"/>
      <c r="AJ718" s="1"/>
      <c r="AS718" s="1" t="s">
        <v>4</v>
      </c>
      <c r="BE718" s="1"/>
      <c r="BF718" s="1" t="s">
        <v>5</v>
      </c>
      <c r="BG718" s="1"/>
      <c r="BH718" s="1"/>
      <c r="BI718" s="1"/>
      <c r="BJ718" s="1"/>
    </row>
    <row r="719" spans="1:65" ht="15.6" x14ac:dyDescent="0.3">
      <c r="A719" t="s">
        <v>6</v>
      </c>
      <c r="D719" t="s">
        <v>7</v>
      </c>
      <c r="O719" t="s">
        <v>8</v>
      </c>
      <c r="AE719" s="3"/>
      <c r="AF719" s="2" t="s">
        <v>9</v>
      </c>
      <c r="AG719" s="1"/>
      <c r="AI719" s="1"/>
      <c r="AJ719" s="1"/>
      <c r="AT719" t="s">
        <v>2</v>
      </c>
      <c r="BG719" t="s">
        <v>2</v>
      </c>
    </row>
    <row r="720" spans="1:65" ht="15.6" x14ac:dyDescent="0.3">
      <c r="E720" t="s">
        <v>925</v>
      </c>
      <c r="Q720" t="s">
        <v>925</v>
      </c>
      <c r="AF720" s="3" t="s">
        <v>11</v>
      </c>
      <c r="AG720" s="1"/>
      <c r="AI720" s="1"/>
      <c r="AJ720" s="1"/>
      <c r="AR720" t="s">
        <v>12</v>
      </c>
      <c r="BE720" t="s">
        <v>13</v>
      </c>
    </row>
    <row r="721" spans="1:64" ht="15" thickBot="1" x14ac:dyDescent="0.35">
      <c r="I721" s="4" t="s">
        <v>14</v>
      </c>
      <c r="U721" s="5" t="s">
        <v>15</v>
      </c>
      <c r="AG721" t="s">
        <v>925</v>
      </c>
      <c r="AT721" t="s">
        <v>925</v>
      </c>
      <c r="AY721" s="5"/>
      <c r="BG721" t="s">
        <v>925</v>
      </c>
      <c r="BK721" s="5" t="s">
        <v>16</v>
      </c>
    </row>
    <row r="722" spans="1:64" ht="15" thickBot="1" x14ac:dyDescent="0.35">
      <c r="A722" s="6" t="s">
        <v>17</v>
      </c>
      <c r="B722" s="6" t="s">
        <v>18</v>
      </c>
      <c r="C722" s="7"/>
      <c r="D722" s="8" t="s">
        <v>19</v>
      </c>
      <c r="E722" s="8"/>
      <c r="F722" s="8"/>
      <c r="G722" s="9" t="s">
        <v>20</v>
      </c>
      <c r="H722" s="8" t="s">
        <v>21</v>
      </c>
      <c r="I722" s="8"/>
      <c r="J722" s="7"/>
      <c r="L722" s="6" t="s">
        <v>17</v>
      </c>
      <c r="M722" s="187" t="s">
        <v>778</v>
      </c>
      <c r="N722" s="7"/>
      <c r="O722" s="8" t="s">
        <v>779</v>
      </c>
      <c r="P722" s="8"/>
      <c r="Q722" s="8"/>
      <c r="R722" s="6" t="s">
        <v>24</v>
      </c>
      <c r="S722" s="7"/>
      <c r="T722" s="8" t="s">
        <v>21</v>
      </c>
      <c r="U722" s="8"/>
      <c r="V722" s="7"/>
      <c r="AL722" s="5" t="s">
        <v>25</v>
      </c>
      <c r="AX722" s="5" t="s">
        <v>26</v>
      </c>
      <c r="BB722" s="6" t="s">
        <v>17</v>
      </c>
      <c r="BC722" s="6" t="s">
        <v>27</v>
      </c>
      <c r="BD722" s="7"/>
      <c r="BE722" s="8" t="s">
        <v>28</v>
      </c>
      <c r="BF722" s="8"/>
      <c r="BG722" s="8"/>
      <c r="BH722" s="6" t="s">
        <v>29</v>
      </c>
      <c r="BI722" s="7" t="s">
        <v>30</v>
      </c>
      <c r="BJ722" s="8" t="s">
        <v>31</v>
      </c>
      <c r="BK722" s="8"/>
      <c r="BL722" s="7"/>
    </row>
    <row r="723" spans="1:64" x14ac:dyDescent="0.3">
      <c r="A723" s="10" t="s">
        <v>32</v>
      </c>
      <c r="B723" s="10"/>
      <c r="C723" s="11"/>
      <c r="D723" s="3"/>
      <c r="E723" s="3"/>
      <c r="F723" s="3"/>
      <c r="G723" s="12"/>
      <c r="H723" s="3" t="s">
        <v>33</v>
      </c>
      <c r="I723" s="3"/>
      <c r="J723" s="11"/>
      <c r="L723" s="10"/>
      <c r="M723" s="10"/>
      <c r="N723" s="11"/>
      <c r="O723" s="3"/>
      <c r="P723" s="3"/>
      <c r="Q723" s="3"/>
      <c r="R723" s="10"/>
      <c r="S723" s="11"/>
      <c r="T723" s="3" t="s">
        <v>33</v>
      </c>
      <c r="U723" s="3"/>
      <c r="V723" s="11"/>
      <c r="AB723" s="6" t="s">
        <v>34</v>
      </c>
      <c r="AC723" s="6" t="s">
        <v>35</v>
      </c>
      <c r="AD723" s="7"/>
      <c r="AE723" s="6" t="s">
        <v>36</v>
      </c>
      <c r="AF723" s="8"/>
      <c r="AG723" s="7"/>
      <c r="AH723" s="8" t="s">
        <v>37</v>
      </c>
      <c r="AI723" s="8"/>
      <c r="AJ723" s="9" t="s">
        <v>30</v>
      </c>
      <c r="AK723" s="8" t="s">
        <v>38</v>
      </c>
      <c r="AL723" s="8"/>
      <c r="AM723" s="7"/>
      <c r="AP723" s="6" t="s">
        <v>17</v>
      </c>
      <c r="AQ723" s="6" t="s">
        <v>39</v>
      </c>
      <c r="AR723" s="7"/>
      <c r="AS723" s="6" t="s">
        <v>29</v>
      </c>
      <c r="AT723" s="7" t="s">
        <v>30</v>
      </c>
      <c r="AU723" s="8" t="s">
        <v>40</v>
      </c>
      <c r="AV723" s="8"/>
      <c r="AW723" s="8"/>
      <c r="AX723" s="8"/>
      <c r="AY723" s="7"/>
      <c r="BB723" s="10"/>
      <c r="BC723" s="10"/>
      <c r="BD723" s="11"/>
      <c r="BE723" s="3"/>
      <c r="BF723" s="3"/>
      <c r="BG723" s="3"/>
      <c r="BH723" s="10"/>
      <c r="BI723" s="11" t="s">
        <v>6</v>
      </c>
      <c r="BJ723" s="3" t="s">
        <v>41</v>
      </c>
      <c r="BK723" s="3"/>
      <c r="BL723" s="11"/>
    </row>
    <row r="724" spans="1:64" ht="15" thickBot="1" x14ac:dyDescent="0.35">
      <c r="A724" s="13" t="s">
        <v>42</v>
      </c>
      <c r="B724" s="14" t="s">
        <v>43</v>
      </c>
      <c r="C724" s="15" t="s">
        <v>44</v>
      </c>
      <c r="D724" s="16" t="s">
        <v>45</v>
      </c>
      <c r="E724" s="16" t="s">
        <v>46</v>
      </c>
      <c r="F724" s="16" t="s">
        <v>47</v>
      </c>
      <c r="G724" s="17" t="s">
        <v>48</v>
      </c>
      <c r="H724" s="18" t="s">
        <v>49</v>
      </c>
      <c r="I724" s="18"/>
      <c r="J724" s="11"/>
      <c r="L724" s="10" t="s">
        <v>50</v>
      </c>
      <c r="M724" s="19" t="s">
        <v>43</v>
      </c>
      <c r="N724" s="20" t="s">
        <v>44</v>
      </c>
      <c r="O724" s="21" t="s">
        <v>43</v>
      </c>
      <c r="P724" s="188" t="s">
        <v>51</v>
      </c>
      <c r="Q724" s="21" t="s">
        <v>44</v>
      </c>
      <c r="R724" s="22" t="s">
        <v>43</v>
      </c>
      <c r="S724" s="23" t="s">
        <v>44</v>
      </c>
      <c r="T724" s="18" t="s">
        <v>49</v>
      </c>
      <c r="U724" s="18"/>
      <c r="V724" s="11"/>
      <c r="AB724" s="10" t="s">
        <v>50</v>
      </c>
      <c r="AC724" s="22" t="s">
        <v>43</v>
      </c>
      <c r="AD724" s="23" t="s">
        <v>44</v>
      </c>
      <c r="AE724" s="22" t="s">
        <v>45</v>
      </c>
      <c r="AF724" s="24" t="s">
        <v>46</v>
      </c>
      <c r="AG724" s="23" t="s">
        <v>52</v>
      </c>
      <c r="AH724" s="24" t="s">
        <v>43</v>
      </c>
      <c r="AI724" s="24" t="s">
        <v>44</v>
      </c>
      <c r="AJ724" s="25" t="s">
        <v>43</v>
      </c>
      <c r="AK724" s="3" t="s">
        <v>53</v>
      </c>
      <c r="AL724" s="3"/>
      <c r="AM724" s="11"/>
      <c r="AP724" s="13" t="s">
        <v>42</v>
      </c>
      <c r="AQ724" s="13" t="s">
        <v>43</v>
      </c>
      <c r="AR724" s="26" t="s">
        <v>44</v>
      </c>
      <c r="AS724" s="13" t="s">
        <v>43</v>
      </c>
      <c r="AT724" s="26" t="s">
        <v>44</v>
      </c>
      <c r="AU724" s="27"/>
      <c r="AV724" s="27"/>
      <c r="AW724" s="27"/>
      <c r="AX724" s="27"/>
      <c r="AY724" s="26"/>
      <c r="BB724" s="13" t="s">
        <v>42</v>
      </c>
      <c r="BC724" s="13" t="s">
        <v>43</v>
      </c>
      <c r="BD724" s="26" t="s">
        <v>44</v>
      </c>
      <c r="BE724" s="27" t="s">
        <v>45</v>
      </c>
      <c r="BF724" s="27" t="s">
        <v>46</v>
      </c>
      <c r="BG724" s="27" t="s">
        <v>52</v>
      </c>
      <c r="BH724" s="13" t="s">
        <v>43</v>
      </c>
      <c r="BI724" s="26" t="s">
        <v>44</v>
      </c>
      <c r="BJ724" s="27" t="s">
        <v>54</v>
      </c>
      <c r="BK724" s="27"/>
      <c r="BL724" s="26"/>
    </row>
    <row r="725" spans="1:64" ht="15" thickBot="1" x14ac:dyDescent="0.35">
      <c r="A725" s="6"/>
      <c r="B725" s="6"/>
      <c r="C725" s="7"/>
      <c r="D725" s="8"/>
      <c r="E725" s="8"/>
      <c r="F725" s="7"/>
      <c r="G725" s="8"/>
      <c r="H725" s="6" t="s">
        <v>396</v>
      </c>
      <c r="I725" s="8"/>
      <c r="J725" s="7"/>
      <c r="K725" s="28"/>
      <c r="L725" s="9"/>
      <c r="M725" s="8"/>
      <c r="N725" s="8"/>
      <c r="O725" s="6"/>
      <c r="P725" s="8"/>
      <c r="Q725" s="7"/>
      <c r="R725" s="8"/>
      <c r="S725" s="8"/>
      <c r="T725" s="6" t="s">
        <v>396</v>
      </c>
      <c r="U725" s="8"/>
      <c r="V725" s="7"/>
      <c r="W725" s="28"/>
      <c r="AB725" s="13"/>
      <c r="AC725" s="13"/>
      <c r="AD725" s="26"/>
      <c r="AE725" s="13"/>
      <c r="AF725" s="27"/>
      <c r="AG725" s="26"/>
      <c r="AH725" s="27"/>
      <c r="AI725" s="27"/>
      <c r="AJ725" s="17"/>
      <c r="AK725" s="27"/>
      <c r="AL725" s="27"/>
      <c r="AM725" s="26"/>
      <c r="AP725" s="32" t="s">
        <v>6</v>
      </c>
      <c r="AQ725" s="43"/>
      <c r="AR725" s="54"/>
      <c r="AS725" s="33"/>
      <c r="AT725" s="35"/>
      <c r="AU725" s="33"/>
      <c r="AV725" s="34" t="s">
        <v>91</v>
      </c>
      <c r="AW725" s="34"/>
      <c r="AX725" s="34"/>
      <c r="AY725" s="35"/>
      <c r="AZ725" s="28"/>
      <c r="BB725" s="32" t="s">
        <v>85</v>
      </c>
      <c r="BC725">
        <v>30</v>
      </c>
      <c r="BD725">
        <v>23</v>
      </c>
      <c r="BE725" s="33"/>
      <c r="BF725" s="34">
        <v>34</v>
      </c>
      <c r="BG725" s="35"/>
      <c r="BH725" s="34"/>
      <c r="BI725" s="34"/>
      <c r="BJ725" s="33" t="s">
        <v>58</v>
      </c>
      <c r="BK725" s="8"/>
      <c r="BL725" s="7"/>
    </row>
    <row r="726" spans="1:64" x14ac:dyDescent="0.3">
      <c r="A726" s="10" t="s">
        <v>59</v>
      </c>
      <c r="B726" s="36">
        <v>1349</v>
      </c>
      <c r="C726" s="11">
        <v>1095</v>
      </c>
      <c r="D726" s="37"/>
      <c r="E726" s="38" t="s">
        <v>60</v>
      </c>
      <c r="F726" s="39"/>
      <c r="G726" s="37">
        <v>1410</v>
      </c>
      <c r="H726" s="36">
        <v>5</v>
      </c>
      <c r="I726" s="37" t="s">
        <v>61</v>
      </c>
      <c r="J726" s="40"/>
      <c r="K726" s="28"/>
      <c r="L726" s="41" t="s">
        <v>59</v>
      </c>
      <c r="M726" s="28">
        <v>5205</v>
      </c>
      <c r="N726" s="28">
        <v>37080</v>
      </c>
      <c r="O726" s="42">
        <v>0</v>
      </c>
      <c r="P726" s="43">
        <v>0</v>
      </c>
      <c r="Q726" s="40">
        <v>0</v>
      </c>
      <c r="R726" s="43">
        <v>0</v>
      </c>
      <c r="S726" s="43">
        <v>0</v>
      </c>
      <c r="T726" s="42"/>
      <c r="U726" s="28"/>
      <c r="V726" s="40"/>
      <c r="W726" s="28"/>
      <c r="AB726" s="9"/>
      <c r="AC726" s="8"/>
      <c r="AD726" s="8"/>
      <c r="AE726" s="6"/>
      <c r="AF726" s="8"/>
      <c r="AG726" s="7"/>
      <c r="AH726" s="8"/>
      <c r="AI726" s="8"/>
      <c r="AJ726" s="9"/>
      <c r="AK726" s="6" t="s">
        <v>62</v>
      </c>
      <c r="AL726" s="8"/>
      <c r="AM726" s="7"/>
      <c r="AP726" s="41" t="s">
        <v>56</v>
      </c>
      <c r="AQ726" s="43">
        <v>1234</v>
      </c>
      <c r="AR726" s="54">
        <v>1279</v>
      </c>
      <c r="AS726" s="42"/>
      <c r="AT726" s="40"/>
      <c r="AU726" s="42"/>
      <c r="AV726" s="28"/>
      <c r="AW726" s="28"/>
      <c r="AX726" s="28"/>
      <c r="AY726" s="40"/>
      <c r="AZ726" s="28"/>
      <c r="BB726" s="44" t="s">
        <v>64</v>
      </c>
      <c r="BC726" s="18">
        <v>126</v>
      </c>
      <c r="BD726" s="18">
        <v>145</v>
      </c>
      <c r="BE726" s="10">
        <v>0</v>
      </c>
      <c r="BF726" s="18">
        <v>0</v>
      </c>
      <c r="BG726" s="11">
        <v>0</v>
      </c>
      <c r="BH726" s="18">
        <v>0</v>
      </c>
      <c r="BI726" s="18">
        <v>0</v>
      </c>
      <c r="BJ726" s="84">
        <v>24</v>
      </c>
      <c r="BK726" s="28" t="s">
        <v>474</v>
      </c>
      <c r="BL726" s="11"/>
    </row>
    <row r="727" spans="1:64" ht="15" thickBot="1" x14ac:dyDescent="0.35">
      <c r="A727" s="36" t="s">
        <v>6</v>
      </c>
      <c r="B727" s="10"/>
      <c r="C727" s="11"/>
      <c r="D727" s="18"/>
      <c r="E727" s="18"/>
      <c r="F727" s="18"/>
      <c r="G727" s="36"/>
      <c r="H727" s="42">
        <v>0</v>
      </c>
      <c r="I727" s="28" t="s">
        <v>528</v>
      </c>
      <c r="J727" s="40">
        <f>SUM(H726+H727)</f>
        <v>5</v>
      </c>
      <c r="K727" s="28"/>
      <c r="L727" s="12"/>
      <c r="M727" s="37"/>
      <c r="N727" s="37"/>
      <c r="O727" s="10"/>
      <c r="P727" s="18"/>
      <c r="Q727" s="11"/>
      <c r="R727" s="18"/>
      <c r="S727" s="18"/>
      <c r="T727" s="10"/>
      <c r="U727" s="18"/>
      <c r="V727" s="11"/>
      <c r="W727" s="28"/>
      <c r="AB727" s="41"/>
      <c r="AE727" s="42"/>
      <c r="AF727" s="28"/>
      <c r="AG727" s="40"/>
      <c r="AJ727" s="41"/>
      <c r="AK727" s="42"/>
      <c r="AL727" s="37" t="s">
        <v>6</v>
      </c>
      <c r="AM727" s="40"/>
      <c r="AP727" s="62" t="s">
        <v>6</v>
      </c>
      <c r="AQ727" s="43"/>
      <c r="AR727" s="43"/>
      <c r="AS727" s="47"/>
      <c r="AT727" s="49"/>
      <c r="AU727" s="47"/>
      <c r="AV727" s="48">
        <v>95</v>
      </c>
      <c r="AW727" s="48" t="s">
        <v>73</v>
      </c>
      <c r="AX727" s="48"/>
      <c r="AY727" s="49">
        <f>SUM(AV727)</f>
        <v>95</v>
      </c>
      <c r="AZ727" s="28"/>
      <c r="BA727" s="28"/>
      <c r="BB727" s="41" t="s">
        <v>108</v>
      </c>
      <c r="BC727">
        <v>8</v>
      </c>
      <c r="BD727">
        <v>11</v>
      </c>
      <c r="BE727" s="42"/>
      <c r="BF727" s="28"/>
      <c r="BG727" s="40"/>
      <c r="BJ727" s="42"/>
      <c r="BK727" s="28"/>
      <c r="BL727" s="40"/>
    </row>
    <row r="728" spans="1:64" ht="15" thickBot="1" x14ac:dyDescent="0.35">
      <c r="A728" s="32"/>
      <c r="B728" s="34"/>
      <c r="C728" s="34"/>
      <c r="D728" s="33"/>
      <c r="E728" s="34"/>
      <c r="F728" s="35"/>
      <c r="G728" s="34"/>
      <c r="H728" s="6" t="s">
        <v>70</v>
      </c>
      <c r="I728" s="8"/>
      <c r="J728" s="7"/>
      <c r="K728" s="28"/>
      <c r="L728" s="17"/>
      <c r="M728" s="27"/>
      <c r="N728" s="27"/>
      <c r="O728" s="13"/>
      <c r="P728" s="27"/>
      <c r="Q728" s="26"/>
      <c r="R728" s="27"/>
      <c r="S728" s="27"/>
      <c r="T728" s="13"/>
      <c r="U728" s="27"/>
      <c r="V728" s="26"/>
      <c r="W728" s="28"/>
      <c r="AB728" s="44" t="s">
        <v>59</v>
      </c>
      <c r="AC728" s="37">
        <v>1704</v>
      </c>
      <c r="AD728" s="37">
        <v>1281</v>
      </c>
      <c r="AE728" s="10">
        <v>0</v>
      </c>
      <c r="AF728" s="18">
        <v>0</v>
      </c>
      <c r="AG728" s="39">
        <v>0</v>
      </c>
      <c r="AH728" s="2">
        <v>0</v>
      </c>
      <c r="AI728" s="2">
        <v>0</v>
      </c>
      <c r="AJ728" s="12">
        <v>0</v>
      </c>
      <c r="AK728" s="36"/>
      <c r="AL728" t="s">
        <v>398</v>
      </c>
      <c r="AM728" s="11"/>
      <c r="AP728" s="10"/>
      <c r="AQ728" s="29"/>
      <c r="AR728" s="31"/>
      <c r="AS728" s="33"/>
      <c r="AT728" s="7"/>
      <c r="AU728" s="8"/>
      <c r="AV728" s="8"/>
      <c r="AW728" s="8"/>
      <c r="AX728" s="8"/>
      <c r="AY728" s="7"/>
      <c r="AZ728" s="28"/>
      <c r="BA728" s="28"/>
      <c r="BB728" s="46" t="s">
        <v>84</v>
      </c>
      <c r="BC728">
        <f>SUM(BC725:BC727)</f>
        <v>164</v>
      </c>
      <c r="BD728">
        <f>SUM(BD725:BD727)</f>
        <v>179</v>
      </c>
      <c r="BE728" s="47"/>
      <c r="BF728" s="48">
        <f>SUM(BF725:BF727)</f>
        <v>34</v>
      </c>
      <c r="BG728" s="49"/>
      <c r="BH728" s="48"/>
      <c r="BI728" s="48"/>
      <c r="BJ728" s="47">
        <v>1</v>
      </c>
      <c r="BK728" s="48" t="s">
        <v>69</v>
      </c>
      <c r="BL728" s="49">
        <f>SUM(BJ726:BJ728)</f>
        <v>25</v>
      </c>
    </row>
    <row r="729" spans="1:64" ht="15" thickBot="1" x14ac:dyDescent="0.35">
      <c r="A729" s="44" t="s">
        <v>74</v>
      </c>
      <c r="B729" s="37">
        <v>1465</v>
      </c>
      <c r="C729" s="18">
        <v>2740</v>
      </c>
      <c r="D729" s="36"/>
      <c r="E729" s="38" t="s">
        <v>60</v>
      </c>
      <c r="F729" s="39"/>
      <c r="G729" s="37">
        <v>3009</v>
      </c>
      <c r="H729" s="36">
        <v>2</v>
      </c>
      <c r="I729" s="28" t="s">
        <v>75</v>
      </c>
      <c r="J729" s="11"/>
      <c r="K729" s="28"/>
      <c r="L729" s="32"/>
      <c r="M729" s="34"/>
      <c r="N729" s="34"/>
      <c r="O729" s="33"/>
      <c r="P729" s="34"/>
      <c r="Q729" s="35"/>
      <c r="R729" s="34"/>
      <c r="S729" s="34"/>
      <c r="T729" s="33"/>
      <c r="U729" s="34"/>
      <c r="V729" s="35"/>
      <c r="W729" s="28"/>
      <c r="AB729" s="46"/>
      <c r="AE729" s="47"/>
      <c r="AF729" s="51"/>
      <c r="AG729" s="49"/>
      <c r="AH729" s="28"/>
      <c r="AI729" s="28"/>
      <c r="AJ729" s="62"/>
      <c r="AK729" s="47">
        <v>5</v>
      </c>
      <c r="AL729" s="48" t="s">
        <v>66</v>
      </c>
      <c r="AM729" s="49"/>
      <c r="AP729" s="36" t="s">
        <v>63</v>
      </c>
      <c r="AQ729" s="10">
        <v>26</v>
      </c>
      <c r="AR729" s="18">
        <v>27</v>
      </c>
      <c r="AS729" s="42"/>
      <c r="AT729" s="11"/>
      <c r="AU729" s="18"/>
      <c r="AV729" s="18" t="s">
        <v>110</v>
      </c>
      <c r="AW729" s="18" t="s">
        <v>111</v>
      </c>
      <c r="AX729" s="18" t="s">
        <v>112</v>
      </c>
      <c r="AY729" s="11"/>
      <c r="AZ729" s="28"/>
      <c r="BA729" s="28"/>
      <c r="BB729" s="33"/>
      <c r="BC729" s="33"/>
      <c r="BD729" s="35"/>
      <c r="BE729" s="34"/>
      <c r="BF729" s="34"/>
      <c r="BG729" s="34"/>
      <c r="BH729" s="33"/>
      <c r="BI729" s="35"/>
      <c r="BJ729" s="53" t="s">
        <v>82</v>
      </c>
      <c r="BK729" s="34"/>
      <c r="BL729" s="35"/>
    </row>
    <row r="730" spans="1:64" ht="15" thickBot="1" x14ac:dyDescent="0.35">
      <c r="A730" s="41"/>
      <c r="D730" s="42"/>
      <c r="E730" s="28"/>
      <c r="F730" s="40"/>
      <c r="H730" s="42">
        <v>1</v>
      </c>
      <c r="I730" s="28" t="s">
        <v>79</v>
      </c>
      <c r="J730" s="40"/>
      <c r="K730" s="28"/>
      <c r="L730" s="41"/>
      <c r="M730" s="28"/>
      <c r="N730" s="28"/>
      <c r="O730" s="42"/>
      <c r="P730" s="28"/>
      <c r="Q730" s="40"/>
      <c r="R730" s="28"/>
      <c r="S730" s="28"/>
      <c r="T730" s="42" t="s">
        <v>80</v>
      </c>
      <c r="U730" s="28"/>
      <c r="V730" s="40"/>
      <c r="W730" s="28"/>
      <c r="AB730" s="50" t="s">
        <v>6</v>
      </c>
      <c r="AC730" s="8"/>
      <c r="AD730" s="8"/>
      <c r="AE730" s="6"/>
      <c r="AF730" s="8"/>
      <c r="AG730" s="7"/>
      <c r="AH730" s="6"/>
      <c r="AI730" s="7"/>
      <c r="AJ730" s="8"/>
      <c r="AK730" s="29"/>
      <c r="AL730" s="8"/>
      <c r="AM730" s="7"/>
      <c r="AP730" s="10" t="s">
        <v>115</v>
      </c>
      <c r="AQ730" s="36">
        <v>32</v>
      </c>
      <c r="AR730" s="37">
        <v>37</v>
      </c>
      <c r="AS730" s="42"/>
      <c r="AT730" s="11"/>
      <c r="AU730" s="18"/>
      <c r="AV730" s="18"/>
      <c r="AW730" s="18"/>
      <c r="AX730" s="18"/>
      <c r="AY730" s="11"/>
      <c r="AZ730" s="28"/>
      <c r="BA730" s="28"/>
      <c r="BB730" s="47" t="s">
        <v>85</v>
      </c>
      <c r="BC730" s="47">
        <v>0</v>
      </c>
      <c r="BD730" s="49">
        <v>2</v>
      </c>
      <c r="BE730" s="48"/>
      <c r="BF730" s="48">
        <v>0</v>
      </c>
      <c r="BG730" s="48">
        <v>0</v>
      </c>
      <c r="BH730" s="47">
        <v>0</v>
      </c>
      <c r="BI730" s="49">
        <v>0</v>
      </c>
      <c r="BJ730" s="51">
        <v>1</v>
      </c>
      <c r="BK730" s="48" t="s">
        <v>86</v>
      </c>
      <c r="BL730" s="49">
        <f>SUM(BJ730)</f>
        <v>1</v>
      </c>
    </row>
    <row r="731" spans="1:64" ht="15" thickBot="1" x14ac:dyDescent="0.35">
      <c r="A731" s="46"/>
      <c r="B731" s="48"/>
      <c r="C731" s="48"/>
      <c r="D731" s="47"/>
      <c r="E731" s="48"/>
      <c r="F731" s="49"/>
      <c r="G731" s="48"/>
      <c r="H731" s="47">
        <v>16</v>
      </c>
      <c r="I731" s="28" t="s">
        <v>83</v>
      </c>
      <c r="J731" s="49">
        <f>SUM(H729:H731)</f>
        <v>19</v>
      </c>
      <c r="K731" s="28"/>
      <c r="L731" s="17" t="s">
        <v>74</v>
      </c>
      <c r="M731" s="27">
        <v>13316</v>
      </c>
      <c r="N731" s="27">
        <v>264</v>
      </c>
      <c r="O731" s="13">
        <v>0</v>
      </c>
      <c r="P731" s="27">
        <v>0</v>
      </c>
      <c r="Q731" s="26">
        <v>0</v>
      </c>
      <c r="R731" s="27">
        <v>76</v>
      </c>
      <c r="S731" s="27">
        <v>0</v>
      </c>
      <c r="T731" s="13"/>
      <c r="U731" s="27"/>
      <c r="V731" s="26"/>
      <c r="W731" s="28"/>
      <c r="AB731" s="41" t="s">
        <v>76</v>
      </c>
      <c r="AC731">
        <v>0</v>
      </c>
      <c r="AD731">
        <v>0</v>
      </c>
      <c r="AE731" s="42">
        <v>0</v>
      </c>
      <c r="AF731" s="43">
        <v>0</v>
      </c>
      <c r="AG731" s="40">
        <v>0</v>
      </c>
      <c r="AH731" s="42">
        <v>0</v>
      </c>
      <c r="AI731" s="40">
        <v>0</v>
      </c>
      <c r="AJ731" s="43">
        <v>0</v>
      </c>
      <c r="AK731" s="42">
        <v>1</v>
      </c>
      <c r="AL731" s="28" t="s">
        <v>780</v>
      </c>
      <c r="AM731" s="40"/>
      <c r="AP731" s="52" t="s">
        <v>72</v>
      </c>
      <c r="AQ731" s="52">
        <v>0</v>
      </c>
      <c r="AR731" s="54">
        <v>0</v>
      </c>
      <c r="AS731" s="42"/>
      <c r="AT731" s="40"/>
      <c r="AU731" s="28"/>
      <c r="AV731" s="28"/>
      <c r="AW731" s="28"/>
      <c r="AX731" s="28"/>
      <c r="AY731" s="40"/>
      <c r="AZ731" s="28"/>
      <c r="BA731" s="28"/>
      <c r="BB731" s="50" t="s">
        <v>107</v>
      </c>
      <c r="BC731" s="31">
        <v>0</v>
      </c>
      <c r="BD731" s="31">
        <v>0</v>
      </c>
      <c r="BE731" s="29"/>
      <c r="BF731" s="31"/>
      <c r="BG731" s="30"/>
      <c r="BH731" s="55">
        <v>0</v>
      </c>
      <c r="BI731" s="8">
        <v>0</v>
      </c>
      <c r="BJ731" s="29"/>
      <c r="BK731" s="34" t="s">
        <v>92</v>
      </c>
      <c r="BL731" s="35"/>
    </row>
    <row r="732" spans="1:64" x14ac:dyDescent="0.3">
      <c r="A732" s="33"/>
      <c r="B732" s="33"/>
      <c r="C732" s="35"/>
      <c r="D732" s="34"/>
      <c r="E732" s="34"/>
      <c r="F732" s="34"/>
      <c r="G732" s="32"/>
      <c r="H732" s="6" t="s">
        <v>87</v>
      </c>
      <c r="I732" s="34"/>
      <c r="J732" s="35"/>
      <c r="K732" s="28"/>
      <c r="L732" s="12" t="s">
        <v>88</v>
      </c>
      <c r="M732" s="37">
        <v>0</v>
      </c>
      <c r="N732" s="37">
        <v>0</v>
      </c>
      <c r="O732" s="10"/>
      <c r="P732" s="18"/>
      <c r="Q732" s="11"/>
      <c r="R732" s="18"/>
      <c r="S732" s="18"/>
      <c r="T732" s="33" t="s">
        <v>6</v>
      </c>
      <c r="U732" s="31"/>
      <c r="V732" s="7"/>
      <c r="W732" s="28"/>
      <c r="AB732" s="6" t="s">
        <v>89</v>
      </c>
      <c r="AC732" s="6">
        <v>65</v>
      </c>
      <c r="AD732" s="7">
        <v>63</v>
      </c>
      <c r="AE732" s="8"/>
      <c r="AF732" s="8"/>
      <c r="AG732" s="8"/>
      <c r="AH732" s="6"/>
      <c r="AI732" s="7"/>
      <c r="AJ732" s="9"/>
      <c r="AK732" s="31" t="s">
        <v>90</v>
      </c>
      <c r="AL732" s="8"/>
      <c r="AM732" s="7"/>
      <c r="AP732" s="36" t="s">
        <v>78</v>
      </c>
      <c r="AQ732" s="36">
        <v>29</v>
      </c>
      <c r="AR732" s="37">
        <v>57</v>
      </c>
      <c r="AS732" s="42"/>
      <c r="AT732" s="11"/>
      <c r="AU732" s="18"/>
      <c r="AV732" s="37"/>
      <c r="AW732" s="18"/>
      <c r="AX732" s="37"/>
      <c r="AY732" s="11"/>
      <c r="AZ732" s="28"/>
      <c r="BA732" s="28"/>
      <c r="BB732" s="41" t="s">
        <v>99</v>
      </c>
      <c r="BC732" s="45">
        <v>0</v>
      </c>
      <c r="BD732" s="45">
        <v>0</v>
      </c>
      <c r="BE732" s="42">
        <v>0</v>
      </c>
      <c r="BF732" s="45">
        <v>0</v>
      </c>
      <c r="BG732" s="40">
        <v>0</v>
      </c>
      <c r="BH732" s="45">
        <v>76690</v>
      </c>
      <c r="BI732" s="56">
        <v>18180</v>
      </c>
      <c r="BJ732" s="52">
        <v>28</v>
      </c>
      <c r="BK732" s="37" t="s">
        <v>100</v>
      </c>
      <c r="BL732" s="40"/>
    </row>
    <row r="733" spans="1:64" ht="15" thickBot="1" x14ac:dyDescent="0.35">
      <c r="A733" s="36" t="s">
        <v>93</v>
      </c>
      <c r="B733" s="36">
        <v>4199</v>
      </c>
      <c r="C733" s="11">
        <v>3126</v>
      </c>
      <c r="D733" s="37"/>
      <c r="E733" s="38" t="s">
        <v>60</v>
      </c>
      <c r="F733" s="37"/>
      <c r="G733" s="12">
        <v>4563</v>
      </c>
      <c r="H733" s="36">
        <v>1</v>
      </c>
      <c r="I733" s="37" t="s">
        <v>101</v>
      </c>
      <c r="J733" s="40"/>
      <c r="K733" s="28"/>
      <c r="L733" s="44" t="s">
        <v>95</v>
      </c>
      <c r="M733" s="37">
        <v>0</v>
      </c>
      <c r="N733" s="37">
        <v>0</v>
      </c>
      <c r="O733" s="10"/>
      <c r="P733" s="18"/>
      <c r="Q733" s="11"/>
      <c r="R733" s="18"/>
      <c r="S733" s="18"/>
      <c r="T733" s="10" t="s">
        <v>96</v>
      </c>
      <c r="U733" s="37"/>
      <c r="V733" s="11"/>
      <c r="W733" s="28"/>
      <c r="AB733" s="36" t="s">
        <v>97</v>
      </c>
      <c r="AC733" s="10"/>
      <c r="AD733" s="11"/>
      <c r="AE733" s="18">
        <v>0</v>
      </c>
      <c r="AF733" s="18">
        <v>0</v>
      </c>
      <c r="AG733" s="18">
        <v>0</v>
      </c>
      <c r="AH733" s="36">
        <v>0</v>
      </c>
      <c r="AI733" s="11">
        <v>0</v>
      </c>
      <c r="AJ733" s="12">
        <v>0</v>
      </c>
      <c r="AK733" s="37">
        <v>2</v>
      </c>
      <c r="AL733" s="37" t="s">
        <v>781</v>
      </c>
      <c r="AM733" s="11"/>
      <c r="AP733" s="10" t="s">
        <v>122</v>
      </c>
      <c r="AQ733" s="36">
        <v>26</v>
      </c>
      <c r="AR733" s="37">
        <v>4</v>
      </c>
      <c r="AS733" s="42"/>
      <c r="AT733" s="11"/>
      <c r="AU733" s="18"/>
      <c r="AV733" s="18">
        <v>32</v>
      </c>
      <c r="AW733" s="18" t="s">
        <v>123</v>
      </c>
      <c r="AX733" s="18"/>
      <c r="AY733" s="11"/>
      <c r="AZ733" s="28"/>
      <c r="BA733" s="28"/>
      <c r="BB733" s="17" t="s">
        <v>84</v>
      </c>
      <c r="BC733" s="27">
        <f>SUM(BC731:BC732)</f>
        <v>0</v>
      </c>
      <c r="BD733" s="27">
        <f>SUM(BD731:BD732)</f>
        <v>0</v>
      </c>
      <c r="BE733" s="13"/>
      <c r="BF733" s="27"/>
      <c r="BG733" s="26"/>
      <c r="BH733" s="58">
        <f>+BH732+BH731</f>
        <v>76690</v>
      </c>
      <c r="BI733" s="27">
        <f>+BI732+BI731</f>
        <v>18180</v>
      </c>
      <c r="BJ733" s="59">
        <v>1</v>
      </c>
      <c r="BK733" s="48" t="s">
        <v>506</v>
      </c>
      <c r="BL733" s="60">
        <f>SUM(BJ732:BJ733)</f>
        <v>29</v>
      </c>
    </row>
    <row r="734" spans="1:64" ht="15" thickBot="1" x14ac:dyDescent="0.35">
      <c r="A734" s="47"/>
      <c r="B734" s="47"/>
      <c r="C734" s="49"/>
      <c r="D734" s="48"/>
      <c r="E734" s="48"/>
      <c r="F734" s="48"/>
      <c r="G734" s="46"/>
      <c r="H734" s="47">
        <v>30</v>
      </c>
      <c r="I734" s="37" t="s">
        <v>94</v>
      </c>
      <c r="J734" s="49">
        <f>SUM(H733:H734)</f>
        <v>31</v>
      </c>
      <c r="K734" s="28"/>
      <c r="L734" s="12" t="s">
        <v>102</v>
      </c>
      <c r="M734" s="18">
        <v>0</v>
      </c>
      <c r="N734" s="18">
        <v>0</v>
      </c>
      <c r="O734" s="10"/>
      <c r="P734" s="18"/>
      <c r="Q734" s="11"/>
      <c r="R734" s="18"/>
      <c r="S734" s="18"/>
      <c r="T734" s="10"/>
      <c r="U734" s="18"/>
      <c r="V734" s="11"/>
      <c r="W734" s="28"/>
      <c r="AB734" s="42" t="s">
        <v>84</v>
      </c>
      <c r="AC734" s="10">
        <f>SUM(AC732:AC733)</f>
        <v>65</v>
      </c>
      <c r="AD734" s="11">
        <f>SUM(AD732:AD733)</f>
        <v>63</v>
      </c>
      <c r="AE734" s="18"/>
      <c r="AF734" s="18"/>
      <c r="AG734" s="18"/>
      <c r="AH734" s="10"/>
      <c r="AI734" s="11"/>
      <c r="AJ734" s="12"/>
      <c r="AK734" s="57"/>
      <c r="AL734" s="37" t="s">
        <v>908</v>
      </c>
      <c r="AM734" s="11"/>
      <c r="AP734" s="10" t="s">
        <v>125</v>
      </c>
      <c r="AQ734" s="36">
        <v>6</v>
      </c>
      <c r="AR734" s="37">
        <v>2</v>
      </c>
      <c r="AS734" s="42"/>
      <c r="AT734" s="11"/>
      <c r="AU734" s="18"/>
      <c r="AV734" s="18">
        <v>29</v>
      </c>
      <c r="AW734" s="18" t="s">
        <v>126</v>
      </c>
      <c r="AX734" s="18"/>
      <c r="AY734" s="11"/>
      <c r="AZ734" s="28"/>
      <c r="BA734" s="28"/>
      <c r="BB734" s="41"/>
      <c r="BC734" s="70">
        <v>0</v>
      </c>
      <c r="BD734" s="71">
        <v>0</v>
      </c>
      <c r="BE734" s="42"/>
      <c r="BF734" s="28"/>
      <c r="BG734" s="40"/>
      <c r="BH734" s="42"/>
      <c r="BI734" s="40"/>
      <c r="BJ734" s="42"/>
      <c r="BK734" s="54"/>
      <c r="BL734" s="40"/>
    </row>
    <row r="735" spans="1:64" ht="15" thickBot="1" x14ac:dyDescent="0.35">
      <c r="A735" s="29" t="s">
        <v>250</v>
      </c>
      <c r="B735" s="29">
        <v>0</v>
      </c>
      <c r="C735" s="7">
        <v>0</v>
      </c>
      <c r="D735" s="8"/>
      <c r="E735" s="8"/>
      <c r="F735" s="8"/>
      <c r="G735" s="9"/>
      <c r="H735" s="8" t="s">
        <v>104</v>
      </c>
      <c r="I735" s="8"/>
      <c r="J735" s="7"/>
      <c r="K735" s="28"/>
      <c r="L735" s="12" t="s">
        <v>84</v>
      </c>
      <c r="M735" s="18">
        <f>SUM(M732:M734)</f>
        <v>0</v>
      </c>
      <c r="N735" s="18">
        <f>SUM(N732:N734)</f>
        <v>0</v>
      </c>
      <c r="O735" s="10">
        <v>0</v>
      </c>
      <c r="P735" s="18">
        <v>0</v>
      </c>
      <c r="Q735" s="11">
        <v>0</v>
      </c>
      <c r="R735" s="18">
        <v>0</v>
      </c>
      <c r="S735" s="18">
        <v>0</v>
      </c>
      <c r="T735" s="13"/>
      <c r="U735" s="27"/>
      <c r="V735" s="26"/>
      <c r="W735" s="28"/>
      <c r="AB735" s="50"/>
      <c r="AC735" s="8"/>
      <c r="AD735" s="8"/>
      <c r="AE735" s="6"/>
      <c r="AF735" s="8"/>
      <c r="AG735" s="7"/>
      <c r="AH735" s="6"/>
      <c r="AI735" s="7"/>
      <c r="AJ735" s="6"/>
      <c r="AK735" s="33" t="s">
        <v>6</v>
      </c>
      <c r="AL735" s="34"/>
      <c r="AM735" s="7"/>
      <c r="AP735" s="84" t="s">
        <v>128</v>
      </c>
      <c r="AQ735" s="52">
        <v>0</v>
      </c>
      <c r="AR735" s="37">
        <v>0</v>
      </c>
      <c r="AS735" s="42"/>
      <c r="AT735" s="40"/>
      <c r="AU735" s="28"/>
      <c r="AV735" s="28">
        <v>37</v>
      </c>
      <c r="AW735" s="28" t="s">
        <v>129</v>
      </c>
      <c r="AX735" s="28"/>
      <c r="AY735" s="40"/>
      <c r="AZ735" s="28"/>
      <c r="BA735" s="28" t="s">
        <v>6</v>
      </c>
      <c r="BB735" s="68"/>
      <c r="BC735">
        <f>SUM(BC734:BC734)</f>
        <v>0</v>
      </c>
      <c r="BD735">
        <f>SUM(BD734:BD734)</f>
        <v>0</v>
      </c>
      <c r="BE735" s="47">
        <v>0</v>
      </c>
      <c r="BF735" s="27">
        <v>0</v>
      </c>
      <c r="BG735" s="49">
        <v>0</v>
      </c>
      <c r="BH735" s="75">
        <v>0</v>
      </c>
      <c r="BI735" s="49">
        <v>0</v>
      </c>
      <c r="BJ735" s="47"/>
      <c r="BK735" s="51"/>
      <c r="BL735" s="49">
        <f>SUM(BJ734:BJ735)</f>
        <v>0</v>
      </c>
    </row>
    <row r="736" spans="1:64" ht="15" thickBot="1" x14ac:dyDescent="0.35">
      <c r="A736" s="42" t="s">
        <v>105</v>
      </c>
      <c r="B736" s="42">
        <v>380</v>
      </c>
      <c r="C736" s="40">
        <v>256</v>
      </c>
      <c r="D736" s="28"/>
      <c r="E736" s="38" t="s">
        <v>60</v>
      </c>
      <c r="F736" s="28"/>
      <c r="G736" s="41"/>
      <c r="H736" s="67">
        <v>9</v>
      </c>
      <c r="I736" s="43" t="s">
        <v>106</v>
      </c>
      <c r="J736" s="40">
        <f>SUM(H736)</f>
        <v>9</v>
      </c>
      <c r="K736" s="28"/>
      <c r="L736" s="32"/>
      <c r="M736" s="33"/>
      <c r="N736" s="35"/>
      <c r="O736" s="34"/>
      <c r="P736" s="34"/>
      <c r="Q736" s="35"/>
      <c r="R736" s="33"/>
      <c r="S736" s="35"/>
      <c r="T736" s="6" t="s">
        <v>104</v>
      </c>
      <c r="U736" s="34"/>
      <c r="V736" s="35"/>
      <c r="W736" s="28"/>
      <c r="AB736" s="46"/>
      <c r="AC736" s="27"/>
      <c r="AD736" s="27"/>
      <c r="AE736" s="13"/>
      <c r="AF736" s="27"/>
      <c r="AG736" s="26"/>
      <c r="AH736" s="13"/>
      <c r="AI736" s="26"/>
      <c r="AJ736" s="13"/>
      <c r="AK736" s="47"/>
      <c r="AL736" s="74"/>
      <c r="AM736" s="26"/>
      <c r="AP736" s="84" t="s">
        <v>132</v>
      </c>
      <c r="AQ736" s="42">
        <v>0</v>
      </c>
      <c r="AR736" s="37">
        <v>0</v>
      </c>
      <c r="AS736" s="42"/>
      <c r="AT736" s="40"/>
      <c r="AU736" s="28"/>
      <c r="AV736" s="28"/>
      <c r="AW736" s="28"/>
      <c r="AX736" s="28"/>
      <c r="AY736" s="40"/>
      <c r="AZ736" s="28"/>
      <c r="BA736" s="28" t="s">
        <v>6</v>
      </c>
      <c r="BB736" s="33" t="s">
        <v>89</v>
      </c>
      <c r="BC736" s="78">
        <v>366</v>
      </c>
      <c r="BD736" s="79">
        <v>437</v>
      </c>
      <c r="BE736" s="34"/>
      <c r="BF736" s="8"/>
      <c r="BG736" s="35"/>
      <c r="BH736" s="80"/>
      <c r="BI736" s="34"/>
      <c r="BJ736" s="33"/>
      <c r="BK736" s="34" t="s">
        <v>91</v>
      </c>
      <c r="BL736" s="35"/>
    </row>
    <row r="737" spans="1:65" ht="15" thickBot="1" x14ac:dyDescent="0.35">
      <c r="A737" s="67" t="s">
        <v>84</v>
      </c>
      <c r="B737" s="47">
        <f>SUM(B735:B736)</f>
        <v>380</v>
      </c>
      <c r="C737" s="49">
        <f>SUM(C735:C736)</f>
        <v>256</v>
      </c>
      <c r="G737" s="46">
        <v>630</v>
      </c>
      <c r="H737" s="48"/>
      <c r="I737" s="48"/>
      <c r="J737" s="49"/>
      <c r="K737" s="28"/>
      <c r="L737" s="69" t="s">
        <v>109</v>
      </c>
      <c r="M737" s="42">
        <v>3343</v>
      </c>
      <c r="N737" s="40">
        <v>0</v>
      </c>
      <c r="O737" s="28">
        <v>0</v>
      </c>
      <c r="P737" s="43">
        <v>0</v>
      </c>
      <c r="Q737" s="40">
        <v>0</v>
      </c>
      <c r="R737" s="42">
        <v>0</v>
      </c>
      <c r="S737" s="40">
        <v>0</v>
      </c>
      <c r="T737" s="28"/>
      <c r="U737" s="28"/>
      <c r="V737" s="40"/>
      <c r="W737" s="28"/>
      <c r="AA737" s="28"/>
      <c r="AB737" s="44"/>
      <c r="AC737" s="45"/>
      <c r="AD737" s="45"/>
      <c r="AE737" s="10"/>
      <c r="AF737" s="18"/>
      <c r="AG737" s="11"/>
      <c r="AH737" s="10"/>
      <c r="AI737" s="11"/>
      <c r="AJ737" s="67"/>
      <c r="AK737" s="42"/>
      <c r="AM737" s="40"/>
      <c r="AN737" s="28"/>
      <c r="AP737" s="84" t="s">
        <v>81</v>
      </c>
      <c r="AQ737" s="42">
        <v>18</v>
      </c>
      <c r="AR737" s="37">
        <v>55</v>
      </c>
      <c r="AS737" s="42"/>
      <c r="AT737" s="40"/>
      <c r="AU737" s="28"/>
      <c r="AV737" s="28"/>
      <c r="AW737" s="28"/>
      <c r="AX737" s="28"/>
      <c r="AY737" s="40"/>
      <c r="AZ737" s="45"/>
      <c r="BA737" s="28"/>
      <c r="BB737" s="52" t="s">
        <v>85</v>
      </c>
      <c r="BC737" s="42">
        <v>0</v>
      </c>
      <c r="BD737" s="40">
        <v>0</v>
      </c>
      <c r="BE737" s="28"/>
      <c r="BF737" s="28"/>
      <c r="BG737" s="40"/>
      <c r="BJ737" s="42"/>
      <c r="BK737" s="43"/>
      <c r="BL737" s="40"/>
    </row>
    <row r="738" spans="1:65" ht="15" thickBot="1" x14ac:dyDescent="0.35">
      <c r="A738" s="29" t="s">
        <v>108</v>
      </c>
      <c r="B738" s="29">
        <v>0</v>
      </c>
      <c r="C738" s="7">
        <v>0</v>
      </c>
      <c r="D738" s="8"/>
      <c r="E738" s="8">
        <v>662</v>
      </c>
      <c r="F738" s="8"/>
      <c r="G738" s="50"/>
      <c r="H738" s="6" t="s">
        <v>104</v>
      </c>
      <c r="I738" s="31"/>
      <c r="J738" s="30"/>
      <c r="K738" s="28"/>
      <c r="L738" s="46"/>
      <c r="M738" s="47"/>
      <c r="N738" s="49"/>
      <c r="O738" s="48"/>
      <c r="P738" s="48"/>
      <c r="Q738" s="49"/>
      <c r="R738" s="72"/>
      <c r="S738" s="73"/>
      <c r="T738" s="48"/>
      <c r="U738" s="48"/>
      <c r="V738" s="49"/>
      <c r="W738" s="28"/>
      <c r="AA738" s="28"/>
      <c r="AB738" s="41"/>
      <c r="AE738" s="10">
        <v>0</v>
      </c>
      <c r="AF738" s="18">
        <v>0</v>
      </c>
      <c r="AG738" s="11">
        <v>0</v>
      </c>
      <c r="AH738" s="10"/>
      <c r="AI738" s="11"/>
      <c r="AJ738" s="47"/>
      <c r="AK738" s="72"/>
      <c r="AL738" s="74"/>
      <c r="AM738" s="49"/>
      <c r="AN738" s="28"/>
      <c r="AP738" s="10" t="s">
        <v>138</v>
      </c>
      <c r="AQ738" s="36">
        <v>0</v>
      </c>
      <c r="AR738" s="37">
        <v>0</v>
      </c>
      <c r="AS738" s="42"/>
      <c r="AT738" s="11"/>
      <c r="AU738" s="18"/>
      <c r="AV738" s="18"/>
      <c r="AW738" s="18"/>
      <c r="AX738" s="18"/>
      <c r="AY738" s="11"/>
      <c r="AZ738" s="28"/>
      <c r="BA738" s="28"/>
      <c r="BB738" s="67" t="s">
        <v>113</v>
      </c>
      <c r="BC738" s="42">
        <v>457</v>
      </c>
      <c r="BD738" s="40">
        <v>535</v>
      </c>
      <c r="BE738" s="28"/>
      <c r="BF738" s="28"/>
      <c r="BG738" s="40"/>
      <c r="BH738" s="28"/>
      <c r="BI738" s="28"/>
      <c r="BJ738" s="67">
        <v>73</v>
      </c>
      <c r="BK738" s="43" t="s">
        <v>73</v>
      </c>
      <c r="BL738" s="40"/>
    </row>
    <row r="739" spans="1:65" ht="15" thickBot="1" x14ac:dyDescent="0.35">
      <c r="A739" s="52" t="s">
        <v>109</v>
      </c>
      <c r="B739" s="36">
        <v>2330</v>
      </c>
      <c r="C739" s="11">
        <v>1389</v>
      </c>
      <c r="D739" s="45"/>
      <c r="E739" s="45">
        <v>0</v>
      </c>
      <c r="F739" s="45"/>
      <c r="G739" s="69"/>
      <c r="H739" s="45">
        <v>9</v>
      </c>
      <c r="I739" s="28" t="s">
        <v>114</v>
      </c>
      <c r="J739" s="40"/>
      <c r="K739" s="28"/>
      <c r="L739" s="50" t="s">
        <v>93</v>
      </c>
      <c r="M739" s="8">
        <v>0</v>
      </c>
      <c r="N739" s="8">
        <v>0</v>
      </c>
      <c r="O739" s="6"/>
      <c r="P739" s="8"/>
      <c r="Q739" s="7"/>
      <c r="R739" s="8">
        <v>0</v>
      </c>
      <c r="S739" s="8">
        <v>0</v>
      </c>
      <c r="T739" s="10" t="s">
        <v>116</v>
      </c>
      <c r="U739" s="8"/>
      <c r="V739" s="7"/>
      <c r="W739" s="28"/>
      <c r="AA739" s="28"/>
      <c r="AB739" s="33"/>
      <c r="AC739" s="6"/>
      <c r="AD739" s="7"/>
      <c r="AE739" s="8"/>
      <c r="AF739" s="8"/>
      <c r="AG739" s="8"/>
      <c r="AH739" s="6"/>
      <c r="AI739" s="7"/>
      <c r="AJ739" s="8"/>
      <c r="AK739" s="29"/>
      <c r="AL739" s="164"/>
      <c r="AM739" s="7"/>
      <c r="AN739" s="28"/>
      <c r="AP739" s="84" t="s">
        <v>56</v>
      </c>
      <c r="AQ739" s="42">
        <v>0</v>
      </c>
      <c r="AR739" s="54">
        <v>0</v>
      </c>
      <c r="AS739" s="42"/>
      <c r="AT739" s="40"/>
      <c r="AU739" s="28"/>
      <c r="AV739" s="28"/>
      <c r="AW739" s="28"/>
      <c r="AX739" s="28"/>
      <c r="AY739" s="40"/>
      <c r="AZ739" s="28"/>
      <c r="BA739" s="28"/>
      <c r="BB739" s="47" t="s">
        <v>84</v>
      </c>
      <c r="BC739" s="47">
        <f>SUM(BC736:BC738)</f>
        <v>823</v>
      </c>
      <c r="BD739" s="49">
        <f>SUM(BD736:BD738)</f>
        <v>972</v>
      </c>
      <c r="BE739" s="81">
        <v>0</v>
      </c>
      <c r="BF739" s="27">
        <v>0</v>
      </c>
      <c r="BG739" s="82">
        <f>+BG736</f>
        <v>0</v>
      </c>
      <c r="BH739" s="74">
        <v>0</v>
      </c>
      <c r="BI739" s="74">
        <v>0</v>
      </c>
      <c r="BJ739" s="47"/>
      <c r="BK739" s="51"/>
      <c r="BL739" s="49">
        <f>SUM(BJ738)</f>
        <v>73</v>
      </c>
    </row>
    <row r="740" spans="1:65" ht="15" thickBot="1" x14ac:dyDescent="0.35">
      <c r="A740" s="76" t="s">
        <v>84</v>
      </c>
      <c r="B740" s="42">
        <f>SUM(B738:B739)</f>
        <v>2330</v>
      </c>
      <c r="C740" s="40">
        <f>SUM(C738:C739)</f>
        <v>1389</v>
      </c>
      <c r="D740" s="28"/>
      <c r="E740" s="28">
        <f>SUM(E738:E739)</f>
        <v>662</v>
      </c>
      <c r="F740" s="28"/>
      <c r="G740" s="46">
        <v>3343</v>
      </c>
      <c r="H740" s="48"/>
      <c r="I740" s="48"/>
      <c r="J740" s="49">
        <f>SUM(H739)</f>
        <v>9</v>
      </c>
      <c r="K740" s="28"/>
      <c r="L740" s="12" t="s">
        <v>99</v>
      </c>
      <c r="M740" s="37">
        <v>3731</v>
      </c>
      <c r="N740" s="37">
        <v>33800</v>
      </c>
      <c r="O740" s="10"/>
      <c r="P740" s="18"/>
      <c r="Q740" s="11"/>
      <c r="R740" s="18">
        <v>5189</v>
      </c>
      <c r="S740" s="18">
        <v>305</v>
      </c>
      <c r="T740" s="10"/>
      <c r="U740" s="18"/>
      <c r="V740" s="11"/>
      <c r="W740" s="28"/>
      <c r="AA740" s="28"/>
      <c r="AB740" s="67"/>
      <c r="AC740" s="42"/>
      <c r="AD740" s="40"/>
      <c r="AE740" s="28"/>
      <c r="AF740" s="28"/>
      <c r="AG740" s="28"/>
      <c r="AH740" s="42"/>
      <c r="AI740" s="40"/>
      <c r="AJ740" s="28"/>
      <c r="AK740" s="42"/>
      <c r="AL740" s="54" t="s">
        <v>831</v>
      </c>
      <c r="AM740" s="40"/>
      <c r="AN740" s="28"/>
      <c r="AP740" s="36" t="s">
        <v>67</v>
      </c>
      <c r="AQ740" s="10">
        <v>100</v>
      </c>
      <c r="AR740" s="18">
        <v>87</v>
      </c>
      <c r="AS740" s="42"/>
      <c r="AT740" s="11"/>
      <c r="AU740" s="18"/>
      <c r="AV740" s="18"/>
      <c r="AW740" s="18"/>
      <c r="AX740" s="18"/>
      <c r="AY740" s="11"/>
      <c r="AZ740" s="28"/>
      <c r="BA740" s="28"/>
      <c r="BB740" s="52" t="s">
        <v>113</v>
      </c>
      <c r="BC740" s="42">
        <v>546</v>
      </c>
      <c r="BD740" s="85">
        <v>644</v>
      </c>
      <c r="BE740" s="37"/>
      <c r="BF740" s="18"/>
      <c r="BG740" s="54"/>
      <c r="BH740" s="52"/>
      <c r="BI740" s="40"/>
      <c r="BJ740" s="67"/>
      <c r="BK740" s="34" t="s">
        <v>130</v>
      </c>
      <c r="BL740" s="40"/>
    </row>
    <row r="741" spans="1:65" ht="15" thickBot="1" x14ac:dyDescent="0.35">
      <c r="A741" s="33" t="s">
        <v>785</v>
      </c>
      <c r="B741" s="33">
        <v>0</v>
      </c>
      <c r="C741" s="35">
        <v>0</v>
      </c>
      <c r="D741" s="33"/>
      <c r="E741" s="34"/>
      <c r="F741" s="34"/>
      <c r="G741" s="32"/>
      <c r="H741" s="33" t="s">
        <v>118</v>
      </c>
      <c r="I741" s="34"/>
      <c r="J741" s="35"/>
      <c r="K741" s="28"/>
      <c r="L741" s="12" t="s">
        <v>120</v>
      </c>
      <c r="M741" s="37">
        <v>0</v>
      </c>
      <c r="N741" s="37">
        <v>24477</v>
      </c>
      <c r="O741" s="10"/>
      <c r="P741" s="18"/>
      <c r="Q741" s="11"/>
      <c r="R741" s="18">
        <v>26</v>
      </c>
      <c r="S741" s="18">
        <v>145</v>
      </c>
      <c r="T741" s="10"/>
      <c r="U741" s="18"/>
      <c r="V741" s="11"/>
      <c r="W741" s="28"/>
      <c r="AA741" s="28"/>
      <c r="AB741" s="36"/>
      <c r="AC741" s="10"/>
      <c r="AD741" s="11"/>
      <c r="AE741" s="18"/>
      <c r="AF741" s="18"/>
      <c r="AG741" s="18"/>
      <c r="AH741" s="10"/>
      <c r="AI741" s="11"/>
      <c r="AJ741" s="18"/>
      <c r="AK741" s="10">
        <v>1</v>
      </c>
      <c r="AL741" s="37" t="s">
        <v>436</v>
      </c>
      <c r="AM741" s="11"/>
      <c r="AN741" s="28"/>
      <c r="AP741" s="13" t="s">
        <v>84</v>
      </c>
      <c r="AQ741" s="13">
        <f>SUM(AQ729:AQ740)</f>
        <v>237</v>
      </c>
      <c r="AR741" s="27">
        <f>SUM(AR729:AR740)</f>
        <v>269</v>
      </c>
      <c r="AS741" s="47"/>
      <c r="AT741" s="26">
        <f>SUM(AT733:AT740)</f>
        <v>0</v>
      </c>
      <c r="AU741" s="27"/>
      <c r="AV741" s="27"/>
      <c r="AW741" s="27"/>
      <c r="AX741" s="27"/>
      <c r="AY741" s="26">
        <f>SUM(AV733:AV735)</f>
        <v>98</v>
      </c>
      <c r="AZ741" s="28"/>
      <c r="BA741" s="28"/>
      <c r="BB741" s="42" t="s">
        <v>475</v>
      </c>
      <c r="BC741" s="67"/>
      <c r="BD741" s="85"/>
      <c r="BE741" s="28"/>
      <c r="BF741" s="18"/>
      <c r="BG741" s="28"/>
      <c r="BH741" s="52"/>
      <c r="BI741" s="86"/>
      <c r="BJ741" s="52">
        <v>52</v>
      </c>
      <c r="BK741" s="43" t="s">
        <v>73</v>
      </c>
      <c r="BL741" s="40"/>
      <c r="BM741" t="s">
        <v>6</v>
      </c>
    </row>
    <row r="742" spans="1:65" ht="15" thickBot="1" x14ac:dyDescent="0.35">
      <c r="A742" s="67" t="s">
        <v>93</v>
      </c>
      <c r="B742" s="67">
        <v>5202</v>
      </c>
      <c r="C742" s="56">
        <v>4849</v>
      </c>
      <c r="G742" s="41">
        <v>5660</v>
      </c>
      <c r="H742" s="42">
        <v>37</v>
      </c>
      <c r="I742" s="28" t="s">
        <v>127</v>
      </c>
      <c r="J742" s="40"/>
      <c r="K742" s="28"/>
      <c r="L742" s="12" t="s">
        <v>84</v>
      </c>
      <c r="M742" s="18">
        <f>SUM(M739:M741)</f>
        <v>3731</v>
      </c>
      <c r="N742" s="18">
        <f>SUM(N739:N741)</f>
        <v>58277</v>
      </c>
      <c r="O742" s="10">
        <v>0</v>
      </c>
      <c r="P742" s="18">
        <v>0</v>
      </c>
      <c r="Q742" s="11">
        <v>0</v>
      </c>
      <c r="R742" s="18">
        <f>SUM(R739:R741)</f>
        <v>5215</v>
      </c>
      <c r="S742" s="18">
        <f>SUM(S739:S741)</f>
        <v>450</v>
      </c>
      <c r="T742" s="10"/>
      <c r="U742" s="18"/>
      <c r="V742" s="11"/>
      <c r="W742" s="28"/>
      <c r="AA742" s="28"/>
      <c r="AB742" s="42"/>
      <c r="AC742" s="42"/>
      <c r="AD742" s="40"/>
      <c r="AE742" s="28"/>
      <c r="AF742" s="28"/>
      <c r="AG742" s="28"/>
      <c r="AH742" s="42"/>
      <c r="AI742" s="40"/>
      <c r="AJ742" s="28"/>
      <c r="AK742" s="42">
        <v>1</v>
      </c>
      <c r="AL742" s="28" t="s">
        <v>813</v>
      </c>
      <c r="AM742" s="40"/>
      <c r="AN742" s="28"/>
      <c r="AP742" s="32"/>
      <c r="AQ742" s="53"/>
      <c r="AR742" s="97"/>
      <c r="AS742" s="33"/>
      <c r="AT742" s="7"/>
      <c r="AU742" s="6"/>
      <c r="AV742" s="8"/>
      <c r="AW742" s="31"/>
      <c r="AX742" s="8"/>
      <c r="AY742" s="7"/>
      <c r="AZ742" s="28"/>
      <c r="BA742" s="28"/>
      <c r="BB742" s="59" t="s">
        <v>84</v>
      </c>
      <c r="BC742" s="13">
        <f>SUM(BC740:BC741)</f>
        <v>546</v>
      </c>
      <c r="BD742" s="60">
        <f>SUM(BD740:BD741)</f>
        <v>644</v>
      </c>
      <c r="BE742" s="81">
        <v>0</v>
      </c>
      <c r="BF742" s="27">
        <v>0</v>
      </c>
      <c r="BG742" s="27">
        <v>0</v>
      </c>
      <c r="BH742" s="13">
        <v>0</v>
      </c>
      <c r="BI742" s="26">
        <v>0</v>
      </c>
      <c r="BJ742" s="13"/>
      <c r="BK742" s="43"/>
      <c r="BL742" s="26">
        <f>SUM(BJ740:BJ741)</f>
        <v>52</v>
      </c>
    </row>
    <row r="743" spans="1:65" ht="15" thickBot="1" x14ac:dyDescent="0.35">
      <c r="A743" s="42" t="s">
        <v>120</v>
      </c>
      <c r="B743" s="42">
        <v>5718</v>
      </c>
      <c r="C743" s="40">
        <v>4144</v>
      </c>
      <c r="D743" s="42"/>
      <c r="E743" s="107" t="s">
        <v>60</v>
      </c>
      <c r="F743" s="28"/>
      <c r="G743" s="41">
        <v>6230</v>
      </c>
      <c r="H743" s="42">
        <v>34</v>
      </c>
      <c r="I743" s="28" t="s">
        <v>101</v>
      </c>
      <c r="J743" s="40"/>
      <c r="K743" s="28"/>
      <c r="L743" s="17"/>
      <c r="M743" s="27"/>
      <c r="N743" s="27"/>
      <c r="O743" s="13"/>
      <c r="P743" s="27"/>
      <c r="Q743" s="26"/>
      <c r="R743" s="27"/>
      <c r="S743" s="27"/>
      <c r="T743" s="13"/>
      <c r="U743" s="27"/>
      <c r="V743" s="26"/>
      <c r="W743" s="28"/>
      <c r="AA743" s="28"/>
      <c r="AB743" s="47"/>
      <c r="AC743" s="47"/>
      <c r="AD743" s="49"/>
      <c r="AE743" s="48"/>
      <c r="AF743" s="48"/>
      <c r="AG743" s="48"/>
      <c r="AH743" s="47"/>
      <c r="AI743" s="49"/>
      <c r="AJ743" s="48"/>
      <c r="AK743" s="165">
        <v>2</v>
      </c>
      <c r="AL743" s="48" t="s">
        <v>926</v>
      </c>
      <c r="AM743" s="49"/>
      <c r="AN743" s="28"/>
      <c r="AP743" s="62"/>
      <c r="AQ743" s="72"/>
      <c r="AR743" s="73"/>
      <c r="AS743" s="47"/>
      <c r="AT743" s="49"/>
      <c r="AU743" s="47"/>
      <c r="AV743" s="48"/>
      <c r="AW743" s="48"/>
      <c r="AX743" s="48"/>
      <c r="AY743" s="49"/>
      <c r="BA743" s="28"/>
      <c r="BB743" s="88" t="s">
        <v>158</v>
      </c>
      <c r="BC743" s="33">
        <v>4</v>
      </c>
      <c r="BD743" s="34">
        <v>0</v>
      </c>
      <c r="BE743" s="152"/>
      <c r="BF743" s="89"/>
      <c r="BG743" s="66" t="s">
        <v>6</v>
      </c>
      <c r="BH743" s="8"/>
      <c r="BI743" s="35"/>
      <c r="BJ743" s="34" t="s">
        <v>140</v>
      </c>
      <c r="BK743" s="34"/>
      <c r="BL743" s="35"/>
    </row>
    <row r="744" spans="1:65" ht="15" thickBot="1" x14ac:dyDescent="0.35">
      <c r="A744" s="47" t="s">
        <v>84</v>
      </c>
      <c r="B744" s="47">
        <f>SUM(B741:B743)</f>
        <v>10920</v>
      </c>
      <c r="C744" s="49">
        <f>SUM(C741:C743)</f>
        <v>8993</v>
      </c>
      <c r="D744" s="47"/>
      <c r="E744" s="48"/>
      <c r="F744" s="48"/>
      <c r="G744" s="46">
        <f>SUM(G741:G743)</f>
        <v>11890</v>
      </c>
      <c r="H744" s="47">
        <v>12</v>
      </c>
      <c r="I744" s="48" t="s">
        <v>927</v>
      </c>
      <c r="J744" s="49">
        <f>SUM(H742:H744)</f>
        <v>83</v>
      </c>
      <c r="K744" s="28"/>
      <c r="L744" s="12" t="s">
        <v>105</v>
      </c>
      <c r="M744" s="34">
        <v>2617</v>
      </c>
      <c r="N744" s="34">
        <v>1478</v>
      </c>
      <c r="O744" s="33"/>
      <c r="P744" s="34"/>
      <c r="Q744" s="35"/>
      <c r="R744" s="34">
        <v>1</v>
      </c>
      <c r="S744" s="34">
        <v>0</v>
      </c>
      <c r="T744" s="33"/>
      <c r="U744" s="34"/>
      <c r="V744" s="35"/>
      <c r="W744" s="28"/>
      <c r="AA744" s="28"/>
      <c r="AB744" s="32" t="s">
        <v>97</v>
      </c>
      <c r="AC744" s="28">
        <v>262</v>
      </c>
      <c r="AD744" s="28">
        <v>353</v>
      </c>
      <c r="AE744" s="33"/>
      <c r="AF744" s="34"/>
      <c r="AG744" s="34"/>
      <c r="AH744" s="33"/>
      <c r="AI744" s="35"/>
      <c r="AJ744" s="35"/>
      <c r="AK744" s="33" t="s">
        <v>883</v>
      </c>
      <c r="AL744" s="34"/>
      <c r="AM744" s="35"/>
      <c r="AN744" s="28"/>
      <c r="AP744" s="67" t="s">
        <v>63</v>
      </c>
      <c r="AQ744" s="33">
        <v>5</v>
      </c>
      <c r="AR744" s="35">
        <v>4</v>
      </c>
      <c r="AU744" s="33"/>
      <c r="AV744" s="34"/>
      <c r="AW744" s="34"/>
      <c r="AX744" s="34"/>
      <c r="AY744" s="35"/>
      <c r="AZ744" s="28"/>
      <c r="BA744" s="28"/>
      <c r="BB744" s="42" t="s">
        <v>704</v>
      </c>
      <c r="BC744" s="42">
        <v>6</v>
      </c>
      <c r="BD744" s="43">
        <v>0</v>
      </c>
      <c r="BE744" s="42"/>
      <c r="BF744" s="28"/>
      <c r="BG744" s="40"/>
      <c r="BH744" s="28"/>
      <c r="BI744" s="40"/>
      <c r="BJ744" s="28"/>
      <c r="BK744" s="28"/>
      <c r="BL744" s="40"/>
    </row>
    <row r="745" spans="1:65" x14ac:dyDescent="0.3">
      <c r="A745" s="41" t="s">
        <v>88</v>
      </c>
      <c r="B745" s="42">
        <v>637</v>
      </c>
      <c r="C745" s="40">
        <v>575</v>
      </c>
      <c r="D745" s="28"/>
      <c r="E745" s="45">
        <v>0</v>
      </c>
      <c r="F745" s="40"/>
      <c r="G745" s="40">
        <v>2339</v>
      </c>
      <c r="H745" s="28" t="s">
        <v>131</v>
      </c>
      <c r="J745" s="40"/>
      <c r="K745" s="28"/>
      <c r="L745" s="44" t="s">
        <v>99</v>
      </c>
      <c r="M745" s="18">
        <v>0</v>
      </c>
      <c r="N745" s="18">
        <v>0</v>
      </c>
      <c r="O745" s="10"/>
      <c r="P745" s="18"/>
      <c r="Q745" s="11"/>
      <c r="R745" s="18">
        <v>0</v>
      </c>
      <c r="S745" s="18">
        <v>0</v>
      </c>
      <c r="T745" s="10" t="s">
        <v>135</v>
      </c>
      <c r="U745" s="18"/>
      <c r="V745" s="11"/>
      <c r="W745" s="28"/>
      <c r="AA745" s="28"/>
      <c r="AB745" s="41" t="s">
        <v>89</v>
      </c>
      <c r="AC745" s="28">
        <v>462</v>
      </c>
      <c r="AD745" s="28">
        <v>515</v>
      </c>
      <c r="AE745" s="42"/>
      <c r="AF745" s="28"/>
      <c r="AG745" s="28"/>
      <c r="AH745" s="42"/>
      <c r="AI745" s="40"/>
      <c r="AJ745" s="40"/>
      <c r="AK745" s="42" t="s">
        <v>833</v>
      </c>
      <c r="AL745" s="28"/>
      <c r="AM745" s="40"/>
      <c r="AN745" s="28"/>
      <c r="AP745" s="67" t="s">
        <v>716</v>
      </c>
      <c r="AQ745" s="42">
        <v>0</v>
      </c>
      <c r="AR745" s="40">
        <v>0</v>
      </c>
      <c r="AU745" s="42"/>
      <c r="AV745" s="28"/>
      <c r="AW745" s="28"/>
      <c r="AX745" s="28"/>
      <c r="AY745" s="40"/>
      <c r="AZ745" s="28"/>
      <c r="BA745" s="28"/>
      <c r="BB745" s="153" t="s">
        <v>475</v>
      </c>
      <c r="BC745" s="42">
        <v>1</v>
      </c>
      <c r="BD745" s="43">
        <v>3</v>
      </c>
      <c r="BE745" s="42"/>
      <c r="BF745" s="28"/>
      <c r="BG745" s="40"/>
      <c r="BH745" s="28"/>
      <c r="BI745" s="40"/>
      <c r="BJ745" s="28"/>
      <c r="BK745" s="28"/>
      <c r="BL745" s="40"/>
    </row>
    <row r="746" spans="1:65" x14ac:dyDescent="0.3">
      <c r="A746" s="41" t="s">
        <v>102</v>
      </c>
      <c r="B746" s="42">
        <v>468</v>
      </c>
      <c r="C746" s="85">
        <v>267</v>
      </c>
      <c r="D746" s="28"/>
      <c r="E746" s="45">
        <v>0</v>
      </c>
      <c r="F746" s="40"/>
      <c r="G746" s="40">
        <v>503</v>
      </c>
      <c r="H746" s="43">
        <v>8</v>
      </c>
      <c r="I746" s="28" t="s">
        <v>134</v>
      </c>
      <c r="J746" s="40"/>
      <c r="K746" s="28"/>
      <c r="L746" s="12"/>
      <c r="M746" s="18"/>
      <c r="N746" s="18"/>
      <c r="O746" s="10"/>
      <c r="P746" s="18"/>
      <c r="Q746" s="11"/>
      <c r="R746" s="18"/>
      <c r="S746" s="18"/>
      <c r="T746" s="10"/>
      <c r="U746" s="18"/>
      <c r="V746" s="11"/>
      <c r="W746" s="28"/>
      <c r="AA746" s="28"/>
      <c r="AB746" s="44" t="s">
        <v>137</v>
      </c>
      <c r="AC746" s="18">
        <v>276</v>
      </c>
      <c r="AD746" s="18">
        <v>275</v>
      </c>
      <c r="AE746" s="10"/>
      <c r="AF746" s="18"/>
      <c r="AG746" s="18"/>
      <c r="AH746" s="52"/>
      <c r="AI746" s="85"/>
      <c r="AJ746" s="40"/>
      <c r="AK746" s="84">
        <v>3</v>
      </c>
      <c r="AL746" s="37" t="s">
        <v>884</v>
      </c>
      <c r="AM746" s="40"/>
      <c r="AN746" s="28"/>
      <c r="AP746" s="52" t="s">
        <v>56</v>
      </c>
      <c r="AQ746" s="52">
        <v>4</v>
      </c>
      <c r="AR746" s="85">
        <v>5</v>
      </c>
      <c r="AS746" s="28"/>
      <c r="AT746" s="28"/>
      <c r="AU746" s="42"/>
      <c r="AV746" s="28" t="s">
        <v>173</v>
      </c>
      <c r="AW746" s="28"/>
      <c r="AX746" s="28"/>
      <c r="AY746" s="40"/>
      <c r="AZ746" s="28"/>
      <c r="BA746" s="28"/>
      <c r="BB746" s="92" t="s">
        <v>113</v>
      </c>
      <c r="BC746" s="67">
        <f>10+25+4</f>
        <v>39</v>
      </c>
      <c r="BD746" s="43">
        <f>27+1+5+15</f>
        <v>48</v>
      </c>
      <c r="BE746" s="52"/>
      <c r="BF746" s="54"/>
      <c r="BG746" s="85"/>
      <c r="BH746" s="18"/>
      <c r="BI746" s="40"/>
      <c r="BJ746" s="18" t="s">
        <v>142</v>
      </c>
      <c r="BK746" s="18"/>
      <c r="BL746" s="39" t="s">
        <v>814</v>
      </c>
    </row>
    <row r="747" spans="1:65" ht="15" thickBot="1" x14ac:dyDescent="0.35">
      <c r="A747" s="87" t="s">
        <v>84</v>
      </c>
      <c r="B747" s="59">
        <f>SUM(B745:B746)</f>
        <v>1105</v>
      </c>
      <c r="C747" s="26">
        <f>SUM(C745:C746)</f>
        <v>842</v>
      </c>
      <c r="D747" s="27"/>
      <c r="E747" s="16">
        <f>SUM(E743:E746)</f>
        <v>0</v>
      </c>
      <c r="F747" s="26"/>
      <c r="G747" s="49">
        <f>1703+1380</f>
        <v>3083</v>
      </c>
      <c r="H747" s="48">
        <v>7</v>
      </c>
      <c r="I747" s="189" t="s">
        <v>815</v>
      </c>
      <c r="J747" s="49">
        <f>SUM(H745:H746)</f>
        <v>8</v>
      </c>
      <c r="K747" s="28"/>
      <c r="L747" s="12" t="s">
        <v>84</v>
      </c>
      <c r="M747" s="18">
        <f>SUM(M744:M746)</f>
        <v>2617</v>
      </c>
      <c r="N747" s="18">
        <f>SUM(N744:N746)</f>
        <v>1478</v>
      </c>
      <c r="O747" s="10">
        <v>0</v>
      </c>
      <c r="P747" s="18">
        <v>0</v>
      </c>
      <c r="Q747" s="11">
        <v>0</v>
      </c>
      <c r="R747" s="18">
        <f>SUM(R744:R746)</f>
        <v>1</v>
      </c>
      <c r="S747" s="18">
        <f>SUM(S744:S746)</f>
        <v>0</v>
      </c>
      <c r="T747" s="10"/>
      <c r="U747" s="18"/>
      <c r="V747" s="11"/>
      <c r="W747" s="28"/>
      <c r="AA747" s="28"/>
      <c r="AB747" s="41" t="s">
        <v>84</v>
      </c>
      <c r="AC747" s="28">
        <f>SUM(AC744:AC746)</f>
        <v>1000</v>
      </c>
      <c r="AD747" s="28">
        <f>SUM(AD744:AD746)</f>
        <v>1143</v>
      </c>
      <c r="AE747" s="42">
        <v>0</v>
      </c>
      <c r="AF747" s="28">
        <v>0</v>
      </c>
      <c r="AG747" s="28">
        <v>0</v>
      </c>
      <c r="AH747" s="42">
        <v>0</v>
      </c>
      <c r="AI747" s="40">
        <v>0</v>
      </c>
      <c r="AJ747" s="40">
        <v>0</v>
      </c>
      <c r="AK747" s="67">
        <v>18</v>
      </c>
      <c r="AL747" s="28" t="s">
        <v>141</v>
      </c>
      <c r="AM747" s="40"/>
      <c r="AN747" s="28"/>
      <c r="AP747" s="52" t="s">
        <v>67</v>
      </c>
      <c r="AQ747" s="52">
        <v>3</v>
      </c>
      <c r="AR747" s="56">
        <v>5</v>
      </c>
      <c r="AU747" s="42"/>
      <c r="AV747" s="28"/>
      <c r="AW747" s="28" t="s">
        <v>213</v>
      </c>
      <c r="AX747" s="28"/>
      <c r="AY747" s="40"/>
      <c r="AZ747" s="28"/>
      <c r="BA747" s="28"/>
      <c r="BB747" s="42" t="s">
        <v>504</v>
      </c>
      <c r="BC747" s="67">
        <v>0</v>
      </c>
      <c r="BD747" s="43">
        <v>9</v>
      </c>
      <c r="BE747" s="52"/>
      <c r="BF747" s="54"/>
      <c r="BG747" s="85"/>
      <c r="BH747" s="18"/>
      <c r="BI747" s="40"/>
      <c r="BJ747" s="154" t="s">
        <v>146</v>
      </c>
      <c r="BK747" s="28"/>
      <c r="BL747" s="94" t="s">
        <v>253</v>
      </c>
    </row>
    <row r="748" spans="1:65" ht="15" thickBot="1" x14ac:dyDescent="0.35">
      <c r="A748" s="36" t="s">
        <v>93</v>
      </c>
      <c r="B748" s="42">
        <v>6687</v>
      </c>
      <c r="C748" s="90">
        <v>6814</v>
      </c>
      <c r="D748" s="3"/>
      <c r="E748" s="91" t="s">
        <v>60</v>
      </c>
      <c r="F748" s="18"/>
      <c r="G748" s="44">
        <v>6406</v>
      </c>
      <c r="H748" s="10" t="s">
        <v>116</v>
      </c>
      <c r="I748" s="18"/>
      <c r="J748" s="11"/>
      <c r="K748" s="28"/>
      <c r="L748" s="12"/>
      <c r="M748" s="18"/>
      <c r="N748" s="18"/>
      <c r="O748" s="10"/>
      <c r="P748" s="18"/>
      <c r="Q748" s="11"/>
      <c r="R748" s="18"/>
      <c r="S748" s="18"/>
      <c r="T748" s="10"/>
      <c r="U748" s="18"/>
      <c r="V748" s="11"/>
      <c r="W748" s="28"/>
      <c r="AA748" s="28"/>
      <c r="AB748" s="46"/>
      <c r="AC748" s="48"/>
      <c r="AD748" s="48"/>
      <c r="AE748" s="47"/>
      <c r="AF748" s="48"/>
      <c r="AG748" s="48"/>
      <c r="AH748" s="47"/>
      <c r="AI748" s="49"/>
      <c r="AJ748" s="49"/>
      <c r="AK748" s="47">
        <v>1</v>
      </c>
      <c r="AL748" s="48" t="s">
        <v>928</v>
      </c>
      <c r="AM748" s="49"/>
      <c r="AN748" s="28"/>
      <c r="AP748" s="10" t="s">
        <v>78</v>
      </c>
      <c r="AQ748" s="52">
        <v>4</v>
      </c>
      <c r="AR748" s="85">
        <v>2</v>
      </c>
      <c r="AS748" s="28"/>
      <c r="AT748" s="28"/>
      <c r="AU748" s="42"/>
      <c r="AV748" s="28">
        <v>18</v>
      </c>
      <c r="AW748" s="28" t="s">
        <v>183</v>
      </c>
      <c r="AX748" s="28"/>
      <c r="AY748" s="40"/>
      <c r="AZ748" s="28"/>
      <c r="BA748" s="28"/>
      <c r="BB748" s="127" t="s">
        <v>817</v>
      </c>
      <c r="BC748" s="67">
        <v>0</v>
      </c>
      <c r="BD748" s="43">
        <v>0</v>
      </c>
      <c r="BE748" s="42"/>
      <c r="BF748" s="28"/>
      <c r="BG748" s="40"/>
      <c r="BH748" s="28"/>
      <c r="BI748" s="40"/>
      <c r="BJ748" s="28"/>
      <c r="BK748" s="28"/>
      <c r="BL748" s="40"/>
    </row>
    <row r="749" spans="1:65" x14ac:dyDescent="0.3">
      <c r="A749" s="10" t="s">
        <v>99</v>
      </c>
      <c r="B749" s="42">
        <v>13570</v>
      </c>
      <c r="C749" s="40">
        <v>10716</v>
      </c>
      <c r="D749" s="3"/>
      <c r="E749" s="91" t="s">
        <v>60</v>
      </c>
      <c r="F749" s="18"/>
      <c r="G749" s="12">
        <v>15035</v>
      </c>
      <c r="H749" s="10">
        <v>86</v>
      </c>
      <c r="I749" s="37" t="s">
        <v>144</v>
      </c>
      <c r="J749" s="11"/>
      <c r="K749" s="28"/>
      <c r="L749" s="12"/>
      <c r="M749" s="18"/>
      <c r="N749" s="18"/>
      <c r="O749" s="10"/>
      <c r="P749" s="18"/>
      <c r="Q749" s="11"/>
      <c r="R749" s="18"/>
      <c r="S749" s="18"/>
      <c r="T749" s="10"/>
      <c r="U749" s="18"/>
      <c r="V749" s="11"/>
      <c r="W749" s="28"/>
      <c r="AA749" s="28"/>
      <c r="AB749" s="42"/>
      <c r="AC749" s="42"/>
      <c r="AD749" s="40"/>
      <c r="AE749" s="28"/>
      <c r="AF749" s="28"/>
      <c r="AG749" s="28"/>
      <c r="AH749" s="42"/>
      <c r="AI749" s="28"/>
      <c r="AJ749" s="41"/>
      <c r="AK749" s="28" t="s">
        <v>149</v>
      </c>
      <c r="AL749" s="28"/>
      <c r="AM749" s="40"/>
      <c r="AN749" s="28" t="s">
        <v>6</v>
      </c>
      <c r="AO749" s="95"/>
      <c r="AP749" s="52" t="s">
        <v>115</v>
      </c>
      <c r="AQ749" s="52">
        <v>0</v>
      </c>
      <c r="AR749" s="85">
        <v>0</v>
      </c>
      <c r="AS749" s="28"/>
      <c r="AT749" s="28"/>
      <c r="AU749" s="42"/>
      <c r="AV749" s="28" t="s">
        <v>6</v>
      </c>
      <c r="AW749" s="28"/>
      <c r="AX749" s="28"/>
      <c r="AY749" s="40"/>
      <c r="AZ749" s="28"/>
      <c r="BA749" s="28"/>
      <c r="BB749" s="52" t="s">
        <v>133</v>
      </c>
      <c r="BC749" s="67">
        <v>17</v>
      </c>
      <c r="BD749" s="43">
        <v>41</v>
      </c>
      <c r="BE749" s="52" t="s">
        <v>150</v>
      </c>
      <c r="BF749" s="54"/>
      <c r="BG749" s="85"/>
      <c r="BH749" s="18"/>
      <c r="BI749" s="40"/>
      <c r="BJ749" s="28" t="s">
        <v>151</v>
      </c>
      <c r="BK749" s="28"/>
      <c r="BL749" s="185"/>
    </row>
    <row r="750" spans="1:65" ht="15" thickBot="1" x14ac:dyDescent="0.35">
      <c r="A750" s="10" t="s">
        <v>120</v>
      </c>
      <c r="B750" s="42">
        <v>4234</v>
      </c>
      <c r="C750" s="40">
        <v>4182</v>
      </c>
      <c r="D750" s="3"/>
      <c r="E750" s="91" t="s">
        <v>60</v>
      </c>
      <c r="F750" s="18"/>
      <c r="G750" s="12">
        <v>5005</v>
      </c>
      <c r="H750" s="84">
        <v>65</v>
      </c>
      <c r="I750" s="37" t="s">
        <v>148</v>
      </c>
      <c r="J750" s="11"/>
      <c r="K750" s="28"/>
      <c r="L750" s="44"/>
      <c r="M750" s="18"/>
      <c r="N750" s="18"/>
      <c r="O750" s="10"/>
      <c r="P750" s="18"/>
      <c r="Q750" s="11"/>
      <c r="R750" s="18"/>
      <c r="S750" s="18"/>
      <c r="T750" s="10"/>
      <c r="U750" s="18"/>
      <c r="V750" s="11"/>
      <c r="W750" s="28"/>
      <c r="Y750" t="s">
        <v>6</v>
      </c>
      <c r="AB750" s="36" t="s">
        <v>99</v>
      </c>
      <c r="AC750" s="10">
        <v>0</v>
      </c>
      <c r="AD750" s="11">
        <v>0</v>
      </c>
      <c r="AE750" s="18">
        <v>0</v>
      </c>
      <c r="AF750" s="18">
        <v>0</v>
      </c>
      <c r="AG750" s="18">
        <v>0</v>
      </c>
      <c r="AH750" s="52">
        <v>55466</v>
      </c>
      <c r="AI750" s="45">
        <v>2702</v>
      </c>
      <c r="AJ750" s="41">
        <v>0</v>
      </c>
      <c r="AK750" s="45">
        <v>3</v>
      </c>
      <c r="AL750" s="37" t="s">
        <v>153</v>
      </c>
      <c r="AM750" s="40"/>
      <c r="AP750" s="52" t="s">
        <v>72</v>
      </c>
      <c r="AQ750" s="52">
        <v>1</v>
      </c>
      <c r="AR750" s="85">
        <v>1</v>
      </c>
      <c r="AU750" s="42"/>
      <c r="AV750" s="28"/>
      <c r="AW750" s="28"/>
      <c r="AX750" s="28"/>
      <c r="AY750" s="40"/>
      <c r="AZ750" s="28"/>
      <c r="BA750" s="28"/>
      <c r="BB750" s="52" t="s">
        <v>85</v>
      </c>
      <c r="BC750" s="42">
        <f>7+6</f>
        <v>13</v>
      </c>
      <c r="BD750" s="43">
        <f>4+2+6</f>
        <v>12</v>
      </c>
      <c r="BE750" s="42"/>
      <c r="BF750" s="54"/>
      <c r="BG750" s="40"/>
      <c r="BH750" s="45"/>
      <c r="BI750" s="56"/>
      <c r="BJ750" s="43" t="s">
        <v>929</v>
      </c>
      <c r="BK750" s="28" t="s">
        <v>930</v>
      </c>
      <c r="BL750" s="40" t="s">
        <v>719</v>
      </c>
    </row>
    <row r="751" spans="1:65" ht="16.2" thickBot="1" x14ac:dyDescent="0.35">
      <c r="A751" s="10" t="s">
        <v>84</v>
      </c>
      <c r="B751" s="42">
        <f>SUM(B748:B750)</f>
        <v>24491</v>
      </c>
      <c r="C751" s="40">
        <f>SUM(C748:C750)</f>
        <v>21712</v>
      </c>
      <c r="D751" s="3"/>
      <c r="E751" s="91" t="s">
        <v>60</v>
      </c>
      <c r="F751" s="18"/>
      <c r="G751" s="12">
        <f>SUM(G748:G750)</f>
        <v>26446</v>
      </c>
      <c r="H751" s="42">
        <v>22</v>
      </c>
      <c r="I751" s="54" t="s">
        <v>152</v>
      </c>
      <c r="J751" s="40"/>
      <c r="K751" s="28"/>
      <c r="L751" s="12"/>
      <c r="M751" s="18"/>
      <c r="N751" s="18"/>
      <c r="O751" s="10"/>
      <c r="P751" s="18"/>
      <c r="Q751" s="11"/>
      <c r="R751" s="18"/>
      <c r="S751" s="18"/>
      <c r="T751" s="10"/>
      <c r="U751" s="18"/>
      <c r="V751" s="11"/>
      <c r="W751" s="28"/>
      <c r="AB751" s="32"/>
      <c r="AC751" s="6"/>
      <c r="AD751" s="7"/>
      <c r="AE751" s="8"/>
      <c r="AF751" s="8"/>
      <c r="AG751" s="8"/>
      <c r="AH751" s="6"/>
      <c r="AI751" s="7"/>
      <c r="AJ751" s="8"/>
      <c r="AK751" s="29" t="s">
        <v>157</v>
      </c>
      <c r="AL751" s="8"/>
      <c r="AM751" s="7"/>
      <c r="AP751" s="52" t="s">
        <v>84</v>
      </c>
      <c r="AQ751" s="47">
        <f>SUM(AQ744:AQ750)</f>
        <v>17</v>
      </c>
      <c r="AR751" s="49">
        <f>SUM(AR744:AR750)</f>
        <v>17</v>
      </c>
      <c r="AS751" s="28"/>
      <c r="AT751" s="28"/>
      <c r="AU751" s="47"/>
      <c r="AV751" s="48"/>
      <c r="AW751" s="48"/>
      <c r="AX751" s="48"/>
      <c r="AY751" s="49">
        <f>SUM(AV748)</f>
        <v>18</v>
      </c>
      <c r="AZ751" s="28"/>
      <c r="BA751" s="28"/>
      <c r="BB751" s="151" t="s">
        <v>93</v>
      </c>
      <c r="BC751" s="36">
        <v>0</v>
      </c>
      <c r="BD751" s="37">
        <v>2</v>
      </c>
      <c r="BE751" s="10"/>
      <c r="BF751" s="18"/>
      <c r="BG751" s="11"/>
      <c r="BH751" s="18"/>
      <c r="BI751" s="11"/>
      <c r="BJ751" s="158" t="s">
        <v>931</v>
      </c>
      <c r="BK751" s="178" t="s">
        <v>510</v>
      </c>
      <c r="BL751" s="114" t="s">
        <v>932</v>
      </c>
    </row>
    <row r="752" spans="1:65" ht="15" thickBot="1" x14ac:dyDescent="0.35">
      <c r="A752" s="13"/>
      <c r="B752" s="47"/>
      <c r="C752" s="49"/>
      <c r="D752" s="27"/>
      <c r="E752" s="27"/>
      <c r="F752" s="27"/>
      <c r="G752" s="17"/>
      <c r="H752" s="47"/>
      <c r="I752" s="27"/>
      <c r="J752" s="60">
        <f>SUM(H749:H751)</f>
        <v>173</v>
      </c>
      <c r="K752" s="28"/>
      <c r="L752" s="17"/>
      <c r="M752" s="27"/>
      <c r="N752" s="27"/>
      <c r="O752" s="13"/>
      <c r="P752" s="27"/>
      <c r="Q752" s="26"/>
      <c r="R752" s="27"/>
      <c r="S752" s="27"/>
      <c r="T752" s="13"/>
      <c r="U752" s="27"/>
      <c r="V752" s="26"/>
      <c r="W752" s="28"/>
      <c r="AB752" s="68" t="s">
        <v>99</v>
      </c>
      <c r="AC752" s="42">
        <v>0</v>
      </c>
      <c r="AD752" s="40">
        <v>0</v>
      </c>
      <c r="AE752">
        <v>0</v>
      </c>
      <c r="AF752">
        <v>0</v>
      </c>
      <c r="AG752">
        <v>0</v>
      </c>
      <c r="AH752" s="42">
        <v>256784</v>
      </c>
      <c r="AI752" s="40">
        <v>186752</v>
      </c>
      <c r="AJ752" s="43">
        <v>0</v>
      </c>
      <c r="AK752" s="42">
        <v>6</v>
      </c>
      <c r="AL752" s="54" t="s">
        <v>163</v>
      </c>
      <c r="AM752" s="40"/>
      <c r="AP752" s="32" t="s">
        <v>63</v>
      </c>
      <c r="AQ752" s="123">
        <f>6+1+6</f>
        <v>13</v>
      </c>
      <c r="AR752" s="123">
        <f>7+2+7</f>
        <v>16</v>
      </c>
      <c r="AS752" s="33"/>
      <c r="AT752" s="7"/>
      <c r="AU752" s="6"/>
      <c r="AV752" s="34" t="s">
        <v>140</v>
      </c>
      <c r="AW752" s="8"/>
      <c r="AX752" s="8"/>
      <c r="AY752" s="7"/>
      <c r="AZ752" s="28"/>
      <c r="BA752" s="28"/>
      <c r="BB752" s="42" t="s">
        <v>526</v>
      </c>
      <c r="BC752" s="42">
        <f>18+19</f>
        <v>37</v>
      </c>
      <c r="BD752" s="54">
        <f>22+19</f>
        <v>41</v>
      </c>
      <c r="BE752" s="10"/>
      <c r="BF752" s="18"/>
      <c r="BG752" s="11"/>
      <c r="BH752" s="18"/>
      <c r="BI752" s="11"/>
      <c r="BJ752" s="158" t="s">
        <v>626</v>
      </c>
      <c r="BK752" s="186" t="s">
        <v>349</v>
      </c>
      <c r="BL752" s="39" t="s">
        <v>734</v>
      </c>
    </row>
    <row r="753" spans="1:64" ht="15" thickBot="1" x14ac:dyDescent="0.35">
      <c r="A753" s="6" t="s">
        <v>105</v>
      </c>
      <c r="B753" s="6">
        <v>2199</v>
      </c>
      <c r="C753" s="7">
        <v>1298</v>
      </c>
      <c r="D753" s="8"/>
      <c r="E753" s="80">
        <v>1234</v>
      </c>
      <c r="F753" s="66"/>
      <c r="G753" s="8">
        <f>40*158</f>
        <v>6320</v>
      </c>
      <c r="H753" s="6" t="s">
        <v>162</v>
      </c>
      <c r="I753" s="8"/>
      <c r="J753" s="7"/>
      <c r="L753" s="101" t="s">
        <v>84</v>
      </c>
      <c r="M753" s="102">
        <f>SUM(M747+M742+M737+M735+M731+M726)</f>
        <v>28212</v>
      </c>
      <c r="N753" s="102">
        <f>SUM(N747+N742+N737+N735+N731+N726)</f>
        <v>97099</v>
      </c>
      <c r="O753" s="103">
        <v>0</v>
      </c>
      <c r="P753" s="102">
        <v>0</v>
      </c>
      <c r="Q753" s="104">
        <v>0</v>
      </c>
      <c r="R753" s="102">
        <f>SUM(R747+R742+R737+R735+R726+R731)</f>
        <v>5292</v>
      </c>
      <c r="S753" s="102">
        <f>SUM(S747+S742+S735+S731+S726)</f>
        <v>450</v>
      </c>
      <c r="T753" s="105"/>
      <c r="U753" s="102"/>
      <c r="V753" s="106"/>
      <c r="AB753" s="44" t="s">
        <v>6</v>
      </c>
      <c r="AC753" s="10"/>
      <c r="AD753" s="11"/>
      <c r="AE753" s="18"/>
      <c r="AF753" s="18"/>
      <c r="AG753" s="18"/>
      <c r="AH753" s="10"/>
      <c r="AI753" s="11"/>
      <c r="AJ753" s="18"/>
      <c r="AK753" s="10">
        <v>10</v>
      </c>
      <c r="AL753" s="37" t="s">
        <v>153</v>
      </c>
      <c r="AM753" s="11"/>
      <c r="AP753" s="44" t="s">
        <v>78</v>
      </c>
      <c r="AQ753" s="37">
        <f>4+16</f>
        <v>20</v>
      </c>
      <c r="AR753" s="37">
        <f>3+2+7</f>
        <v>12</v>
      </c>
      <c r="AS753" s="42"/>
      <c r="AT753" s="11"/>
      <c r="AU753" s="10"/>
      <c r="AV753" s="37">
        <v>32</v>
      </c>
      <c r="AW753" s="37" t="s">
        <v>215</v>
      </c>
      <c r="AX753" s="18"/>
      <c r="AY753" s="11"/>
      <c r="AZ753" s="28"/>
      <c r="BA753" s="28"/>
      <c r="BB753" s="36" t="s">
        <v>169</v>
      </c>
      <c r="BC753" s="36">
        <v>7</v>
      </c>
      <c r="BD753" s="37">
        <v>7</v>
      </c>
      <c r="BE753" s="10"/>
      <c r="BF753" s="18"/>
      <c r="BG753" s="11"/>
      <c r="BH753" s="18"/>
      <c r="BI753" s="11"/>
      <c r="BJ753" s="158" t="s">
        <v>933</v>
      </c>
      <c r="BK753" s="37" t="s">
        <v>362</v>
      </c>
      <c r="BL753" s="39" t="s">
        <v>269</v>
      </c>
    </row>
    <row r="754" spans="1:64" ht="15" thickBot="1" x14ac:dyDescent="0.35">
      <c r="A754" s="36" t="s">
        <v>99</v>
      </c>
      <c r="B754" s="10">
        <v>2300</v>
      </c>
      <c r="C754" s="11">
        <v>1307</v>
      </c>
      <c r="D754" s="18"/>
      <c r="E754" s="18">
        <v>900</v>
      </c>
      <c r="F754" s="85"/>
      <c r="G754" s="18">
        <f>40*158</f>
        <v>6320</v>
      </c>
      <c r="H754" s="42"/>
      <c r="I754" s="54"/>
      <c r="J754" s="11"/>
      <c r="AB754" s="46" t="s">
        <v>6</v>
      </c>
      <c r="AC754" s="47"/>
      <c r="AD754" s="49"/>
      <c r="AE754" s="48"/>
      <c r="AF754" s="48"/>
      <c r="AG754" s="48"/>
      <c r="AH754" s="47"/>
      <c r="AI754" s="49"/>
      <c r="AJ754" s="48"/>
      <c r="AK754" s="47"/>
      <c r="AL754" s="48"/>
      <c r="AM754" s="49"/>
      <c r="AP754" s="125" t="s">
        <v>209</v>
      </c>
      <c r="AQ754" s="54">
        <v>0</v>
      </c>
      <c r="AR754" s="54">
        <v>0</v>
      </c>
      <c r="AS754" s="42"/>
      <c r="AT754" s="40"/>
      <c r="AU754" s="42"/>
      <c r="AV754" s="28">
        <v>4</v>
      </c>
      <c r="AW754" s="28" t="s">
        <v>210</v>
      </c>
      <c r="AX754" s="28"/>
      <c r="AY754" s="96"/>
      <c r="AZ754" s="28"/>
      <c r="BA754" s="28"/>
      <c r="BB754" s="36" t="s">
        <v>99</v>
      </c>
      <c r="BC754" s="36">
        <v>0</v>
      </c>
      <c r="BD754" s="37">
        <v>0</v>
      </c>
      <c r="BE754" s="10"/>
      <c r="BF754" s="18"/>
      <c r="BG754" s="11"/>
      <c r="BH754" s="18"/>
      <c r="BI754" s="11"/>
      <c r="BJ754" s="179" t="s">
        <v>934</v>
      </c>
      <c r="BK754" s="37" t="s">
        <v>373</v>
      </c>
      <c r="BL754" s="39" t="s">
        <v>586</v>
      </c>
    </row>
    <row r="755" spans="1:64" x14ac:dyDescent="0.3">
      <c r="A755" s="10"/>
      <c r="B755" s="10"/>
      <c r="C755" s="39"/>
      <c r="D755" s="18"/>
      <c r="E755" s="18"/>
      <c r="F755" s="85"/>
      <c r="G755" s="18"/>
      <c r="H755" s="42">
        <v>48</v>
      </c>
      <c r="I755" s="37" t="s">
        <v>101</v>
      </c>
      <c r="J755" s="11"/>
      <c r="M755" s="115"/>
      <c r="AB755" s="6"/>
      <c r="AC755" s="6"/>
      <c r="AD755" s="7"/>
      <c r="AE755" s="8"/>
      <c r="AF755" s="8"/>
      <c r="AG755" s="8"/>
      <c r="AH755" s="6"/>
      <c r="AI755" s="7"/>
      <c r="AJ755" s="8"/>
      <c r="AK755" s="29"/>
      <c r="AL755" s="8"/>
      <c r="AM755" s="7"/>
      <c r="AN755" s="45"/>
      <c r="AP755" s="44" t="s">
        <v>168</v>
      </c>
      <c r="AQ755" s="54">
        <v>0</v>
      </c>
      <c r="AR755" s="54">
        <v>0</v>
      </c>
      <c r="AS755" s="42"/>
      <c r="AT755" s="11"/>
      <c r="AU755" s="10"/>
      <c r="AV755" s="37">
        <v>7</v>
      </c>
      <c r="AW755" s="37" t="s">
        <v>213</v>
      </c>
      <c r="AX755" s="18" t="s">
        <v>6</v>
      </c>
      <c r="AY755" s="11"/>
      <c r="AZ755" s="28"/>
      <c r="BA755" s="28"/>
      <c r="BB755" s="93" t="s">
        <v>935</v>
      </c>
      <c r="BC755" s="36">
        <v>3</v>
      </c>
      <c r="BD755" s="37">
        <v>4</v>
      </c>
      <c r="BE755" s="10"/>
      <c r="BF755" s="37"/>
      <c r="BG755" s="11"/>
      <c r="BH755" s="18"/>
      <c r="BI755" s="11"/>
      <c r="BJ755" s="158" t="s">
        <v>936</v>
      </c>
      <c r="BK755" s="54" t="s">
        <v>937</v>
      </c>
      <c r="BL755" s="39" t="s">
        <v>482</v>
      </c>
    </row>
    <row r="756" spans="1:64" ht="15" thickBot="1" x14ac:dyDescent="0.35">
      <c r="A756" s="13" t="s">
        <v>84</v>
      </c>
      <c r="B756" s="10">
        <f>SUM(B753:B755)</f>
        <v>4499</v>
      </c>
      <c r="C756" s="11">
        <f>SUM(C753:C755)</f>
        <v>2605</v>
      </c>
      <c r="D756" s="27"/>
      <c r="E756" s="27">
        <f>SUM(E753:E755)</f>
        <v>2134</v>
      </c>
      <c r="F756" s="26"/>
      <c r="G756" s="27">
        <f>SUM(G753:G755)</f>
        <v>12640</v>
      </c>
      <c r="H756" s="13"/>
      <c r="I756" s="81"/>
      <c r="J756" s="26">
        <f>SUM(H754:H755)</f>
        <v>48</v>
      </c>
      <c r="K756" s="43"/>
      <c r="M756" s="115"/>
      <c r="N756" s="190"/>
      <c r="O756" s="115"/>
      <c r="P756" s="115"/>
      <c r="Q756" s="115"/>
      <c r="R756" s="115"/>
      <c r="S756" s="115"/>
      <c r="AB756" s="36"/>
      <c r="AC756" s="10"/>
      <c r="AD756" s="11"/>
      <c r="AE756" s="18"/>
      <c r="AF756" s="18"/>
      <c r="AG756" s="18"/>
      <c r="AH756" s="36"/>
      <c r="AI756" s="11"/>
      <c r="AJ756" s="18"/>
      <c r="AK756" s="36"/>
      <c r="AL756" s="37"/>
      <c r="AM756" s="11"/>
      <c r="AN756" s="45"/>
      <c r="AP756" s="125" t="s">
        <v>81</v>
      </c>
      <c r="AQ756" s="54">
        <f>4+11+4</f>
        <v>19</v>
      </c>
      <c r="AR756" s="54">
        <f>12+10+12</f>
        <v>34</v>
      </c>
      <c r="AS756" s="42"/>
      <c r="AT756" s="40"/>
      <c r="AU756" s="42"/>
      <c r="AV756" s="54"/>
      <c r="AW756" s="128" t="s">
        <v>217</v>
      </c>
      <c r="AX756" s="28"/>
      <c r="AY756" s="40" t="s">
        <v>6</v>
      </c>
      <c r="AZ756" s="37"/>
      <c r="BA756" s="37"/>
      <c r="BB756" s="36" t="s">
        <v>855</v>
      </c>
      <c r="BC756" s="36">
        <v>3</v>
      </c>
      <c r="BD756" s="37">
        <v>0</v>
      </c>
      <c r="BE756" s="10"/>
      <c r="BF756" s="18"/>
      <c r="BG756" s="11"/>
      <c r="BH756" s="18"/>
      <c r="BI756" s="11"/>
      <c r="BJ756" s="37" t="s">
        <v>938</v>
      </c>
      <c r="BK756" s="37" t="s">
        <v>916</v>
      </c>
      <c r="BL756" s="180" t="s">
        <v>917</v>
      </c>
    </row>
    <row r="757" spans="1:64" ht="15" thickBot="1" x14ac:dyDescent="0.35">
      <c r="A757" s="42" t="s">
        <v>181</v>
      </c>
      <c r="B757" s="33">
        <v>4090</v>
      </c>
      <c r="C757" s="35">
        <v>3050</v>
      </c>
      <c r="D757" s="28"/>
      <c r="E757" s="107" t="s">
        <v>60</v>
      </c>
      <c r="F757" s="43"/>
      <c r="G757" s="41"/>
      <c r="H757" s="18" t="s">
        <v>182</v>
      </c>
      <c r="I757" s="28"/>
      <c r="J757" s="11"/>
      <c r="K757" s="28"/>
      <c r="M757" s="166"/>
      <c r="AA757" s="28"/>
      <c r="AB757" s="103" t="s">
        <v>84</v>
      </c>
      <c r="AC757" s="103">
        <f>SUM(AC756+AC752+AC750+AC747+AC740+AC742+AC738+AC734+AC731+AC728+AC729)</f>
        <v>2769</v>
      </c>
      <c r="AD757" s="104">
        <f>SUM(AD756+AD752+AD750+AD747+AD740+AD738+AD734+AD731+AD729+AD728)</f>
        <v>2487</v>
      </c>
      <c r="AE757" s="103">
        <v>0</v>
      </c>
      <c r="AF757" s="102">
        <v>0</v>
      </c>
      <c r="AG757" s="102">
        <v>0</v>
      </c>
      <c r="AH757" s="109">
        <f>SUM(AH756+AH752+AH750+AH747+AH744+AH742+AH738+AH734+AH731+AH729+AH728)</f>
        <v>312250</v>
      </c>
      <c r="AI757" s="110">
        <f>SUM(AI756+AI752+AI750+AI747+AI742+AI738+AI733+AI731+AI729+AI728)</f>
        <v>189454</v>
      </c>
      <c r="AJ757" s="110">
        <v>0</v>
      </c>
      <c r="AK757" s="111" t="s">
        <v>939</v>
      </c>
      <c r="AL757" s="111"/>
      <c r="AM757" s="104">
        <f>SUM(AK728:AK756)</f>
        <v>53</v>
      </c>
      <c r="AN757" s="45"/>
      <c r="AP757" s="125" t="s">
        <v>72</v>
      </c>
      <c r="AQ757" s="54">
        <f>2+1+9+4+29</f>
        <v>45</v>
      </c>
      <c r="AR757" s="45">
        <f>2+1+11+2+10</f>
        <v>26</v>
      </c>
      <c r="AS757" s="42"/>
      <c r="AT757" s="40"/>
      <c r="AU757" s="42"/>
      <c r="AV757" s="54">
        <v>1</v>
      </c>
      <c r="AW757" s="54" t="s">
        <v>216</v>
      </c>
      <c r="AX757" s="45"/>
      <c r="AY757" s="40"/>
      <c r="AZ757" s="28"/>
      <c r="BA757" s="28"/>
      <c r="BB757" s="150" t="s">
        <v>211</v>
      </c>
      <c r="BC757" s="36">
        <v>10</v>
      </c>
      <c r="BD757" s="37">
        <v>1</v>
      </c>
      <c r="BE757" s="10"/>
      <c r="BF757" s="18"/>
      <c r="BG757" s="11"/>
      <c r="BH757" s="18"/>
      <c r="BI757" s="11"/>
      <c r="BJ757" s="159" t="s">
        <v>918</v>
      </c>
      <c r="BK757" s="37"/>
      <c r="BL757" s="39" t="s">
        <v>262</v>
      </c>
    </row>
    <row r="758" spans="1:64" x14ac:dyDescent="0.3">
      <c r="A758" s="42" t="s">
        <v>120</v>
      </c>
      <c r="B758" s="42">
        <v>0</v>
      </c>
      <c r="C758" s="40">
        <v>0</v>
      </c>
      <c r="D758" s="28"/>
      <c r="E758" s="107" t="s">
        <v>60</v>
      </c>
      <c r="F758" s="43"/>
      <c r="G758" s="68"/>
      <c r="H758" s="43"/>
      <c r="I758" s="28" t="s">
        <v>284</v>
      </c>
      <c r="J758" s="11"/>
      <c r="K758" s="28"/>
      <c r="L758" s="28"/>
      <c r="N758" s="191"/>
      <c r="AA758" s="28"/>
      <c r="AB758" s="52" t="s">
        <v>193</v>
      </c>
      <c r="AC758" s="28"/>
      <c r="AD758" s="28"/>
      <c r="AE758" s="28"/>
      <c r="AF758" s="28"/>
      <c r="AG758" s="28"/>
      <c r="AH758" s="28"/>
      <c r="AI758" s="28"/>
      <c r="AM758" t="s">
        <v>6</v>
      </c>
      <c r="AN758" s="45"/>
      <c r="AP758" s="125" t="s">
        <v>115</v>
      </c>
      <c r="AQ758" s="54">
        <f>3+9+5</f>
        <v>17</v>
      </c>
      <c r="AR758" s="45">
        <f>5+9+5</f>
        <v>19</v>
      </c>
      <c r="AS758" s="42"/>
      <c r="AT758" s="40"/>
      <c r="AU758" s="42"/>
      <c r="AV758" s="54"/>
      <c r="AW758" s="54" t="s">
        <v>898</v>
      </c>
      <c r="AX758" s="28"/>
      <c r="AY758" s="40"/>
      <c r="AZ758" s="28"/>
      <c r="BB758" s="150" t="s">
        <v>64</v>
      </c>
      <c r="BC758" s="36">
        <v>3</v>
      </c>
      <c r="BD758" s="37">
        <v>1</v>
      </c>
      <c r="BE758" s="10"/>
      <c r="BF758" s="18"/>
      <c r="BG758" s="11"/>
      <c r="BH758" s="18"/>
      <c r="BI758" s="11"/>
      <c r="BJ758" s="128" t="s">
        <v>940</v>
      </c>
      <c r="BK758" s="37" t="s">
        <v>941</v>
      </c>
      <c r="BL758" s="39" t="s">
        <v>191</v>
      </c>
    </row>
    <row r="759" spans="1:64" x14ac:dyDescent="0.3">
      <c r="A759" s="42" t="s">
        <v>84</v>
      </c>
      <c r="B759" s="42">
        <f>SUM(B757:B758)</f>
        <v>4090</v>
      </c>
      <c r="C759" s="40">
        <f>SUM(C757:C758)</f>
        <v>3050</v>
      </c>
      <c r="D759" s="28"/>
      <c r="E759" s="107" t="s">
        <v>60</v>
      </c>
      <c r="F759" s="43"/>
      <c r="G759" s="41">
        <v>4855</v>
      </c>
      <c r="H759" s="28">
        <v>29</v>
      </c>
      <c r="I759" s="43" t="s">
        <v>101</v>
      </c>
      <c r="J759" s="40"/>
      <c r="L759" s="108"/>
      <c r="M759" s="193"/>
      <c r="O759" s="116"/>
      <c r="AA759" s="28"/>
      <c r="AN759" s="45"/>
      <c r="AP759" s="125" t="s">
        <v>56</v>
      </c>
      <c r="AQ759" s="54">
        <f>2+4+1+4</f>
        <v>11</v>
      </c>
      <c r="AR759" s="45">
        <f>3+5+7+18</f>
        <v>33</v>
      </c>
      <c r="AS759" s="42"/>
      <c r="AT759" s="40"/>
      <c r="AU759" s="42"/>
      <c r="AV759" s="54"/>
      <c r="AW759" s="54" t="s">
        <v>920</v>
      </c>
      <c r="AX759" s="28"/>
      <c r="AY759" s="40"/>
      <c r="AZ759" s="28"/>
      <c r="BB759" s="36" t="s">
        <v>184</v>
      </c>
      <c r="BC759" s="36"/>
      <c r="BD759" s="37"/>
      <c r="BE759" s="10"/>
      <c r="BF759" s="18"/>
      <c r="BG759" s="11"/>
      <c r="BH759" s="18"/>
      <c r="BI759" s="11"/>
      <c r="BJ759" s="157" t="s">
        <v>517</v>
      </c>
      <c r="BK759" s="37" t="s">
        <v>318</v>
      </c>
      <c r="BL759" s="39" t="s">
        <v>942</v>
      </c>
    </row>
    <row r="760" spans="1:64" ht="15" thickBot="1" x14ac:dyDescent="0.35">
      <c r="A760" s="13"/>
      <c r="B760" s="13"/>
      <c r="C760" s="26"/>
      <c r="D760" s="27"/>
      <c r="E760" s="27"/>
      <c r="F760" s="27"/>
      <c r="G760" s="17"/>
      <c r="H760" s="48"/>
      <c r="I760" s="48" t="s">
        <v>727</v>
      </c>
      <c r="J760" s="49">
        <f>SUM(H758:H760)</f>
        <v>29</v>
      </c>
      <c r="O760" s="122"/>
      <c r="AN760" s="45"/>
      <c r="AP760" s="125" t="s">
        <v>138</v>
      </c>
      <c r="AQ760" s="54">
        <v>0</v>
      </c>
      <c r="AR760" s="45">
        <v>0</v>
      </c>
      <c r="AS760" s="42"/>
      <c r="AT760" s="40"/>
      <c r="AU760" s="42"/>
      <c r="AV760" s="54">
        <v>1</v>
      </c>
      <c r="AW760" s="54" t="s">
        <v>221</v>
      </c>
      <c r="AX760" s="28"/>
      <c r="AY760" s="40"/>
      <c r="AZ760" s="28"/>
      <c r="BB760" s="36" t="s">
        <v>107</v>
      </c>
      <c r="BC760" s="10">
        <v>3</v>
      </c>
      <c r="BD760" s="37">
        <v>1</v>
      </c>
      <c r="BE760" s="10"/>
      <c r="BF760" s="18"/>
      <c r="BG760" s="39"/>
      <c r="BH760" s="18"/>
      <c r="BI760" s="11"/>
      <c r="BJ760" s="159" t="s">
        <v>257</v>
      </c>
      <c r="BK760" s="37" t="s">
        <v>943</v>
      </c>
      <c r="BL760" s="39" t="s">
        <v>944</v>
      </c>
    </row>
    <row r="761" spans="1:64" ht="16.2" thickBot="1" x14ac:dyDescent="0.35">
      <c r="A761" s="117" t="s">
        <v>84</v>
      </c>
      <c r="B761" s="117">
        <f>SUM(B759+B756+B751+B747+B744+B740+B737+B733+B729+B726)</f>
        <v>54828</v>
      </c>
      <c r="C761" s="192">
        <f>SUM(C759+C756+C751+C747+C744+C740+C737+C733+C729+C726)</f>
        <v>45808</v>
      </c>
      <c r="D761" s="119"/>
      <c r="E761" s="119">
        <f>SUM(E756+E740)</f>
        <v>2796</v>
      </c>
      <c r="F761" s="120"/>
      <c r="G761" s="121">
        <f>SUM(G759+G756+G751+G747+G744+G737+G733+G729+G726+G740)</f>
        <v>71869</v>
      </c>
      <c r="H761" s="13" t="s">
        <v>199</v>
      </c>
      <c r="I761" s="81"/>
      <c r="J761" s="26">
        <f>SUM(J727:J760)</f>
        <v>414</v>
      </c>
      <c r="AN761" s="45"/>
      <c r="AP761" s="125" t="s">
        <v>67</v>
      </c>
      <c r="AQ761" s="54">
        <f>8+2+6+16</f>
        <v>32</v>
      </c>
      <c r="AR761" s="45">
        <f>15+10+6</f>
        <v>31</v>
      </c>
      <c r="AS761" s="42"/>
      <c r="AT761" s="40"/>
      <c r="AU761" s="42"/>
      <c r="AV761" s="54">
        <v>2</v>
      </c>
      <c r="AW761" s="54" t="s">
        <v>903</v>
      </c>
      <c r="AX761" s="28"/>
      <c r="AY761" s="40"/>
      <c r="AZ761" s="28"/>
      <c r="BB761" s="150" t="s">
        <v>200</v>
      </c>
      <c r="BC761" s="10">
        <v>5</v>
      </c>
      <c r="BD761" s="37">
        <f>10+7</f>
        <v>17</v>
      </c>
      <c r="BE761" s="10"/>
      <c r="BF761" s="18"/>
      <c r="BG761" s="11"/>
      <c r="BH761" s="18"/>
      <c r="BI761" s="11"/>
      <c r="BJ761" s="179" t="s">
        <v>803</v>
      </c>
      <c r="BK761" s="37" t="s">
        <v>254</v>
      </c>
      <c r="BL761" s="39" t="s">
        <v>522</v>
      </c>
    </row>
    <row r="762" spans="1:64" x14ac:dyDescent="0.3">
      <c r="AN762" s="45"/>
      <c r="AP762" s="125" t="s">
        <v>122</v>
      </c>
      <c r="AQ762" s="54">
        <v>0</v>
      </c>
      <c r="AR762" s="45">
        <v>3</v>
      </c>
      <c r="AS762" s="42"/>
      <c r="AT762" s="40"/>
      <c r="AU762" s="42"/>
      <c r="AV762" s="54">
        <v>1</v>
      </c>
      <c r="AW762" s="54" t="s">
        <v>618</v>
      </c>
      <c r="AX762" s="28"/>
      <c r="AY762" s="40"/>
      <c r="AZ762" s="28"/>
      <c r="BB762" s="92" t="s">
        <v>652</v>
      </c>
      <c r="BC762" s="84">
        <v>0</v>
      </c>
      <c r="BD762" s="54">
        <v>5</v>
      </c>
      <c r="BE762" s="84"/>
      <c r="BF762" s="45"/>
      <c r="BG762" s="85"/>
      <c r="BH762" s="18"/>
      <c r="BI762" s="11"/>
      <c r="BJ762" s="179"/>
      <c r="BK762" s="54"/>
      <c r="BL762" s="86"/>
    </row>
    <row r="763" spans="1:64" x14ac:dyDescent="0.3">
      <c r="B763" s="126"/>
      <c r="C763" s="126"/>
      <c r="AN763" s="45"/>
      <c r="AP763" s="125" t="s">
        <v>227</v>
      </c>
      <c r="AQ763" s="54">
        <v>0</v>
      </c>
      <c r="AR763" s="45">
        <v>0</v>
      </c>
      <c r="AS763" s="42"/>
      <c r="AT763" s="40"/>
      <c r="AU763" s="42"/>
      <c r="AV763" s="54">
        <v>2</v>
      </c>
      <c r="AW763" s="54" t="s">
        <v>945</v>
      </c>
      <c r="AX763" s="28"/>
      <c r="AY763" s="40"/>
      <c r="BB763" s="67" t="s">
        <v>105</v>
      </c>
      <c r="BC763" s="84">
        <v>1</v>
      </c>
      <c r="BD763" s="54">
        <v>0</v>
      </c>
      <c r="BE763" s="84"/>
      <c r="BF763" s="45"/>
      <c r="BG763" s="85"/>
      <c r="BH763" s="45"/>
      <c r="BI763" s="85"/>
      <c r="BJ763" s="179"/>
      <c r="BK763" s="54"/>
      <c r="BL763" s="180"/>
    </row>
    <row r="764" spans="1:64" x14ac:dyDescent="0.3">
      <c r="AN764" s="45"/>
      <c r="AP764" s="41" t="s">
        <v>230</v>
      </c>
      <c r="AQ764" s="54">
        <v>7</v>
      </c>
      <c r="AR764" s="45">
        <v>7</v>
      </c>
      <c r="AS764" s="42"/>
      <c r="AT764" s="40"/>
      <c r="AU764" s="42"/>
      <c r="AV764" s="54">
        <v>10</v>
      </c>
      <c r="AW764" s="54" t="s">
        <v>655</v>
      </c>
      <c r="AX764" s="28"/>
      <c r="AY764" s="40"/>
      <c r="BB764" s="67" t="s">
        <v>384</v>
      </c>
      <c r="BC764" s="84">
        <v>1</v>
      </c>
      <c r="BD764" s="54">
        <v>1</v>
      </c>
      <c r="BE764" s="84"/>
      <c r="BF764" s="45"/>
      <c r="BG764" s="85"/>
      <c r="BH764" s="45"/>
      <c r="BI764" s="85"/>
      <c r="BJ764" s="179"/>
      <c r="BK764" s="54"/>
      <c r="BL764" s="180"/>
    </row>
    <row r="765" spans="1:64" x14ac:dyDescent="0.3">
      <c r="AP765" s="68" t="s">
        <v>125</v>
      </c>
      <c r="AQ765" s="54">
        <v>0</v>
      </c>
      <c r="AR765" s="45">
        <v>0</v>
      </c>
      <c r="AS765" s="42"/>
      <c r="AT765" s="40"/>
      <c r="AU765" s="42"/>
      <c r="AV765" s="54">
        <v>2</v>
      </c>
      <c r="AW765" s="54" t="s">
        <v>433</v>
      </c>
      <c r="AX765" s="28"/>
      <c r="AY765" s="40"/>
      <c r="BB765" s="127" t="s">
        <v>946</v>
      </c>
      <c r="BC765" s="84">
        <v>1</v>
      </c>
      <c r="BD765" s="54">
        <v>8</v>
      </c>
      <c r="BE765" s="42"/>
      <c r="BF765" s="45"/>
      <c r="BG765" s="40"/>
      <c r="BH765" s="45"/>
      <c r="BI765" s="85"/>
      <c r="BJ765" s="158"/>
      <c r="BK765" s="54"/>
      <c r="BL765" s="86"/>
    </row>
    <row r="766" spans="1:64" x14ac:dyDescent="0.3">
      <c r="AP766" s="68" t="s">
        <v>132</v>
      </c>
      <c r="AQ766" s="54">
        <v>1</v>
      </c>
      <c r="AR766" s="45">
        <v>1</v>
      </c>
      <c r="AS766" s="42"/>
      <c r="AT766" s="40"/>
      <c r="AU766" s="42"/>
      <c r="AV766" s="54">
        <v>1</v>
      </c>
      <c r="AW766" s="54" t="s">
        <v>905</v>
      </c>
      <c r="AX766" s="28"/>
      <c r="AY766" s="40"/>
      <c r="BB766" s="127" t="s">
        <v>218</v>
      </c>
      <c r="BC766" s="84">
        <v>16</v>
      </c>
      <c r="BD766" s="54">
        <v>17</v>
      </c>
      <c r="BE766" s="42"/>
      <c r="BF766" s="45">
        <v>0</v>
      </c>
      <c r="BG766" s="40"/>
      <c r="BH766" s="45"/>
      <c r="BI766" s="85"/>
      <c r="BJ766" s="179"/>
      <c r="BK766" s="54"/>
      <c r="BL766" s="180"/>
    </row>
    <row r="767" spans="1:64" x14ac:dyDescent="0.3">
      <c r="AM767" t="s">
        <v>6</v>
      </c>
      <c r="AP767" s="41" t="s">
        <v>536</v>
      </c>
      <c r="AQ767" s="54">
        <v>0</v>
      </c>
      <c r="AR767" s="45">
        <v>0</v>
      </c>
      <c r="AS767" s="42"/>
      <c r="AT767" s="40"/>
      <c r="AU767" s="42"/>
      <c r="AV767" s="54"/>
      <c r="AW767" s="54" t="s">
        <v>906</v>
      </c>
      <c r="AX767" s="28"/>
      <c r="AY767" s="40"/>
      <c r="BB767" s="181" t="s">
        <v>947</v>
      </c>
      <c r="BC767" s="10">
        <v>1</v>
      </c>
      <c r="BD767" s="18">
        <v>0</v>
      </c>
      <c r="BE767" s="10"/>
      <c r="BF767" s="18"/>
      <c r="BG767" s="11"/>
      <c r="BH767" s="18"/>
      <c r="BI767" s="11"/>
      <c r="BJ767" s="179"/>
      <c r="BK767" s="37"/>
      <c r="BL767" s="182"/>
    </row>
    <row r="768" spans="1:64" ht="15" thickBot="1" x14ac:dyDescent="0.35">
      <c r="H768" t="s">
        <v>6</v>
      </c>
      <c r="AP768" s="46" t="s">
        <v>84</v>
      </c>
      <c r="AQ768" s="48">
        <f>SUM(AQ752:AQ767)</f>
        <v>165</v>
      </c>
      <c r="AR768" s="48">
        <f>SUM(AR752:AR767)</f>
        <v>182</v>
      </c>
      <c r="AS768" s="47"/>
      <c r="AT768" s="49"/>
      <c r="AU768" s="47"/>
      <c r="AV768" s="48">
        <v>1</v>
      </c>
      <c r="AW768" s="48" t="s">
        <v>352</v>
      </c>
      <c r="AX768" s="48"/>
      <c r="AY768" s="49">
        <f>SUM(AV753:AV768)</f>
        <v>64</v>
      </c>
      <c r="BB768" s="13" t="s">
        <v>84</v>
      </c>
      <c r="BC768" s="13">
        <f>SUM(BC743:BC767)</f>
        <v>171</v>
      </c>
      <c r="BD768" s="27">
        <f>SUM(BD743:BD767)</f>
        <v>218</v>
      </c>
      <c r="BE768" s="13">
        <v>0</v>
      </c>
      <c r="BF768" s="27">
        <f>SUM(BF743:BF767)</f>
        <v>0</v>
      </c>
      <c r="BG768" s="26">
        <f>SUM(BG743:BG767)</f>
        <v>0</v>
      </c>
      <c r="BH768" s="58">
        <v>0</v>
      </c>
      <c r="BI768" s="26">
        <v>0</v>
      </c>
      <c r="BJ768" s="81"/>
      <c r="BK768" s="27"/>
      <c r="BL768" s="26">
        <f>10+7+5+3+6+4+6+6+2+3+3+10+3</f>
        <v>68</v>
      </c>
    </row>
    <row r="769" spans="1:65" ht="15" thickBot="1" x14ac:dyDescent="0.35">
      <c r="H769" t="s">
        <v>6</v>
      </c>
      <c r="AP769" s="169" t="s">
        <v>84</v>
      </c>
      <c r="AQ769" s="170">
        <f>SUM(AQ768+AQ751+AQ741+AQ726)</f>
        <v>1653</v>
      </c>
      <c r="AR769" s="170">
        <f>SUM(AR768+AR751+AR741+AR726)</f>
        <v>1747</v>
      </c>
      <c r="AS769" s="171"/>
      <c r="AT769" s="172"/>
      <c r="AU769" s="170"/>
      <c r="AV769" s="170"/>
      <c r="AW769" s="170"/>
      <c r="AX769" s="170"/>
      <c r="AY769" s="172">
        <f>SUM(AY725:AY768)</f>
        <v>275</v>
      </c>
      <c r="BB769" s="13" t="s">
        <v>223</v>
      </c>
      <c r="BC769" s="13">
        <f>SUM(BC768+BC742+BC739+BC735+BC733+BC730+BC728)</f>
        <v>1704</v>
      </c>
      <c r="BD769" s="26">
        <f>SUM(BD768+BD742+BD739+BD735+BD733+BD730+BD728)</f>
        <v>2015</v>
      </c>
      <c r="BE769" s="26">
        <f>SUM(BE768+BE742+BE739+BE735+BE733+BE730+BE728)</f>
        <v>0</v>
      </c>
      <c r="BF769" s="26">
        <f>SUM(BF768+BF742+BF739+BF735+BF733+BF730+BF728)</f>
        <v>34</v>
      </c>
      <c r="BG769" s="26">
        <f>SUM(BG768+BG742+BG739+BG735+BG733+BG730+BG728)</f>
        <v>0</v>
      </c>
      <c r="BH769" s="160">
        <f>SUM(BH768+BH742+BH739+BH735+BH732+BH730+BH728)</f>
        <v>76690</v>
      </c>
      <c r="BI769" s="26">
        <f>SUM(BI768+BI742+BI739+BI735+BI732+BI730+BI728)</f>
        <v>18180</v>
      </c>
      <c r="BJ769" s="81"/>
      <c r="BK769" s="27" t="s">
        <v>247</v>
      </c>
      <c r="BL769" s="26">
        <f>SUM(BL728:BL768)</f>
        <v>248</v>
      </c>
    </row>
    <row r="770" spans="1:65" x14ac:dyDescent="0.3">
      <c r="K770" s="28"/>
      <c r="BB770" s="131" t="s">
        <v>225</v>
      </c>
      <c r="BD770">
        <f>SUM(BL768)</f>
        <v>68</v>
      </c>
      <c r="BF770" t="s">
        <v>184</v>
      </c>
      <c r="BG770" s="132"/>
    </row>
    <row r="771" spans="1:65" x14ac:dyDescent="0.3">
      <c r="K771" s="28"/>
      <c r="BB771" t="s">
        <v>229</v>
      </c>
      <c r="BD771">
        <v>16</v>
      </c>
    </row>
    <row r="772" spans="1:65" x14ac:dyDescent="0.3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BB772" t="s">
        <v>232</v>
      </c>
      <c r="BD772" t="s">
        <v>233</v>
      </c>
      <c r="BF772">
        <f>SUM(AQ769)</f>
        <v>1653</v>
      </c>
      <c r="BH772" t="s">
        <v>234</v>
      </c>
      <c r="BJ772" t="s">
        <v>233</v>
      </c>
      <c r="BL772">
        <f>SUM(BC769)</f>
        <v>1704</v>
      </c>
    </row>
    <row r="773" spans="1:65" ht="18" x14ac:dyDescent="0.35">
      <c r="B773" s="133"/>
      <c r="BA773" t="s">
        <v>6</v>
      </c>
      <c r="BD773" t="s">
        <v>236</v>
      </c>
      <c r="BF773">
        <f>SUM(AR769)</f>
        <v>1747</v>
      </c>
      <c r="BJ773" t="s">
        <v>236</v>
      </c>
      <c r="BL773">
        <f>SUM(BD769)</f>
        <v>2015</v>
      </c>
    </row>
    <row r="774" spans="1:65" x14ac:dyDescent="0.3">
      <c r="BB774" s="134" t="s">
        <v>238</v>
      </c>
      <c r="BC774" s="135" t="s">
        <v>239</v>
      </c>
      <c r="BD774" s="136"/>
      <c r="BE774" s="134" t="s">
        <v>240</v>
      </c>
      <c r="BF774" s="135" t="s">
        <v>241</v>
      </c>
      <c r="BG774" s="136"/>
      <c r="BH774" s="134"/>
      <c r="BI774" s="135" t="s">
        <v>242</v>
      </c>
      <c r="BJ774" s="137" t="s">
        <v>243</v>
      </c>
      <c r="BK774" s="135"/>
      <c r="BL774" s="135"/>
      <c r="BM774" s="136"/>
    </row>
    <row r="775" spans="1:65" x14ac:dyDescent="0.3">
      <c r="BB775" s="138" t="s">
        <v>233</v>
      </c>
      <c r="BC775" s="28"/>
      <c r="BD775" s="139">
        <f>SUM(B761)</f>
        <v>54828</v>
      </c>
      <c r="BE775" s="138" t="s">
        <v>233</v>
      </c>
      <c r="BF775" s="28"/>
      <c r="BG775" s="139">
        <f>SUM(AC757)</f>
        <v>2769</v>
      </c>
      <c r="BH775" s="138" t="s">
        <v>233</v>
      </c>
      <c r="BI775" s="28"/>
      <c r="BJ775" s="140">
        <f>SUM(BL772+BG775)</f>
        <v>4473</v>
      </c>
      <c r="BK775" s="28" t="s">
        <v>245</v>
      </c>
      <c r="BL775" s="140">
        <f>SUM(BJ775+BD775)</f>
        <v>59301</v>
      </c>
      <c r="BM775" s="139"/>
    </row>
    <row r="776" spans="1:65" ht="18" x14ac:dyDescent="0.35">
      <c r="B776" s="133"/>
      <c r="BB776" s="142" t="s">
        <v>236</v>
      </c>
      <c r="BC776" s="143"/>
      <c r="BD776" s="144">
        <f>SUM(C761)</f>
        <v>45808</v>
      </c>
      <c r="BE776" s="142" t="s">
        <v>236</v>
      </c>
      <c r="BF776" s="143"/>
      <c r="BG776" s="144">
        <f>SUM(AD757)</f>
        <v>2487</v>
      </c>
      <c r="BH776" s="142" t="s">
        <v>236</v>
      </c>
      <c r="BI776" s="143"/>
      <c r="BJ776" s="145">
        <f>SUM(BL773+BG776)</f>
        <v>4502</v>
      </c>
      <c r="BK776" s="143"/>
      <c r="BL776" s="145">
        <f>SUM(BJ776+BD776)</f>
        <v>50310</v>
      </c>
      <c r="BM776" s="144"/>
    </row>
  </sheetData>
  <pageMargins left="0.7" right="0.7" top="0.75" bottom="0.75" header="0.3" footer="0.3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M754"/>
  <sheetViews>
    <sheetView topLeftCell="A722" zoomScaleNormal="100" zoomScalePageLayoutView="25" workbookViewId="0">
      <selection activeCell="B738" sqref="B738:C738"/>
    </sheetView>
  </sheetViews>
  <sheetFormatPr defaultColWidth="8.88671875" defaultRowHeight="14.4" x14ac:dyDescent="0.3"/>
  <sheetData>
    <row r="2" spans="1:64" x14ac:dyDescent="0.3">
      <c r="C2" t="s">
        <v>0</v>
      </c>
      <c r="P2" t="s">
        <v>1</v>
      </c>
    </row>
    <row r="3" spans="1:64" x14ac:dyDescent="0.3">
      <c r="D3" t="s">
        <v>2</v>
      </c>
      <c r="Q3" t="s">
        <v>3</v>
      </c>
      <c r="AF3" t="s">
        <v>0</v>
      </c>
      <c r="AS3" t="s">
        <v>4</v>
      </c>
      <c r="BF3" t="s">
        <v>5</v>
      </c>
    </row>
    <row r="4" spans="1:64" x14ac:dyDescent="0.3">
      <c r="A4" t="s">
        <v>6</v>
      </c>
      <c r="C4" t="s">
        <v>7</v>
      </c>
      <c r="O4" t="s">
        <v>8</v>
      </c>
      <c r="AF4" t="s">
        <v>9</v>
      </c>
      <c r="AT4" t="s">
        <v>2</v>
      </c>
      <c r="BG4" t="s">
        <v>2</v>
      </c>
    </row>
    <row r="5" spans="1:64" x14ac:dyDescent="0.3">
      <c r="D5" t="s">
        <v>948</v>
      </c>
      <c r="Q5" t="s">
        <v>948</v>
      </c>
      <c r="AF5" t="s">
        <v>11</v>
      </c>
      <c r="AR5" t="s">
        <v>12</v>
      </c>
      <c r="AZ5" t="s">
        <v>6</v>
      </c>
      <c r="BE5" t="s">
        <v>13</v>
      </c>
    </row>
    <row r="6" spans="1:64" x14ac:dyDescent="0.3">
      <c r="I6" s="194" t="s">
        <v>949</v>
      </c>
      <c r="U6" t="s">
        <v>15</v>
      </c>
      <c r="AG6" t="s">
        <v>948</v>
      </c>
      <c r="AT6" t="s">
        <v>948</v>
      </c>
      <c r="BG6" t="s">
        <v>948</v>
      </c>
      <c r="BK6" s="194" t="s">
        <v>950</v>
      </c>
    </row>
    <row r="7" spans="1:64" x14ac:dyDescent="0.3">
      <c r="A7" s="134" t="s">
        <v>17</v>
      </c>
      <c r="B7" s="134" t="s">
        <v>18</v>
      </c>
      <c r="C7" s="136"/>
      <c r="D7" s="135" t="s">
        <v>19</v>
      </c>
      <c r="E7" s="135"/>
      <c r="F7" s="135"/>
      <c r="G7" s="195" t="s">
        <v>20</v>
      </c>
      <c r="H7" s="135" t="s">
        <v>21</v>
      </c>
      <c r="I7" s="135"/>
      <c r="J7" s="136"/>
      <c r="L7" s="134" t="s">
        <v>17</v>
      </c>
      <c r="M7" s="135" t="s">
        <v>22</v>
      </c>
      <c r="N7" s="135"/>
      <c r="O7" s="135" t="s">
        <v>23</v>
      </c>
      <c r="P7" s="135"/>
      <c r="Q7" s="135"/>
      <c r="R7" s="135" t="s">
        <v>24</v>
      </c>
      <c r="S7" s="135"/>
      <c r="T7" s="135" t="s">
        <v>21</v>
      </c>
      <c r="U7" s="136"/>
      <c r="AL7" s="28" t="s">
        <v>25</v>
      </c>
      <c r="AX7" s="194" t="s">
        <v>951</v>
      </c>
      <c r="BB7" s="195" t="s">
        <v>17</v>
      </c>
      <c r="BC7" s="134" t="s">
        <v>27</v>
      </c>
      <c r="BD7" s="136"/>
      <c r="BE7" s="135" t="s">
        <v>28</v>
      </c>
      <c r="BF7" s="135"/>
      <c r="BG7" s="135"/>
      <c r="BH7" s="135" t="s">
        <v>29</v>
      </c>
      <c r="BI7" s="135" t="s">
        <v>30</v>
      </c>
      <c r="BJ7" s="135" t="s">
        <v>31</v>
      </c>
      <c r="BK7" s="135"/>
      <c r="BL7" s="136"/>
    </row>
    <row r="8" spans="1:64" x14ac:dyDescent="0.3">
      <c r="A8" s="138" t="s">
        <v>32</v>
      </c>
      <c r="B8" s="138"/>
      <c r="C8" s="141"/>
      <c r="D8" s="28"/>
      <c r="E8" s="28"/>
      <c r="F8" s="28"/>
      <c r="G8" s="196"/>
      <c r="H8" s="28" t="s">
        <v>33</v>
      </c>
      <c r="I8" s="28"/>
      <c r="J8" s="141"/>
      <c r="L8" s="138"/>
      <c r="M8" s="28"/>
      <c r="N8" s="28"/>
      <c r="O8" s="28"/>
      <c r="P8" s="28"/>
      <c r="Q8" s="28"/>
      <c r="R8" s="28"/>
      <c r="S8" s="28"/>
      <c r="T8" s="28" t="s">
        <v>33</v>
      </c>
      <c r="U8" s="141"/>
      <c r="AB8" s="134" t="s">
        <v>34</v>
      </c>
      <c r="AC8" s="134" t="s">
        <v>35</v>
      </c>
      <c r="AD8" s="136"/>
      <c r="AE8" s="135" t="s">
        <v>36</v>
      </c>
      <c r="AF8" s="135"/>
      <c r="AG8" s="135"/>
      <c r="AH8" s="134" t="s">
        <v>37</v>
      </c>
      <c r="AI8" s="136"/>
      <c r="AJ8" s="135" t="s">
        <v>30</v>
      </c>
      <c r="AK8" s="134" t="s">
        <v>38</v>
      </c>
      <c r="AL8" s="135"/>
      <c r="AM8" s="136"/>
      <c r="AP8" s="134" t="s">
        <v>17</v>
      </c>
      <c r="AQ8" s="134" t="s">
        <v>39</v>
      </c>
      <c r="AR8" s="136"/>
      <c r="AS8" s="134" t="s">
        <v>29</v>
      </c>
      <c r="AT8" s="136" t="s">
        <v>30</v>
      </c>
      <c r="AU8" s="135" t="s">
        <v>40</v>
      </c>
      <c r="AV8" s="135"/>
      <c r="AW8" s="135"/>
      <c r="AX8" s="135"/>
      <c r="AY8" s="136"/>
      <c r="BB8" s="196"/>
      <c r="BC8" s="138"/>
      <c r="BD8" s="141"/>
      <c r="BE8" s="28"/>
      <c r="BF8" s="28"/>
      <c r="BG8" s="28"/>
      <c r="BH8" s="28"/>
      <c r="BI8" s="28" t="s">
        <v>6</v>
      </c>
      <c r="BJ8" s="28" t="s">
        <v>41</v>
      </c>
      <c r="BK8" s="28"/>
      <c r="BL8" s="141"/>
    </row>
    <row r="9" spans="1:64" x14ac:dyDescent="0.3">
      <c r="A9" s="142" t="s">
        <v>42</v>
      </c>
      <c r="B9" s="142" t="s">
        <v>43</v>
      </c>
      <c r="C9" s="143" t="s">
        <v>44</v>
      </c>
      <c r="D9" s="197" t="s">
        <v>45</v>
      </c>
      <c r="E9" s="198" t="s">
        <v>46</v>
      </c>
      <c r="F9" s="198" t="s">
        <v>47</v>
      </c>
      <c r="G9" s="199" t="s">
        <v>48</v>
      </c>
      <c r="H9" s="143" t="s">
        <v>49</v>
      </c>
      <c r="I9" s="143"/>
      <c r="J9" s="146"/>
      <c r="L9" s="142" t="s">
        <v>50</v>
      </c>
      <c r="M9" s="143" t="s">
        <v>43</v>
      </c>
      <c r="N9" s="143" t="s">
        <v>44</v>
      </c>
      <c r="O9" s="143" t="s">
        <v>43</v>
      </c>
      <c r="P9" s="143" t="s">
        <v>51</v>
      </c>
      <c r="Q9" s="143" t="s">
        <v>44</v>
      </c>
      <c r="R9" s="143" t="s">
        <v>43</v>
      </c>
      <c r="S9" s="143" t="s">
        <v>44</v>
      </c>
      <c r="T9" s="143" t="s">
        <v>49</v>
      </c>
      <c r="U9" s="146"/>
      <c r="AB9" s="142" t="s">
        <v>50</v>
      </c>
      <c r="AC9" s="142" t="s">
        <v>43</v>
      </c>
      <c r="AD9" s="146" t="s">
        <v>44</v>
      </c>
      <c r="AE9" s="143" t="s">
        <v>45</v>
      </c>
      <c r="AF9" s="143" t="s">
        <v>46</v>
      </c>
      <c r="AG9" s="143" t="s">
        <v>52</v>
      </c>
      <c r="AH9" s="142" t="s">
        <v>43</v>
      </c>
      <c r="AI9" s="146" t="s">
        <v>44</v>
      </c>
      <c r="AJ9" s="143" t="s">
        <v>43</v>
      </c>
      <c r="AK9" s="142" t="s">
        <v>53</v>
      </c>
      <c r="AL9" s="143"/>
      <c r="AM9" s="146"/>
      <c r="AP9" s="138" t="s">
        <v>42</v>
      </c>
      <c r="AQ9" s="138" t="s">
        <v>43</v>
      </c>
      <c r="AR9" s="141" t="s">
        <v>44</v>
      </c>
      <c r="AS9" s="138" t="s">
        <v>43</v>
      </c>
      <c r="AT9" s="141" t="s">
        <v>44</v>
      </c>
      <c r="AU9" s="28"/>
      <c r="AV9" s="28"/>
      <c r="AW9" s="28"/>
      <c r="AX9" s="28"/>
      <c r="AY9" s="141"/>
      <c r="BB9" s="199" t="s">
        <v>42</v>
      </c>
      <c r="BC9" s="142" t="s">
        <v>43</v>
      </c>
      <c r="BD9" s="146" t="s">
        <v>44</v>
      </c>
      <c r="BE9" s="143" t="s">
        <v>45</v>
      </c>
      <c r="BF9" s="143" t="s">
        <v>46</v>
      </c>
      <c r="BG9" s="143" t="s">
        <v>52</v>
      </c>
      <c r="BH9" s="143" t="s">
        <v>43</v>
      </c>
      <c r="BI9" s="143" t="s">
        <v>44</v>
      </c>
      <c r="BJ9" s="143" t="s">
        <v>54</v>
      </c>
      <c r="BK9" s="143"/>
      <c r="BL9" s="146"/>
    </row>
    <row r="10" spans="1:64" x14ac:dyDescent="0.3">
      <c r="A10" s="134"/>
      <c r="B10" s="134"/>
      <c r="C10" s="135"/>
      <c r="D10" s="134"/>
      <c r="E10" s="135"/>
      <c r="F10" s="135"/>
      <c r="G10" s="195"/>
      <c r="H10" s="135" t="s">
        <v>396</v>
      </c>
      <c r="I10" s="135"/>
      <c r="J10" s="136"/>
      <c r="L10" s="134"/>
      <c r="M10" s="134"/>
      <c r="N10" s="195"/>
      <c r="O10" s="134"/>
      <c r="P10" s="195"/>
      <c r="Q10" s="136"/>
      <c r="R10" s="134"/>
      <c r="S10" s="195"/>
      <c r="T10" s="134" t="s">
        <v>396</v>
      </c>
      <c r="U10" s="136"/>
      <c r="AB10" s="138"/>
      <c r="AC10" s="138"/>
      <c r="AD10" s="141"/>
      <c r="AE10" s="28"/>
      <c r="AF10" s="28"/>
      <c r="AG10" s="28"/>
      <c r="AH10" s="138"/>
      <c r="AI10" s="141"/>
      <c r="AJ10" s="28"/>
      <c r="AK10" s="138"/>
      <c r="AL10" s="28"/>
      <c r="AM10" s="141"/>
      <c r="AP10" s="134"/>
      <c r="AQ10" s="134"/>
      <c r="AR10" s="136"/>
      <c r="AS10" s="134"/>
      <c r="AT10" s="136"/>
      <c r="AU10" s="135"/>
      <c r="AV10" s="135"/>
      <c r="AW10" s="135"/>
      <c r="AX10" s="135"/>
      <c r="AY10" s="136"/>
      <c r="BB10" s="195" t="s">
        <v>85</v>
      </c>
      <c r="BC10" s="135">
        <v>24</v>
      </c>
      <c r="BD10" s="135">
        <v>22</v>
      </c>
      <c r="BE10" s="134"/>
      <c r="BF10" s="135"/>
      <c r="BG10" s="135"/>
      <c r="BH10" s="134"/>
      <c r="BI10" s="136"/>
      <c r="BJ10" s="135" t="s">
        <v>58</v>
      </c>
      <c r="BK10" s="135"/>
      <c r="BL10" s="136"/>
    </row>
    <row r="11" spans="1:64" x14ac:dyDescent="0.3">
      <c r="A11" s="138" t="s">
        <v>59</v>
      </c>
      <c r="B11" s="138">
        <v>1091</v>
      </c>
      <c r="C11" s="28">
        <v>997</v>
      </c>
      <c r="D11" s="138"/>
      <c r="E11" s="28" t="s">
        <v>60</v>
      </c>
      <c r="F11" s="28"/>
      <c r="G11" s="196">
        <f>2264/2</f>
        <v>1132</v>
      </c>
      <c r="H11" s="28">
        <v>4</v>
      </c>
      <c r="I11" s="28" t="s">
        <v>61</v>
      </c>
      <c r="J11" s="141"/>
      <c r="L11" s="138" t="s">
        <v>59</v>
      </c>
      <c r="M11" s="138">
        <v>3533</v>
      </c>
      <c r="N11" s="196">
        <v>29944</v>
      </c>
      <c r="O11" s="138">
        <v>0</v>
      </c>
      <c r="P11" s="196">
        <v>0</v>
      </c>
      <c r="Q11" s="141">
        <v>0</v>
      </c>
      <c r="R11" s="138">
        <v>0</v>
      </c>
      <c r="S11" s="196">
        <v>0</v>
      </c>
      <c r="T11" s="138"/>
      <c r="U11" s="141"/>
      <c r="AB11" s="138"/>
      <c r="AC11" s="138"/>
      <c r="AD11" s="141"/>
      <c r="AE11" s="28"/>
      <c r="AF11" s="28"/>
      <c r="AG11" s="28"/>
      <c r="AH11" s="138"/>
      <c r="AI11" s="141"/>
      <c r="AJ11" s="28"/>
      <c r="AK11" s="138" t="s">
        <v>62</v>
      </c>
      <c r="AL11" s="28"/>
      <c r="AM11" s="141"/>
      <c r="AP11" s="138" t="s">
        <v>6</v>
      </c>
      <c r="AQ11" s="138"/>
      <c r="AR11" s="141"/>
      <c r="AS11" s="138"/>
      <c r="AT11" s="141"/>
      <c r="AU11" s="28"/>
      <c r="AV11" s="28" t="s">
        <v>91</v>
      </c>
      <c r="AW11" s="28"/>
      <c r="AX11" s="28"/>
      <c r="AY11" s="141"/>
      <c r="BB11" s="196" t="s">
        <v>64</v>
      </c>
      <c r="BC11" s="28">
        <v>93</v>
      </c>
      <c r="BD11" s="28">
        <v>114</v>
      </c>
      <c r="BE11" s="138">
        <v>0</v>
      </c>
      <c r="BF11" s="28">
        <v>0</v>
      </c>
      <c r="BG11" s="28">
        <v>0</v>
      </c>
      <c r="BH11" s="138">
        <v>0</v>
      </c>
      <c r="BI11" s="141">
        <v>0</v>
      </c>
      <c r="BJ11" s="28">
        <v>10</v>
      </c>
      <c r="BK11" s="28" t="s">
        <v>474</v>
      </c>
      <c r="BL11" s="141" t="s">
        <v>6</v>
      </c>
    </row>
    <row r="12" spans="1:64" x14ac:dyDescent="0.3">
      <c r="A12" s="138" t="s">
        <v>6</v>
      </c>
      <c r="B12" s="138"/>
      <c r="C12" s="28"/>
      <c r="D12" s="138"/>
      <c r="E12" s="28"/>
      <c r="F12" s="28"/>
      <c r="G12" s="196"/>
      <c r="H12" s="28"/>
      <c r="I12" s="28" t="s">
        <v>528</v>
      </c>
      <c r="J12" s="141">
        <f>SUM(H11)</f>
        <v>4</v>
      </c>
      <c r="L12" s="142"/>
      <c r="M12" s="142"/>
      <c r="N12" s="199"/>
      <c r="O12" s="142"/>
      <c r="P12" s="199"/>
      <c r="Q12" s="146"/>
      <c r="R12" s="142"/>
      <c r="S12" s="199"/>
      <c r="T12" s="142"/>
      <c r="U12" s="146"/>
      <c r="AB12" s="138" t="s">
        <v>59</v>
      </c>
      <c r="AC12" s="138">
        <v>1345</v>
      </c>
      <c r="AD12" s="141">
        <v>1344</v>
      </c>
      <c r="AE12" s="28">
        <v>0</v>
      </c>
      <c r="AF12" s="28">
        <v>0</v>
      </c>
      <c r="AG12" s="28">
        <v>0</v>
      </c>
      <c r="AH12" s="138">
        <v>0</v>
      </c>
      <c r="AI12" s="141">
        <v>0</v>
      </c>
      <c r="AJ12" s="28">
        <v>0</v>
      </c>
      <c r="AK12" s="138">
        <v>4</v>
      </c>
      <c r="AL12" s="28" t="s">
        <v>66</v>
      </c>
      <c r="AM12" s="141"/>
      <c r="AP12" s="138" t="s">
        <v>56</v>
      </c>
      <c r="AQ12" s="138">
        <v>1197</v>
      </c>
      <c r="AR12" s="141">
        <f>1117+9+16</f>
        <v>1142</v>
      </c>
      <c r="AS12" s="138"/>
      <c r="AT12" s="141"/>
      <c r="AU12" s="28"/>
      <c r="AV12" s="28"/>
      <c r="AW12" s="28"/>
      <c r="AX12" s="28"/>
      <c r="AY12" s="141"/>
      <c r="BB12" s="196" t="s">
        <v>108</v>
      </c>
      <c r="BC12">
        <v>5</v>
      </c>
      <c r="BD12">
        <f>24+7</f>
        <v>31</v>
      </c>
      <c r="BE12" s="138"/>
      <c r="BF12" s="28"/>
      <c r="BG12" s="28"/>
      <c r="BH12" s="138"/>
      <c r="BI12" s="141"/>
      <c r="BJ12" s="28"/>
      <c r="BK12" s="28"/>
      <c r="BL12" s="141"/>
    </row>
    <row r="13" spans="1:64" x14ac:dyDescent="0.3">
      <c r="A13" s="134"/>
      <c r="B13" s="134"/>
      <c r="C13" s="135"/>
      <c r="D13" s="134"/>
      <c r="E13" s="135"/>
      <c r="F13" s="135"/>
      <c r="G13" s="195"/>
      <c r="H13" s="135" t="s">
        <v>70</v>
      </c>
      <c r="I13" s="135"/>
      <c r="J13" s="136"/>
      <c r="L13" s="134"/>
      <c r="M13" s="134"/>
      <c r="N13" s="195"/>
      <c r="O13" s="134"/>
      <c r="P13" s="195"/>
      <c r="Q13" s="136"/>
      <c r="R13" s="134"/>
      <c r="S13" s="195"/>
      <c r="T13" s="134"/>
      <c r="U13" s="136"/>
      <c r="AB13" s="142"/>
      <c r="AC13" s="142"/>
      <c r="AD13" s="146"/>
      <c r="AE13" s="143"/>
      <c r="AF13" s="143"/>
      <c r="AG13" s="143"/>
      <c r="AH13" s="142"/>
      <c r="AI13" s="146"/>
      <c r="AJ13" s="143"/>
      <c r="AK13" s="142" t="s">
        <v>6</v>
      </c>
      <c r="AL13" s="143" t="s">
        <v>398</v>
      </c>
      <c r="AM13" s="146"/>
      <c r="AP13" s="142" t="s">
        <v>6</v>
      </c>
      <c r="AQ13" s="142"/>
      <c r="AR13" s="146"/>
      <c r="AS13" s="142"/>
      <c r="AT13" s="146"/>
      <c r="AU13" s="143"/>
      <c r="AV13" s="143">
        <v>82</v>
      </c>
      <c r="AW13" s="143" t="s">
        <v>73</v>
      </c>
      <c r="AX13" s="143"/>
      <c r="AY13" s="146">
        <f>SUM(AV13)</f>
        <v>82</v>
      </c>
      <c r="BB13" s="199" t="s">
        <v>84</v>
      </c>
      <c r="BC13" s="143">
        <v>106</v>
      </c>
      <c r="BD13" s="143">
        <v>139</v>
      </c>
      <c r="BE13" s="142"/>
      <c r="BF13" s="143"/>
      <c r="BG13" s="143"/>
      <c r="BH13" s="142"/>
      <c r="BI13" s="146"/>
      <c r="BJ13" s="143">
        <v>15</v>
      </c>
      <c r="BK13" s="143" t="s">
        <v>69</v>
      </c>
      <c r="BL13" s="146">
        <f>SUM(BJ11:BJ13)</f>
        <v>25</v>
      </c>
    </row>
    <row r="14" spans="1:64" x14ac:dyDescent="0.3">
      <c r="A14" s="138" t="s">
        <v>74</v>
      </c>
      <c r="B14" s="138">
        <v>1168</v>
      </c>
      <c r="C14" s="28">
        <v>2404</v>
      </c>
      <c r="D14" s="138"/>
      <c r="E14" s="28" t="s">
        <v>60</v>
      </c>
      <c r="F14" s="28"/>
      <c r="G14" s="196">
        <v>2807</v>
      </c>
      <c r="H14" s="28"/>
      <c r="I14" s="28" t="s">
        <v>75</v>
      </c>
      <c r="J14" s="141"/>
      <c r="L14" s="138"/>
      <c r="M14" s="138"/>
      <c r="N14" s="196"/>
      <c r="O14" s="138"/>
      <c r="P14" s="196"/>
      <c r="Q14" s="141"/>
      <c r="R14" s="138"/>
      <c r="S14" s="196"/>
      <c r="T14" s="138" t="s">
        <v>80</v>
      </c>
      <c r="U14" s="141"/>
      <c r="AB14" s="134" t="s">
        <v>6</v>
      </c>
      <c r="AC14" s="134"/>
      <c r="AD14" s="136"/>
      <c r="AE14" s="135"/>
      <c r="AF14" s="135"/>
      <c r="AG14" s="135"/>
      <c r="AH14" s="134"/>
      <c r="AI14" s="136"/>
      <c r="AJ14" s="135"/>
      <c r="AK14" s="134" t="s">
        <v>952</v>
      </c>
      <c r="AL14" s="135"/>
      <c r="AM14" s="136"/>
      <c r="AP14" s="134"/>
      <c r="AQ14" s="134"/>
      <c r="AR14" s="136"/>
      <c r="AS14" s="134"/>
      <c r="AT14" s="136"/>
      <c r="AU14" s="135"/>
      <c r="AV14" s="135"/>
      <c r="AW14" s="135"/>
      <c r="AX14" s="135"/>
      <c r="AY14" s="136"/>
      <c r="BB14" s="195"/>
      <c r="BC14" s="134"/>
      <c r="BD14" s="136"/>
      <c r="BE14" s="135"/>
      <c r="BF14" s="135"/>
      <c r="BG14" s="135"/>
      <c r="BH14" s="134"/>
      <c r="BI14" s="136"/>
      <c r="BJ14" s="135" t="s">
        <v>82</v>
      </c>
      <c r="BK14" s="135"/>
      <c r="BL14" s="136"/>
    </row>
    <row r="15" spans="1:64" x14ac:dyDescent="0.3">
      <c r="A15" s="138"/>
      <c r="B15" s="138"/>
      <c r="C15" s="28"/>
      <c r="D15" s="138"/>
      <c r="E15" s="28"/>
      <c r="F15" s="28"/>
      <c r="G15" s="196"/>
      <c r="H15" s="28"/>
      <c r="I15" s="28" t="s">
        <v>79</v>
      </c>
      <c r="J15" s="141"/>
      <c r="L15" s="138" t="s">
        <v>74</v>
      </c>
      <c r="M15" s="138">
        <v>10552</v>
      </c>
      <c r="N15" s="196">
        <v>0</v>
      </c>
      <c r="O15" s="138">
        <v>0</v>
      </c>
      <c r="P15" s="196">
        <v>0</v>
      </c>
      <c r="Q15" s="141">
        <v>0</v>
      </c>
      <c r="R15" s="138">
        <v>0</v>
      </c>
      <c r="S15" s="196">
        <v>0</v>
      </c>
      <c r="T15" s="138"/>
      <c r="U15" s="141"/>
      <c r="AB15" s="142" t="s">
        <v>76</v>
      </c>
      <c r="AC15" s="142">
        <v>0</v>
      </c>
      <c r="AD15" s="146">
        <v>0</v>
      </c>
      <c r="AE15" s="143">
        <v>0</v>
      </c>
      <c r="AF15" s="143">
        <v>0</v>
      </c>
      <c r="AG15" s="143">
        <v>0</v>
      </c>
      <c r="AH15" s="142">
        <v>0</v>
      </c>
      <c r="AI15" s="146">
        <v>0</v>
      </c>
      <c r="AJ15" s="143">
        <v>0</v>
      </c>
      <c r="AK15" s="142">
        <v>2</v>
      </c>
      <c r="AL15" s="143" t="s">
        <v>780</v>
      </c>
      <c r="AM15" s="146"/>
      <c r="AP15" s="138" t="s">
        <v>63</v>
      </c>
      <c r="AQ15" s="138">
        <v>68</v>
      </c>
      <c r="AR15" s="141">
        <v>119</v>
      </c>
      <c r="AS15" s="138"/>
      <c r="AT15" s="141"/>
      <c r="AU15" s="28"/>
      <c r="AV15" s="28" t="s">
        <v>110</v>
      </c>
      <c r="AW15" s="28" t="s">
        <v>111</v>
      </c>
      <c r="AX15" s="28" t="s">
        <v>112</v>
      </c>
      <c r="AY15" s="141"/>
      <c r="BB15" s="199" t="s">
        <v>85</v>
      </c>
      <c r="BC15" s="142"/>
      <c r="BD15" s="146"/>
      <c r="BE15" s="143"/>
      <c r="BF15" s="143">
        <v>0</v>
      </c>
      <c r="BG15" s="143">
        <v>0</v>
      </c>
      <c r="BH15" s="142">
        <v>0</v>
      </c>
      <c r="BI15" s="146">
        <v>0</v>
      </c>
      <c r="BJ15" s="143"/>
      <c r="BK15" s="143" t="s">
        <v>86</v>
      </c>
      <c r="BL15" s="146">
        <f>SUM(BJ15)</f>
        <v>0</v>
      </c>
    </row>
    <row r="16" spans="1:64" x14ac:dyDescent="0.3">
      <c r="A16" s="142"/>
      <c r="B16" s="142"/>
      <c r="C16" s="143"/>
      <c r="D16" s="142"/>
      <c r="E16" s="143"/>
      <c r="F16" s="143"/>
      <c r="G16" s="199"/>
      <c r="H16" s="143">
        <v>17</v>
      </c>
      <c r="I16" s="143" t="s">
        <v>83</v>
      </c>
      <c r="J16" s="146">
        <f>SUM(H14:H16)</f>
        <v>17</v>
      </c>
      <c r="L16" s="142"/>
      <c r="M16" s="142"/>
      <c r="N16" s="199"/>
      <c r="O16" s="142"/>
      <c r="P16" s="199"/>
      <c r="Q16" s="146"/>
      <c r="R16" s="142"/>
      <c r="S16" s="199"/>
      <c r="T16" s="142"/>
      <c r="U16" s="146"/>
      <c r="AB16" s="134"/>
      <c r="AC16" s="134"/>
      <c r="AD16" s="136"/>
      <c r="AE16" s="135"/>
      <c r="AF16" s="135"/>
      <c r="AG16" s="135"/>
      <c r="AH16" s="134"/>
      <c r="AI16" s="136"/>
      <c r="AJ16" s="135"/>
      <c r="AK16" s="134"/>
      <c r="AL16" s="135"/>
      <c r="AM16" s="136"/>
      <c r="AP16" s="138" t="s">
        <v>115</v>
      </c>
      <c r="AQ16" s="138">
        <v>82</v>
      </c>
      <c r="AR16" s="141">
        <v>73</v>
      </c>
      <c r="AS16" s="138"/>
      <c r="AT16" s="141"/>
      <c r="AU16" s="28"/>
      <c r="AV16" s="28"/>
      <c r="AW16" s="28"/>
      <c r="AX16" s="28"/>
      <c r="AY16" s="141"/>
      <c r="BB16" s="195" t="s">
        <v>107</v>
      </c>
      <c r="BC16" s="134">
        <v>0</v>
      </c>
      <c r="BD16" s="136">
        <v>0</v>
      </c>
      <c r="BE16" s="135"/>
      <c r="BF16" s="135"/>
      <c r="BG16" s="135"/>
      <c r="BH16" s="134"/>
      <c r="BI16" s="136"/>
      <c r="BJ16" s="135"/>
      <c r="BK16" s="135" t="s">
        <v>92</v>
      </c>
      <c r="BL16" s="136"/>
    </row>
    <row r="17" spans="1:65" x14ac:dyDescent="0.3">
      <c r="A17" s="134"/>
      <c r="B17" s="134"/>
      <c r="C17" s="135"/>
      <c r="D17" s="134"/>
      <c r="E17" s="135"/>
      <c r="F17" s="135"/>
      <c r="G17" s="195"/>
      <c r="H17" s="135" t="s">
        <v>87</v>
      </c>
      <c r="I17" s="135"/>
      <c r="J17" s="136"/>
      <c r="L17" s="134" t="s">
        <v>88</v>
      </c>
      <c r="M17" s="134">
        <v>0</v>
      </c>
      <c r="N17" s="195">
        <v>0</v>
      </c>
      <c r="O17" s="134"/>
      <c r="P17" s="195"/>
      <c r="Q17" s="136"/>
      <c r="R17" s="134"/>
      <c r="S17" s="195"/>
      <c r="T17" s="134" t="s">
        <v>6</v>
      </c>
      <c r="U17" s="136"/>
      <c r="AB17" s="138" t="s">
        <v>89</v>
      </c>
      <c r="AC17" s="138"/>
      <c r="AD17" s="141"/>
      <c r="AE17" s="28"/>
      <c r="AF17" s="28"/>
      <c r="AG17" s="28"/>
      <c r="AH17" s="138"/>
      <c r="AI17" s="141"/>
      <c r="AJ17" s="28"/>
      <c r="AK17" s="138" t="s">
        <v>90</v>
      </c>
      <c r="AL17" s="28"/>
      <c r="AM17" s="141"/>
      <c r="AP17" s="138" t="s">
        <v>72</v>
      </c>
      <c r="AQ17" s="138">
        <v>0</v>
      </c>
      <c r="AR17" s="141">
        <v>0</v>
      </c>
      <c r="AS17" s="138"/>
      <c r="AT17" s="141"/>
      <c r="AU17" s="28"/>
      <c r="AV17" s="28"/>
      <c r="AW17" s="28"/>
      <c r="AX17" s="28"/>
      <c r="AY17" s="141"/>
      <c r="BB17" s="196" t="s">
        <v>99</v>
      </c>
      <c r="BC17" s="138">
        <v>0</v>
      </c>
      <c r="BD17" s="141">
        <v>0</v>
      </c>
      <c r="BE17" s="28">
        <v>0</v>
      </c>
      <c r="BF17" s="28">
        <v>0</v>
      </c>
      <c r="BG17" s="28">
        <v>0</v>
      </c>
      <c r="BH17" s="138">
        <v>68293</v>
      </c>
      <c r="BI17" s="141">
        <v>19089</v>
      </c>
      <c r="BJ17" s="28">
        <v>24</v>
      </c>
      <c r="BK17" s="28" t="s">
        <v>100</v>
      </c>
      <c r="BL17" s="141"/>
    </row>
    <row r="18" spans="1:65" x14ac:dyDescent="0.3">
      <c r="A18" s="138" t="s">
        <v>93</v>
      </c>
      <c r="B18" s="138">
        <v>2778</v>
      </c>
      <c r="C18" s="28">
        <v>3794</v>
      </c>
      <c r="D18" s="138"/>
      <c r="E18" s="28" t="s">
        <v>60</v>
      </c>
      <c r="F18" s="28"/>
      <c r="G18" s="196">
        <v>4514</v>
      </c>
      <c r="H18" s="28">
        <v>25</v>
      </c>
      <c r="I18" s="28" t="s">
        <v>94</v>
      </c>
      <c r="J18" s="141"/>
      <c r="L18" s="138" t="s">
        <v>95</v>
      </c>
      <c r="M18" s="138">
        <v>0</v>
      </c>
      <c r="N18" s="196">
        <v>0</v>
      </c>
      <c r="O18" s="138"/>
      <c r="P18" s="196"/>
      <c r="Q18" s="141"/>
      <c r="R18" s="138"/>
      <c r="S18" s="196"/>
      <c r="T18" s="138" t="s">
        <v>96</v>
      </c>
      <c r="U18" s="141"/>
      <c r="AB18" s="138" t="s">
        <v>97</v>
      </c>
      <c r="AC18" s="138"/>
      <c r="AD18" s="141"/>
      <c r="AE18" s="28">
        <v>0</v>
      </c>
      <c r="AF18" s="28">
        <v>0</v>
      </c>
      <c r="AG18" s="28">
        <v>0</v>
      </c>
      <c r="AH18" s="138">
        <v>0</v>
      </c>
      <c r="AI18" s="141">
        <v>0</v>
      </c>
      <c r="AJ18" s="28">
        <v>0</v>
      </c>
      <c r="AK18" s="138"/>
      <c r="AL18" s="28" t="s">
        <v>529</v>
      </c>
      <c r="AM18" s="141"/>
      <c r="AP18" s="138" t="s">
        <v>78</v>
      </c>
      <c r="AQ18" s="138">
        <v>44</v>
      </c>
      <c r="AR18" s="141">
        <v>48</v>
      </c>
      <c r="AS18" s="138"/>
      <c r="AT18" s="141"/>
      <c r="AU18" s="28"/>
      <c r="AV18" s="28"/>
      <c r="AW18" s="28"/>
      <c r="AX18" s="28"/>
      <c r="AY18" s="141"/>
      <c r="AZ18" t="s">
        <v>6</v>
      </c>
      <c r="BB18" s="199" t="s">
        <v>84</v>
      </c>
      <c r="BC18" s="142">
        <f>SUM(BC16:BC17)</f>
        <v>0</v>
      </c>
      <c r="BD18" s="146">
        <f>SUM(BD16:BD17)</f>
        <v>0</v>
      </c>
      <c r="BE18" s="143"/>
      <c r="BF18" s="143"/>
      <c r="BG18" s="143"/>
      <c r="BH18" s="142"/>
      <c r="BI18" s="146"/>
      <c r="BJ18" s="143">
        <v>0</v>
      </c>
      <c r="BK18" s="143" t="s">
        <v>506</v>
      </c>
      <c r="BL18" s="146">
        <f>SUM(BJ17:BJ18)</f>
        <v>24</v>
      </c>
    </row>
    <row r="19" spans="1:65" x14ac:dyDescent="0.3">
      <c r="A19" s="142"/>
      <c r="B19" s="142"/>
      <c r="C19" s="143"/>
      <c r="D19" s="142"/>
      <c r="E19" s="143"/>
      <c r="F19" s="143"/>
      <c r="G19" s="199"/>
      <c r="H19" s="143">
        <v>5</v>
      </c>
      <c r="I19" s="143" t="s">
        <v>101</v>
      </c>
      <c r="J19" s="146">
        <f>SUM(H18:H19)</f>
        <v>30</v>
      </c>
      <c r="L19" s="138" t="s">
        <v>102</v>
      </c>
      <c r="M19" s="138">
        <v>0</v>
      </c>
      <c r="N19" s="196">
        <v>0</v>
      </c>
      <c r="O19" s="138"/>
      <c r="P19" s="196"/>
      <c r="Q19" s="141"/>
      <c r="R19" s="138"/>
      <c r="S19" s="196"/>
      <c r="T19" s="138"/>
      <c r="U19" s="141"/>
      <c r="AB19" s="142" t="s">
        <v>84</v>
      </c>
      <c r="AC19" s="142">
        <f>SUM(AC17:AC18)</f>
        <v>0</v>
      </c>
      <c r="AD19" s="146">
        <f>SUM(AD17:AD18)</f>
        <v>0</v>
      </c>
      <c r="AE19" s="143"/>
      <c r="AF19" s="143"/>
      <c r="AG19" s="143"/>
      <c r="AH19" s="142"/>
      <c r="AI19" s="146"/>
      <c r="AJ19" s="143"/>
      <c r="AK19" s="142" t="s">
        <v>6</v>
      </c>
      <c r="AL19" s="143" t="s">
        <v>145</v>
      </c>
      <c r="AM19" s="146"/>
      <c r="AP19" s="138" t="s">
        <v>122</v>
      </c>
      <c r="AQ19" s="138">
        <v>64</v>
      </c>
      <c r="AR19" s="141">
        <v>59</v>
      </c>
      <c r="AS19" s="138"/>
      <c r="AT19" s="141"/>
      <c r="AU19" s="28"/>
      <c r="AV19" s="28">
        <v>36</v>
      </c>
      <c r="AW19" s="28" t="s">
        <v>123</v>
      </c>
      <c r="AX19" s="28"/>
      <c r="AY19" s="141"/>
      <c r="BB19" s="196"/>
      <c r="BC19" s="138"/>
      <c r="BD19" s="141"/>
      <c r="BH19" s="138"/>
      <c r="BI19" s="141"/>
      <c r="BJ19" s="134"/>
      <c r="BK19" s="135"/>
      <c r="BL19" s="136"/>
    </row>
    <row r="20" spans="1:65" x14ac:dyDescent="0.3">
      <c r="A20" s="134" t="s">
        <v>250</v>
      </c>
      <c r="B20" s="134">
        <v>0</v>
      </c>
      <c r="C20" s="135">
        <v>0</v>
      </c>
      <c r="D20" s="134"/>
      <c r="E20" s="135"/>
      <c r="F20" s="135"/>
      <c r="G20" s="195"/>
      <c r="H20" s="135" t="s">
        <v>104</v>
      </c>
      <c r="I20" s="135"/>
      <c r="J20" s="136"/>
      <c r="L20" s="142" t="s">
        <v>84</v>
      </c>
      <c r="M20" s="142">
        <v>0</v>
      </c>
      <c r="N20" s="199">
        <v>0</v>
      </c>
      <c r="O20" s="142">
        <v>0</v>
      </c>
      <c r="P20" s="199">
        <v>0</v>
      </c>
      <c r="Q20" s="146">
        <v>0</v>
      </c>
      <c r="R20" s="142">
        <v>0</v>
      </c>
      <c r="S20" s="199">
        <v>0</v>
      </c>
      <c r="T20" s="142"/>
      <c r="U20" s="146"/>
      <c r="AB20" s="134"/>
      <c r="AC20" s="134"/>
      <c r="AD20" s="136"/>
      <c r="AE20" s="135"/>
      <c r="AF20" s="135"/>
      <c r="AG20" s="135"/>
      <c r="AH20" s="134"/>
      <c r="AI20" s="136"/>
      <c r="AJ20" s="135"/>
      <c r="AK20" s="134" t="s">
        <v>6</v>
      </c>
      <c r="AL20" s="135" t="s">
        <v>6</v>
      </c>
      <c r="AM20" s="136"/>
      <c r="AP20" s="138" t="s">
        <v>125</v>
      </c>
      <c r="AQ20" s="138">
        <v>9</v>
      </c>
      <c r="AR20" s="141">
        <v>1</v>
      </c>
      <c r="AS20" s="138"/>
      <c r="AT20" s="141"/>
      <c r="AU20" s="28"/>
      <c r="AV20" s="28">
        <v>52</v>
      </c>
      <c r="AW20" s="28" t="s">
        <v>126</v>
      </c>
      <c r="AX20" s="28"/>
      <c r="AY20" s="141"/>
      <c r="AZ20" t="s">
        <v>6</v>
      </c>
      <c r="BA20" t="s">
        <v>6</v>
      </c>
      <c r="BB20" s="196" t="s">
        <v>89</v>
      </c>
      <c r="BC20" s="138">
        <v>412</v>
      </c>
      <c r="BD20" s="141">
        <v>292</v>
      </c>
      <c r="BH20" s="138"/>
      <c r="BI20" s="141"/>
      <c r="BJ20" s="138"/>
      <c r="BK20" s="28" t="s">
        <v>91</v>
      </c>
      <c r="BL20" s="141"/>
    </row>
    <row r="21" spans="1:65" x14ac:dyDescent="0.3">
      <c r="A21" s="138" t="s">
        <v>105</v>
      </c>
      <c r="B21" s="138">
        <v>70</v>
      </c>
      <c r="C21" s="28">
        <v>266</v>
      </c>
      <c r="D21" s="138"/>
      <c r="E21" s="28" t="s">
        <v>60</v>
      </c>
      <c r="F21" s="28"/>
      <c r="G21" s="196"/>
      <c r="H21" s="28">
        <v>5</v>
      </c>
      <c r="I21" s="28" t="s">
        <v>106</v>
      </c>
      <c r="J21" s="141">
        <f>SUM(H21)</f>
        <v>5</v>
      </c>
      <c r="L21" s="134"/>
      <c r="M21" s="134"/>
      <c r="N21" s="195"/>
      <c r="O21" s="134"/>
      <c r="P21" s="195"/>
      <c r="Q21" s="136"/>
      <c r="R21" s="134"/>
      <c r="S21" s="195"/>
      <c r="T21" s="134" t="s">
        <v>104</v>
      </c>
      <c r="U21" s="136"/>
      <c r="AB21" s="138" t="s">
        <v>6</v>
      </c>
      <c r="AC21" s="138"/>
      <c r="AD21" s="141"/>
      <c r="AE21" s="28">
        <v>0</v>
      </c>
      <c r="AF21" s="28">
        <v>0</v>
      </c>
      <c r="AG21" s="28">
        <v>0</v>
      </c>
      <c r="AH21" s="138"/>
      <c r="AI21" s="141"/>
      <c r="AJ21" s="28">
        <v>0</v>
      </c>
      <c r="AK21" s="138"/>
      <c r="AL21" s="28" t="s">
        <v>6</v>
      </c>
      <c r="AM21" s="141"/>
      <c r="AP21" s="138" t="s">
        <v>128</v>
      </c>
      <c r="AQ21" s="138">
        <v>3</v>
      </c>
      <c r="AR21" s="141">
        <v>0</v>
      </c>
      <c r="AS21" s="138"/>
      <c r="AT21" s="141"/>
      <c r="AU21" s="28"/>
      <c r="AV21" s="28">
        <v>30</v>
      </c>
      <c r="AW21" s="28" t="s">
        <v>129</v>
      </c>
      <c r="AX21" s="28"/>
      <c r="AY21" s="141"/>
      <c r="BA21" t="s">
        <v>6</v>
      </c>
      <c r="BB21" s="196" t="s">
        <v>108</v>
      </c>
      <c r="BC21" s="138">
        <v>0</v>
      </c>
      <c r="BD21" s="141">
        <v>0</v>
      </c>
      <c r="BH21" s="138"/>
      <c r="BI21" s="141"/>
      <c r="BJ21" s="138"/>
      <c r="BK21" s="28"/>
      <c r="BL21" s="141"/>
    </row>
    <row r="22" spans="1:65" x14ac:dyDescent="0.3">
      <c r="A22" s="142" t="s">
        <v>84</v>
      </c>
      <c r="B22" s="142">
        <f>SUM(B20:B21)</f>
        <v>70</v>
      </c>
      <c r="C22" s="143">
        <f>SUM(C20:C21)</f>
        <v>266</v>
      </c>
      <c r="D22" s="142"/>
      <c r="E22" s="143"/>
      <c r="F22" s="143"/>
      <c r="G22" s="199">
        <f>700/2</f>
        <v>350</v>
      </c>
      <c r="H22" s="143"/>
      <c r="I22" s="143"/>
      <c r="J22" s="146"/>
      <c r="L22" s="138" t="s">
        <v>109</v>
      </c>
      <c r="M22" s="138">
        <v>2234</v>
      </c>
      <c r="N22" s="196">
        <v>0</v>
      </c>
      <c r="O22" s="138">
        <v>0</v>
      </c>
      <c r="P22" s="196">
        <v>0</v>
      </c>
      <c r="Q22" s="141">
        <v>0</v>
      </c>
      <c r="R22" s="138">
        <v>0</v>
      </c>
      <c r="S22" s="196">
        <v>0</v>
      </c>
      <c r="T22" s="138"/>
      <c r="U22" s="141"/>
      <c r="AB22" s="138"/>
      <c r="AC22" s="138"/>
      <c r="AD22" s="141"/>
      <c r="AE22" s="28">
        <v>0</v>
      </c>
      <c r="AF22" s="28">
        <v>0</v>
      </c>
      <c r="AG22" s="28">
        <v>0</v>
      </c>
      <c r="AH22" s="138"/>
      <c r="AI22" s="141"/>
      <c r="AJ22" s="28"/>
      <c r="AK22" s="138"/>
      <c r="AL22" s="28"/>
      <c r="AM22" s="141"/>
      <c r="AP22" s="138" t="s">
        <v>132</v>
      </c>
      <c r="AQ22" s="138">
        <v>0</v>
      </c>
      <c r="AR22" s="141">
        <v>0</v>
      </c>
      <c r="AS22" s="138"/>
      <c r="AT22" s="141"/>
      <c r="AU22" s="28"/>
      <c r="AV22" s="28"/>
      <c r="AW22" s="28"/>
      <c r="AX22" s="28"/>
      <c r="AY22" s="141"/>
      <c r="BB22" s="196" t="s">
        <v>113</v>
      </c>
      <c r="BC22" s="138">
        <v>819</v>
      </c>
      <c r="BD22" s="141">
        <v>734</v>
      </c>
      <c r="BH22" s="138"/>
      <c r="BI22" s="141"/>
      <c r="BJ22" s="138">
        <v>95</v>
      </c>
      <c r="BK22" s="28" t="s">
        <v>73</v>
      </c>
      <c r="BL22" s="141"/>
    </row>
    <row r="23" spans="1:65" x14ac:dyDescent="0.3">
      <c r="A23" s="138" t="s">
        <v>108</v>
      </c>
      <c r="B23" s="138">
        <v>0</v>
      </c>
      <c r="C23" s="28">
        <v>0</v>
      </c>
      <c r="D23" s="138"/>
      <c r="E23" s="28">
        <v>582</v>
      </c>
      <c r="F23" s="28"/>
      <c r="G23" s="196"/>
      <c r="H23" s="28" t="s">
        <v>104</v>
      </c>
      <c r="I23" s="28"/>
      <c r="J23" s="141"/>
      <c r="L23" s="142"/>
      <c r="M23" s="142"/>
      <c r="N23" s="199"/>
      <c r="O23" s="142"/>
      <c r="P23" s="199"/>
      <c r="Q23" s="146"/>
      <c r="R23" s="142"/>
      <c r="S23" s="199"/>
      <c r="T23" s="142"/>
      <c r="U23" s="146"/>
      <c r="AB23" s="142"/>
      <c r="AC23" s="142"/>
      <c r="AD23" s="146"/>
      <c r="AE23" s="143">
        <v>0</v>
      </c>
      <c r="AF23" s="143">
        <v>0</v>
      </c>
      <c r="AG23" s="143">
        <v>0</v>
      </c>
      <c r="AH23" s="142"/>
      <c r="AI23" s="146"/>
      <c r="AJ23" s="143"/>
      <c r="AK23" s="142"/>
      <c r="AL23" s="143"/>
      <c r="AM23" s="146"/>
      <c r="AP23" s="138" t="s">
        <v>81</v>
      </c>
      <c r="AQ23" s="138">
        <v>50</v>
      </c>
      <c r="AR23" s="141">
        <v>4</v>
      </c>
      <c r="AS23" s="138"/>
      <c r="AT23" s="141"/>
      <c r="AU23" s="28"/>
      <c r="AV23" s="28"/>
      <c r="AW23" s="28"/>
      <c r="AX23" s="28"/>
      <c r="AY23" s="141"/>
      <c r="BA23" t="s">
        <v>6</v>
      </c>
      <c r="BB23" s="196" t="s">
        <v>84</v>
      </c>
      <c r="BC23" s="138">
        <f>SUM(BC20:BC22)</f>
        <v>1231</v>
      </c>
      <c r="BD23" s="141">
        <f>SUM(BD20:BD22)</f>
        <v>1026</v>
      </c>
      <c r="BE23">
        <v>0</v>
      </c>
      <c r="BF23">
        <v>0</v>
      </c>
      <c r="BG23">
        <v>0</v>
      </c>
      <c r="BH23" s="138">
        <v>0</v>
      </c>
      <c r="BI23" s="141">
        <v>0</v>
      </c>
      <c r="BJ23" s="142"/>
      <c r="BK23" s="143"/>
      <c r="BL23" s="146">
        <f>SUM(BJ22)</f>
        <v>95</v>
      </c>
    </row>
    <row r="24" spans="1:65" x14ac:dyDescent="0.3">
      <c r="A24" s="138" t="s">
        <v>109</v>
      </c>
      <c r="B24" s="138">
        <v>2035</v>
      </c>
      <c r="C24" s="28">
        <f>1836+451</f>
        <v>2287</v>
      </c>
      <c r="D24" s="138"/>
      <c r="E24" s="28">
        <v>0</v>
      </c>
      <c r="F24" s="28"/>
      <c r="G24" s="196"/>
      <c r="H24" s="28">
        <v>9</v>
      </c>
      <c r="I24" s="28" t="s">
        <v>114</v>
      </c>
      <c r="J24" s="141"/>
      <c r="L24" s="134" t="s">
        <v>93</v>
      </c>
      <c r="M24" s="134">
        <v>1</v>
      </c>
      <c r="N24" s="195">
        <v>0</v>
      </c>
      <c r="O24" s="134"/>
      <c r="P24" s="195"/>
      <c r="Q24" s="136"/>
      <c r="R24" s="134">
        <v>0</v>
      </c>
      <c r="S24" s="195">
        <v>0</v>
      </c>
      <c r="T24" s="134" t="s">
        <v>116</v>
      </c>
      <c r="U24" s="136"/>
      <c r="AB24" s="138"/>
      <c r="AC24" s="138"/>
      <c r="AD24" s="141"/>
      <c r="AE24" s="28"/>
      <c r="AF24" s="28"/>
      <c r="AG24" s="28"/>
      <c r="AH24" s="138"/>
      <c r="AI24" s="141"/>
      <c r="AJ24" s="28"/>
      <c r="AK24" s="138"/>
      <c r="AL24" s="28" t="s">
        <v>117</v>
      </c>
      <c r="AM24" s="141"/>
      <c r="AP24" s="138" t="s">
        <v>138</v>
      </c>
      <c r="AQ24" s="138">
        <v>4</v>
      </c>
      <c r="AR24" s="141">
        <v>5</v>
      </c>
      <c r="AS24" s="138"/>
      <c r="AT24" s="141"/>
      <c r="AU24" s="28"/>
      <c r="AV24" s="28"/>
      <c r="AW24" s="28"/>
      <c r="AX24" s="28"/>
      <c r="AY24" s="141"/>
      <c r="BB24" s="134"/>
      <c r="BC24" s="134"/>
      <c r="BD24" s="136"/>
      <c r="BE24" s="135"/>
      <c r="BF24" s="135"/>
      <c r="BG24" s="135"/>
      <c r="BH24" s="134"/>
      <c r="BI24" s="136"/>
      <c r="BJ24" s="135"/>
      <c r="BK24" s="135"/>
      <c r="BL24" s="136"/>
    </row>
    <row r="25" spans="1:65" x14ac:dyDescent="0.3">
      <c r="A25" s="142" t="s">
        <v>84</v>
      </c>
      <c r="B25" s="142">
        <f>SUM(B23:B24)</f>
        <v>2035</v>
      </c>
      <c r="C25" s="143">
        <f>SUM(C23:C24)</f>
        <v>2287</v>
      </c>
      <c r="D25" s="142"/>
      <c r="E25" s="143">
        <f>SUM(E23:E24)</f>
        <v>582</v>
      </c>
      <c r="F25" s="143"/>
      <c r="G25" s="199">
        <v>3310</v>
      </c>
      <c r="H25" s="143"/>
      <c r="I25" s="143"/>
      <c r="J25" s="146">
        <f>SUM(H24)</f>
        <v>9</v>
      </c>
      <c r="L25" s="138" t="s">
        <v>99</v>
      </c>
      <c r="M25" s="138">
        <v>13646</v>
      </c>
      <c r="N25" s="196">
        <v>15078</v>
      </c>
      <c r="O25" s="138"/>
      <c r="P25" s="196"/>
      <c r="Q25" s="141"/>
      <c r="R25" s="138">
        <v>5207</v>
      </c>
      <c r="S25" s="196">
        <v>255</v>
      </c>
      <c r="T25" s="138"/>
      <c r="U25" s="141"/>
      <c r="AB25" s="138"/>
      <c r="AC25" s="138"/>
      <c r="AD25" s="141"/>
      <c r="AE25" s="28"/>
      <c r="AF25" s="28"/>
      <c r="AG25" s="28"/>
      <c r="AH25" s="138"/>
      <c r="AI25" s="141"/>
      <c r="AJ25" s="28"/>
      <c r="AK25" s="138"/>
      <c r="AL25" s="28" t="s">
        <v>558</v>
      </c>
      <c r="AM25" s="141"/>
      <c r="AP25" s="138" t="s">
        <v>56</v>
      </c>
      <c r="AQ25" s="138">
        <v>0</v>
      </c>
      <c r="AR25" s="141">
        <v>4</v>
      </c>
      <c r="AS25" s="138"/>
      <c r="AT25" s="141"/>
      <c r="AU25" s="28"/>
      <c r="AV25" s="28"/>
      <c r="AW25" s="28"/>
      <c r="AX25" s="28"/>
      <c r="AY25" s="141"/>
      <c r="BB25" s="138" t="s">
        <v>113</v>
      </c>
      <c r="BC25" s="138">
        <v>167</v>
      </c>
      <c r="BD25" s="141">
        <v>161</v>
      </c>
      <c r="BE25" s="28"/>
      <c r="BF25" s="28"/>
      <c r="BG25" s="28"/>
      <c r="BH25" s="138"/>
      <c r="BI25" s="141"/>
      <c r="BJ25" s="28"/>
      <c r="BK25" s="28" t="s">
        <v>130</v>
      </c>
      <c r="BL25" s="141"/>
    </row>
    <row r="26" spans="1:65" x14ac:dyDescent="0.3">
      <c r="A26" s="134" t="s">
        <v>93</v>
      </c>
      <c r="B26" s="134">
        <v>6346</v>
      </c>
      <c r="C26" s="135">
        <v>6945</v>
      </c>
      <c r="D26" s="134"/>
      <c r="E26" s="135"/>
      <c r="F26" s="135"/>
      <c r="G26" s="195">
        <v>7500</v>
      </c>
      <c r="H26" s="135" t="s">
        <v>118</v>
      </c>
      <c r="I26" s="135"/>
      <c r="J26" s="136"/>
      <c r="L26" s="138" t="s">
        <v>120</v>
      </c>
      <c r="M26" s="138">
        <v>15</v>
      </c>
      <c r="N26" s="196">
        <v>26388</v>
      </c>
      <c r="O26" s="138"/>
      <c r="P26" s="196"/>
      <c r="Q26" s="141"/>
      <c r="R26" s="138">
        <v>0</v>
      </c>
      <c r="S26" s="196">
        <v>0</v>
      </c>
      <c r="T26" s="138"/>
      <c r="U26" s="141"/>
      <c r="AB26" s="138"/>
      <c r="AC26" s="138"/>
      <c r="AD26" s="141"/>
      <c r="AE26" s="28"/>
      <c r="AF26" s="28"/>
      <c r="AG26" s="28"/>
      <c r="AH26" s="138"/>
      <c r="AI26" s="141"/>
      <c r="AJ26" s="28"/>
      <c r="AK26" s="138">
        <v>3</v>
      </c>
      <c r="AL26" s="28" t="s">
        <v>401</v>
      </c>
      <c r="AM26" s="141"/>
      <c r="AP26" s="138" t="s">
        <v>67</v>
      </c>
      <c r="AQ26" s="138">
        <v>79</v>
      </c>
      <c r="AR26" s="141">
        <v>54</v>
      </c>
      <c r="AS26" s="138"/>
      <c r="AT26" s="141"/>
      <c r="AU26" s="28"/>
      <c r="AV26" s="28"/>
      <c r="AW26" s="28"/>
      <c r="AX26" s="28"/>
      <c r="AY26" s="141"/>
      <c r="BB26" s="138" t="s">
        <v>475</v>
      </c>
      <c r="BC26" s="138">
        <v>0</v>
      </c>
      <c r="BD26" s="141">
        <v>0</v>
      </c>
      <c r="BE26" s="28"/>
      <c r="BF26" s="28"/>
      <c r="BG26" s="28"/>
      <c r="BH26" s="138"/>
      <c r="BI26" s="141"/>
      <c r="BJ26" s="28">
        <v>15</v>
      </c>
      <c r="BK26" s="28" t="s">
        <v>73</v>
      </c>
      <c r="BL26" s="141"/>
      <c r="BM26" t="s">
        <v>6</v>
      </c>
    </row>
    <row r="27" spans="1:65" x14ac:dyDescent="0.3">
      <c r="A27" s="138" t="s">
        <v>120</v>
      </c>
      <c r="B27" s="138">
        <v>4660</v>
      </c>
      <c r="C27" s="43">
        <v>5060</v>
      </c>
      <c r="D27" s="138"/>
      <c r="E27" s="28" t="s">
        <v>60</v>
      </c>
      <c r="F27" s="28"/>
      <c r="G27" s="196">
        <v>5510</v>
      </c>
      <c r="H27" s="28">
        <v>35</v>
      </c>
      <c r="I27" s="28" t="s">
        <v>101</v>
      </c>
      <c r="J27" s="141"/>
      <c r="L27" s="142" t="s">
        <v>84</v>
      </c>
      <c r="M27" s="142">
        <f>SUM(M24:M26)</f>
        <v>13662</v>
      </c>
      <c r="N27" s="199">
        <f>SUM(N24:N26)</f>
        <v>41466</v>
      </c>
      <c r="O27" s="142">
        <v>0</v>
      </c>
      <c r="P27" s="199">
        <v>0</v>
      </c>
      <c r="Q27" s="146">
        <v>0</v>
      </c>
      <c r="R27" s="142">
        <f>SUM(R24:R26)</f>
        <v>5207</v>
      </c>
      <c r="S27" s="199">
        <f>SUM(S24:S26)</f>
        <v>255</v>
      </c>
      <c r="T27" s="142"/>
      <c r="U27" s="146"/>
      <c r="AB27" s="138"/>
      <c r="AC27" s="138"/>
      <c r="AD27" s="141"/>
      <c r="AE27" s="28"/>
      <c r="AF27" s="28"/>
      <c r="AG27" s="28"/>
      <c r="AH27" s="138"/>
      <c r="AI27" s="141"/>
      <c r="AJ27" s="28"/>
      <c r="AK27" s="138">
        <v>1</v>
      </c>
      <c r="AL27" s="28" t="s">
        <v>124</v>
      </c>
      <c r="AM27" s="141"/>
      <c r="AP27" s="142" t="s">
        <v>84</v>
      </c>
      <c r="AQ27" s="142">
        <f>SUM(AQ15:AQ26)</f>
        <v>403</v>
      </c>
      <c r="AR27" s="146">
        <f>SUM(AR15:AR26)</f>
        <v>367</v>
      </c>
      <c r="AS27" s="142"/>
      <c r="AT27" s="146">
        <v>0</v>
      </c>
      <c r="AU27" s="143"/>
      <c r="AV27" s="143"/>
      <c r="AW27" s="143"/>
      <c r="AX27" s="143"/>
      <c r="AY27" s="146">
        <f>SUM(AV19:AV21)</f>
        <v>118</v>
      </c>
      <c r="BB27" s="142" t="s">
        <v>84</v>
      </c>
      <c r="BC27" s="142">
        <f>SUM(BC25:BC26)</f>
        <v>167</v>
      </c>
      <c r="BD27" s="146">
        <f>SUM(BD25:BD26)</f>
        <v>161</v>
      </c>
      <c r="BE27" s="143">
        <v>0</v>
      </c>
      <c r="BF27" s="143">
        <v>0</v>
      </c>
      <c r="BG27" s="143">
        <v>0</v>
      </c>
      <c r="BH27" s="142">
        <v>0</v>
      </c>
      <c r="BI27" s="146">
        <v>0</v>
      </c>
      <c r="BJ27" s="143"/>
      <c r="BK27" s="143"/>
      <c r="BL27" s="146">
        <f>SUM(BJ26)</f>
        <v>15</v>
      </c>
    </row>
    <row r="28" spans="1:65" x14ac:dyDescent="0.3">
      <c r="A28" s="142" t="s">
        <v>84</v>
      </c>
      <c r="B28" s="142">
        <f>SUM(B26:B27)</f>
        <v>11006</v>
      </c>
      <c r="C28" s="143">
        <f>SUM(C26:C27)</f>
        <v>12005</v>
      </c>
      <c r="D28" s="142"/>
      <c r="E28" s="143"/>
      <c r="F28" s="143"/>
      <c r="G28" s="199">
        <f>SUM(G26:G27)</f>
        <v>13010</v>
      </c>
      <c r="H28" s="143">
        <v>54</v>
      </c>
      <c r="I28" s="143" t="s">
        <v>127</v>
      </c>
      <c r="J28" s="146">
        <f>SUM(H27:H28)</f>
        <v>89</v>
      </c>
      <c r="L28" s="134"/>
      <c r="M28" s="134"/>
      <c r="N28" s="195"/>
      <c r="O28" s="134"/>
      <c r="P28" s="195"/>
      <c r="Q28" s="136"/>
      <c r="R28" s="134"/>
      <c r="S28" s="195"/>
      <c r="T28" s="134"/>
      <c r="U28" s="136"/>
      <c r="AB28" s="134"/>
      <c r="AC28" s="134"/>
      <c r="AD28" s="136"/>
      <c r="AE28" s="135"/>
      <c r="AF28" s="135"/>
      <c r="AG28" s="135"/>
      <c r="AH28" s="134"/>
      <c r="AI28" s="136"/>
      <c r="AJ28" s="135"/>
      <c r="AK28" s="134"/>
      <c r="AL28" s="135"/>
      <c r="AM28" s="136"/>
      <c r="AP28" s="134"/>
      <c r="AQ28" s="134"/>
      <c r="AR28" s="136"/>
      <c r="AS28" s="134"/>
      <c r="AT28" s="136"/>
      <c r="AU28" s="135"/>
      <c r="AV28" s="135"/>
      <c r="AW28" s="135"/>
      <c r="AX28" s="135"/>
      <c r="AY28" s="136"/>
      <c r="BB28" s="196" t="s">
        <v>164</v>
      </c>
      <c r="BC28" s="138">
        <v>2</v>
      </c>
      <c r="BD28" s="141">
        <v>0</v>
      </c>
      <c r="BE28" s="134"/>
      <c r="BF28" s="135"/>
      <c r="BG28" s="136"/>
      <c r="BH28" s="138"/>
      <c r="BI28" s="141"/>
      <c r="BJ28" s="134" t="s">
        <v>140</v>
      </c>
      <c r="BK28" s="135"/>
      <c r="BL28" s="136"/>
    </row>
    <row r="29" spans="1:65" x14ac:dyDescent="0.3">
      <c r="A29" s="134" t="s">
        <v>88</v>
      </c>
      <c r="B29" s="134">
        <v>381</v>
      </c>
      <c r="C29" s="135">
        <v>959</v>
      </c>
      <c r="D29" s="134"/>
      <c r="E29" s="135">
        <v>0</v>
      </c>
      <c r="F29" s="135"/>
      <c r="G29" s="195">
        <v>1663</v>
      </c>
      <c r="H29" s="135" t="s">
        <v>131</v>
      </c>
      <c r="I29" s="135"/>
      <c r="J29" s="136"/>
      <c r="L29" s="138" t="s">
        <v>105</v>
      </c>
      <c r="M29" s="138">
        <v>3613</v>
      </c>
      <c r="N29" s="196">
        <v>338</v>
      </c>
      <c r="O29" s="138" t="s">
        <v>6</v>
      </c>
      <c r="P29" s="196"/>
      <c r="Q29" s="141"/>
      <c r="R29" s="138">
        <v>27</v>
      </c>
      <c r="S29" s="196">
        <v>0</v>
      </c>
      <c r="T29" s="138"/>
      <c r="U29" s="141"/>
      <c r="AB29" s="138" t="s">
        <v>97</v>
      </c>
      <c r="AC29" s="138">
        <v>127</v>
      </c>
      <c r="AD29" s="141">
        <v>91</v>
      </c>
      <c r="AE29" s="28"/>
      <c r="AF29" s="28"/>
      <c r="AG29" s="28"/>
      <c r="AH29" s="138"/>
      <c r="AI29" s="141"/>
      <c r="AJ29" s="28"/>
      <c r="AK29" s="138"/>
      <c r="AL29" s="28"/>
      <c r="AM29" s="141"/>
      <c r="AP29" s="138" t="s">
        <v>63</v>
      </c>
      <c r="AQ29" s="138">
        <v>2</v>
      </c>
      <c r="AR29" s="141">
        <v>2</v>
      </c>
      <c r="AS29" s="138"/>
      <c r="AT29" s="141"/>
      <c r="AU29" s="28"/>
      <c r="AV29" s="28"/>
      <c r="AW29" s="28"/>
      <c r="AX29" s="28"/>
      <c r="AY29" s="141"/>
      <c r="BB29" s="196" t="s">
        <v>158</v>
      </c>
      <c r="BC29" s="138">
        <f>4+7</f>
        <v>11</v>
      </c>
      <c r="BD29" s="141">
        <v>0</v>
      </c>
      <c r="BE29" s="138"/>
      <c r="BF29" s="28"/>
      <c r="BG29" s="141"/>
      <c r="BH29" s="138"/>
      <c r="BI29" s="141"/>
      <c r="BJ29" s="138"/>
      <c r="BK29" s="28"/>
      <c r="BL29" s="141"/>
    </row>
    <row r="30" spans="1:65" x14ac:dyDescent="0.3">
      <c r="A30" s="138" t="s">
        <v>102</v>
      </c>
      <c r="B30" s="138">
        <v>244</v>
      </c>
      <c r="C30" s="43">
        <v>459</v>
      </c>
      <c r="D30" s="138"/>
      <c r="E30" s="28">
        <v>0</v>
      </c>
      <c r="F30" s="28"/>
      <c r="G30" s="196">
        <v>1513</v>
      </c>
      <c r="H30" s="28">
        <v>14</v>
      </c>
      <c r="I30" s="28" t="s">
        <v>134</v>
      </c>
      <c r="J30" s="141"/>
      <c r="L30" s="138" t="s">
        <v>99</v>
      </c>
      <c r="M30" s="138">
        <v>7</v>
      </c>
      <c r="N30" s="196">
        <v>0</v>
      </c>
      <c r="O30" s="138"/>
      <c r="P30" s="196"/>
      <c r="Q30" s="141"/>
      <c r="R30" s="138">
        <v>0</v>
      </c>
      <c r="S30" s="196">
        <v>0</v>
      </c>
      <c r="T30" s="138" t="s">
        <v>135</v>
      </c>
      <c r="U30" s="141"/>
      <c r="AB30" s="138" t="s">
        <v>89</v>
      </c>
      <c r="AC30" s="138">
        <v>566</v>
      </c>
      <c r="AD30" s="141">
        <v>336</v>
      </c>
      <c r="AE30" s="28"/>
      <c r="AF30" s="28"/>
      <c r="AG30" s="28"/>
      <c r="AH30" s="138"/>
      <c r="AI30" s="141"/>
      <c r="AJ30" s="28"/>
      <c r="AK30" s="138" t="s">
        <v>953</v>
      </c>
      <c r="AL30" s="28"/>
      <c r="AM30" s="141"/>
      <c r="AP30" s="138" t="s">
        <v>536</v>
      </c>
      <c r="AQ30" s="138">
        <v>0</v>
      </c>
      <c r="AR30" s="141">
        <v>0</v>
      </c>
      <c r="AS30" s="138"/>
      <c r="AT30" s="141"/>
      <c r="AU30" s="28"/>
      <c r="AV30" s="28"/>
      <c r="AW30" s="28"/>
      <c r="AX30" s="28"/>
      <c r="AY30" s="141"/>
      <c r="BB30" s="196" t="s">
        <v>133</v>
      </c>
      <c r="BC30" s="138">
        <f>18+2</f>
        <v>20</v>
      </c>
      <c r="BD30" s="141">
        <v>18</v>
      </c>
      <c r="BE30" s="138"/>
      <c r="BF30" s="28"/>
      <c r="BG30" s="141"/>
      <c r="BH30" s="138"/>
      <c r="BI30" s="141"/>
      <c r="BJ30" s="138"/>
      <c r="BK30" s="28"/>
      <c r="BL30" s="141"/>
    </row>
    <row r="31" spans="1:65" x14ac:dyDescent="0.3">
      <c r="A31" s="142" t="s">
        <v>84</v>
      </c>
      <c r="B31" s="142">
        <f>SUM(B29:B30)</f>
        <v>625</v>
      </c>
      <c r="C31" s="143">
        <f>SUM(C29:C30)</f>
        <v>1418</v>
      </c>
      <c r="D31" s="142"/>
      <c r="E31" s="143">
        <v>0</v>
      </c>
      <c r="F31" s="143"/>
      <c r="G31" s="199">
        <f>SUM(G29:G30)</f>
        <v>3176</v>
      </c>
      <c r="H31" s="143">
        <v>3</v>
      </c>
      <c r="I31" s="143" t="s">
        <v>815</v>
      </c>
      <c r="J31" s="146">
        <f>SUM(H30:H31)</f>
        <v>17</v>
      </c>
      <c r="L31" s="138"/>
      <c r="M31" s="138"/>
      <c r="N31" s="196"/>
      <c r="O31" s="138"/>
      <c r="P31" s="196"/>
      <c r="Q31" s="141"/>
      <c r="R31" s="138"/>
      <c r="S31" s="196"/>
      <c r="T31" s="138"/>
      <c r="U31" s="141"/>
      <c r="AB31" s="138" t="s">
        <v>137</v>
      </c>
      <c r="AC31" s="138">
        <v>228</v>
      </c>
      <c r="AD31" s="141">
        <v>236</v>
      </c>
      <c r="AE31" s="28"/>
      <c r="AF31" s="28"/>
      <c r="AG31" s="28"/>
      <c r="AH31" s="138"/>
      <c r="AI31" s="141"/>
      <c r="AJ31" s="28"/>
      <c r="AK31" s="138">
        <v>5</v>
      </c>
      <c r="AL31" s="28" t="s">
        <v>884</v>
      </c>
      <c r="AM31" s="141"/>
      <c r="AP31" s="138" t="s">
        <v>56</v>
      </c>
      <c r="AQ31" s="138">
        <v>5</v>
      </c>
      <c r="AR31" s="141">
        <v>5</v>
      </c>
      <c r="AS31" s="138"/>
      <c r="AT31" s="141"/>
      <c r="AU31" s="28"/>
      <c r="AV31" s="28" t="s">
        <v>173</v>
      </c>
      <c r="AW31" s="28"/>
      <c r="AX31" s="28"/>
      <c r="AY31" s="141"/>
      <c r="BB31" s="196" t="s">
        <v>113</v>
      </c>
      <c r="BC31" s="138">
        <f>5+8+8+13+1+33</f>
        <v>68</v>
      </c>
      <c r="BD31" s="141">
        <f>2+5+2+1+4+43</f>
        <v>57</v>
      </c>
      <c r="BE31" s="138"/>
      <c r="BF31" s="28"/>
      <c r="BG31" s="141"/>
      <c r="BH31" s="138"/>
      <c r="BI31" s="141"/>
      <c r="BJ31" s="138" t="s">
        <v>142</v>
      </c>
      <c r="BK31" s="28"/>
      <c r="BL31" s="141" t="s">
        <v>954</v>
      </c>
    </row>
    <row r="32" spans="1:65" x14ac:dyDescent="0.3">
      <c r="A32" s="134" t="s">
        <v>93</v>
      </c>
      <c r="B32" s="134">
        <v>5447</v>
      </c>
      <c r="C32" s="135">
        <v>6222</v>
      </c>
      <c r="D32" s="134"/>
      <c r="E32" s="135" t="s">
        <v>60</v>
      </c>
      <c r="F32" s="135"/>
      <c r="G32" s="195">
        <v>6855</v>
      </c>
      <c r="H32" s="135" t="s">
        <v>116</v>
      </c>
      <c r="I32" s="135"/>
      <c r="J32" s="136"/>
      <c r="L32" s="142" t="s">
        <v>84</v>
      </c>
      <c r="M32" s="142">
        <f>SUM(M29:M31)</f>
        <v>3620</v>
      </c>
      <c r="N32" s="199">
        <f>SUM(N29:N31)</f>
        <v>338</v>
      </c>
      <c r="O32" s="142">
        <v>0</v>
      </c>
      <c r="P32" s="199">
        <v>0</v>
      </c>
      <c r="Q32" s="146">
        <v>0</v>
      </c>
      <c r="R32" s="142">
        <f>SUM(R29:R31)</f>
        <v>27</v>
      </c>
      <c r="S32" s="199">
        <v>0</v>
      </c>
      <c r="T32" s="142"/>
      <c r="U32" s="146"/>
      <c r="AB32" s="138" t="s">
        <v>84</v>
      </c>
      <c r="AC32" s="138">
        <f>SUM(AC29:AC31)</f>
        <v>921</v>
      </c>
      <c r="AD32" s="141">
        <f>SUM(AD29:AD31)</f>
        <v>663</v>
      </c>
      <c r="AE32" s="28">
        <v>0</v>
      </c>
      <c r="AF32" s="28">
        <v>0</v>
      </c>
      <c r="AG32" s="28">
        <v>0</v>
      </c>
      <c r="AH32" s="138">
        <v>0</v>
      </c>
      <c r="AI32" s="141">
        <v>0</v>
      </c>
      <c r="AJ32" s="28">
        <v>0</v>
      </c>
      <c r="AK32" s="138">
        <v>15</v>
      </c>
      <c r="AL32" s="28" t="s">
        <v>141</v>
      </c>
      <c r="AM32" s="141"/>
      <c r="AP32" s="138" t="s">
        <v>67</v>
      </c>
      <c r="AQ32" s="138">
        <v>2</v>
      </c>
      <c r="AR32" s="141">
        <v>2</v>
      </c>
      <c r="AS32" s="138"/>
      <c r="AT32" s="141"/>
      <c r="AU32" s="28"/>
      <c r="AV32" s="28"/>
      <c r="AW32" s="28"/>
      <c r="AX32" s="28"/>
      <c r="AY32" s="141"/>
      <c r="BB32" s="196" t="s">
        <v>214</v>
      </c>
      <c r="BC32" s="138">
        <f>4+3</f>
        <v>7</v>
      </c>
      <c r="BD32" s="141">
        <v>4</v>
      </c>
      <c r="BE32" s="138"/>
      <c r="BF32" s="28"/>
      <c r="BG32" s="141"/>
      <c r="BH32" s="138"/>
      <c r="BI32" s="141"/>
      <c r="BJ32" s="138" t="s">
        <v>146</v>
      </c>
      <c r="BK32" s="28"/>
      <c r="BL32" s="141" t="s">
        <v>955</v>
      </c>
    </row>
    <row r="33" spans="1:64" x14ac:dyDescent="0.3">
      <c r="A33" s="138" t="s">
        <v>99</v>
      </c>
      <c r="B33" s="138">
        <v>11679</v>
      </c>
      <c r="C33" s="43">
        <v>11764</v>
      </c>
      <c r="D33" s="138"/>
      <c r="E33" s="28" t="s">
        <v>60</v>
      </c>
      <c r="F33" s="28"/>
      <c r="G33" s="196">
        <v>14000</v>
      </c>
      <c r="H33" s="28">
        <v>77</v>
      </c>
      <c r="I33" s="28" t="s">
        <v>144</v>
      </c>
      <c r="J33" s="141"/>
      <c r="L33" s="138"/>
      <c r="M33" s="138"/>
      <c r="N33" s="196"/>
      <c r="O33" s="138"/>
      <c r="P33" s="196"/>
      <c r="Q33" s="141"/>
      <c r="R33" s="138"/>
      <c r="S33" s="196"/>
      <c r="T33" s="138"/>
      <c r="U33" s="141"/>
      <c r="AB33" s="142"/>
      <c r="AC33" s="142"/>
      <c r="AD33" s="146"/>
      <c r="AE33" s="143"/>
      <c r="AF33" s="143"/>
      <c r="AG33" s="143"/>
      <c r="AH33" s="142"/>
      <c r="AI33" s="146"/>
      <c r="AJ33" s="143"/>
      <c r="AK33" s="142">
        <v>3</v>
      </c>
      <c r="AL33" s="143" t="s">
        <v>145</v>
      </c>
      <c r="AM33" s="146"/>
      <c r="AP33" s="138" t="s">
        <v>78</v>
      </c>
      <c r="AQ33" s="138">
        <v>5</v>
      </c>
      <c r="AR33" s="141">
        <v>5</v>
      </c>
      <c r="AS33" s="138"/>
      <c r="AT33" s="141"/>
      <c r="AU33" s="28"/>
      <c r="AV33" s="28">
        <v>10</v>
      </c>
      <c r="AW33" s="28" t="s">
        <v>183</v>
      </c>
      <c r="AX33" s="28"/>
      <c r="AY33" s="141"/>
      <c r="BA33" t="s">
        <v>6</v>
      </c>
      <c r="BB33" s="196" t="s">
        <v>200</v>
      </c>
      <c r="BC33" s="138">
        <f>2+2</f>
        <v>4</v>
      </c>
      <c r="BD33" s="141">
        <v>5</v>
      </c>
      <c r="BE33" s="138"/>
      <c r="BF33" s="28"/>
      <c r="BG33" s="141"/>
      <c r="BH33" s="138"/>
      <c r="BI33" s="141"/>
      <c r="BJ33" s="138"/>
      <c r="BK33" s="28"/>
      <c r="BL33" s="141"/>
    </row>
    <row r="34" spans="1:64" x14ac:dyDescent="0.3">
      <c r="A34" s="138" t="s">
        <v>120</v>
      </c>
      <c r="B34" s="138">
        <v>3642</v>
      </c>
      <c r="C34" s="43">
        <v>3952</v>
      </c>
      <c r="D34" s="138"/>
      <c r="E34" s="28" t="s">
        <v>60</v>
      </c>
      <c r="F34" s="28"/>
      <c r="G34" s="196">
        <v>4356</v>
      </c>
      <c r="H34" s="28">
        <v>6</v>
      </c>
      <c r="I34" s="28" t="s">
        <v>148</v>
      </c>
      <c r="J34" s="141"/>
      <c r="L34" s="138"/>
      <c r="M34" s="138"/>
      <c r="N34" s="196"/>
      <c r="O34" s="138"/>
      <c r="P34" s="196"/>
      <c r="Q34" s="141"/>
      <c r="R34" s="138"/>
      <c r="S34" s="196"/>
      <c r="T34" s="138"/>
      <c r="U34" s="141"/>
      <c r="AB34" s="138"/>
      <c r="AC34" s="138"/>
      <c r="AD34" s="141"/>
      <c r="AE34" s="28"/>
      <c r="AF34" s="28"/>
      <c r="AG34" s="28"/>
      <c r="AH34" s="138"/>
      <c r="AI34" s="141"/>
      <c r="AJ34" s="28"/>
      <c r="AK34" s="138" t="s">
        <v>149</v>
      </c>
      <c r="AL34" s="28"/>
      <c r="AM34" s="141"/>
      <c r="AN34" t="s">
        <v>6</v>
      </c>
      <c r="AP34" s="138" t="s">
        <v>115</v>
      </c>
      <c r="AQ34" s="138">
        <v>0</v>
      </c>
      <c r="AR34" s="141">
        <v>0</v>
      </c>
      <c r="AS34" s="138"/>
      <c r="AT34" s="141"/>
      <c r="AU34" s="28"/>
      <c r="AV34" s="28" t="s">
        <v>6</v>
      </c>
      <c r="AW34" s="28"/>
      <c r="AX34" s="28"/>
      <c r="AY34" s="141"/>
      <c r="BB34" s="196" t="s">
        <v>956</v>
      </c>
      <c r="BC34" s="138">
        <v>0</v>
      </c>
      <c r="BD34" s="141">
        <v>1</v>
      </c>
      <c r="BE34" s="138" t="s">
        <v>150</v>
      </c>
      <c r="BF34" s="28"/>
      <c r="BG34" s="141"/>
      <c r="BH34" s="138"/>
      <c r="BI34" s="141"/>
      <c r="BJ34" s="138" t="s">
        <v>151</v>
      </c>
      <c r="BK34" s="28"/>
      <c r="BL34" s="141"/>
    </row>
    <row r="35" spans="1:64" x14ac:dyDescent="0.3">
      <c r="A35" s="138" t="s">
        <v>84</v>
      </c>
      <c r="B35" s="138">
        <f>SUM(B32:B34)</f>
        <v>20768</v>
      </c>
      <c r="C35" s="28">
        <f>SUM(C32:C34)</f>
        <v>21938</v>
      </c>
      <c r="D35" s="138"/>
      <c r="E35" s="28" t="s">
        <v>60</v>
      </c>
      <c r="F35" s="28"/>
      <c r="G35" s="196">
        <f>SUM(G32:G34)</f>
        <v>25211</v>
      </c>
      <c r="H35" s="28">
        <v>38</v>
      </c>
      <c r="I35" s="28" t="s">
        <v>152</v>
      </c>
      <c r="J35" s="141"/>
      <c r="L35" s="138"/>
      <c r="M35" s="138"/>
      <c r="N35" s="196"/>
      <c r="O35" s="138"/>
      <c r="P35" s="196"/>
      <c r="Q35" s="141"/>
      <c r="R35" s="138"/>
      <c r="S35" s="196"/>
      <c r="T35" s="138"/>
      <c r="U35" s="141"/>
      <c r="Y35" t="s">
        <v>6</v>
      </c>
      <c r="AB35" s="138" t="s">
        <v>99</v>
      </c>
      <c r="AC35" s="138">
        <v>0</v>
      </c>
      <c r="AD35" s="141">
        <v>0</v>
      </c>
      <c r="AE35" s="28">
        <v>0</v>
      </c>
      <c r="AF35" s="28">
        <v>0</v>
      </c>
      <c r="AG35" s="28">
        <v>0</v>
      </c>
      <c r="AH35" s="138">
        <v>45946</v>
      </c>
      <c r="AI35" s="141">
        <v>1711</v>
      </c>
      <c r="AJ35" s="28">
        <v>0</v>
      </c>
      <c r="AK35" s="138">
        <v>3</v>
      </c>
      <c r="AL35" s="28" t="s">
        <v>153</v>
      </c>
      <c r="AM35" s="141"/>
      <c r="AP35" s="138" t="s">
        <v>72</v>
      </c>
      <c r="AQ35" s="138">
        <v>0</v>
      </c>
      <c r="AR35" s="141">
        <v>0</v>
      </c>
      <c r="AS35" s="138"/>
      <c r="AT35" s="141"/>
      <c r="AU35" s="28"/>
      <c r="AV35" s="28"/>
      <c r="AW35" s="28"/>
      <c r="AX35" s="28"/>
      <c r="AY35" s="141"/>
      <c r="BB35" s="196" t="s">
        <v>85</v>
      </c>
      <c r="BC35" s="138">
        <v>8</v>
      </c>
      <c r="BD35" s="141">
        <v>0</v>
      </c>
      <c r="BE35" s="138"/>
      <c r="BF35" s="28"/>
      <c r="BG35" s="141"/>
      <c r="BH35" s="138"/>
      <c r="BI35" s="141"/>
      <c r="BJ35" s="138" t="s">
        <v>513</v>
      </c>
      <c r="BK35" s="28" t="s">
        <v>307</v>
      </c>
      <c r="BL35" s="141" t="s">
        <v>957</v>
      </c>
    </row>
    <row r="36" spans="1:64" x14ac:dyDescent="0.3">
      <c r="A36" s="142"/>
      <c r="B36" s="142"/>
      <c r="C36" s="143"/>
      <c r="D36" s="142"/>
      <c r="E36" s="143"/>
      <c r="F36" s="143"/>
      <c r="G36" s="199"/>
      <c r="H36" s="143">
        <v>20</v>
      </c>
      <c r="I36" s="143" t="s">
        <v>958</v>
      </c>
      <c r="J36" s="146">
        <f>SUM(H33:H36)</f>
        <v>141</v>
      </c>
      <c r="L36" s="138"/>
      <c r="M36" s="138"/>
      <c r="N36" s="196"/>
      <c r="O36" s="138"/>
      <c r="P36" s="196"/>
      <c r="Q36" s="141"/>
      <c r="R36" s="138"/>
      <c r="S36" s="196"/>
      <c r="T36" s="138"/>
      <c r="U36" s="141"/>
      <c r="AB36" s="138"/>
      <c r="AC36" s="138"/>
      <c r="AD36" s="141"/>
      <c r="AE36" s="28"/>
      <c r="AF36" s="28"/>
      <c r="AG36" s="28"/>
      <c r="AH36" s="138"/>
      <c r="AI36" s="141"/>
      <c r="AJ36" s="28"/>
      <c r="AK36" s="138" t="s">
        <v>157</v>
      </c>
      <c r="AL36" s="28"/>
      <c r="AM36" s="141"/>
      <c r="AP36" s="142" t="s">
        <v>84</v>
      </c>
      <c r="AQ36" s="142">
        <f>SUM(AQ29:AQ35)</f>
        <v>14</v>
      </c>
      <c r="AR36" s="146">
        <f>SUM(AR29:AR35)</f>
        <v>14</v>
      </c>
      <c r="AS36" s="142"/>
      <c r="AT36" s="146"/>
      <c r="AU36" s="143"/>
      <c r="AV36" s="143"/>
      <c r="AW36" s="143"/>
      <c r="AX36" s="143"/>
      <c r="AY36" s="146">
        <f>SUM(AV33)</f>
        <v>10</v>
      </c>
      <c r="BB36" s="196" t="s">
        <v>358</v>
      </c>
      <c r="BC36" s="138">
        <v>0</v>
      </c>
      <c r="BD36" s="141">
        <v>9</v>
      </c>
      <c r="BE36" s="138"/>
      <c r="BF36" s="28"/>
      <c r="BG36" s="141"/>
      <c r="BH36" s="138"/>
      <c r="BI36" s="141"/>
      <c r="BJ36" s="138" t="s">
        <v>825</v>
      </c>
      <c r="BK36" s="28" t="s">
        <v>366</v>
      </c>
      <c r="BL36" s="141" t="s">
        <v>959</v>
      </c>
    </row>
    <row r="37" spans="1:64" x14ac:dyDescent="0.3">
      <c r="A37" s="134" t="s">
        <v>105</v>
      </c>
      <c r="B37" s="134">
        <v>1394</v>
      </c>
      <c r="C37" s="135">
        <v>2226</v>
      </c>
      <c r="D37" s="134"/>
      <c r="E37" s="135">
        <v>838</v>
      </c>
      <c r="F37" s="135"/>
      <c r="G37" s="195"/>
      <c r="H37" s="135" t="s">
        <v>162</v>
      </c>
      <c r="I37" s="135"/>
      <c r="J37" s="136"/>
      <c r="L37" s="138"/>
      <c r="M37" s="138"/>
      <c r="N37" s="196"/>
      <c r="O37" s="138"/>
      <c r="P37" s="196"/>
      <c r="Q37" s="141"/>
      <c r="R37" s="138"/>
      <c r="S37" s="196"/>
      <c r="T37" s="138"/>
      <c r="U37" s="141"/>
      <c r="AB37" s="134" t="s">
        <v>99</v>
      </c>
      <c r="AC37" s="134">
        <v>0</v>
      </c>
      <c r="AD37" s="136">
        <v>0</v>
      </c>
      <c r="AE37" s="135">
        <v>0</v>
      </c>
      <c r="AF37" s="135">
        <v>0</v>
      </c>
      <c r="AG37" s="135">
        <v>0</v>
      </c>
      <c r="AH37" s="134">
        <v>182594</v>
      </c>
      <c r="AI37" s="136">
        <v>122505</v>
      </c>
      <c r="AJ37" s="135">
        <v>0</v>
      </c>
      <c r="AK37" s="134">
        <v>1</v>
      </c>
      <c r="AL37" s="135" t="s">
        <v>163</v>
      </c>
      <c r="AM37" s="136"/>
      <c r="AP37" s="134"/>
      <c r="AQ37" s="134"/>
      <c r="AR37" s="136"/>
      <c r="AS37" s="134"/>
      <c r="AT37" s="136"/>
      <c r="AU37" s="135"/>
      <c r="AV37" s="135"/>
      <c r="AW37" s="135"/>
      <c r="AX37" s="135"/>
      <c r="AY37" s="136"/>
      <c r="BB37" s="196" t="s">
        <v>403</v>
      </c>
      <c r="BC37" s="138">
        <v>0</v>
      </c>
      <c r="BD37" s="141">
        <v>9</v>
      </c>
      <c r="BE37" s="138"/>
      <c r="BF37" s="28"/>
      <c r="BG37" s="141"/>
      <c r="BH37" s="138"/>
      <c r="BI37" s="141"/>
      <c r="BJ37" s="138" t="s">
        <v>609</v>
      </c>
      <c r="BK37" s="28" t="s">
        <v>960</v>
      </c>
      <c r="BL37" s="141" t="s">
        <v>415</v>
      </c>
    </row>
    <row r="38" spans="1:64" x14ac:dyDescent="0.3">
      <c r="A38" s="138" t="s">
        <v>99</v>
      </c>
      <c r="B38" s="138">
        <v>1342</v>
      </c>
      <c r="C38" s="28">
        <v>1623</v>
      </c>
      <c r="D38" s="138"/>
      <c r="E38" s="28">
        <v>845</v>
      </c>
      <c r="F38" s="28"/>
      <c r="G38" s="196"/>
      <c r="H38" s="28"/>
      <c r="I38" s="28"/>
      <c r="J38" s="141"/>
      <c r="L38" s="142" t="s">
        <v>84</v>
      </c>
      <c r="M38" s="142">
        <f t="shared" ref="M38:S38" si="0">SUM(M32+M27+M22+M20+M15+M11)</f>
        <v>33601</v>
      </c>
      <c r="N38" s="199">
        <f t="shared" si="0"/>
        <v>71748</v>
      </c>
      <c r="O38" s="142">
        <f t="shared" si="0"/>
        <v>0</v>
      </c>
      <c r="P38" s="199">
        <f t="shared" si="0"/>
        <v>0</v>
      </c>
      <c r="Q38" s="143">
        <f t="shared" si="0"/>
        <v>0</v>
      </c>
      <c r="R38" s="142">
        <f t="shared" si="0"/>
        <v>5234</v>
      </c>
      <c r="S38" s="199">
        <f t="shared" si="0"/>
        <v>255</v>
      </c>
      <c r="T38" s="142"/>
      <c r="U38" s="146"/>
      <c r="AB38" s="138" t="s">
        <v>6</v>
      </c>
      <c r="AC38" s="138"/>
      <c r="AD38" s="141"/>
      <c r="AE38" s="28"/>
      <c r="AF38" s="28"/>
      <c r="AG38" s="28"/>
      <c r="AH38" s="138"/>
      <c r="AI38" s="141"/>
      <c r="AJ38" s="28"/>
      <c r="AK38" s="138">
        <v>12</v>
      </c>
      <c r="AL38" s="28" t="s">
        <v>153</v>
      </c>
      <c r="AM38" s="141"/>
      <c r="AP38" s="138" t="s">
        <v>63</v>
      </c>
      <c r="AQ38" s="138">
        <f>2+2+7</f>
        <v>11</v>
      </c>
      <c r="AR38" s="141">
        <f>2+6+7</f>
        <v>15</v>
      </c>
      <c r="AS38" s="138"/>
      <c r="AT38" s="141"/>
      <c r="AU38" s="28"/>
      <c r="AV38" s="28" t="s">
        <v>140</v>
      </c>
      <c r="AW38" s="28"/>
      <c r="AX38" s="28"/>
      <c r="AY38" s="141"/>
      <c r="BB38" s="196" t="s">
        <v>169</v>
      </c>
      <c r="BC38" s="138">
        <f>1+4</f>
        <v>5</v>
      </c>
      <c r="BD38" s="141">
        <f>2+2+1</f>
        <v>5</v>
      </c>
      <c r="BE38" s="138"/>
      <c r="BF38" s="28"/>
      <c r="BG38" s="141"/>
      <c r="BH38" s="138"/>
      <c r="BI38" s="141"/>
      <c r="BJ38" s="138" t="s">
        <v>511</v>
      </c>
      <c r="BK38" s="43" t="s">
        <v>345</v>
      </c>
      <c r="BL38" s="141" t="s">
        <v>276</v>
      </c>
    </row>
    <row r="39" spans="1:64" ht="15" thickBot="1" x14ac:dyDescent="0.35">
      <c r="A39" s="138"/>
      <c r="B39" s="138"/>
      <c r="C39" s="28"/>
      <c r="D39" s="138"/>
      <c r="E39" s="28"/>
      <c r="F39" s="28"/>
      <c r="G39" s="196"/>
      <c r="H39" s="28">
        <v>44</v>
      </c>
      <c r="I39" s="28" t="s">
        <v>101</v>
      </c>
      <c r="J39" s="141"/>
      <c r="AB39" s="138" t="s">
        <v>6</v>
      </c>
      <c r="AC39" s="138"/>
      <c r="AD39" s="141"/>
      <c r="AE39" s="28"/>
      <c r="AF39" s="28"/>
      <c r="AG39" s="28"/>
      <c r="AH39" s="138"/>
      <c r="AI39" s="141"/>
      <c r="AJ39" s="28"/>
      <c r="AK39" s="138"/>
      <c r="AL39" s="28"/>
      <c r="AM39" s="141"/>
      <c r="AP39" s="138" t="s">
        <v>78</v>
      </c>
      <c r="AQ39" s="138">
        <f>13+13+8</f>
        <v>34</v>
      </c>
      <c r="AR39" s="141">
        <f>43+1+26+1</f>
        <v>71</v>
      </c>
      <c r="AS39" s="138"/>
      <c r="AT39" s="141"/>
      <c r="AU39" s="28"/>
      <c r="AV39" s="28">
        <v>19</v>
      </c>
      <c r="AW39" s="28" t="s">
        <v>204</v>
      </c>
      <c r="AX39" s="28"/>
      <c r="AY39" s="141"/>
      <c r="BB39" s="196" t="s">
        <v>99</v>
      </c>
      <c r="BC39" s="138">
        <v>0</v>
      </c>
      <c r="BD39" s="141">
        <v>1</v>
      </c>
      <c r="BE39" s="138"/>
      <c r="BF39" s="28"/>
      <c r="BG39" s="141"/>
      <c r="BH39" s="138"/>
      <c r="BI39" s="141"/>
      <c r="BJ39" s="138" t="s">
        <v>571</v>
      </c>
      <c r="BK39" s="43" t="s">
        <v>961</v>
      </c>
      <c r="BL39" s="141" t="s">
        <v>522</v>
      </c>
    </row>
    <row r="40" spans="1:64" x14ac:dyDescent="0.3">
      <c r="A40" s="138" t="s">
        <v>84</v>
      </c>
      <c r="B40" s="142">
        <f>SUM(B37:B39)</f>
        <v>2736</v>
      </c>
      <c r="C40" s="143">
        <f>SUM(C37:C39)</f>
        <v>3849</v>
      </c>
      <c r="D40" s="142"/>
      <c r="E40" s="143">
        <f>SUM(E37:E39)</f>
        <v>1683</v>
      </c>
      <c r="F40" s="143"/>
      <c r="G40" s="199">
        <v>6952</v>
      </c>
      <c r="H40" s="143"/>
      <c r="I40" s="143"/>
      <c r="J40" s="146">
        <f>SUM(H39)</f>
        <v>44</v>
      </c>
      <c r="L40" t="s">
        <v>6</v>
      </c>
      <c r="AB40" s="33"/>
      <c r="AC40" s="200"/>
      <c r="AD40" s="201"/>
      <c r="AE40" s="34"/>
      <c r="AF40" s="34"/>
      <c r="AG40" s="34"/>
      <c r="AH40" s="200"/>
      <c r="AI40" s="201"/>
      <c r="AJ40" s="34"/>
      <c r="AK40" s="200"/>
      <c r="AL40" s="34"/>
      <c r="AM40" s="35"/>
      <c r="AP40" s="138" t="s">
        <v>209</v>
      </c>
      <c r="AQ40" s="138">
        <v>0</v>
      </c>
      <c r="AR40" s="141">
        <v>0</v>
      </c>
      <c r="AS40" s="138"/>
      <c r="AT40" s="141"/>
      <c r="AU40" s="28"/>
      <c r="AV40" s="28">
        <v>4</v>
      </c>
      <c r="AW40" s="28" t="s">
        <v>210</v>
      </c>
      <c r="AX40" s="28" t="s">
        <v>6</v>
      </c>
      <c r="AY40" s="141"/>
      <c r="BB40" s="196" t="s">
        <v>97</v>
      </c>
      <c r="BC40" s="138">
        <v>5</v>
      </c>
      <c r="BD40" s="141">
        <v>4</v>
      </c>
      <c r="BE40" s="138"/>
      <c r="BF40" s="28"/>
      <c r="BG40" s="141"/>
      <c r="BH40" s="138"/>
      <c r="BI40" s="141"/>
      <c r="BJ40" s="138" t="s">
        <v>479</v>
      </c>
      <c r="BK40" s="43" t="s">
        <v>962</v>
      </c>
      <c r="BL40" s="141" t="s">
        <v>309</v>
      </c>
    </row>
    <row r="41" spans="1:64" x14ac:dyDescent="0.3">
      <c r="A41" s="195" t="s">
        <v>181</v>
      </c>
      <c r="B41" s="135">
        <v>3737</v>
      </c>
      <c r="C41" s="135">
        <v>4002</v>
      </c>
      <c r="D41" s="134"/>
      <c r="E41" s="135" t="s">
        <v>60</v>
      </c>
      <c r="F41" s="136"/>
      <c r="G41" s="135">
        <v>5270</v>
      </c>
      <c r="H41" s="134" t="s">
        <v>182</v>
      </c>
      <c r="I41" s="135"/>
      <c r="J41" s="136"/>
      <c r="AB41" s="42"/>
      <c r="AC41" s="138"/>
      <c r="AD41" s="141"/>
      <c r="AE41" s="28"/>
      <c r="AF41" s="28"/>
      <c r="AG41" s="28"/>
      <c r="AH41" s="138"/>
      <c r="AI41" s="141"/>
      <c r="AJ41" s="28"/>
      <c r="AK41" s="138"/>
      <c r="AL41" s="28"/>
      <c r="AM41" s="40"/>
      <c r="AP41" s="138" t="s">
        <v>168</v>
      </c>
      <c r="AQ41" s="138">
        <v>0</v>
      </c>
      <c r="AR41" s="141">
        <v>0</v>
      </c>
      <c r="AS41" s="138"/>
      <c r="AT41" s="141"/>
      <c r="AU41" s="28"/>
      <c r="AV41" s="28">
        <f>29+2+6</f>
        <v>37</v>
      </c>
      <c r="AW41" s="28" t="s">
        <v>213</v>
      </c>
      <c r="AX41" s="28" t="s">
        <v>6</v>
      </c>
      <c r="AY41" s="141"/>
      <c r="BB41" s="196" t="s">
        <v>658</v>
      </c>
      <c r="BC41" s="138">
        <v>5</v>
      </c>
      <c r="BD41" s="141">
        <v>1</v>
      </c>
      <c r="BE41" s="138"/>
      <c r="BF41" s="28"/>
      <c r="BG41" s="141"/>
      <c r="BH41" s="138"/>
      <c r="BI41" s="141"/>
      <c r="BJ41" s="138" t="s">
        <v>963</v>
      </c>
      <c r="BK41" s="28"/>
      <c r="BL41" s="141" t="s">
        <v>520</v>
      </c>
    </row>
    <row r="42" spans="1:64" ht="15" thickBot="1" x14ac:dyDescent="0.35">
      <c r="A42" s="196"/>
      <c r="B42" s="28"/>
      <c r="C42" s="28"/>
      <c r="D42" s="138"/>
      <c r="E42" s="28" t="s">
        <v>60</v>
      </c>
      <c r="F42" s="141"/>
      <c r="G42" s="28"/>
      <c r="H42" s="138">
        <v>1</v>
      </c>
      <c r="I42" s="28" t="s">
        <v>94</v>
      </c>
      <c r="J42" s="141"/>
      <c r="AB42" s="47" t="s">
        <v>84</v>
      </c>
      <c r="AC42" s="202">
        <f>SUM(AC37+AC35+AC32+AC19+AC15+AC12)</f>
        <v>2266</v>
      </c>
      <c r="AD42" s="203">
        <f>SUM(AD37+AD35+AD32+AD19+AD15+AD12)</f>
        <v>2007</v>
      </c>
      <c r="AE42" s="48">
        <v>0</v>
      </c>
      <c r="AF42" s="48">
        <v>0</v>
      </c>
      <c r="AG42" s="48">
        <v>0</v>
      </c>
      <c r="AH42" s="202">
        <f>SUM(AH38+AH37+AH35+AH12)</f>
        <v>228540</v>
      </c>
      <c r="AI42" s="203">
        <f>SUM(AI37+AI35+AI12)</f>
        <v>124216</v>
      </c>
      <c r="AJ42" s="48">
        <v>0</v>
      </c>
      <c r="AK42" s="202" t="s">
        <v>743</v>
      </c>
      <c r="AL42" s="48"/>
      <c r="AM42" s="49">
        <f>SUM(AK12:AK38)</f>
        <v>49</v>
      </c>
      <c r="AP42" s="138" t="s">
        <v>81</v>
      </c>
      <c r="AQ42" s="138">
        <v>4</v>
      </c>
      <c r="AR42" s="141">
        <v>4</v>
      </c>
      <c r="AS42" s="138"/>
      <c r="AT42" s="141"/>
      <c r="AU42" s="28"/>
      <c r="AV42" s="28">
        <v>1</v>
      </c>
      <c r="AW42" s="28" t="s">
        <v>898</v>
      </c>
      <c r="AX42" s="28"/>
      <c r="AY42" s="141" t="s">
        <v>6</v>
      </c>
      <c r="BB42" s="196" t="s">
        <v>211</v>
      </c>
      <c r="BC42" s="138">
        <f>6+2</f>
        <v>8</v>
      </c>
      <c r="BD42" s="141">
        <v>0</v>
      </c>
      <c r="BE42" s="138"/>
      <c r="BF42" s="28"/>
      <c r="BG42" s="141"/>
      <c r="BH42" s="138"/>
      <c r="BI42" s="141"/>
      <c r="BJ42" s="138" t="s">
        <v>964</v>
      </c>
      <c r="BK42" s="28"/>
      <c r="BL42" s="141" t="s">
        <v>910</v>
      </c>
    </row>
    <row r="43" spans="1:64" x14ac:dyDescent="0.3">
      <c r="A43" s="196" t="s">
        <v>84</v>
      </c>
      <c r="B43" s="28">
        <f>SUM(B41:B42)</f>
        <v>3737</v>
      </c>
      <c r="C43" s="28">
        <f>SUM(C41:C42)</f>
        <v>4002</v>
      </c>
      <c r="D43" s="138"/>
      <c r="E43" s="28" t="s">
        <v>60</v>
      </c>
      <c r="F43" s="141"/>
      <c r="G43" s="28">
        <f>SUM(G41:G42)</f>
        <v>5270</v>
      </c>
      <c r="H43" s="138">
        <v>30</v>
      </c>
      <c r="I43" s="28" t="s">
        <v>101</v>
      </c>
      <c r="J43" s="141"/>
      <c r="AB43" t="s">
        <v>193</v>
      </c>
      <c r="AM43" t="s">
        <v>6</v>
      </c>
      <c r="AP43" s="138" t="s">
        <v>72</v>
      </c>
      <c r="AQ43" s="138">
        <f>4+8+11+15</f>
        <v>38</v>
      </c>
      <c r="AR43" s="141">
        <f>7+16+2+16</f>
        <v>41</v>
      </c>
      <c r="AS43" s="138"/>
      <c r="AT43" s="141"/>
      <c r="AU43" s="28"/>
      <c r="AV43" s="43">
        <v>23</v>
      </c>
      <c r="AW43" s="28" t="s">
        <v>216</v>
      </c>
      <c r="AX43" s="28"/>
      <c r="AY43" s="141"/>
      <c r="BB43" s="196" t="s">
        <v>523</v>
      </c>
      <c r="BC43" s="138">
        <v>0</v>
      </c>
      <c r="BD43" s="141">
        <v>13</v>
      </c>
      <c r="BE43" s="138"/>
      <c r="BF43" s="28"/>
      <c r="BG43" s="141"/>
      <c r="BH43" s="138"/>
      <c r="BI43" s="141"/>
      <c r="BJ43" s="138" t="s">
        <v>340</v>
      </c>
      <c r="BK43" s="43" t="s">
        <v>587</v>
      </c>
      <c r="BL43" s="141" t="s">
        <v>965</v>
      </c>
    </row>
    <row r="44" spans="1:64" ht="15" thickBot="1" x14ac:dyDescent="0.35">
      <c r="A44" s="199"/>
      <c r="B44" s="28"/>
      <c r="C44" s="28"/>
      <c r="D44" s="142"/>
      <c r="E44" s="143"/>
      <c r="F44" s="146"/>
      <c r="G44" s="28"/>
      <c r="H44" s="142"/>
      <c r="I44" s="143" t="s">
        <v>284</v>
      </c>
      <c r="J44" s="146">
        <f>SUM(H42:H43)</f>
        <v>31</v>
      </c>
      <c r="AP44" s="138" t="s">
        <v>115</v>
      </c>
      <c r="AQ44" s="138">
        <f>3+3</f>
        <v>6</v>
      </c>
      <c r="AR44" s="141">
        <f>13+3</f>
        <v>16</v>
      </c>
      <c r="AS44" s="138"/>
      <c r="AT44" s="141"/>
      <c r="AU44" s="28"/>
      <c r="AV44" s="28">
        <v>10</v>
      </c>
      <c r="AW44" s="28" t="s">
        <v>217</v>
      </c>
      <c r="AX44" s="28"/>
      <c r="AY44" s="141"/>
      <c r="BB44" s="196" t="s">
        <v>966</v>
      </c>
      <c r="BC44" s="138">
        <v>6</v>
      </c>
      <c r="BD44" s="141">
        <v>0</v>
      </c>
      <c r="BE44" s="138"/>
      <c r="BF44" s="28"/>
      <c r="BG44" s="141"/>
      <c r="BH44" s="138"/>
      <c r="BI44" s="141"/>
      <c r="BJ44" s="138" t="s">
        <v>666</v>
      </c>
      <c r="BK44" s="43" t="s">
        <v>719</v>
      </c>
      <c r="BL44" s="141" t="s">
        <v>330</v>
      </c>
    </row>
    <row r="45" spans="1:64" ht="15" thickBot="1" x14ac:dyDescent="0.35">
      <c r="A45" s="47" t="s">
        <v>84</v>
      </c>
      <c r="B45" s="204">
        <f>SUM(B43+B40+B35+B31+B28+B25+B22+B18+B14+B11)</f>
        <v>46014</v>
      </c>
      <c r="C45" s="205">
        <f>SUM(C43+C40+C35+C31+C28+C25+C22+C18+C14+C11)</f>
        <v>52960</v>
      </c>
      <c r="D45" s="202"/>
      <c r="E45" s="48">
        <f>SUM(E40+E25)</f>
        <v>2265</v>
      </c>
      <c r="F45" s="203"/>
      <c r="G45" s="206">
        <f>SUM(G43+G40+G35+G31+G28+G25+G22+G18+G14+G11)</f>
        <v>65732</v>
      </c>
      <c r="H45" s="48" t="s">
        <v>844</v>
      </c>
      <c r="I45" s="48"/>
      <c r="J45" s="49">
        <f>SUM(J10:J44)</f>
        <v>387</v>
      </c>
      <c r="AP45" s="138" t="s">
        <v>56</v>
      </c>
      <c r="AQ45" s="138">
        <f>8+2</f>
        <v>10</v>
      </c>
      <c r="AR45" s="141">
        <v>5</v>
      </c>
      <c r="AS45" s="138"/>
      <c r="AT45" s="141"/>
      <c r="AU45" s="28"/>
      <c r="AV45" s="43">
        <v>1</v>
      </c>
      <c r="AW45" s="28" t="s">
        <v>967</v>
      </c>
      <c r="AX45" s="28"/>
      <c r="AY45" s="141"/>
      <c r="BB45" s="196" t="s">
        <v>968</v>
      </c>
      <c r="BC45" s="138">
        <v>1</v>
      </c>
      <c r="BD45" s="141">
        <v>5</v>
      </c>
      <c r="BE45" s="138"/>
      <c r="BF45" s="28"/>
      <c r="BG45" s="141"/>
      <c r="BH45" s="138"/>
      <c r="BI45" s="141"/>
      <c r="BJ45" s="138" t="s">
        <v>578</v>
      </c>
      <c r="BK45" s="43" t="s">
        <v>969</v>
      </c>
      <c r="BL45" s="141" t="s">
        <v>725</v>
      </c>
    </row>
    <row r="46" spans="1:64" x14ac:dyDescent="0.3">
      <c r="D46" s="28"/>
      <c r="E46" s="28"/>
      <c r="F46" s="28"/>
      <c r="AP46" s="138" t="s">
        <v>138</v>
      </c>
      <c r="AQ46" s="138">
        <v>0</v>
      </c>
      <c r="AR46" s="141">
        <v>0</v>
      </c>
      <c r="AS46" s="138"/>
      <c r="AT46" s="141"/>
      <c r="AU46" s="28"/>
      <c r="AV46" s="43">
        <v>2</v>
      </c>
      <c r="AW46" s="28" t="s">
        <v>221</v>
      </c>
      <c r="AX46" s="28"/>
      <c r="AY46" s="141"/>
      <c r="BB46" s="196" t="s">
        <v>970</v>
      </c>
      <c r="BC46" s="138">
        <v>3</v>
      </c>
      <c r="BD46" s="141">
        <v>3</v>
      </c>
      <c r="BE46" s="138"/>
      <c r="BF46" s="28"/>
      <c r="BG46" s="141"/>
      <c r="BH46" s="138"/>
      <c r="BI46" s="141"/>
      <c r="BJ46" s="138" t="s">
        <v>850</v>
      </c>
      <c r="BK46" s="28"/>
      <c r="BL46" s="141"/>
    </row>
    <row r="47" spans="1:64" x14ac:dyDescent="0.3">
      <c r="AP47" s="138" t="s">
        <v>67</v>
      </c>
      <c r="AQ47" s="138">
        <f>4+20+1</f>
        <v>25</v>
      </c>
      <c r="AR47" s="141">
        <f>4+25+1</f>
        <v>30</v>
      </c>
      <c r="AS47" s="138"/>
      <c r="AT47" s="141"/>
      <c r="AU47" s="28"/>
      <c r="AV47" s="43">
        <v>0</v>
      </c>
      <c r="AW47" s="28" t="s">
        <v>653</v>
      </c>
      <c r="AX47" s="28"/>
      <c r="AY47" s="141"/>
      <c r="BB47" s="196" t="s">
        <v>971</v>
      </c>
      <c r="BC47" s="138">
        <v>0</v>
      </c>
      <c r="BD47" s="141">
        <v>3</v>
      </c>
      <c r="BE47" s="138"/>
      <c r="BF47" s="28"/>
      <c r="BG47" s="141"/>
      <c r="BH47" s="138"/>
      <c r="BI47" s="141"/>
      <c r="BJ47" s="138"/>
      <c r="BK47" s="28"/>
      <c r="BL47" s="141"/>
    </row>
    <row r="48" spans="1:64" x14ac:dyDescent="0.3">
      <c r="AP48" s="138" t="s">
        <v>122</v>
      </c>
      <c r="AQ48" s="138">
        <v>2</v>
      </c>
      <c r="AR48" s="141">
        <v>5</v>
      </c>
      <c r="AS48" s="138"/>
      <c r="AT48" s="141"/>
      <c r="AU48" s="28"/>
      <c r="AV48" s="28">
        <v>3</v>
      </c>
      <c r="AW48" s="28" t="s">
        <v>618</v>
      </c>
      <c r="AX48" s="28"/>
      <c r="AY48" s="141"/>
      <c r="BB48" s="196" t="s">
        <v>564</v>
      </c>
      <c r="BC48" s="138">
        <v>2</v>
      </c>
      <c r="BD48" s="141">
        <v>2</v>
      </c>
      <c r="BE48" s="138"/>
      <c r="BF48" s="28"/>
      <c r="BG48" s="141"/>
      <c r="BH48" s="138"/>
      <c r="BI48" s="141"/>
      <c r="BJ48" s="138"/>
      <c r="BK48" s="28"/>
      <c r="BL48" s="141"/>
    </row>
    <row r="49" spans="8:65" x14ac:dyDescent="0.3">
      <c r="AP49" s="138" t="s">
        <v>227</v>
      </c>
      <c r="AQ49" s="138">
        <v>0</v>
      </c>
      <c r="AR49" s="141">
        <v>0</v>
      </c>
      <c r="AS49" s="138"/>
      <c r="AT49" s="141"/>
      <c r="AU49" s="28"/>
      <c r="AV49" s="28">
        <v>1</v>
      </c>
      <c r="AW49" s="28" t="s">
        <v>352</v>
      </c>
      <c r="AX49" s="28"/>
      <c r="AY49" s="141"/>
      <c r="BB49" s="196" t="s">
        <v>972</v>
      </c>
      <c r="BC49" s="138">
        <v>13</v>
      </c>
      <c r="BD49" s="141">
        <v>0</v>
      </c>
      <c r="BE49" s="138"/>
      <c r="BF49" s="28"/>
      <c r="BG49" s="141"/>
      <c r="BH49" s="138"/>
      <c r="BI49" s="141"/>
      <c r="BJ49" s="138"/>
      <c r="BK49" s="28"/>
      <c r="BL49" s="141"/>
    </row>
    <row r="50" spans="8:65" x14ac:dyDescent="0.3">
      <c r="AP50" s="138" t="s">
        <v>230</v>
      </c>
      <c r="AQ50" s="138">
        <f>1+6+16+1</f>
        <v>24</v>
      </c>
      <c r="AR50" s="141">
        <f>4+3+21+6</f>
        <v>34</v>
      </c>
      <c r="AS50" s="138"/>
      <c r="AT50" s="141"/>
      <c r="AU50" s="28"/>
      <c r="AV50" s="28">
        <v>13</v>
      </c>
      <c r="AW50" s="28" t="s">
        <v>655</v>
      </c>
      <c r="AX50" s="28"/>
      <c r="AY50" s="141"/>
      <c r="BB50" s="196" t="s">
        <v>432</v>
      </c>
      <c r="BC50" s="138">
        <v>9</v>
      </c>
      <c r="BD50" s="141">
        <v>18</v>
      </c>
      <c r="BE50" s="138"/>
      <c r="BF50" s="28"/>
      <c r="BG50" s="141"/>
      <c r="BH50" s="138"/>
      <c r="BI50" s="141"/>
      <c r="BJ50" s="138"/>
      <c r="BK50" s="28"/>
      <c r="BL50" s="141"/>
    </row>
    <row r="51" spans="8:65" x14ac:dyDescent="0.3">
      <c r="AP51" s="138" t="s">
        <v>125</v>
      </c>
      <c r="AQ51" s="138">
        <v>0</v>
      </c>
      <c r="AR51" s="141">
        <v>0</v>
      </c>
      <c r="AS51" s="138"/>
      <c r="AT51" s="141"/>
      <c r="AU51" s="28"/>
      <c r="AV51" s="43">
        <v>10</v>
      </c>
      <c r="AW51" s="28" t="s">
        <v>217</v>
      </c>
      <c r="AX51" s="28"/>
      <c r="AY51" s="141"/>
      <c r="BB51" s="196" t="s">
        <v>218</v>
      </c>
      <c r="BC51" s="138">
        <v>0</v>
      </c>
      <c r="BD51" s="141">
        <v>27</v>
      </c>
      <c r="BE51" s="138"/>
      <c r="BF51" s="28">
        <v>0</v>
      </c>
      <c r="BG51" s="141"/>
      <c r="BH51" s="138"/>
      <c r="BI51" s="141"/>
      <c r="BJ51" s="138"/>
      <c r="BK51" s="28"/>
      <c r="BL51" s="141"/>
    </row>
    <row r="52" spans="8:65" x14ac:dyDescent="0.3">
      <c r="AM52" t="s">
        <v>6</v>
      </c>
      <c r="AP52" s="138" t="s">
        <v>132</v>
      </c>
      <c r="AQ52" s="138">
        <v>3</v>
      </c>
      <c r="AR52" s="141">
        <v>4</v>
      </c>
      <c r="AS52" s="138"/>
      <c r="AT52" s="141"/>
      <c r="AU52" s="28"/>
      <c r="AV52" s="43">
        <v>2</v>
      </c>
      <c r="AW52" s="28" t="s">
        <v>682</v>
      </c>
      <c r="AX52" s="28"/>
      <c r="AY52" s="141"/>
      <c r="BB52" s="196" t="s">
        <v>93</v>
      </c>
      <c r="BC52" s="138">
        <v>0</v>
      </c>
      <c r="BD52" s="141">
        <v>6</v>
      </c>
      <c r="BE52" s="138"/>
      <c r="BF52" s="28"/>
      <c r="BG52" s="141"/>
      <c r="BH52" s="138"/>
      <c r="BI52" s="141"/>
      <c r="BJ52" s="138"/>
      <c r="BK52" s="28"/>
      <c r="BL52" s="141"/>
    </row>
    <row r="53" spans="8:65" x14ac:dyDescent="0.3">
      <c r="H53" t="s">
        <v>6</v>
      </c>
      <c r="AP53" s="138" t="s">
        <v>536</v>
      </c>
      <c r="AQ53" s="138">
        <v>0</v>
      </c>
      <c r="AR53" s="141">
        <v>2</v>
      </c>
      <c r="AS53" s="138"/>
      <c r="AT53" s="141"/>
      <c r="AU53" s="28"/>
      <c r="AV53" s="43">
        <v>45</v>
      </c>
      <c r="AW53" s="28" t="s">
        <v>555</v>
      </c>
      <c r="AX53" s="28"/>
      <c r="AY53" s="141"/>
      <c r="BB53" s="199" t="s">
        <v>84</v>
      </c>
      <c r="BC53" s="142">
        <f>SUM(BC28:BC52)</f>
        <v>177</v>
      </c>
      <c r="BD53" s="146">
        <f>SUM(BD28:BD52)</f>
        <v>191</v>
      </c>
      <c r="BE53" s="142">
        <v>0</v>
      </c>
      <c r="BF53" s="143">
        <f>SUM(BF28:BF52)</f>
        <v>0</v>
      </c>
      <c r="BG53" s="146">
        <v>0</v>
      </c>
      <c r="BH53" s="142">
        <v>0</v>
      </c>
      <c r="BI53" s="146">
        <v>0</v>
      </c>
      <c r="BJ53" s="142"/>
      <c r="BK53" s="143"/>
      <c r="BL53" s="146">
        <f>7+5+5+11+7+8+3+6+7+6+4</f>
        <v>69</v>
      </c>
    </row>
    <row r="54" spans="8:65" ht="15" thickBot="1" x14ac:dyDescent="0.35">
      <c r="H54" t="s">
        <v>6</v>
      </c>
      <c r="AP54" s="138" t="s">
        <v>84</v>
      </c>
      <c r="AQ54" s="138">
        <v>116</v>
      </c>
      <c r="AR54" s="141">
        <v>187</v>
      </c>
      <c r="AS54" s="138"/>
      <c r="AT54" s="141"/>
      <c r="AU54" s="28"/>
      <c r="AV54" s="28"/>
      <c r="AW54" s="28" t="s">
        <v>6</v>
      </c>
      <c r="AX54" s="28"/>
      <c r="AY54" s="141">
        <f>SUM(AV39:AV54)</f>
        <v>171</v>
      </c>
      <c r="BB54" t="s">
        <v>223</v>
      </c>
      <c r="BC54">
        <f>SUM(BC53+BC27+BC23+BC18+BC15+BC13)</f>
        <v>1681</v>
      </c>
      <c r="BD54">
        <v>1730</v>
      </c>
      <c r="BE54">
        <v>0</v>
      </c>
      <c r="BF54">
        <f>SUM(BF53+BF27+BF23+BF18+BF15+BF11)</f>
        <v>0</v>
      </c>
      <c r="BG54">
        <v>0</v>
      </c>
      <c r="BH54">
        <f>SUM(BH53+BH27+BH23+BH17+BH15+BH11)</f>
        <v>68293</v>
      </c>
      <c r="BI54">
        <f>SUM(BI53+BI27+BI23+BI17+BI15+BI11)</f>
        <v>19089</v>
      </c>
      <c r="BK54" t="s">
        <v>247</v>
      </c>
      <c r="BL54">
        <f>SUM(+BL27+BL23+BL18+BL15+BL13)</f>
        <v>159</v>
      </c>
    </row>
    <row r="55" spans="8:65" ht="15" thickBot="1" x14ac:dyDescent="0.35">
      <c r="AP55" s="171" t="s">
        <v>84</v>
      </c>
      <c r="AQ55" s="207">
        <v>2134</v>
      </c>
      <c r="AR55" s="208">
        <v>2199</v>
      </c>
      <c r="AS55" s="207"/>
      <c r="AT55" s="208"/>
      <c r="AU55" s="170"/>
      <c r="AV55" s="170"/>
      <c r="AW55" s="170"/>
      <c r="AX55" s="170"/>
      <c r="AY55" s="172">
        <f>SUM(AY12:AY54)</f>
        <v>381</v>
      </c>
      <c r="BB55" t="s">
        <v>225</v>
      </c>
      <c r="BD55">
        <f>SUM(BL53)</f>
        <v>69</v>
      </c>
    </row>
    <row r="56" spans="8:65" x14ac:dyDescent="0.3">
      <c r="BB56" t="s">
        <v>229</v>
      </c>
      <c r="BD56">
        <f>7+5+2+2</f>
        <v>16</v>
      </c>
    </row>
    <row r="57" spans="8:65" x14ac:dyDescent="0.3">
      <c r="BB57" t="s">
        <v>232</v>
      </c>
      <c r="BD57" t="s">
        <v>233</v>
      </c>
      <c r="BF57">
        <f>SUM(AQ55)</f>
        <v>2134</v>
      </c>
      <c r="BH57" t="s">
        <v>234</v>
      </c>
      <c r="BJ57" t="s">
        <v>233</v>
      </c>
      <c r="BL57">
        <f>SUM(BC54)</f>
        <v>1681</v>
      </c>
    </row>
    <row r="58" spans="8:65" x14ac:dyDescent="0.3">
      <c r="BA58" t="s">
        <v>6</v>
      </c>
      <c r="BD58" t="s">
        <v>236</v>
      </c>
      <c r="BF58">
        <f>SUM(AR55)</f>
        <v>2199</v>
      </c>
      <c r="BJ58" t="s">
        <v>236</v>
      </c>
      <c r="BL58">
        <f>SUM(BD54)</f>
        <v>1730</v>
      </c>
    </row>
    <row r="59" spans="8:65" x14ac:dyDescent="0.3">
      <c r="BB59" t="s">
        <v>238</v>
      </c>
      <c r="BC59" t="s">
        <v>239</v>
      </c>
      <c r="BE59" t="s">
        <v>240</v>
      </c>
      <c r="BF59" t="s">
        <v>241</v>
      </c>
      <c r="BI59" t="s">
        <v>242</v>
      </c>
      <c r="BJ59" t="s">
        <v>243</v>
      </c>
    </row>
    <row r="60" spans="8:65" x14ac:dyDescent="0.3">
      <c r="BB60" t="s">
        <v>233</v>
      </c>
      <c r="BD60">
        <f>SUM(B45)</f>
        <v>46014</v>
      </c>
      <c r="BE60" t="s">
        <v>233</v>
      </c>
      <c r="BG60">
        <f>SUM(AC42)</f>
        <v>2266</v>
      </c>
      <c r="BH60" t="s">
        <v>233</v>
      </c>
      <c r="BJ60">
        <f>SUM(BG60+BC54)</f>
        <v>3947</v>
      </c>
      <c r="BK60" t="s">
        <v>245</v>
      </c>
      <c r="BL60">
        <f>SUM(BD60+BJ60)</f>
        <v>49961</v>
      </c>
    </row>
    <row r="61" spans="8:65" x14ac:dyDescent="0.3">
      <c r="BB61" t="s">
        <v>236</v>
      </c>
      <c r="BD61">
        <f>SUM(C45)</f>
        <v>52960</v>
      </c>
      <c r="BE61" t="s">
        <v>236</v>
      </c>
      <c r="BG61">
        <f>SUM(AD42)</f>
        <v>2007</v>
      </c>
      <c r="BH61" t="s">
        <v>236</v>
      </c>
      <c r="BJ61">
        <f>SUM(BG61+BD54)</f>
        <v>3737</v>
      </c>
      <c r="BL61">
        <f>SUM(BD61+BJ61)</f>
        <v>56697</v>
      </c>
    </row>
    <row r="62" spans="8:65" x14ac:dyDescent="0.3">
      <c r="BM62">
        <f>SUM(BL60:BL61)</f>
        <v>106658</v>
      </c>
    </row>
    <row r="66" spans="1:64" x14ac:dyDescent="0.3">
      <c r="C66" t="s">
        <v>0</v>
      </c>
      <c r="P66" t="s">
        <v>1</v>
      </c>
    </row>
    <row r="67" spans="1:64" x14ac:dyDescent="0.3">
      <c r="D67" t="s">
        <v>2</v>
      </c>
      <c r="Q67" t="s">
        <v>3</v>
      </c>
      <c r="AF67" t="s">
        <v>0</v>
      </c>
      <c r="AS67" t="s">
        <v>4</v>
      </c>
      <c r="BF67" t="s">
        <v>5</v>
      </c>
    </row>
    <row r="68" spans="1:64" x14ac:dyDescent="0.3">
      <c r="A68" t="s">
        <v>6</v>
      </c>
      <c r="C68" t="s">
        <v>7</v>
      </c>
      <c r="O68" t="s">
        <v>8</v>
      </c>
      <c r="AF68" t="s">
        <v>9</v>
      </c>
      <c r="AT68" t="s">
        <v>2</v>
      </c>
      <c r="BG68" t="s">
        <v>2</v>
      </c>
    </row>
    <row r="69" spans="1:64" x14ac:dyDescent="0.3">
      <c r="D69" t="s">
        <v>973</v>
      </c>
      <c r="Q69" t="s">
        <v>973</v>
      </c>
      <c r="AF69" t="s">
        <v>11</v>
      </c>
      <c r="AR69" t="s">
        <v>12</v>
      </c>
      <c r="AZ69" t="s">
        <v>6</v>
      </c>
      <c r="BE69" t="s">
        <v>13</v>
      </c>
    </row>
    <row r="70" spans="1:64" x14ac:dyDescent="0.3">
      <c r="I70" s="194" t="s">
        <v>949</v>
      </c>
      <c r="U70" t="s">
        <v>15</v>
      </c>
      <c r="AG70" t="s">
        <v>973</v>
      </c>
      <c r="AT70" t="s">
        <v>973</v>
      </c>
      <c r="BG70" t="s">
        <v>973</v>
      </c>
      <c r="BK70" s="194" t="s">
        <v>950</v>
      </c>
    </row>
    <row r="71" spans="1:64" x14ac:dyDescent="0.3">
      <c r="A71" s="134" t="s">
        <v>17</v>
      </c>
      <c r="B71" s="134" t="s">
        <v>18</v>
      </c>
      <c r="C71" s="136"/>
      <c r="D71" s="135" t="s">
        <v>19</v>
      </c>
      <c r="E71" s="135"/>
      <c r="F71" s="135"/>
      <c r="G71" s="195" t="s">
        <v>20</v>
      </c>
      <c r="H71" s="135" t="s">
        <v>21</v>
      </c>
      <c r="I71" s="135"/>
      <c r="J71" s="136"/>
      <c r="L71" s="134" t="s">
        <v>17</v>
      </c>
      <c r="M71" s="135" t="s">
        <v>22</v>
      </c>
      <c r="N71" s="135"/>
      <c r="O71" s="135" t="s">
        <v>23</v>
      </c>
      <c r="P71" s="135"/>
      <c r="Q71" s="135"/>
      <c r="R71" s="135" t="s">
        <v>24</v>
      </c>
      <c r="S71" s="135"/>
      <c r="T71" s="135" t="s">
        <v>21</v>
      </c>
      <c r="U71" s="136"/>
      <c r="AL71" s="28" t="s">
        <v>25</v>
      </c>
      <c r="AX71" s="194" t="s">
        <v>951</v>
      </c>
      <c r="BB71" s="195" t="s">
        <v>17</v>
      </c>
      <c r="BC71" s="134" t="s">
        <v>27</v>
      </c>
      <c r="BD71" s="136"/>
      <c r="BE71" s="135" t="s">
        <v>28</v>
      </c>
      <c r="BF71" s="135"/>
      <c r="BG71" s="135"/>
      <c r="BH71" s="135" t="s">
        <v>29</v>
      </c>
      <c r="BI71" s="135" t="s">
        <v>30</v>
      </c>
      <c r="BJ71" s="135" t="s">
        <v>31</v>
      </c>
      <c r="BK71" s="135"/>
      <c r="BL71" s="136"/>
    </row>
    <row r="72" spans="1:64" x14ac:dyDescent="0.3">
      <c r="A72" s="138" t="s">
        <v>32</v>
      </c>
      <c r="B72" s="138"/>
      <c r="C72" s="141"/>
      <c r="D72" s="28"/>
      <c r="E72" s="28"/>
      <c r="F72" s="28"/>
      <c r="G72" s="196"/>
      <c r="H72" s="28" t="s">
        <v>33</v>
      </c>
      <c r="I72" s="28"/>
      <c r="J72" s="141"/>
      <c r="L72" s="138"/>
      <c r="M72" s="28"/>
      <c r="N72" s="28"/>
      <c r="O72" s="28"/>
      <c r="P72" s="28"/>
      <c r="Q72" s="28"/>
      <c r="R72" s="28"/>
      <c r="S72" s="28"/>
      <c r="T72" s="28" t="s">
        <v>33</v>
      </c>
      <c r="U72" s="141"/>
      <c r="AB72" s="134" t="s">
        <v>34</v>
      </c>
      <c r="AC72" s="134" t="s">
        <v>35</v>
      </c>
      <c r="AD72" s="136"/>
      <c r="AE72" s="135" t="s">
        <v>36</v>
      </c>
      <c r="AF72" s="135"/>
      <c r="AG72" s="135"/>
      <c r="AH72" s="134" t="s">
        <v>37</v>
      </c>
      <c r="AI72" s="136"/>
      <c r="AJ72" s="135" t="s">
        <v>30</v>
      </c>
      <c r="AK72" s="134" t="s">
        <v>38</v>
      </c>
      <c r="AL72" s="135"/>
      <c r="AM72" s="136"/>
      <c r="AP72" s="134" t="s">
        <v>17</v>
      </c>
      <c r="AQ72" s="134" t="s">
        <v>39</v>
      </c>
      <c r="AR72" s="136"/>
      <c r="AS72" s="134" t="s">
        <v>29</v>
      </c>
      <c r="AT72" s="136" t="s">
        <v>30</v>
      </c>
      <c r="AU72" s="135" t="s">
        <v>40</v>
      </c>
      <c r="AV72" s="135"/>
      <c r="AW72" s="135"/>
      <c r="AX72" s="135"/>
      <c r="AY72" s="136"/>
      <c r="BB72" s="196"/>
      <c r="BC72" s="138"/>
      <c r="BD72" s="141"/>
      <c r="BE72" s="28"/>
      <c r="BF72" s="28"/>
      <c r="BG72" s="28"/>
      <c r="BH72" s="28"/>
      <c r="BI72" s="28" t="s">
        <v>6</v>
      </c>
      <c r="BJ72" s="28" t="s">
        <v>41</v>
      </c>
      <c r="BK72" s="28"/>
      <c r="BL72" s="141"/>
    </row>
    <row r="73" spans="1:64" x14ac:dyDescent="0.3">
      <c r="A73" s="142" t="s">
        <v>42</v>
      </c>
      <c r="B73" s="142" t="s">
        <v>43</v>
      </c>
      <c r="C73" s="143" t="s">
        <v>44</v>
      </c>
      <c r="D73" s="197" t="s">
        <v>45</v>
      </c>
      <c r="E73" s="198" t="s">
        <v>46</v>
      </c>
      <c r="F73" s="198" t="s">
        <v>47</v>
      </c>
      <c r="G73" s="199" t="s">
        <v>48</v>
      </c>
      <c r="H73" s="143" t="s">
        <v>49</v>
      </c>
      <c r="I73" s="143"/>
      <c r="J73" s="146"/>
      <c r="L73" s="142" t="s">
        <v>50</v>
      </c>
      <c r="M73" s="143" t="s">
        <v>43</v>
      </c>
      <c r="N73" s="143" t="s">
        <v>44</v>
      </c>
      <c r="O73" s="143" t="s">
        <v>43</v>
      </c>
      <c r="P73" s="143" t="s">
        <v>51</v>
      </c>
      <c r="Q73" s="143" t="s">
        <v>44</v>
      </c>
      <c r="R73" s="143" t="s">
        <v>43</v>
      </c>
      <c r="S73" s="143" t="s">
        <v>44</v>
      </c>
      <c r="T73" s="143" t="s">
        <v>49</v>
      </c>
      <c r="U73" s="146"/>
      <c r="AB73" s="142" t="s">
        <v>50</v>
      </c>
      <c r="AC73" s="142" t="s">
        <v>43</v>
      </c>
      <c r="AD73" s="146" t="s">
        <v>44</v>
      </c>
      <c r="AE73" s="143" t="s">
        <v>45</v>
      </c>
      <c r="AF73" s="143" t="s">
        <v>46</v>
      </c>
      <c r="AG73" s="143" t="s">
        <v>52</v>
      </c>
      <c r="AH73" s="142" t="s">
        <v>43</v>
      </c>
      <c r="AI73" s="146" t="s">
        <v>44</v>
      </c>
      <c r="AJ73" s="143" t="s">
        <v>43</v>
      </c>
      <c r="AK73" s="142" t="s">
        <v>53</v>
      </c>
      <c r="AL73" s="143"/>
      <c r="AM73" s="146"/>
      <c r="AP73" s="138" t="s">
        <v>42</v>
      </c>
      <c r="AQ73" s="138" t="s">
        <v>43</v>
      </c>
      <c r="AR73" s="141" t="s">
        <v>44</v>
      </c>
      <c r="AS73" s="138" t="s">
        <v>43</v>
      </c>
      <c r="AT73" s="141" t="s">
        <v>44</v>
      </c>
      <c r="AU73" s="28"/>
      <c r="AV73" s="28"/>
      <c r="AW73" s="28"/>
      <c r="AX73" s="28"/>
      <c r="AY73" s="141"/>
      <c r="BB73" s="199" t="s">
        <v>42</v>
      </c>
      <c r="BC73" s="142" t="s">
        <v>43</v>
      </c>
      <c r="BD73" s="146" t="s">
        <v>44</v>
      </c>
      <c r="BE73" s="143" t="s">
        <v>45</v>
      </c>
      <c r="BF73" s="143" t="s">
        <v>46</v>
      </c>
      <c r="BG73" s="143" t="s">
        <v>52</v>
      </c>
      <c r="BH73" s="143" t="s">
        <v>43</v>
      </c>
      <c r="BI73" s="143" t="s">
        <v>44</v>
      </c>
      <c r="BJ73" s="143" t="s">
        <v>54</v>
      </c>
      <c r="BK73" s="143"/>
      <c r="BL73" s="146"/>
    </row>
    <row r="74" spans="1:64" x14ac:dyDescent="0.3">
      <c r="A74" s="134"/>
      <c r="B74" s="134"/>
      <c r="C74" s="135"/>
      <c r="D74" s="134"/>
      <c r="E74" s="135"/>
      <c r="F74" s="135"/>
      <c r="G74" s="195"/>
      <c r="H74" s="135" t="s">
        <v>396</v>
      </c>
      <c r="I74" s="135"/>
      <c r="J74" s="136"/>
      <c r="L74" s="134"/>
      <c r="M74" s="134"/>
      <c r="N74" s="195"/>
      <c r="O74" s="134"/>
      <c r="P74" s="195"/>
      <c r="Q74" s="136"/>
      <c r="R74" s="134"/>
      <c r="S74" s="195"/>
      <c r="T74" s="134" t="s">
        <v>396</v>
      </c>
      <c r="U74" s="136"/>
      <c r="AB74" s="138"/>
      <c r="AC74" s="138"/>
      <c r="AD74" s="141"/>
      <c r="AE74" s="28"/>
      <c r="AF74" s="28"/>
      <c r="AG74" s="28"/>
      <c r="AH74" s="138"/>
      <c r="AI74" s="141"/>
      <c r="AJ74" s="28"/>
      <c r="AK74" s="138"/>
      <c r="AL74" s="28"/>
      <c r="AM74" s="141"/>
      <c r="AP74" s="134"/>
      <c r="AQ74" s="134"/>
      <c r="AR74" s="136"/>
      <c r="AS74" s="134"/>
      <c r="AT74" s="136"/>
      <c r="AU74" s="135"/>
      <c r="AV74" s="135"/>
      <c r="AW74" s="135"/>
      <c r="AX74" s="135"/>
      <c r="AY74" s="136"/>
      <c r="BB74" s="195" t="s">
        <v>85</v>
      </c>
      <c r="BC74" s="135">
        <v>21</v>
      </c>
      <c r="BD74" s="135">
        <v>28</v>
      </c>
      <c r="BE74" s="134"/>
      <c r="BF74" s="135"/>
      <c r="BG74" s="135"/>
      <c r="BH74" s="134"/>
      <c r="BI74" s="136"/>
      <c r="BJ74" s="135" t="s">
        <v>58</v>
      </c>
      <c r="BK74" s="135"/>
      <c r="BL74" s="136"/>
    </row>
    <row r="75" spans="1:64" x14ac:dyDescent="0.3">
      <c r="A75" s="138" t="s">
        <v>59</v>
      </c>
      <c r="B75" s="138">
        <v>936</v>
      </c>
      <c r="C75" s="28">
        <v>1040</v>
      </c>
      <c r="D75" s="138"/>
      <c r="E75" s="28" t="s">
        <v>60</v>
      </c>
      <c r="F75" s="28"/>
      <c r="G75" s="196">
        <f>2264/2</f>
        <v>1132</v>
      </c>
      <c r="H75" s="28">
        <v>4</v>
      </c>
      <c r="I75" s="28" t="s">
        <v>61</v>
      </c>
      <c r="J75" s="141"/>
      <c r="L75" s="138" t="s">
        <v>59</v>
      </c>
      <c r="M75" s="138">
        <v>3303</v>
      </c>
      <c r="N75" s="196">
        <v>40640</v>
      </c>
      <c r="O75" s="138">
        <v>0</v>
      </c>
      <c r="P75" s="196">
        <v>0</v>
      </c>
      <c r="Q75" s="141">
        <v>0</v>
      </c>
      <c r="R75" s="138">
        <v>0</v>
      </c>
      <c r="S75" s="196">
        <v>0</v>
      </c>
      <c r="T75" s="138"/>
      <c r="U75" s="141"/>
      <c r="AB75" s="138"/>
      <c r="AC75" s="138"/>
      <c r="AD75" s="141"/>
      <c r="AE75" s="28"/>
      <c r="AF75" s="28"/>
      <c r="AG75" s="28"/>
      <c r="AH75" s="138"/>
      <c r="AI75" s="141"/>
      <c r="AJ75" s="28"/>
      <c r="AK75" s="138" t="s">
        <v>62</v>
      </c>
      <c r="AL75" s="28"/>
      <c r="AM75" s="141"/>
      <c r="AP75" s="138" t="s">
        <v>6</v>
      </c>
      <c r="AQ75" s="138"/>
      <c r="AR75" s="141"/>
      <c r="AS75" s="138"/>
      <c r="AT75" s="141"/>
      <c r="AU75" s="28"/>
      <c r="AV75" s="28" t="s">
        <v>91</v>
      </c>
      <c r="AW75" s="28"/>
      <c r="AX75" s="28"/>
      <c r="AY75" s="141"/>
      <c r="BB75" s="196" t="s">
        <v>64</v>
      </c>
      <c r="BC75" s="28">
        <v>87</v>
      </c>
      <c r="BD75" s="28">
        <v>83</v>
      </c>
      <c r="BE75" s="138">
        <v>0</v>
      </c>
      <c r="BF75" s="28">
        <v>0</v>
      </c>
      <c r="BG75" s="28">
        <v>0</v>
      </c>
      <c r="BH75" s="138">
        <v>0</v>
      </c>
      <c r="BI75" s="141">
        <v>0</v>
      </c>
      <c r="BJ75" s="43">
        <v>8</v>
      </c>
      <c r="BK75" s="28" t="s">
        <v>474</v>
      </c>
      <c r="BL75" s="141" t="s">
        <v>6</v>
      </c>
    </row>
    <row r="76" spans="1:64" x14ac:dyDescent="0.3">
      <c r="A76" s="138" t="s">
        <v>6</v>
      </c>
      <c r="B76" s="138"/>
      <c r="C76" s="28"/>
      <c r="D76" s="138"/>
      <c r="E76" s="28"/>
      <c r="F76" s="28"/>
      <c r="G76" s="196"/>
      <c r="H76" s="28"/>
      <c r="I76" s="28" t="s">
        <v>528</v>
      </c>
      <c r="J76" s="141">
        <f>SUM(H75)</f>
        <v>4</v>
      </c>
      <c r="L76" s="142"/>
      <c r="M76" s="142"/>
      <c r="N76" s="199"/>
      <c r="O76" s="142"/>
      <c r="P76" s="199"/>
      <c r="Q76" s="146"/>
      <c r="R76" s="142"/>
      <c r="S76" s="199"/>
      <c r="T76" s="142"/>
      <c r="U76" s="146"/>
      <c r="AB76" s="138" t="s">
        <v>59</v>
      </c>
      <c r="AC76" s="138">
        <v>1316</v>
      </c>
      <c r="AD76" s="141">
        <v>1339</v>
      </c>
      <c r="AE76" s="28">
        <v>0</v>
      </c>
      <c r="AF76" s="28">
        <v>0</v>
      </c>
      <c r="AG76" s="28">
        <v>0</v>
      </c>
      <c r="AH76" s="138">
        <v>0</v>
      </c>
      <c r="AI76" s="141">
        <v>0</v>
      </c>
      <c r="AJ76" s="28">
        <v>0</v>
      </c>
      <c r="AK76" s="138">
        <v>4</v>
      </c>
      <c r="AL76" s="28" t="s">
        <v>66</v>
      </c>
      <c r="AM76" s="141"/>
      <c r="AP76" s="138" t="s">
        <v>56</v>
      </c>
      <c r="AQ76" s="138">
        <v>1160</v>
      </c>
      <c r="AR76" s="141">
        <v>1257</v>
      </c>
      <c r="AS76" s="138"/>
      <c r="AT76" s="141"/>
      <c r="AU76" s="28"/>
      <c r="AV76" s="28"/>
      <c r="AW76" s="28"/>
      <c r="AX76" s="28"/>
      <c r="AY76" s="141"/>
      <c r="BB76" s="196" t="s">
        <v>108</v>
      </c>
      <c r="BC76">
        <v>29</v>
      </c>
      <c r="BD76">
        <v>22</v>
      </c>
      <c r="BE76" s="138"/>
      <c r="BF76" s="28"/>
      <c r="BG76" s="28"/>
      <c r="BH76" s="138"/>
      <c r="BI76" s="141"/>
      <c r="BJ76" s="28"/>
      <c r="BK76" s="28"/>
      <c r="BL76" s="141"/>
    </row>
    <row r="77" spans="1:64" x14ac:dyDescent="0.3">
      <c r="A77" s="134"/>
      <c r="B77" s="134"/>
      <c r="C77" s="135"/>
      <c r="D77" s="134"/>
      <c r="E77" s="135"/>
      <c r="F77" s="135"/>
      <c r="G77" s="195"/>
      <c r="H77" s="135" t="s">
        <v>70</v>
      </c>
      <c r="I77" s="135"/>
      <c r="J77" s="136"/>
      <c r="L77" s="134"/>
      <c r="M77" s="134"/>
      <c r="N77" s="195"/>
      <c r="O77" s="134"/>
      <c r="P77" s="195"/>
      <c r="Q77" s="136"/>
      <c r="R77" s="134"/>
      <c r="S77" s="195"/>
      <c r="T77" s="134"/>
      <c r="U77" s="136"/>
      <c r="AB77" s="142"/>
      <c r="AC77" s="142"/>
      <c r="AD77" s="146"/>
      <c r="AE77" s="143"/>
      <c r="AF77" s="143"/>
      <c r="AG77" s="143"/>
      <c r="AH77" s="142"/>
      <c r="AI77" s="146"/>
      <c r="AJ77" s="143"/>
      <c r="AK77" s="142" t="s">
        <v>6</v>
      </c>
      <c r="AL77" s="143" t="s">
        <v>398</v>
      </c>
      <c r="AM77" s="146"/>
      <c r="AP77" s="142" t="s">
        <v>6</v>
      </c>
      <c r="AQ77" s="142"/>
      <c r="AR77" s="146"/>
      <c r="AS77" s="142"/>
      <c r="AT77" s="146"/>
      <c r="AU77" s="143"/>
      <c r="AV77" s="143">
        <v>86</v>
      </c>
      <c r="AW77" s="143" t="s">
        <v>73</v>
      </c>
      <c r="AX77" s="143"/>
      <c r="AY77" s="146">
        <f>SUM(AV77)</f>
        <v>86</v>
      </c>
      <c r="BB77" s="199" t="s">
        <v>84</v>
      </c>
      <c r="BC77" s="143">
        <f>SUM(BC74:BC76)</f>
        <v>137</v>
      </c>
      <c r="BD77" s="143">
        <f>SUM(BD74:BD76)</f>
        <v>133</v>
      </c>
      <c r="BE77" s="142"/>
      <c r="BF77" s="143"/>
      <c r="BG77" s="143"/>
      <c r="BH77" s="142"/>
      <c r="BI77" s="146"/>
      <c r="BJ77" s="143">
        <v>19</v>
      </c>
      <c r="BK77" s="143" t="s">
        <v>69</v>
      </c>
      <c r="BL77" s="146">
        <f>SUM(BJ75:BJ77)</f>
        <v>27</v>
      </c>
    </row>
    <row r="78" spans="1:64" x14ac:dyDescent="0.3">
      <c r="A78" s="138" t="s">
        <v>74</v>
      </c>
      <c r="B78" s="138">
        <v>843</v>
      </c>
      <c r="C78" s="28">
        <v>2109</v>
      </c>
      <c r="D78" s="138"/>
      <c r="E78" s="28" t="s">
        <v>60</v>
      </c>
      <c r="F78" s="28"/>
      <c r="G78" s="196">
        <v>2647</v>
      </c>
      <c r="H78" s="28"/>
      <c r="I78" s="28" t="s">
        <v>75</v>
      </c>
      <c r="J78" s="141"/>
      <c r="L78" s="138"/>
      <c r="M78" s="138"/>
      <c r="N78" s="196"/>
      <c r="O78" s="138"/>
      <c r="P78" s="196"/>
      <c r="Q78" s="141"/>
      <c r="R78" s="138"/>
      <c r="S78" s="196"/>
      <c r="T78" s="138" t="s">
        <v>80</v>
      </c>
      <c r="U78" s="141"/>
      <c r="AB78" s="134" t="s">
        <v>6</v>
      </c>
      <c r="AC78" s="134"/>
      <c r="AD78" s="136"/>
      <c r="AE78" s="135"/>
      <c r="AF78" s="135"/>
      <c r="AG78" s="135"/>
      <c r="AH78" s="134"/>
      <c r="AI78" s="136"/>
      <c r="AJ78" s="135"/>
      <c r="AK78" s="134" t="s">
        <v>952</v>
      </c>
      <c r="AL78" s="135"/>
      <c r="AM78" s="136"/>
      <c r="AP78" s="134"/>
      <c r="AQ78" s="134"/>
      <c r="AR78" s="136"/>
      <c r="AS78" s="134"/>
      <c r="AT78" s="136"/>
      <c r="AU78" s="135"/>
      <c r="AV78" s="135"/>
      <c r="AW78" s="135"/>
      <c r="AX78" s="135"/>
      <c r="AY78" s="136"/>
      <c r="BB78" s="195"/>
      <c r="BC78" s="134"/>
      <c r="BD78" s="136"/>
      <c r="BE78" s="135"/>
      <c r="BF78" s="135"/>
      <c r="BG78" s="135"/>
      <c r="BH78" s="134"/>
      <c r="BI78" s="136"/>
      <c r="BJ78" s="135" t="s">
        <v>82</v>
      </c>
      <c r="BK78" s="135"/>
      <c r="BL78" s="136"/>
    </row>
    <row r="79" spans="1:64" x14ac:dyDescent="0.3">
      <c r="A79" s="138"/>
      <c r="B79" s="138"/>
      <c r="C79" s="28"/>
      <c r="D79" s="138"/>
      <c r="E79" s="28"/>
      <c r="F79" s="28"/>
      <c r="G79" s="196"/>
      <c r="H79" s="28">
        <v>1</v>
      </c>
      <c r="I79" s="28" t="s">
        <v>79</v>
      </c>
      <c r="J79" s="141"/>
      <c r="L79" s="138" t="s">
        <v>74</v>
      </c>
      <c r="M79" s="138">
        <v>3895</v>
      </c>
      <c r="N79" s="196">
        <v>90</v>
      </c>
      <c r="O79" s="138">
        <v>0</v>
      </c>
      <c r="P79" s="196">
        <v>0</v>
      </c>
      <c r="Q79" s="141">
        <v>0</v>
      </c>
      <c r="R79" s="138">
        <v>10</v>
      </c>
      <c r="S79" s="196">
        <v>0</v>
      </c>
      <c r="T79" s="138"/>
      <c r="U79" s="141"/>
      <c r="AB79" s="142" t="s">
        <v>76</v>
      </c>
      <c r="AC79" s="142">
        <v>0</v>
      </c>
      <c r="AD79" s="146">
        <v>0</v>
      </c>
      <c r="AE79" s="143">
        <v>0</v>
      </c>
      <c r="AF79" s="143">
        <v>0</v>
      </c>
      <c r="AG79" s="143">
        <v>0</v>
      </c>
      <c r="AH79" s="142">
        <v>0</v>
      </c>
      <c r="AI79" s="146">
        <v>0</v>
      </c>
      <c r="AJ79" s="143">
        <v>0</v>
      </c>
      <c r="AK79" s="142"/>
      <c r="AL79" s="143" t="s">
        <v>780</v>
      </c>
      <c r="AM79" s="146"/>
      <c r="AP79" s="138" t="s">
        <v>63</v>
      </c>
      <c r="AQ79" s="138">
        <v>134</v>
      </c>
      <c r="AR79" s="141">
        <v>108</v>
      </c>
      <c r="AS79" s="138"/>
      <c r="AT79" s="141"/>
      <c r="AU79" s="28"/>
      <c r="AV79" s="28" t="s">
        <v>110</v>
      </c>
      <c r="AW79" s="28" t="s">
        <v>111</v>
      </c>
      <c r="AX79" s="28" t="s">
        <v>112</v>
      </c>
      <c r="AY79" s="141"/>
      <c r="BB79" s="199" t="s">
        <v>85</v>
      </c>
      <c r="BC79" s="142">
        <v>0</v>
      </c>
      <c r="BD79" s="146">
        <v>0</v>
      </c>
      <c r="BE79" s="143"/>
      <c r="BF79" s="143">
        <v>0</v>
      </c>
      <c r="BG79" s="143">
        <v>0</v>
      </c>
      <c r="BH79" s="142">
        <v>0</v>
      </c>
      <c r="BI79" s="146">
        <v>0</v>
      </c>
      <c r="BJ79" s="143"/>
      <c r="BK79" s="143" t="s">
        <v>86</v>
      </c>
      <c r="BL79" s="146">
        <f>SUM(BJ79)</f>
        <v>0</v>
      </c>
    </row>
    <row r="80" spans="1:64" x14ac:dyDescent="0.3">
      <c r="A80" s="142"/>
      <c r="B80" s="142"/>
      <c r="C80" s="143"/>
      <c r="D80" s="142"/>
      <c r="E80" s="143"/>
      <c r="F80" s="143"/>
      <c r="G80" s="199"/>
      <c r="H80" s="143">
        <v>15</v>
      </c>
      <c r="I80" s="143" t="s">
        <v>83</v>
      </c>
      <c r="J80" s="146">
        <f>SUM(H78:H80)</f>
        <v>16</v>
      </c>
      <c r="L80" s="142"/>
      <c r="M80" s="142"/>
      <c r="N80" s="199"/>
      <c r="O80" s="142"/>
      <c r="P80" s="199"/>
      <c r="Q80" s="146"/>
      <c r="R80" s="142"/>
      <c r="S80" s="199"/>
      <c r="T80" s="142"/>
      <c r="U80" s="146"/>
      <c r="AB80" s="134"/>
      <c r="AC80" s="134"/>
      <c r="AD80" s="136"/>
      <c r="AE80" s="135"/>
      <c r="AF80" s="135"/>
      <c r="AG80" s="135"/>
      <c r="AH80" s="134"/>
      <c r="AI80" s="136"/>
      <c r="AJ80" s="135"/>
      <c r="AK80" s="134"/>
      <c r="AL80" s="135"/>
      <c r="AM80" s="136"/>
      <c r="AP80" s="138" t="s">
        <v>115</v>
      </c>
      <c r="AQ80" s="138">
        <v>51</v>
      </c>
      <c r="AR80" s="141">
        <v>28</v>
      </c>
      <c r="AS80" s="138"/>
      <c r="AT80" s="141"/>
      <c r="AU80" s="28"/>
      <c r="AV80" s="28"/>
      <c r="AW80" s="28"/>
      <c r="AX80" s="28"/>
      <c r="AY80" s="141"/>
      <c r="BB80" s="195" t="s">
        <v>107</v>
      </c>
      <c r="BC80" s="134">
        <v>0</v>
      </c>
      <c r="BD80" s="136">
        <v>0</v>
      </c>
      <c r="BE80" s="135"/>
      <c r="BF80" s="135"/>
      <c r="BG80" s="135"/>
      <c r="BH80" s="134"/>
      <c r="BI80" s="136"/>
      <c r="BJ80" s="135"/>
      <c r="BK80" s="135" t="s">
        <v>92</v>
      </c>
      <c r="BL80" s="136"/>
    </row>
    <row r="81" spans="1:65" x14ac:dyDescent="0.3">
      <c r="A81" s="134"/>
      <c r="B81" s="134"/>
      <c r="C81" s="135"/>
      <c r="D81" s="134"/>
      <c r="E81" s="135"/>
      <c r="F81" s="135"/>
      <c r="G81" s="195"/>
      <c r="H81" s="135" t="s">
        <v>87</v>
      </c>
      <c r="I81" s="135"/>
      <c r="J81" s="136"/>
      <c r="L81" s="134" t="s">
        <v>88</v>
      </c>
      <c r="M81" s="134">
        <v>0</v>
      </c>
      <c r="N81" s="195">
        <v>0</v>
      </c>
      <c r="O81" s="134"/>
      <c r="P81" s="195"/>
      <c r="Q81" s="136"/>
      <c r="R81" s="134"/>
      <c r="S81" s="195"/>
      <c r="T81" s="134" t="s">
        <v>6</v>
      </c>
      <c r="U81" s="136"/>
      <c r="AB81" s="138" t="s">
        <v>89</v>
      </c>
      <c r="AC81" s="138"/>
      <c r="AD81" s="141"/>
      <c r="AE81" s="28"/>
      <c r="AF81" s="28"/>
      <c r="AG81" s="28"/>
      <c r="AH81" s="138"/>
      <c r="AI81" s="141"/>
      <c r="AJ81" s="28"/>
      <c r="AK81" s="138" t="s">
        <v>90</v>
      </c>
      <c r="AL81" s="28"/>
      <c r="AM81" s="141"/>
      <c r="AP81" s="138" t="s">
        <v>72</v>
      </c>
      <c r="AQ81" s="138">
        <v>0</v>
      </c>
      <c r="AR81" s="141">
        <v>0</v>
      </c>
      <c r="AS81" s="138"/>
      <c r="AT81" s="141"/>
      <c r="AU81" s="28"/>
      <c r="AV81" s="28"/>
      <c r="AW81" s="28"/>
      <c r="AX81" s="28"/>
      <c r="AY81" s="141"/>
      <c r="BB81" s="196" t="s">
        <v>99</v>
      </c>
      <c r="BC81" s="138">
        <v>0</v>
      </c>
      <c r="BD81" s="141">
        <v>0</v>
      </c>
      <c r="BE81" s="28">
        <v>0</v>
      </c>
      <c r="BF81" s="28">
        <v>0</v>
      </c>
      <c r="BG81" s="28">
        <v>0</v>
      </c>
      <c r="BH81" s="138">
        <v>56171</v>
      </c>
      <c r="BI81" s="141">
        <v>14544</v>
      </c>
      <c r="BJ81" s="43">
        <v>27</v>
      </c>
      <c r="BK81" s="28" t="s">
        <v>100</v>
      </c>
      <c r="BL81" s="141"/>
    </row>
    <row r="82" spans="1:65" x14ac:dyDescent="0.3">
      <c r="A82" s="138" t="s">
        <v>93</v>
      </c>
      <c r="B82" s="138">
        <v>2274</v>
      </c>
      <c r="C82" s="28">
        <v>3417</v>
      </c>
      <c r="D82" s="138"/>
      <c r="E82" s="28" t="s">
        <v>60</v>
      </c>
      <c r="F82" s="28"/>
      <c r="G82" s="196">
        <v>4514</v>
      </c>
      <c r="H82" s="28">
        <v>27</v>
      </c>
      <c r="I82" s="28" t="s">
        <v>94</v>
      </c>
      <c r="J82" s="141"/>
      <c r="L82" s="138" t="s">
        <v>95</v>
      </c>
      <c r="M82" s="138">
        <v>0</v>
      </c>
      <c r="N82" s="196">
        <v>0</v>
      </c>
      <c r="O82" s="138"/>
      <c r="P82" s="196"/>
      <c r="Q82" s="141"/>
      <c r="R82" s="138"/>
      <c r="S82" s="196"/>
      <c r="T82" s="138" t="s">
        <v>96</v>
      </c>
      <c r="U82" s="141"/>
      <c r="AB82" s="138" t="s">
        <v>974</v>
      </c>
      <c r="AC82" s="138">
        <v>25</v>
      </c>
      <c r="AD82" s="141">
        <v>28</v>
      </c>
      <c r="AE82" s="28">
        <v>0</v>
      </c>
      <c r="AF82" s="28">
        <v>0</v>
      </c>
      <c r="AG82" s="28">
        <v>0</v>
      </c>
      <c r="AH82" s="138">
        <v>0</v>
      </c>
      <c r="AI82" s="141">
        <v>0</v>
      </c>
      <c r="AJ82" s="28">
        <v>0</v>
      </c>
      <c r="AK82" s="138"/>
      <c r="AL82" s="28" t="s">
        <v>529</v>
      </c>
      <c r="AM82" s="141"/>
      <c r="AP82" s="138" t="s">
        <v>78</v>
      </c>
      <c r="AQ82" s="138">
        <v>48</v>
      </c>
      <c r="AR82" s="141">
        <v>50</v>
      </c>
      <c r="AS82" s="138"/>
      <c r="AT82" s="141"/>
      <c r="AU82" s="28"/>
      <c r="AV82" s="28"/>
      <c r="AW82" s="28"/>
      <c r="AX82" s="28"/>
      <c r="AY82" s="141"/>
      <c r="AZ82" t="s">
        <v>6</v>
      </c>
      <c r="BB82" s="199" t="s">
        <v>84</v>
      </c>
      <c r="BC82" s="142">
        <f>SUM(BC80:BC81)</f>
        <v>0</v>
      </c>
      <c r="BD82" s="146">
        <f>SUM(BD80:BD81)</f>
        <v>0</v>
      </c>
      <c r="BE82" s="143"/>
      <c r="BF82" s="143"/>
      <c r="BG82" s="143"/>
      <c r="BH82" s="142"/>
      <c r="BI82" s="146"/>
      <c r="BJ82" s="143">
        <v>0</v>
      </c>
      <c r="BK82" s="143" t="s">
        <v>506</v>
      </c>
      <c r="BL82" s="146">
        <f>SUM(BJ81:BJ82)</f>
        <v>27</v>
      </c>
    </row>
    <row r="83" spans="1:65" x14ac:dyDescent="0.3">
      <c r="A83" s="142"/>
      <c r="B83" s="142"/>
      <c r="C83" s="143"/>
      <c r="D83" s="142"/>
      <c r="E83" s="143"/>
      <c r="F83" s="143"/>
      <c r="G83" s="199"/>
      <c r="H83" s="143">
        <v>2</v>
      </c>
      <c r="I83" s="143" t="s">
        <v>101</v>
      </c>
      <c r="J83" s="146">
        <f>SUM(H82:H83)</f>
        <v>29</v>
      </c>
      <c r="L83" s="138" t="s">
        <v>102</v>
      </c>
      <c r="M83" s="138">
        <v>0</v>
      </c>
      <c r="N83" s="196">
        <v>0</v>
      </c>
      <c r="O83" s="138"/>
      <c r="P83" s="196"/>
      <c r="Q83" s="141"/>
      <c r="R83" s="138"/>
      <c r="S83" s="196"/>
      <c r="T83" s="138"/>
      <c r="U83" s="141"/>
      <c r="AB83" s="142" t="s">
        <v>84</v>
      </c>
      <c r="AC83" s="142">
        <f>SUM(AC81:AC82)</f>
        <v>25</v>
      </c>
      <c r="AD83" s="146">
        <f>SUM(AD81:AD82)</f>
        <v>28</v>
      </c>
      <c r="AE83" s="143"/>
      <c r="AF83" s="143"/>
      <c r="AG83" s="143"/>
      <c r="AH83" s="142"/>
      <c r="AI83" s="146"/>
      <c r="AJ83" s="143"/>
      <c r="AK83" s="142">
        <v>1</v>
      </c>
      <c r="AL83" s="143" t="s">
        <v>145</v>
      </c>
      <c r="AM83" s="146"/>
      <c r="AP83" s="138" t="s">
        <v>122</v>
      </c>
      <c r="AQ83" s="138">
        <v>53</v>
      </c>
      <c r="AR83" s="141">
        <v>49</v>
      </c>
      <c r="AS83" s="138"/>
      <c r="AT83" s="141"/>
      <c r="AU83" s="28"/>
      <c r="AV83" s="28">
        <v>35</v>
      </c>
      <c r="AW83" s="28" t="s">
        <v>123</v>
      </c>
      <c r="AX83" s="28"/>
      <c r="AY83" s="141"/>
      <c r="BB83" s="196"/>
      <c r="BC83" s="138"/>
      <c r="BD83" s="141"/>
      <c r="BH83" s="138"/>
      <c r="BI83" s="141"/>
      <c r="BJ83" s="134"/>
      <c r="BK83" s="135"/>
      <c r="BL83" s="136"/>
    </row>
    <row r="84" spans="1:65" x14ac:dyDescent="0.3">
      <c r="A84" s="134" t="s">
        <v>250</v>
      </c>
      <c r="B84" s="134">
        <v>0</v>
      </c>
      <c r="C84" s="135">
        <v>0</v>
      </c>
      <c r="D84" s="134"/>
      <c r="E84" s="135"/>
      <c r="F84" s="135"/>
      <c r="G84" s="195"/>
      <c r="H84" s="135" t="s">
        <v>104</v>
      </c>
      <c r="I84" s="135"/>
      <c r="J84" s="136"/>
      <c r="L84" s="142" t="s">
        <v>84</v>
      </c>
      <c r="M84" s="142">
        <v>0</v>
      </c>
      <c r="N84" s="199">
        <v>0</v>
      </c>
      <c r="O84" s="142">
        <v>0</v>
      </c>
      <c r="P84" s="199">
        <v>0</v>
      </c>
      <c r="Q84" s="146">
        <v>0</v>
      </c>
      <c r="R84" s="142">
        <v>0</v>
      </c>
      <c r="S84" s="199">
        <v>0</v>
      </c>
      <c r="T84" s="142"/>
      <c r="U84" s="146"/>
      <c r="AB84" s="134"/>
      <c r="AC84" s="134"/>
      <c r="AD84" s="136"/>
      <c r="AE84" s="135"/>
      <c r="AF84" s="135"/>
      <c r="AG84" s="135"/>
      <c r="AH84" s="134"/>
      <c r="AI84" s="136"/>
      <c r="AJ84" s="135"/>
      <c r="AK84" s="134" t="s">
        <v>6</v>
      </c>
      <c r="AL84" s="135" t="s">
        <v>6</v>
      </c>
      <c r="AM84" s="136"/>
      <c r="AP84" s="138" t="s">
        <v>125</v>
      </c>
      <c r="AQ84" s="138">
        <v>3</v>
      </c>
      <c r="AR84" s="141">
        <v>2</v>
      </c>
      <c r="AS84" s="138"/>
      <c r="AT84" s="141"/>
      <c r="AU84" s="28"/>
      <c r="AV84" s="28">
        <v>30</v>
      </c>
      <c r="AW84" s="28" t="s">
        <v>126</v>
      </c>
      <c r="AX84" s="28"/>
      <c r="AY84" s="141"/>
      <c r="AZ84" t="s">
        <v>6</v>
      </c>
      <c r="BA84" t="s">
        <v>6</v>
      </c>
      <c r="BB84" s="196" t="s">
        <v>89</v>
      </c>
      <c r="BC84" s="138">
        <v>437</v>
      </c>
      <c r="BD84" s="141">
        <v>403</v>
      </c>
      <c r="BH84" s="138"/>
      <c r="BI84" s="141"/>
      <c r="BJ84" s="138"/>
      <c r="BK84" s="28" t="s">
        <v>91</v>
      </c>
      <c r="BL84" s="141"/>
    </row>
    <row r="85" spans="1:65" x14ac:dyDescent="0.3">
      <c r="A85" s="138" t="s">
        <v>105</v>
      </c>
      <c r="B85" s="138">
        <v>0</v>
      </c>
      <c r="C85" s="28">
        <v>0</v>
      </c>
      <c r="D85" s="138"/>
      <c r="E85" s="28" t="s">
        <v>60</v>
      </c>
      <c r="F85" s="28"/>
      <c r="G85" s="196"/>
      <c r="H85" s="28"/>
      <c r="I85" s="28" t="s">
        <v>106</v>
      </c>
      <c r="J85" s="141">
        <f>SUM(H85)</f>
        <v>0</v>
      </c>
      <c r="L85" s="134"/>
      <c r="M85" s="134"/>
      <c r="N85" s="195"/>
      <c r="O85" s="134"/>
      <c r="P85" s="195"/>
      <c r="Q85" s="136"/>
      <c r="R85" s="134"/>
      <c r="S85" s="195"/>
      <c r="T85" s="134" t="s">
        <v>104</v>
      </c>
      <c r="U85" s="136"/>
      <c r="AB85" s="138" t="s">
        <v>6</v>
      </c>
      <c r="AC85" s="138"/>
      <c r="AD85" s="141"/>
      <c r="AE85" s="28">
        <v>0</v>
      </c>
      <c r="AF85" s="28">
        <v>0</v>
      </c>
      <c r="AG85" s="28">
        <v>0</v>
      </c>
      <c r="AH85" s="138"/>
      <c r="AI85" s="141"/>
      <c r="AJ85" s="28">
        <v>0</v>
      </c>
      <c r="AK85" s="138"/>
      <c r="AL85" s="28" t="s">
        <v>6</v>
      </c>
      <c r="AM85" s="141"/>
      <c r="AP85" s="138" t="s">
        <v>128</v>
      </c>
      <c r="AQ85" s="138">
        <v>0</v>
      </c>
      <c r="AR85" s="141">
        <v>0</v>
      </c>
      <c r="AS85" s="138"/>
      <c r="AT85" s="141"/>
      <c r="AU85" s="28"/>
      <c r="AV85" s="28">
        <v>35</v>
      </c>
      <c r="AW85" s="28" t="s">
        <v>129</v>
      </c>
      <c r="AX85" s="28"/>
      <c r="AY85" s="141"/>
      <c r="BA85" t="s">
        <v>6</v>
      </c>
      <c r="BB85" s="196" t="s">
        <v>137</v>
      </c>
      <c r="BC85" s="138">
        <v>5</v>
      </c>
      <c r="BD85" s="141">
        <v>12</v>
      </c>
      <c r="BH85" s="138"/>
      <c r="BI85" s="141"/>
      <c r="BJ85" s="138"/>
      <c r="BK85" s="28"/>
      <c r="BL85" s="141"/>
    </row>
    <row r="86" spans="1:65" x14ac:dyDescent="0.3">
      <c r="A86" s="142" t="s">
        <v>84</v>
      </c>
      <c r="B86" s="142">
        <f>SUM(B84:B85)</f>
        <v>0</v>
      </c>
      <c r="C86" s="143">
        <f>SUM(C84:C85)</f>
        <v>0</v>
      </c>
      <c r="D86" s="142"/>
      <c r="E86" s="143"/>
      <c r="F86" s="143"/>
      <c r="G86" s="199">
        <v>0</v>
      </c>
      <c r="H86" s="143"/>
      <c r="I86" s="143"/>
      <c r="J86" s="146"/>
      <c r="L86" s="138" t="s">
        <v>109</v>
      </c>
      <c r="M86" s="138">
        <v>2661</v>
      </c>
      <c r="N86" s="196">
        <v>0</v>
      </c>
      <c r="O86" s="138">
        <v>0</v>
      </c>
      <c r="P86" s="196">
        <v>0</v>
      </c>
      <c r="Q86" s="141">
        <v>0</v>
      </c>
      <c r="R86" s="138">
        <v>0</v>
      </c>
      <c r="S86" s="196">
        <v>0</v>
      </c>
      <c r="T86" s="138"/>
      <c r="U86" s="141"/>
      <c r="AB86" s="138"/>
      <c r="AC86" s="138"/>
      <c r="AD86" s="141"/>
      <c r="AE86" s="28">
        <v>0</v>
      </c>
      <c r="AF86" s="28">
        <v>0</v>
      </c>
      <c r="AG86" s="28">
        <v>0</v>
      </c>
      <c r="AH86" s="138"/>
      <c r="AI86" s="141"/>
      <c r="AJ86" s="28"/>
      <c r="AK86" s="138"/>
      <c r="AL86" s="28"/>
      <c r="AM86" s="141"/>
      <c r="AP86" s="138" t="s">
        <v>132</v>
      </c>
      <c r="AQ86" s="138">
        <v>0</v>
      </c>
      <c r="AR86" s="141">
        <v>0</v>
      </c>
      <c r="AS86" s="138"/>
      <c r="AT86" s="141"/>
      <c r="AU86" s="28"/>
      <c r="AV86" s="28"/>
      <c r="AW86" s="28"/>
      <c r="AX86" s="28"/>
      <c r="AY86" s="141"/>
      <c r="BB86" s="196" t="s">
        <v>113</v>
      </c>
      <c r="BC86" s="138">
        <v>862</v>
      </c>
      <c r="BD86" s="141">
        <v>908</v>
      </c>
      <c r="BH86" s="138"/>
      <c r="BI86" s="141"/>
      <c r="BJ86" s="138">
        <v>111</v>
      </c>
      <c r="BK86" s="28" t="s">
        <v>73</v>
      </c>
      <c r="BL86" s="141"/>
    </row>
    <row r="87" spans="1:65" x14ac:dyDescent="0.3">
      <c r="A87" s="138" t="s">
        <v>108</v>
      </c>
      <c r="B87" s="138">
        <v>0</v>
      </c>
      <c r="C87" s="28">
        <v>0</v>
      </c>
      <c r="D87" s="138"/>
      <c r="E87" s="28">
        <v>818</v>
      </c>
      <c r="F87" s="28"/>
      <c r="G87" s="196"/>
      <c r="H87" s="28" t="s">
        <v>104</v>
      </c>
      <c r="I87" s="28"/>
      <c r="J87" s="141"/>
      <c r="L87" s="142"/>
      <c r="M87" s="142"/>
      <c r="N87" s="199"/>
      <c r="O87" s="142"/>
      <c r="P87" s="199"/>
      <c r="Q87" s="146"/>
      <c r="R87" s="142"/>
      <c r="S87" s="199"/>
      <c r="T87" s="142"/>
      <c r="U87" s="146"/>
      <c r="AB87" s="142"/>
      <c r="AC87" s="142"/>
      <c r="AD87" s="146"/>
      <c r="AE87" s="143">
        <v>0</v>
      </c>
      <c r="AF87" s="143">
        <v>0</v>
      </c>
      <c r="AG87" s="143">
        <v>0</v>
      </c>
      <c r="AH87" s="142"/>
      <c r="AI87" s="146"/>
      <c r="AJ87" s="143"/>
      <c r="AK87" s="142"/>
      <c r="AL87" s="143"/>
      <c r="AM87" s="146"/>
      <c r="AP87" s="138" t="s">
        <v>81</v>
      </c>
      <c r="AQ87" s="138">
        <v>6</v>
      </c>
      <c r="AR87" s="141">
        <v>0</v>
      </c>
      <c r="AS87" s="138"/>
      <c r="AT87" s="141"/>
      <c r="AU87" s="28"/>
      <c r="AV87" s="28"/>
      <c r="AW87" s="28"/>
      <c r="AX87" s="28"/>
      <c r="AY87" s="141"/>
      <c r="BA87" t="s">
        <v>6</v>
      </c>
      <c r="BB87" s="196" t="s">
        <v>84</v>
      </c>
      <c r="BC87" s="138">
        <f>SUM(BC84:BC86)</f>
        <v>1304</v>
      </c>
      <c r="BD87" s="141">
        <f>SUM(BD84:BD86)</f>
        <v>1323</v>
      </c>
      <c r="BE87">
        <v>0</v>
      </c>
      <c r="BF87">
        <v>0</v>
      </c>
      <c r="BG87">
        <v>0</v>
      </c>
      <c r="BH87" s="138">
        <v>0</v>
      </c>
      <c r="BI87" s="141">
        <v>0</v>
      </c>
      <c r="BJ87" s="142"/>
      <c r="BK87" s="143"/>
      <c r="BL87" s="146">
        <f>SUM(BJ86)</f>
        <v>111</v>
      </c>
    </row>
    <row r="88" spans="1:65" x14ac:dyDescent="0.3">
      <c r="A88" s="138" t="s">
        <v>109</v>
      </c>
      <c r="B88" s="138">
        <v>1434</v>
      </c>
      <c r="C88" s="28">
        <v>1760</v>
      </c>
      <c r="D88" s="138"/>
      <c r="E88" s="28">
        <v>0</v>
      </c>
      <c r="F88" s="28"/>
      <c r="G88" s="196"/>
      <c r="H88" s="28">
        <v>8</v>
      </c>
      <c r="I88" s="28" t="s">
        <v>114</v>
      </c>
      <c r="J88" s="141"/>
      <c r="L88" s="134" t="s">
        <v>93</v>
      </c>
      <c r="M88" s="134">
        <v>0</v>
      </c>
      <c r="N88" s="195">
        <v>0</v>
      </c>
      <c r="O88" s="134"/>
      <c r="P88" s="195"/>
      <c r="Q88" s="136"/>
      <c r="R88" s="134">
        <v>0</v>
      </c>
      <c r="S88" s="195">
        <v>0</v>
      </c>
      <c r="T88" s="134" t="s">
        <v>116</v>
      </c>
      <c r="U88" s="136"/>
      <c r="AB88" s="138"/>
      <c r="AC88" s="138"/>
      <c r="AD88" s="141"/>
      <c r="AE88" s="28"/>
      <c r="AF88" s="28"/>
      <c r="AG88" s="28"/>
      <c r="AH88" s="138"/>
      <c r="AI88" s="141"/>
      <c r="AJ88" s="28"/>
      <c r="AK88" s="138"/>
      <c r="AL88" s="28" t="s">
        <v>117</v>
      </c>
      <c r="AM88" s="141"/>
      <c r="AP88" s="138" t="s">
        <v>138</v>
      </c>
      <c r="AQ88" s="138">
        <v>0</v>
      </c>
      <c r="AR88" s="141">
        <v>0</v>
      </c>
      <c r="AS88" s="138"/>
      <c r="AT88" s="141"/>
      <c r="AU88" s="28"/>
      <c r="AV88" s="28"/>
      <c r="AW88" s="28"/>
      <c r="AX88" s="28"/>
      <c r="AY88" s="141"/>
      <c r="BB88" s="134"/>
      <c r="BC88" s="134"/>
      <c r="BD88" s="136"/>
      <c r="BE88" s="135"/>
      <c r="BF88" s="135"/>
      <c r="BG88" s="135"/>
      <c r="BH88" s="134"/>
      <c r="BI88" s="136"/>
      <c r="BJ88" s="135"/>
      <c r="BK88" s="135"/>
      <c r="BL88" s="136"/>
    </row>
    <row r="89" spans="1:65" x14ac:dyDescent="0.3">
      <c r="A89" s="142" t="s">
        <v>84</v>
      </c>
      <c r="B89" s="142">
        <f>SUM(B87:B88)</f>
        <v>1434</v>
      </c>
      <c r="C89" s="143">
        <f>SUM(C87:C88)</f>
        <v>1760</v>
      </c>
      <c r="D89" s="142"/>
      <c r="E89" s="143">
        <f>SUM(E87:E88)</f>
        <v>818</v>
      </c>
      <c r="F89" s="143"/>
      <c r="G89" s="199">
        <v>2972</v>
      </c>
      <c r="H89" s="143"/>
      <c r="I89" s="143"/>
      <c r="J89" s="146">
        <f>SUM(H88)</f>
        <v>8</v>
      </c>
      <c r="L89" s="138" t="s">
        <v>99</v>
      </c>
      <c r="M89" s="138">
        <v>25724</v>
      </c>
      <c r="N89" s="196">
        <v>23270</v>
      </c>
      <c r="O89" s="138"/>
      <c r="P89" s="196"/>
      <c r="Q89" s="141">
        <v>4705</v>
      </c>
      <c r="R89" s="138">
        <v>188</v>
      </c>
      <c r="S89" s="196"/>
      <c r="T89" s="138"/>
      <c r="U89" s="141"/>
      <c r="AB89" s="138"/>
      <c r="AC89" s="138"/>
      <c r="AD89" s="141"/>
      <c r="AE89" s="28"/>
      <c r="AF89" s="28"/>
      <c r="AG89" s="28"/>
      <c r="AH89" s="138"/>
      <c r="AI89" s="141"/>
      <c r="AJ89" s="28"/>
      <c r="AK89" s="138"/>
      <c r="AL89" s="28" t="s">
        <v>558</v>
      </c>
      <c r="AM89" s="141"/>
      <c r="AP89" s="138" t="s">
        <v>536</v>
      </c>
      <c r="AQ89" s="138">
        <v>5</v>
      </c>
      <c r="AR89" s="141">
        <v>5</v>
      </c>
      <c r="AS89" s="138"/>
      <c r="AT89" s="141"/>
      <c r="AU89" s="28"/>
      <c r="AV89" s="28"/>
      <c r="AW89" s="28"/>
      <c r="AX89" s="28"/>
      <c r="AY89" s="141"/>
      <c r="BB89" s="138" t="s">
        <v>113</v>
      </c>
      <c r="BC89" s="138">
        <v>0</v>
      </c>
      <c r="BD89" s="141">
        <v>0</v>
      </c>
      <c r="BE89" s="28"/>
      <c r="BF89" s="28"/>
      <c r="BG89" s="28"/>
      <c r="BH89" s="138"/>
      <c r="BI89" s="141"/>
      <c r="BJ89" s="28"/>
      <c r="BK89" s="28"/>
      <c r="BL89" s="141"/>
    </row>
    <row r="90" spans="1:65" x14ac:dyDescent="0.3">
      <c r="A90" s="134" t="s">
        <v>93</v>
      </c>
      <c r="B90" s="134">
        <v>5463</v>
      </c>
      <c r="C90" s="135">
        <v>6065</v>
      </c>
      <c r="D90" s="134"/>
      <c r="E90" s="135"/>
      <c r="F90" s="135"/>
      <c r="G90" s="195">
        <v>6650</v>
      </c>
      <c r="H90" s="135" t="s">
        <v>118</v>
      </c>
      <c r="I90" s="135"/>
      <c r="J90" s="136"/>
      <c r="L90" s="138" t="s">
        <v>120</v>
      </c>
      <c r="M90" s="138">
        <v>0</v>
      </c>
      <c r="N90" s="196">
        <v>19129</v>
      </c>
      <c r="O90" s="138"/>
      <c r="P90" s="196"/>
      <c r="Q90" s="141">
        <v>0</v>
      </c>
      <c r="R90" s="138">
        <v>0</v>
      </c>
      <c r="S90" s="196">
        <v>0</v>
      </c>
      <c r="T90" s="138"/>
      <c r="U90" s="141"/>
      <c r="AB90" s="138"/>
      <c r="AC90" s="138"/>
      <c r="AD90" s="141"/>
      <c r="AE90" s="28"/>
      <c r="AF90" s="28"/>
      <c r="AG90" s="28"/>
      <c r="AH90" s="138"/>
      <c r="AI90" s="141"/>
      <c r="AJ90" s="28"/>
      <c r="AK90" s="138"/>
      <c r="AL90" s="28" t="s">
        <v>401</v>
      </c>
      <c r="AM90" s="141"/>
      <c r="AP90" s="138" t="s">
        <v>67</v>
      </c>
      <c r="AQ90" s="138">
        <v>39</v>
      </c>
      <c r="AR90" s="141">
        <v>51</v>
      </c>
      <c r="AS90" s="138"/>
      <c r="AT90" s="141"/>
      <c r="AU90" s="28"/>
      <c r="AV90" s="28"/>
      <c r="AW90" s="28"/>
      <c r="AX90" s="28"/>
      <c r="AY90" s="141"/>
      <c r="BB90" s="138" t="s">
        <v>475</v>
      </c>
      <c r="BC90" s="138">
        <v>0</v>
      </c>
      <c r="BD90" s="141">
        <v>0</v>
      </c>
      <c r="BE90" s="28"/>
      <c r="BF90" s="28"/>
      <c r="BG90" s="28"/>
      <c r="BH90" s="138"/>
      <c r="BI90" s="141"/>
      <c r="BJ90" s="28"/>
      <c r="BK90" s="28"/>
      <c r="BL90" s="141"/>
      <c r="BM90" t="s">
        <v>6</v>
      </c>
    </row>
    <row r="91" spans="1:65" x14ac:dyDescent="0.3">
      <c r="A91" s="138" t="s">
        <v>120</v>
      </c>
      <c r="B91" s="138">
        <v>4055</v>
      </c>
      <c r="C91" s="43">
        <v>4423</v>
      </c>
      <c r="D91" s="138"/>
      <c r="E91" s="28" t="s">
        <v>60</v>
      </c>
      <c r="F91" s="28"/>
      <c r="G91" s="196">
        <v>5510</v>
      </c>
      <c r="H91" s="28">
        <v>54</v>
      </c>
      <c r="I91" s="28" t="s">
        <v>101</v>
      </c>
      <c r="J91" s="141"/>
      <c r="L91" s="142" t="s">
        <v>84</v>
      </c>
      <c r="M91" s="142">
        <f>SUM(M88:M90)</f>
        <v>25724</v>
      </c>
      <c r="N91" s="199">
        <f>SUM(N88:N90)</f>
        <v>42399</v>
      </c>
      <c r="O91" s="142">
        <v>0</v>
      </c>
      <c r="P91" s="199">
        <v>0</v>
      </c>
      <c r="Q91" s="146">
        <v>0</v>
      </c>
      <c r="R91" s="142">
        <f>SUM(R88:R90)</f>
        <v>188</v>
      </c>
      <c r="S91" s="199">
        <f>SUM(S88:S90)</f>
        <v>0</v>
      </c>
      <c r="T91" s="142"/>
      <c r="U91" s="146"/>
      <c r="AB91" s="138"/>
      <c r="AC91" s="138"/>
      <c r="AD91" s="141"/>
      <c r="AE91" s="28"/>
      <c r="AF91" s="28"/>
      <c r="AG91" s="28"/>
      <c r="AH91" s="138"/>
      <c r="AI91" s="141"/>
      <c r="AJ91" s="28"/>
      <c r="AK91" s="138"/>
      <c r="AL91" s="28" t="s">
        <v>124</v>
      </c>
      <c r="AM91" s="141"/>
      <c r="AP91" s="142" t="s">
        <v>84</v>
      </c>
      <c r="AQ91" s="142">
        <f>SUM(AQ79:AQ90)</f>
        <v>339</v>
      </c>
      <c r="AR91" s="146">
        <f>SUM(AR79:AR90)</f>
        <v>293</v>
      </c>
      <c r="AS91" s="142"/>
      <c r="AT91" s="146">
        <v>0</v>
      </c>
      <c r="AU91" s="143"/>
      <c r="AV91" s="143"/>
      <c r="AW91" s="143"/>
      <c r="AX91" s="143"/>
      <c r="AY91" s="146">
        <f>SUM(AV83:AV85)</f>
        <v>100</v>
      </c>
      <c r="BB91" s="142" t="s">
        <v>84</v>
      </c>
      <c r="BC91" s="142">
        <f>SUM(BC89:BC90)</f>
        <v>0</v>
      </c>
      <c r="BD91" s="146">
        <f>SUM(BD89:BD90)</f>
        <v>0</v>
      </c>
      <c r="BE91" s="143">
        <v>0</v>
      </c>
      <c r="BF91" s="143">
        <v>0</v>
      </c>
      <c r="BG91" s="143">
        <v>0</v>
      </c>
      <c r="BH91" s="142">
        <v>0</v>
      </c>
      <c r="BI91" s="146">
        <v>0</v>
      </c>
      <c r="BJ91" s="143"/>
      <c r="BK91" s="143"/>
      <c r="BL91" s="146">
        <f>SUM(BJ90)</f>
        <v>0</v>
      </c>
    </row>
    <row r="92" spans="1:65" x14ac:dyDescent="0.3">
      <c r="A92" s="142" t="s">
        <v>84</v>
      </c>
      <c r="B92" s="142">
        <f>SUM(B90:B91)</f>
        <v>9518</v>
      </c>
      <c r="C92" s="143">
        <f>SUM(C90:C91)</f>
        <v>10488</v>
      </c>
      <c r="D92" s="142"/>
      <c r="E92" s="143"/>
      <c r="F92" s="143"/>
      <c r="G92" s="199">
        <f>SUM(G90:G91)</f>
        <v>12160</v>
      </c>
      <c r="H92" s="143">
        <v>19</v>
      </c>
      <c r="I92" s="143" t="s">
        <v>927</v>
      </c>
      <c r="J92" s="146">
        <f>SUM(H91:H92)</f>
        <v>73</v>
      </c>
      <c r="L92" s="134"/>
      <c r="M92" s="134"/>
      <c r="N92" s="195"/>
      <c r="O92" s="134"/>
      <c r="P92" s="195"/>
      <c r="Q92" s="136"/>
      <c r="R92" s="134"/>
      <c r="S92" s="195"/>
      <c r="T92" s="134"/>
      <c r="U92" s="136"/>
      <c r="AB92" s="134"/>
      <c r="AC92" s="134"/>
      <c r="AD92" s="136"/>
      <c r="AE92" s="135"/>
      <c r="AF92" s="135"/>
      <c r="AG92" s="135"/>
      <c r="AH92" s="134"/>
      <c r="AI92" s="136"/>
      <c r="AJ92" s="135"/>
      <c r="AK92" s="134"/>
      <c r="AL92" s="135"/>
      <c r="AM92" s="136"/>
      <c r="AP92" s="134"/>
      <c r="AQ92" s="134"/>
      <c r="AR92" s="136"/>
      <c r="AS92" s="134"/>
      <c r="AT92" s="136"/>
      <c r="AU92" s="135"/>
      <c r="AV92" s="135"/>
      <c r="AW92" s="135"/>
      <c r="AX92" s="135"/>
      <c r="AY92" s="136"/>
      <c r="BB92" s="196" t="s">
        <v>102</v>
      </c>
      <c r="BC92" s="138">
        <v>0</v>
      </c>
      <c r="BD92" s="141">
        <v>2</v>
      </c>
      <c r="BE92" s="134"/>
      <c r="BF92" s="135"/>
      <c r="BG92" s="136"/>
      <c r="BH92" s="138"/>
      <c r="BI92" s="141"/>
      <c r="BJ92" s="134" t="s">
        <v>140</v>
      </c>
      <c r="BK92" s="135"/>
      <c r="BL92" s="136"/>
    </row>
    <row r="93" spans="1:65" x14ac:dyDescent="0.3">
      <c r="A93" s="134" t="s">
        <v>88</v>
      </c>
      <c r="B93" s="134">
        <v>218</v>
      </c>
      <c r="C93" s="135">
        <v>528</v>
      </c>
      <c r="D93" s="134"/>
      <c r="E93" s="135">
        <v>0</v>
      </c>
      <c r="F93" s="135"/>
      <c r="G93" s="195">
        <v>1663</v>
      </c>
      <c r="H93" s="135" t="s">
        <v>131</v>
      </c>
      <c r="I93" s="135"/>
      <c r="J93" s="136"/>
      <c r="L93" s="138" t="s">
        <v>105</v>
      </c>
      <c r="M93" s="138">
        <v>2053</v>
      </c>
      <c r="N93" s="196">
        <v>634</v>
      </c>
      <c r="O93" s="138">
        <v>0</v>
      </c>
      <c r="P93" s="196">
        <v>0</v>
      </c>
      <c r="Q93" s="141">
        <v>1</v>
      </c>
      <c r="R93" s="138">
        <v>0</v>
      </c>
      <c r="S93" s="196">
        <v>0</v>
      </c>
      <c r="T93" s="138"/>
      <c r="U93" s="141"/>
      <c r="AB93" s="138" t="s">
        <v>97</v>
      </c>
      <c r="AC93" s="138">
        <v>119</v>
      </c>
      <c r="AD93" s="141">
        <v>134</v>
      </c>
      <c r="AE93" s="28"/>
      <c r="AF93" s="28"/>
      <c r="AG93" s="28"/>
      <c r="AH93" s="138"/>
      <c r="AI93" s="141"/>
      <c r="AJ93" s="28"/>
      <c r="AK93" s="138"/>
      <c r="AL93" s="28"/>
      <c r="AM93" s="141"/>
      <c r="AP93" s="138" t="s">
        <v>63</v>
      </c>
      <c r="AQ93" s="138">
        <v>3</v>
      </c>
      <c r="AR93" s="141">
        <v>3</v>
      </c>
      <c r="AS93" s="138"/>
      <c r="AT93" s="141"/>
      <c r="AU93" s="28"/>
      <c r="AV93" s="28"/>
      <c r="AW93" s="28"/>
      <c r="AX93" s="28"/>
      <c r="AY93" s="141"/>
      <c r="BB93" s="196" t="s">
        <v>158</v>
      </c>
      <c r="BC93" s="138">
        <v>0</v>
      </c>
      <c r="BD93" s="141">
        <v>2</v>
      </c>
      <c r="BE93" s="138"/>
      <c r="BF93" s="28"/>
      <c r="BG93" s="141"/>
      <c r="BH93" s="138"/>
      <c r="BI93" s="141"/>
      <c r="BJ93" s="138"/>
      <c r="BK93" s="28"/>
      <c r="BL93" s="141"/>
    </row>
    <row r="94" spans="1:65" x14ac:dyDescent="0.3">
      <c r="A94" s="138" t="s">
        <v>102</v>
      </c>
      <c r="B94" s="138">
        <v>499</v>
      </c>
      <c r="C94" s="43">
        <v>697</v>
      </c>
      <c r="D94" s="138"/>
      <c r="E94" s="28">
        <v>0</v>
      </c>
      <c r="F94" s="28"/>
      <c r="G94" s="196">
        <v>1513</v>
      </c>
      <c r="H94" s="43">
        <v>12</v>
      </c>
      <c r="I94" s="28" t="s">
        <v>134</v>
      </c>
      <c r="J94" s="141"/>
      <c r="L94" s="138" t="s">
        <v>99</v>
      </c>
      <c r="M94" s="138">
        <v>140</v>
      </c>
      <c r="N94" s="196">
        <v>0</v>
      </c>
      <c r="O94" s="138">
        <v>0</v>
      </c>
      <c r="P94" s="196">
        <v>0</v>
      </c>
      <c r="Q94" s="141">
        <v>0</v>
      </c>
      <c r="R94" s="138">
        <v>0</v>
      </c>
      <c r="S94" s="196">
        <v>0</v>
      </c>
      <c r="T94" s="138" t="s">
        <v>135</v>
      </c>
      <c r="U94" s="141"/>
      <c r="AB94" s="138" t="s">
        <v>89</v>
      </c>
      <c r="AC94" s="138">
        <v>509</v>
      </c>
      <c r="AD94" s="141">
        <v>364</v>
      </c>
      <c r="AE94" s="28"/>
      <c r="AF94" s="28"/>
      <c r="AG94" s="28"/>
      <c r="AH94" s="138"/>
      <c r="AI94" s="141"/>
      <c r="AJ94" s="28"/>
      <c r="AK94" s="138" t="s">
        <v>953</v>
      </c>
      <c r="AL94" s="28"/>
      <c r="AM94" s="141"/>
      <c r="AP94" s="138" t="s">
        <v>536</v>
      </c>
      <c r="AQ94" s="138">
        <v>0</v>
      </c>
      <c r="AR94" s="141">
        <v>0</v>
      </c>
      <c r="AS94" s="138"/>
      <c r="AT94" s="141"/>
      <c r="AU94" s="28"/>
      <c r="AV94" s="28"/>
      <c r="AW94" s="28"/>
      <c r="AX94" s="28"/>
      <c r="AY94" s="141"/>
      <c r="BB94" s="196" t="s">
        <v>133</v>
      </c>
      <c r="BC94" s="138">
        <v>10</v>
      </c>
      <c r="BD94" s="141">
        <v>7</v>
      </c>
      <c r="BE94" s="138"/>
      <c r="BF94" s="28"/>
      <c r="BG94" s="141"/>
      <c r="BH94" s="138"/>
      <c r="BI94" s="141"/>
      <c r="BJ94" s="138"/>
      <c r="BK94" s="28"/>
      <c r="BL94" s="141"/>
    </row>
    <row r="95" spans="1:65" x14ac:dyDescent="0.3">
      <c r="A95" s="142" t="s">
        <v>84</v>
      </c>
      <c r="B95" s="142">
        <f>SUM(B93:B94)</f>
        <v>717</v>
      </c>
      <c r="C95" s="143">
        <f>SUM(C93:C94)</f>
        <v>1225</v>
      </c>
      <c r="D95" s="142"/>
      <c r="E95" s="143">
        <v>0</v>
      </c>
      <c r="F95" s="143"/>
      <c r="G95" s="199">
        <f>SUM(G93:G94)</f>
        <v>3176</v>
      </c>
      <c r="H95" s="143">
        <v>5</v>
      </c>
      <c r="I95" s="143" t="s">
        <v>815</v>
      </c>
      <c r="J95" s="146">
        <f>SUM(H94:H95)</f>
        <v>17</v>
      </c>
      <c r="L95" s="138"/>
      <c r="M95" s="138"/>
      <c r="N95" s="196"/>
      <c r="O95" s="138"/>
      <c r="P95" s="196"/>
      <c r="Q95" s="141"/>
      <c r="R95" s="138"/>
      <c r="S95" s="196"/>
      <c r="T95" s="138"/>
      <c r="U95" s="141"/>
      <c r="AB95" s="138" t="s">
        <v>137</v>
      </c>
      <c r="AC95" s="138">
        <v>300</v>
      </c>
      <c r="AD95" s="141">
        <v>426</v>
      </c>
      <c r="AE95" s="28"/>
      <c r="AF95" s="28"/>
      <c r="AG95" s="28"/>
      <c r="AH95" s="138"/>
      <c r="AI95" s="141"/>
      <c r="AJ95" s="28"/>
      <c r="AK95" s="138">
        <v>5</v>
      </c>
      <c r="AL95" s="28" t="s">
        <v>884</v>
      </c>
      <c r="AM95" s="141"/>
      <c r="AP95" s="138" t="s">
        <v>56</v>
      </c>
      <c r="AQ95" s="138">
        <v>0</v>
      </c>
      <c r="AR95" s="141">
        <v>9</v>
      </c>
      <c r="AS95" s="138"/>
      <c r="AT95" s="141"/>
      <c r="AU95" s="28"/>
      <c r="AV95" s="28" t="s">
        <v>173</v>
      </c>
      <c r="AW95" s="28"/>
      <c r="AX95" s="28"/>
      <c r="AY95" s="141"/>
      <c r="BB95" s="196" t="s">
        <v>113</v>
      </c>
      <c r="BC95" s="138">
        <v>81</v>
      </c>
      <c r="BD95" s="141">
        <v>79</v>
      </c>
      <c r="BE95" s="138"/>
      <c r="BF95" s="28"/>
      <c r="BG95" s="141"/>
      <c r="BH95" s="138"/>
      <c r="BI95" s="141"/>
      <c r="BJ95" s="138" t="s">
        <v>142</v>
      </c>
      <c r="BK95" s="28"/>
      <c r="BL95" s="141" t="s">
        <v>954</v>
      </c>
    </row>
    <row r="96" spans="1:65" x14ac:dyDescent="0.3">
      <c r="A96" s="134" t="s">
        <v>93</v>
      </c>
      <c r="B96" s="134">
        <v>3965</v>
      </c>
      <c r="C96" s="135">
        <v>4486</v>
      </c>
      <c r="D96" s="134"/>
      <c r="E96" s="135" t="s">
        <v>60</v>
      </c>
      <c r="F96" s="135"/>
      <c r="G96" s="195">
        <v>4742</v>
      </c>
      <c r="H96" s="135" t="s">
        <v>116</v>
      </c>
      <c r="I96" s="135"/>
      <c r="J96" s="136"/>
      <c r="L96" s="142" t="s">
        <v>84</v>
      </c>
      <c r="M96" s="142">
        <f>SUM(M93:M95)</f>
        <v>2193</v>
      </c>
      <c r="N96" s="199">
        <f>SUM(N93:N95)</f>
        <v>634</v>
      </c>
      <c r="O96" s="142">
        <v>0</v>
      </c>
      <c r="P96" s="199">
        <v>0</v>
      </c>
      <c r="Q96" s="146">
        <v>0</v>
      </c>
      <c r="R96" s="142">
        <f>SUM(R93:R95)</f>
        <v>0</v>
      </c>
      <c r="S96" s="199">
        <v>0</v>
      </c>
      <c r="T96" s="142"/>
      <c r="U96" s="146"/>
      <c r="AB96" s="138" t="s">
        <v>84</v>
      </c>
      <c r="AC96" s="138">
        <f>SUM(AC93:AC95)</f>
        <v>928</v>
      </c>
      <c r="AD96" s="141">
        <f>SUM(AD93:AD95)</f>
        <v>924</v>
      </c>
      <c r="AE96" s="28">
        <v>0</v>
      </c>
      <c r="AF96" s="28">
        <v>0</v>
      </c>
      <c r="AG96" s="28">
        <v>0</v>
      </c>
      <c r="AH96" s="138">
        <v>0</v>
      </c>
      <c r="AI96" s="141">
        <v>0</v>
      </c>
      <c r="AJ96" s="28">
        <v>0</v>
      </c>
      <c r="AK96" s="138">
        <v>16</v>
      </c>
      <c r="AL96" s="28" t="s">
        <v>141</v>
      </c>
      <c r="AM96" s="141"/>
      <c r="AP96" s="138" t="s">
        <v>67</v>
      </c>
      <c r="AQ96" s="138">
        <v>2</v>
      </c>
      <c r="AR96" s="141">
        <v>12</v>
      </c>
      <c r="AS96" s="138"/>
      <c r="AT96" s="141"/>
      <c r="AU96" s="28"/>
      <c r="AV96" s="28"/>
      <c r="AW96" s="28"/>
      <c r="AX96" s="28"/>
      <c r="AY96" s="141"/>
      <c r="BB96" s="196" t="s">
        <v>214</v>
      </c>
      <c r="BC96" s="138">
        <v>0</v>
      </c>
      <c r="BD96" s="141">
        <v>8</v>
      </c>
      <c r="BE96" s="138"/>
      <c r="BF96" s="28"/>
      <c r="BG96" s="141"/>
      <c r="BH96" s="138"/>
      <c r="BI96" s="141"/>
      <c r="BJ96" s="138" t="s">
        <v>146</v>
      </c>
      <c r="BK96" s="28"/>
      <c r="BL96" s="141" t="s">
        <v>975</v>
      </c>
    </row>
    <row r="97" spans="1:64" x14ac:dyDescent="0.3">
      <c r="A97" s="138" t="s">
        <v>99</v>
      </c>
      <c r="B97" s="138">
        <v>10627</v>
      </c>
      <c r="C97" s="43">
        <v>10246</v>
      </c>
      <c r="D97" s="138"/>
      <c r="E97" s="28" t="s">
        <v>60</v>
      </c>
      <c r="F97" s="28"/>
      <c r="G97" s="196">
        <v>27562</v>
      </c>
      <c r="H97" s="43">
        <v>140</v>
      </c>
      <c r="I97" s="28" t="s">
        <v>144</v>
      </c>
      <c r="J97" s="141"/>
      <c r="L97" s="138"/>
      <c r="M97" s="138"/>
      <c r="N97" s="196"/>
      <c r="O97" s="138"/>
      <c r="P97" s="196"/>
      <c r="Q97" s="141"/>
      <c r="R97" s="138"/>
      <c r="S97" s="196"/>
      <c r="T97" s="138"/>
      <c r="U97" s="141"/>
      <c r="AB97" s="142"/>
      <c r="AC97" s="142"/>
      <c r="AD97" s="146"/>
      <c r="AE97" s="143"/>
      <c r="AF97" s="143"/>
      <c r="AG97" s="143"/>
      <c r="AH97" s="142"/>
      <c r="AI97" s="146"/>
      <c r="AJ97" s="143"/>
      <c r="AK97" s="142"/>
      <c r="AL97" s="143" t="s">
        <v>145</v>
      </c>
      <c r="AM97" s="146"/>
      <c r="AP97" s="138" t="s">
        <v>78</v>
      </c>
      <c r="AQ97" s="138">
        <v>0</v>
      </c>
      <c r="AR97" s="141">
        <v>0</v>
      </c>
      <c r="AS97" s="138"/>
      <c r="AT97" s="141"/>
      <c r="AU97" s="28"/>
      <c r="AV97" s="28">
        <v>10</v>
      </c>
      <c r="AW97" s="28" t="s">
        <v>183</v>
      </c>
      <c r="AX97" s="28"/>
      <c r="AY97" s="141"/>
      <c r="BA97" t="s">
        <v>6</v>
      </c>
      <c r="BB97" s="196" t="s">
        <v>200</v>
      </c>
      <c r="BC97" s="138">
        <v>5</v>
      </c>
      <c r="BD97" s="141">
        <v>0</v>
      </c>
      <c r="BE97" s="138"/>
      <c r="BF97" s="28"/>
      <c r="BG97" s="141"/>
      <c r="BH97" s="138"/>
      <c r="BI97" s="141"/>
      <c r="BJ97" s="138"/>
      <c r="BK97" s="28"/>
      <c r="BL97" s="141"/>
    </row>
    <row r="98" spans="1:64" x14ac:dyDescent="0.3">
      <c r="A98" s="138" t="s">
        <v>120</v>
      </c>
      <c r="B98" s="138">
        <v>3264</v>
      </c>
      <c r="C98" s="43">
        <v>3803</v>
      </c>
      <c r="D98" s="138"/>
      <c r="E98" s="28" t="s">
        <v>60</v>
      </c>
      <c r="F98" s="28"/>
      <c r="G98" s="196">
        <v>4498</v>
      </c>
      <c r="H98" s="43">
        <v>6</v>
      </c>
      <c r="I98" s="28" t="s">
        <v>148</v>
      </c>
      <c r="J98" s="141"/>
      <c r="L98" s="138"/>
      <c r="M98" s="138"/>
      <c r="N98" s="196"/>
      <c r="O98" s="138"/>
      <c r="P98" s="196"/>
      <c r="Q98" s="141"/>
      <c r="R98" s="138"/>
      <c r="S98" s="196"/>
      <c r="T98" s="138"/>
      <c r="U98" s="141"/>
      <c r="AB98" s="138"/>
      <c r="AC98" s="138"/>
      <c r="AD98" s="141"/>
      <c r="AE98" s="28"/>
      <c r="AF98" s="28"/>
      <c r="AG98" s="28"/>
      <c r="AH98" s="138"/>
      <c r="AI98" s="141"/>
      <c r="AJ98" s="28"/>
      <c r="AK98" s="138" t="s">
        <v>149</v>
      </c>
      <c r="AL98" s="28"/>
      <c r="AM98" s="141"/>
      <c r="AN98" t="s">
        <v>6</v>
      </c>
      <c r="AP98" s="138" t="s">
        <v>115</v>
      </c>
      <c r="AQ98" s="138">
        <v>0</v>
      </c>
      <c r="AR98" s="141">
        <v>0</v>
      </c>
      <c r="AS98" s="138"/>
      <c r="AT98" s="141"/>
      <c r="AU98" s="28"/>
      <c r="AV98" s="28" t="s">
        <v>6</v>
      </c>
      <c r="AW98" s="28"/>
      <c r="AX98" s="28"/>
      <c r="AY98" s="141"/>
      <c r="BB98" s="196" t="s">
        <v>976</v>
      </c>
      <c r="BC98" s="138">
        <v>0</v>
      </c>
      <c r="BD98" s="141">
        <v>5</v>
      </c>
      <c r="BE98" s="138" t="s">
        <v>150</v>
      </c>
      <c r="BF98" s="28"/>
      <c r="BG98" s="141"/>
      <c r="BH98" s="138"/>
      <c r="BI98" s="141"/>
      <c r="BJ98" s="138" t="s">
        <v>151</v>
      </c>
      <c r="BK98" s="28"/>
      <c r="BL98" s="141"/>
    </row>
    <row r="99" spans="1:64" x14ac:dyDescent="0.3">
      <c r="A99" s="138" t="s">
        <v>84</v>
      </c>
      <c r="B99" s="138">
        <f>SUM(B96:B98)</f>
        <v>17856</v>
      </c>
      <c r="C99" s="28">
        <f>SUM(C96:C98)</f>
        <v>18535</v>
      </c>
      <c r="D99" s="138"/>
      <c r="E99" s="28" t="s">
        <v>60</v>
      </c>
      <c r="F99" s="28"/>
      <c r="G99" s="196">
        <f>SUM(G96:G98)</f>
        <v>36802</v>
      </c>
      <c r="H99" s="43">
        <v>26</v>
      </c>
      <c r="I99" s="28" t="s">
        <v>152</v>
      </c>
      <c r="J99" s="141"/>
      <c r="L99" s="138"/>
      <c r="M99" s="138"/>
      <c r="N99" s="196"/>
      <c r="O99" s="138"/>
      <c r="P99" s="196"/>
      <c r="Q99" s="141"/>
      <c r="R99" s="138"/>
      <c r="S99" s="196"/>
      <c r="T99" s="138"/>
      <c r="U99" s="141"/>
      <c r="AB99" s="138" t="s">
        <v>99</v>
      </c>
      <c r="AC99" s="138">
        <v>0</v>
      </c>
      <c r="AD99" s="141">
        <v>0</v>
      </c>
      <c r="AE99" s="28">
        <v>0</v>
      </c>
      <c r="AF99" s="28">
        <v>0</v>
      </c>
      <c r="AG99" s="28">
        <v>0</v>
      </c>
      <c r="AH99" s="138">
        <v>25094</v>
      </c>
      <c r="AI99" s="141">
        <v>3145</v>
      </c>
      <c r="AJ99" s="28">
        <v>0</v>
      </c>
      <c r="AK99" s="138">
        <v>2</v>
      </c>
      <c r="AL99" s="28" t="s">
        <v>153</v>
      </c>
      <c r="AM99" s="141"/>
      <c r="AP99" s="138" t="s">
        <v>72</v>
      </c>
      <c r="AQ99" s="138">
        <v>1</v>
      </c>
      <c r="AR99" s="141">
        <v>1</v>
      </c>
      <c r="AS99" s="138"/>
      <c r="AT99" s="141"/>
      <c r="AU99" s="28"/>
      <c r="AV99" s="28"/>
      <c r="AW99" s="28"/>
      <c r="AX99" s="28"/>
      <c r="AY99" s="141"/>
      <c r="BB99" s="196" t="s">
        <v>977</v>
      </c>
      <c r="BC99" s="138">
        <v>1</v>
      </c>
      <c r="BD99" s="141">
        <v>0</v>
      </c>
      <c r="BE99" s="138"/>
      <c r="BF99" s="28"/>
      <c r="BG99" s="141"/>
      <c r="BH99" s="138"/>
      <c r="BI99" s="141"/>
      <c r="BJ99" s="138" t="s">
        <v>621</v>
      </c>
      <c r="BK99" s="28" t="s">
        <v>451</v>
      </c>
      <c r="BL99" s="141" t="s">
        <v>865</v>
      </c>
    </row>
    <row r="100" spans="1:64" x14ac:dyDescent="0.3">
      <c r="A100" s="142"/>
      <c r="B100" s="142"/>
      <c r="C100" s="143"/>
      <c r="D100" s="142"/>
      <c r="E100" s="143"/>
      <c r="F100" s="143"/>
      <c r="G100" s="199"/>
      <c r="H100" s="143">
        <v>28</v>
      </c>
      <c r="I100" s="143" t="s">
        <v>958</v>
      </c>
      <c r="J100" s="146">
        <f>SUM(H97:H100)</f>
        <v>200</v>
      </c>
      <c r="L100" s="138"/>
      <c r="M100" s="138"/>
      <c r="N100" s="196"/>
      <c r="O100" s="138"/>
      <c r="P100" s="196"/>
      <c r="Q100" s="141"/>
      <c r="R100" s="138"/>
      <c r="S100" s="196"/>
      <c r="T100" s="138"/>
      <c r="U100" s="141"/>
      <c r="AB100" s="138"/>
      <c r="AC100" s="138"/>
      <c r="AD100" s="141"/>
      <c r="AE100" s="28"/>
      <c r="AF100" s="28"/>
      <c r="AG100" s="28"/>
      <c r="AH100" s="138"/>
      <c r="AI100" s="141"/>
      <c r="AJ100" s="28"/>
      <c r="AK100" s="138" t="s">
        <v>157</v>
      </c>
      <c r="AL100" s="28"/>
      <c r="AM100" s="141"/>
      <c r="AP100" s="142" t="s">
        <v>84</v>
      </c>
      <c r="AQ100" s="142">
        <f>SUM(AQ93:AQ99)</f>
        <v>6</v>
      </c>
      <c r="AR100" s="146">
        <f>SUM(AR93:AR99)</f>
        <v>25</v>
      </c>
      <c r="AS100" s="142"/>
      <c r="AT100" s="146"/>
      <c r="AU100" s="143"/>
      <c r="AV100" s="143"/>
      <c r="AW100" s="143"/>
      <c r="AX100" s="143"/>
      <c r="AY100" s="146">
        <f>SUM(AV97)</f>
        <v>10</v>
      </c>
      <c r="BB100" s="196" t="s">
        <v>358</v>
      </c>
      <c r="BC100" s="138">
        <v>17</v>
      </c>
      <c r="BD100" s="141">
        <v>9</v>
      </c>
      <c r="BE100" s="138"/>
      <c r="BF100" s="28"/>
      <c r="BG100" s="141"/>
      <c r="BH100" s="138"/>
      <c r="BI100" s="141"/>
      <c r="BJ100" s="138" t="s">
        <v>625</v>
      </c>
      <c r="BK100" s="28" t="s">
        <v>366</v>
      </c>
      <c r="BL100" s="141"/>
    </row>
    <row r="101" spans="1:64" x14ac:dyDescent="0.3">
      <c r="A101" s="134" t="s">
        <v>105</v>
      </c>
      <c r="B101" s="134">
        <v>1282</v>
      </c>
      <c r="C101" s="135">
        <v>1479</v>
      </c>
      <c r="D101" s="134"/>
      <c r="E101" s="135">
        <v>957</v>
      </c>
      <c r="F101" s="135"/>
      <c r="G101" s="195"/>
      <c r="H101" s="135" t="s">
        <v>162</v>
      </c>
      <c r="I101" s="135"/>
      <c r="J101" s="136"/>
      <c r="L101" s="138"/>
      <c r="M101" s="138"/>
      <c r="N101" s="196"/>
      <c r="O101" s="138"/>
      <c r="P101" s="196"/>
      <c r="Q101" s="141"/>
      <c r="R101" s="138"/>
      <c r="S101" s="196"/>
      <c r="T101" s="138"/>
      <c r="U101" s="141"/>
      <c r="AB101" s="134" t="s">
        <v>99</v>
      </c>
      <c r="AC101" s="134">
        <v>0</v>
      </c>
      <c r="AD101" s="136">
        <v>0</v>
      </c>
      <c r="AE101" s="135">
        <v>0</v>
      </c>
      <c r="AF101" s="135">
        <v>0</v>
      </c>
      <c r="AG101" s="135">
        <v>0</v>
      </c>
      <c r="AH101" s="134">
        <v>195874</v>
      </c>
      <c r="AI101" s="136">
        <v>142885</v>
      </c>
      <c r="AJ101" s="135">
        <v>0</v>
      </c>
      <c r="AK101" s="134">
        <v>4</v>
      </c>
      <c r="AL101" s="135" t="s">
        <v>163</v>
      </c>
      <c r="AM101" s="136"/>
      <c r="AP101" s="134"/>
      <c r="AQ101" s="134"/>
      <c r="AR101" s="136"/>
      <c r="AS101" s="134"/>
      <c r="AT101" s="136"/>
      <c r="AU101" s="135"/>
      <c r="AV101" s="135"/>
      <c r="AW101" s="135"/>
      <c r="AX101" s="135"/>
      <c r="AY101" s="136"/>
      <c r="BB101" s="196" t="s">
        <v>107</v>
      </c>
      <c r="BC101" s="138">
        <v>4</v>
      </c>
      <c r="BD101" s="141">
        <v>8</v>
      </c>
      <c r="BE101" s="138"/>
      <c r="BF101" s="28"/>
      <c r="BG101" s="141"/>
      <c r="BH101" s="138"/>
      <c r="BI101" s="141"/>
      <c r="BJ101" s="138" t="s">
        <v>180</v>
      </c>
      <c r="BK101" s="28" t="s">
        <v>978</v>
      </c>
      <c r="BL101" s="141" t="s">
        <v>254</v>
      </c>
    </row>
    <row r="102" spans="1:64" x14ac:dyDescent="0.3">
      <c r="A102" s="138" t="s">
        <v>99</v>
      </c>
      <c r="B102" s="138">
        <v>709</v>
      </c>
      <c r="C102" s="28">
        <v>701</v>
      </c>
      <c r="D102" s="138"/>
      <c r="E102" s="28">
        <v>1022</v>
      </c>
      <c r="F102" s="28"/>
      <c r="G102" s="196"/>
      <c r="H102" s="28"/>
      <c r="I102" s="28"/>
      <c r="J102" s="141"/>
      <c r="L102" s="142" t="s">
        <v>84</v>
      </c>
      <c r="M102" s="142">
        <f t="shared" ref="M102:S102" si="1">SUM(M96+M91+M86+M84+M79+M75)</f>
        <v>37776</v>
      </c>
      <c r="N102" s="199">
        <f t="shared" si="1"/>
        <v>83763</v>
      </c>
      <c r="O102" s="142">
        <f t="shared" si="1"/>
        <v>0</v>
      </c>
      <c r="P102" s="199">
        <f t="shared" si="1"/>
        <v>0</v>
      </c>
      <c r="Q102" s="143">
        <f t="shared" si="1"/>
        <v>0</v>
      </c>
      <c r="R102" s="142">
        <f t="shared" si="1"/>
        <v>198</v>
      </c>
      <c r="S102" s="199">
        <f t="shared" si="1"/>
        <v>0</v>
      </c>
      <c r="T102" s="142"/>
      <c r="U102" s="146"/>
      <c r="AB102" s="138" t="s">
        <v>6</v>
      </c>
      <c r="AC102" s="138"/>
      <c r="AD102" s="141"/>
      <c r="AE102" s="28"/>
      <c r="AF102" s="28"/>
      <c r="AG102" s="28"/>
      <c r="AH102" s="138"/>
      <c r="AI102" s="141"/>
      <c r="AJ102" s="28"/>
      <c r="AK102" s="138">
        <v>13</v>
      </c>
      <c r="AL102" s="28" t="s">
        <v>153</v>
      </c>
      <c r="AM102" s="141"/>
      <c r="AP102" s="138" t="s">
        <v>63</v>
      </c>
      <c r="AQ102" s="138">
        <v>15</v>
      </c>
      <c r="AR102" s="141">
        <v>27</v>
      </c>
      <c r="AS102" s="138"/>
      <c r="AT102" s="141"/>
      <c r="AU102" s="28"/>
      <c r="AV102" s="28" t="s">
        <v>140</v>
      </c>
      <c r="AW102" s="28"/>
      <c r="AX102" s="28"/>
      <c r="AY102" s="141"/>
      <c r="BB102" s="196" t="s">
        <v>169</v>
      </c>
      <c r="BC102" s="138">
        <v>1</v>
      </c>
      <c r="BD102" s="141">
        <v>2</v>
      </c>
      <c r="BE102" s="138"/>
      <c r="BF102" s="28"/>
      <c r="BG102" s="141"/>
      <c r="BH102" s="138"/>
      <c r="BI102" s="141"/>
      <c r="BJ102" s="138" t="s">
        <v>310</v>
      </c>
      <c r="BK102" s="43" t="s">
        <v>283</v>
      </c>
      <c r="BL102" s="141" t="s">
        <v>979</v>
      </c>
    </row>
    <row r="103" spans="1:64" ht="15" thickBot="1" x14ac:dyDescent="0.35">
      <c r="A103" s="138"/>
      <c r="B103" s="138"/>
      <c r="C103" s="28"/>
      <c r="D103" s="138"/>
      <c r="E103" s="28"/>
      <c r="F103" s="28"/>
      <c r="G103" s="196"/>
      <c r="H103" s="28">
        <v>42</v>
      </c>
      <c r="I103" s="28" t="s">
        <v>101</v>
      </c>
      <c r="J103" s="141"/>
      <c r="AB103" s="138" t="s">
        <v>6</v>
      </c>
      <c r="AC103" s="138"/>
      <c r="AD103" s="141"/>
      <c r="AE103" s="28"/>
      <c r="AF103" s="28"/>
      <c r="AG103" s="28"/>
      <c r="AH103" s="138"/>
      <c r="AI103" s="141"/>
      <c r="AJ103" s="28"/>
      <c r="AK103" s="138"/>
      <c r="AL103" s="28"/>
      <c r="AM103" s="141"/>
      <c r="AP103" s="138" t="s">
        <v>78</v>
      </c>
      <c r="AQ103" s="138">
        <v>39</v>
      </c>
      <c r="AR103" s="141">
        <v>35</v>
      </c>
      <c r="AS103" s="138"/>
      <c r="AT103" s="141"/>
      <c r="AU103" s="28"/>
      <c r="AV103" s="28">
        <v>20</v>
      </c>
      <c r="AW103" s="28" t="s">
        <v>204</v>
      </c>
      <c r="AX103" s="28"/>
      <c r="AY103" s="141"/>
      <c r="BB103" s="196" t="s">
        <v>384</v>
      </c>
      <c r="BC103" s="138">
        <v>0</v>
      </c>
      <c r="BD103" s="141">
        <v>3</v>
      </c>
      <c r="BE103" s="138"/>
      <c r="BF103" s="28"/>
      <c r="BG103" s="141"/>
      <c r="BH103" s="138"/>
      <c r="BI103" s="141"/>
      <c r="BJ103" s="138" t="s">
        <v>626</v>
      </c>
      <c r="BK103" s="43" t="s">
        <v>980</v>
      </c>
      <c r="BL103" s="141" t="s">
        <v>500</v>
      </c>
    </row>
    <row r="104" spans="1:64" x14ac:dyDescent="0.3">
      <c r="A104" s="138" t="s">
        <v>84</v>
      </c>
      <c r="B104" s="142">
        <f>SUM(B101:B103)</f>
        <v>1991</v>
      </c>
      <c r="C104" s="143">
        <f>SUM(C101:C103)</f>
        <v>2180</v>
      </c>
      <c r="D104" s="142"/>
      <c r="E104" s="143">
        <f>SUM(E101:E103)</f>
        <v>1979</v>
      </c>
      <c r="F104" s="143"/>
      <c r="G104" s="199">
        <v>6636</v>
      </c>
      <c r="H104" s="143"/>
      <c r="I104" s="143"/>
      <c r="J104" s="146">
        <f>SUM(H103)</f>
        <v>42</v>
      </c>
      <c r="L104" t="s">
        <v>6</v>
      </c>
      <c r="AB104" s="33"/>
      <c r="AC104" s="200"/>
      <c r="AD104" s="201"/>
      <c r="AE104" s="34"/>
      <c r="AF104" s="34"/>
      <c r="AG104" s="34"/>
      <c r="AH104" s="200"/>
      <c r="AI104" s="201"/>
      <c r="AJ104" s="34"/>
      <c r="AK104" s="200"/>
      <c r="AL104" s="34"/>
      <c r="AM104" s="35"/>
      <c r="AP104" s="138" t="s">
        <v>209</v>
      </c>
      <c r="AQ104" s="138">
        <v>0</v>
      </c>
      <c r="AR104" s="141">
        <v>0</v>
      </c>
      <c r="AS104" s="138"/>
      <c r="AT104" s="141"/>
      <c r="AU104" s="28"/>
      <c r="AV104" s="28">
        <v>2</v>
      </c>
      <c r="AW104" s="28" t="s">
        <v>210</v>
      </c>
      <c r="AX104" s="28" t="s">
        <v>6</v>
      </c>
      <c r="AY104" s="141"/>
      <c r="BB104" s="196" t="s">
        <v>97</v>
      </c>
      <c r="BC104" s="138">
        <v>5</v>
      </c>
      <c r="BD104" s="141">
        <v>0</v>
      </c>
      <c r="BE104" s="138"/>
      <c r="BF104" s="28"/>
      <c r="BG104" s="141"/>
      <c r="BH104" s="138"/>
      <c r="BI104" s="141"/>
      <c r="BJ104" s="28" t="s">
        <v>373</v>
      </c>
      <c r="BK104" s="43" t="s">
        <v>584</v>
      </c>
      <c r="BL104" s="141" t="s">
        <v>520</v>
      </c>
    </row>
    <row r="105" spans="1:64" x14ac:dyDescent="0.3">
      <c r="A105" s="195" t="s">
        <v>181</v>
      </c>
      <c r="B105" s="135">
        <v>2894</v>
      </c>
      <c r="C105" s="135">
        <v>3219</v>
      </c>
      <c r="D105" s="134"/>
      <c r="E105" s="135" t="s">
        <v>60</v>
      </c>
      <c r="F105" s="136"/>
      <c r="G105" s="135">
        <v>4773</v>
      </c>
      <c r="H105" s="134" t="s">
        <v>182</v>
      </c>
      <c r="I105" s="135"/>
      <c r="J105" s="136"/>
      <c r="AB105" s="42"/>
      <c r="AC105" s="138"/>
      <c r="AD105" s="141"/>
      <c r="AE105" s="28"/>
      <c r="AF105" s="28"/>
      <c r="AG105" s="28"/>
      <c r="AH105" s="138"/>
      <c r="AI105" s="141"/>
      <c r="AJ105" s="28"/>
      <c r="AK105" s="138"/>
      <c r="AL105" s="28"/>
      <c r="AM105" s="40"/>
      <c r="AP105" s="138" t="s">
        <v>168</v>
      </c>
      <c r="AQ105" s="138">
        <v>0</v>
      </c>
      <c r="AR105" s="141">
        <v>0</v>
      </c>
      <c r="AS105" s="138"/>
      <c r="AT105" s="141"/>
      <c r="AU105" s="28"/>
      <c r="AV105" s="28">
        <v>15</v>
      </c>
      <c r="AW105" s="28" t="s">
        <v>213</v>
      </c>
      <c r="AX105" s="28" t="s">
        <v>6</v>
      </c>
      <c r="AY105" s="141"/>
      <c r="BB105" s="196" t="s">
        <v>658</v>
      </c>
      <c r="BC105" s="138">
        <v>3</v>
      </c>
      <c r="BD105" s="141">
        <v>3</v>
      </c>
      <c r="BE105" s="138"/>
      <c r="BF105" s="28"/>
      <c r="BG105" s="141"/>
      <c r="BH105" s="138"/>
      <c r="BI105" s="141"/>
      <c r="BJ105" s="138" t="s">
        <v>981</v>
      </c>
      <c r="BK105" s="28"/>
      <c r="BL105" s="141" t="s">
        <v>982</v>
      </c>
    </row>
    <row r="106" spans="1:64" ht="15" thickBot="1" x14ac:dyDescent="0.35">
      <c r="A106" s="196"/>
      <c r="B106" s="28"/>
      <c r="C106" s="28"/>
      <c r="D106" s="138"/>
      <c r="E106" s="28" t="s">
        <v>60</v>
      </c>
      <c r="F106" s="141"/>
      <c r="G106" s="28"/>
      <c r="H106" s="138"/>
      <c r="I106" s="28" t="s">
        <v>94</v>
      </c>
      <c r="J106" s="141"/>
      <c r="AB106" s="47" t="s">
        <v>84</v>
      </c>
      <c r="AC106" s="202">
        <f>SUM(AC101+AC99+AC96+AC83+AC79+AC76)</f>
        <v>2269</v>
      </c>
      <c r="AD106" s="203">
        <f>SUM(AD101+AD99+AD96+AD83+AD79+AD76)</f>
        <v>2291</v>
      </c>
      <c r="AE106" s="48">
        <v>0</v>
      </c>
      <c r="AF106" s="48">
        <v>0</v>
      </c>
      <c r="AG106" s="48">
        <v>0</v>
      </c>
      <c r="AH106" s="202">
        <f>SUM(AH102+AH101+AH99+AH76)</f>
        <v>220968</v>
      </c>
      <c r="AI106" s="203">
        <f>SUM(AI101+AI99+AI76)</f>
        <v>146030</v>
      </c>
      <c r="AJ106" s="48">
        <v>0</v>
      </c>
      <c r="AK106" s="202" t="s">
        <v>743</v>
      </c>
      <c r="AL106" s="48"/>
      <c r="AM106" s="49">
        <f>SUM(AK76:AK102)</f>
        <v>45</v>
      </c>
      <c r="AP106" s="138" t="s">
        <v>81</v>
      </c>
      <c r="AQ106" s="138">
        <v>11</v>
      </c>
      <c r="AR106" s="141">
        <v>9</v>
      </c>
      <c r="AS106" s="138"/>
      <c r="AT106" s="141"/>
      <c r="AU106" s="28"/>
      <c r="AV106" s="43">
        <v>4</v>
      </c>
      <c r="AW106" s="28" t="s">
        <v>983</v>
      </c>
      <c r="AX106" s="28"/>
      <c r="AY106" s="141" t="s">
        <v>6</v>
      </c>
      <c r="BB106" s="196" t="s">
        <v>64</v>
      </c>
      <c r="BC106" s="138">
        <v>0</v>
      </c>
      <c r="BD106" s="141">
        <v>5</v>
      </c>
      <c r="BE106" s="138"/>
      <c r="BF106" s="28"/>
      <c r="BG106" s="141"/>
      <c r="BH106" s="138"/>
      <c r="BI106" s="141"/>
      <c r="BJ106" s="138" t="s">
        <v>984</v>
      </c>
      <c r="BK106" s="28"/>
      <c r="BL106" s="209" t="s">
        <v>725</v>
      </c>
    </row>
    <row r="107" spans="1:64" x14ac:dyDescent="0.3">
      <c r="A107" s="196" t="s">
        <v>84</v>
      </c>
      <c r="B107" s="28">
        <f>SUM(B105:B106)</f>
        <v>2894</v>
      </c>
      <c r="C107" s="28">
        <f>SUM(C105:C106)</f>
        <v>3219</v>
      </c>
      <c r="D107" s="138"/>
      <c r="E107" s="28" t="s">
        <v>60</v>
      </c>
      <c r="F107" s="141"/>
      <c r="G107" s="28">
        <f>SUM(G105:G106)</f>
        <v>4773</v>
      </c>
      <c r="H107" s="138">
        <v>29</v>
      </c>
      <c r="I107" s="28" t="s">
        <v>101</v>
      </c>
      <c r="J107" s="141"/>
      <c r="AB107" t="s">
        <v>193</v>
      </c>
      <c r="AM107" t="s">
        <v>6</v>
      </c>
      <c r="AP107" s="138" t="s">
        <v>72</v>
      </c>
      <c r="AQ107" s="138">
        <v>10</v>
      </c>
      <c r="AR107" s="141">
        <v>24</v>
      </c>
      <c r="AS107" s="138"/>
      <c r="AT107" s="141"/>
      <c r="AU107" s="28"/>
      <c r="AV107" s="43">
        <v>0</v>
      </c>
      <c r="AW107" s="28" t="s">
        <v>216</v>
      </c>
      <c r="AX107" s="28"/>
      <c r="AY107" s="141"/>
      <c r="BB107" s="196" t="s">
        <v>403</v>
      </c>
      <c r="BC107" s="138">
        <v>2</v>
      </c>
      <c r="BD107" s="141">
        <v>2</v>
      </c>
      <c r="BE107" s="138"/>
      <c r="BF107" s="28"/>
      <c r="BG107" s="141"/>
      <c r="BH107" s="138"/>
      <c r="BI107" s="141"/>
      <c r="BJ107" s="138" t="s">
        <v>379</v>
      </c>
      <c r="BK107" s="43" t="s">
        <v>985</v>
      </c>
      <c r="BL107" s="209" t="s">
        <v>544</v>
      </c>
    </row>
    <row r="108" spans="1:64" ht="15" thickBot="1" x14ac:dyDescent="0.35">
      <c r="A108" s="199"/>
      <c r="B108" s="28"/>
      <c r="C108" s="28"/>
      <c r="D108" s="142"/>
      <c r="E108" s="143"/>
      <c r="F108" s="146"/>
      <c r="G108" s="28"/>
      <c r="H108" s="142"/>
      <c r="I108" s="143" t="s">
        <v>284</v>
      </c>
      <c r="J108" s="146">
        <f>SUM(H106:H107)</f>
        <v>29</v>
      </c>
      <c r="AP108" s="138" t="s">
        <v>115</v>
      </c>
      <c r="AQ108" s="138">
        <v>31</v>
      </c>
      <c r="AR108" s="141">
        <v>42</v>
      </c>
      <c r="AS108" s="138"/>
      <c r="AT108" s="141"/>
      <c r="AU108" s="28"/>
      <c r="AV108" s="43">
        <v>6</v>
      </c>
      <c r="AW108" s="28" t="s">
        <v>217</v>
      </c>
      <c r="AX108" s="28"/>
      <c r="AY108" s="141"/>
      <c r="BB108" s="196" t="s">
        <v>966</v>
      </c>
      <c r="BC108" s="138">
        <v>5</v>
      </c>
      <c r="BD108" s="141">
        <v>4</v>
      </c>
      <c r="BE108" s="138"/>
      <c r="BF108" s="28"/>
      <c r="BG108" s="141"/>
      <c r="BH108" s="138"/>
      <c r="BI108" s="141"/>
      <c r="BJ108" s="138" t="s">
        <v>986</v>
      </c>
      <c r="BK108" s="43" t="s">
        <v>698</v>
      </c>
      <c r="BL108" s="141" t="s">
        <v>446</v>
      </c>
    </row>
    <row r="109" spans="1:64" ht="15" thickBot="1" x14ac:dyDescent="0.35">
      <c r="A109" s="47" t="s">
        <v>84</v>
      </c>
      <c r="B109" s="210">
        <f>SUM(B107+B104+B99+B95+B92+B89+B86+B82+B78+B75)</f>
        <v>38463</v>
      </c>
      <c r="C109" s="170">
        <f>SUM(C107+C104+C99+C95+C92+C89+C86+C82+C78+C75)</f>
        <v>43973</v>
      </c>
      <c r="D109" s="202"/>
      <c r="E109" s="48">
        <f>SUM(E104+E89)</f>
        <v>2797</v>
      </c>
      <c r="F109" s="203"/>
      <c r="G109" s="206">
        <f>SUM(G107+G104+G99+G95+G92+G89+G86+G82+G78+G75)</f>
        <v>74812</v>
      </c>
      <c r="H109" s="48" t="s">
        <v>844</v>
      </c>
      <c r="I109" s="48"/>
      <c r="J109" s="49">
        <f>SUM(J74:J108)</f>
        <v>418</v>
      </c>
      <c r="AP109" s="138" t="s">
        <v>56</v>
      </c>
      <c r="AQ109" s="138">
        <v>15</v>
      </c>
      <c r="AR109" s="141">
        <v>26</v>
      </c>
      <c r="AS109" s="138"/>
      <c r="AT109" s="141"/>
      <c r="AU109" s="28"/>
      <c r="AV109" s="43">
        <v>0</v>
      </c>
      <c r="AW109" s="28" t="s">
        <v>967</v>
      </c>
      <c r="AX109" s="28"/>
      <c r="AY109" s="141"/>
      <c r="BB109" s="196" t="s">
        <v>987</v>
      </c>
      <c r="BC109" s="138">
        <v>7</v>
      </c>
      <c r="BD109" s="141">
        <v>0</v>
      </c>
      <c r="BE109" s="138"/>
      <c r="BF109" s="28"/>
      <c r="BG109" s="141"/>
      <c r="BH109" s="138"/>
      <c r="BI109" s="141"/>
      <c r="BJ109" s="138" t="s">
        <v>988</v>
      </c>
      <c r="BK109" s="43" t="s">
        <v>969</v>
      </c>
      <c r="BL109" s="141" t="s">
        <v>989</v>
      </c>
    </row>
    <row r="110" spans="1:64" x14ac:dyDescent="0.3">
      <c r="D110" s="28"/>
      <c r="E110" s="28"/>
      <c r="F110" s="28"/>
      <c r="AP110" s="138" t="s">
        <v>138</v>
      </c>
      <c r="AQ110" s="138">
        <v>2</v>
      </c>
      <c r="AR110" s="141">
        <v>2</v>
      </c>
      <c r="AS110" s="138"/>
      <c r="AT110" s="141"/>
      <c r="AU110" s="28"/>
      <c r="AV110" s="43">
        <v>11</v>
      </c>
      <c r="AW110" s="28" t="s">
        <v>221</v>
      </c>
      <c r="AX110" s="28"/>
      <c r="AY110" s="141"/>
      <c r="BB110" s="196" t="s">
        <v>108</v>
      </c>
      <c r="BC110" s="138">
        <v>0</v>
      </c>
      <c r="BD110" s="141">
        <v>1</v>
      </c>
      <c r="BE110" s="138"/>
      <c r="BF110" s="28"/>
      <c r="BG110" s="141"/>
      <c r="BH110" s="138"/>
      <c r="BI110" s="141"/>
      <c r="BJ110" s="138" t="s">
        <v>165</v>
      </c>
      <c r="BK110" s="43" t="s">
        <v>714</v>
      </c>
      <c r="BL110" s="141"/>
    </row>
    <row r="111" spans="1:64" x14ac:dyDescent="0.3">
      <c r="AP111" s="138" t="s">
        <v>67</v>
      </c>
      <c r="AQ111" s="138">
        <v>20</v>
      </c>
      <c r="AR111" s="141">
        <v>17</v>
      </c>
      <c r="AS111" s="138"/>
      <c r="AT111" s="141"/>
      <c r="AU111" s="28"/>
      <c r="AV111" s="43">
        <v>0</v>
      </c>
      <c r="AW111" s="28" t="s">
        <v>653</v>
      </c>
      <c r="AX111" s="28"/>
      <c r="AY111" s="141"/>
      <c r="BB111" s="196" t="s">
        <v>971</v>
      </c>
      <c r="BC111" s="138">
        <v>0</v>
      </c>
      <c r="BD111" s="141">
        <v>0</v>
      </c>
      <c r="BE111" s="138"/>
      <c r="BF111" s="28"/>
      <c r="BG111" s="141"/>
      <c r="BH111" s="138"/>
      <c r="BI111" s="141"/>
      <c r="BJ111" s="138"/>
      <c r="BK111" s="28"/>
      <c r="BL111" s="141"/>
    </row>
    <row r="112" spans="1:64" x14ac:dyDescent="0.3">
      <c r="AP112" s="138" t="s">
        <v>122</v>
      </c>
      <c r="AQ112" s="138">
        <v>12</v>
      </c>
      <c r="AR112" s="141">
        <v>15</v>
      </c>
      <c r="AS112" s="138"/>
      <c r="AT112" s="141"/>
      <c r="AU112" s="28"/>
      <c r="AV112" s="43">
        <v>0</v>
      </c>
      <c r="AW112" s="28" t="s">
        <v>618</v>
      </c>
      <c r="AX112" s="28"/>
      <c r="AY112" s="141"/>
      <c r="BB112" s="196" t="s">
        <v>564</v>
      </c>
      <c r="BC112" s="138">
        <v>0</v>
      </c>
      <c r="BD112" s="141">
        <v>0</v>
      </c>
      <c r="BE112" s="138"/>
      <c r="BF112" s="28"/>
      <c r="BG112" s="141"/>
      <c r="BH112" s="138"/>
      <c r="BI112" s="141"/>
      <c r="BJ112" s="138"/>
      <c r="BK112" s="28"/>
      <c r="BL112" s="141"/>
    </row>
    <row r="113" spans="3:64" x14ac:dyDescent="0.3">
      <c r="AP113" s="138" t="s">
        <v>227</v>
      </c>
      <c r="AQ113" s="138">
        <v>0</v>
      </c>
      <c r="AR113" s="141">
        <v>0</v>
      </c>
      <c r="AS113" s="138"/>
      <c r="AT113" s="141"/>
      <c r="AU113" s="28"/>
      <c r="AV113" s="43">
        <v>1</v>
      </c>
      <c r="AW113" s="28" t="s">
        <v>352</v>
      </c>
      <c r="AX113" s="28"/>
      <c r="AY113" s="141"/>
      <c r="BB113" s="196" t="s">
        <v>196</v>
      </c>
      <c r="BC113" s="138">
        <v>4</v>
      </c>
      <c r="BD113" s="141">
        <v>6</v>
      </c>
      <c r="BE113" s="138"/>
      <c r="BF113" s="28"/>
      <c r="BG113" s="141"/>
      <c r="BH113" s="138"/>
      <c r="BI113" s="141"/>
      <c r="BJ113" s="138"/>
      <c r="BK113" s="28"/>
      <c r="BL113" s="141"/>
    </row>
    <row r="114" spans="3:64" x14ac:dyDescent="0.3">
      <c r="AP114" s="138" t="s">
        <v>230</v>
      </c>
      <c r="AQ114" s="138">
        <v>18</v>
      </c>
      <c r="AR114" s="141">
        <v>18</v>
      </c>
      <c r="AS114" s="138"/>
      <c r="AT114" s="141"/>
      <c r="AU114" s="28"/>
      <c r="AV114" s="43">
        <v>6</v>
      </c>
      <c r="AW114" s="28" t="s">
        <v>655</v>
      </c>
      <c r="AX114" s="28"/>
      <c r="AY114" s="141"/>
      <c r="BB114" s="196" t="s">
        <v>990</v>
      </c>
      <c r="BC114" s="138">
        <v>9</v>
      </c>
      <c r="BD114" s="141">
        <v>0</v>
      </c>
      <c r="BE114" s="138"/>
      <c r="BF114" s="28"/>
      <c r="BG114" s="141"/>
      <c r="BH114" s="138"/>
      <c r="BI114" s="141"/>
      <c r="BJ114" s="138"/>
      <c r="BK114" s="28"/>
      <c r="BL114" s="141"/>
    </row>
    <row r="115" spans="3:64" x14ac:dyDescent="0.3">
      <c r="AP115" s="138" t="s">
        <v>125</v>
      </c>
      <c r="AQ115" s="138">
        <v>0</v>
      </c>
      <c r="AR115" s="141">
        <v>0</v>
      </c>
      <c r="AS115" s="138"/>
      <c r="AT115" s="141"/>
      <c r="AU115" s="28"/>
      <c r="AV115" s="43">
        <v>1</v>
      </c>
      <c r="AW115" s="28" t="s">
        <v>991</v>
      </c>
      <c r="AX115" s="28"/>
      <c r="AY115" s="141"/>
      <c r="BB115" s="196" t="s">
        <v>218</v>
      </c>
      <c r="BC115" s="138">
        <v>0</v>
      </c>
      <c r="BD115" s="141">
        <v>14</v>
      </c>
      <c r="BE115" s="138"/>
      <c r="BF115" s="28">
        <v>0</v>
      </c>
      <c r="BG115" s="141"/>
      <c r="BH115" s="138"/>
      <c r="BI115" s="141"/>
      <c r="BJ115" s="138"/>
      <c r="BK115" s="28"/>
      <c r="BL115" s="141"/>
    </row>
    <row r="116" spans="3:64" x14ac:dyDescent="0.3">
      <c r="AM116" t="s">
        <v>6</v>
      </c>
      <c r="AP116" s="138" t="s">
        <v>132</v>
      </c>
      <c r="AQ116" s="138">
        <v>3</v>
      </c>
      <c r="AR116" s="141">
        <v>0</v>
      </c>
      <c r="AS116" s="138"/>
      <c r="AT116" s="141"/>
      <c r="AU116" s="28"/>
      <c r="AV116" s="43">
        <v>3</v>
      </c>
      <c r="AW116" s="28" t="s">
        <v>682</v>
      </c>
      <c r="AX116" s="28"/>
      <c r="AY116" s="141"/>
      <c r="BB116" s="196" t="s">
        <v>93</v>
      </c>
      <c r="BC116" s="138">
        <v>0</v>
      </c>
      <c r="BD116" s="141">
        <v>8</v>
      </c>
      <c r="BE116" s="138"/>
      <c r="BF116" s="28"/>
      <c r="BG116" s="141"/>
      <c r="BH116" s="138"/>
      <c r="BI116" s="141"/>
      <c r="BJ116" s="138"/>
      <c r="BK116" s="28"/>
      <c r="BL116" s="141"/>
    </row>
    <row r="117" spans="3:64" x14ac:dyDescent="0.3">
      <c r="H117" t="s">
        <v>6</v>
      </c>
      <c r="AP117" s="138" t="s">
        <v>992</v>
      </c>
      <c r="AQ117" s="138">
        <v>2</v>
      </c>
      <c r="AR117" s="141">
        <v>2</v>
      </c>
      <c r="AS117" s="138"/>
      <c r="AT117" s="141"/>
      <c r="AU117" s="28"/>
      <c r="AV117" s="43">
        <v>69</v>
      </c>
      <c r="AW117" s="28" t="s">
        <v>555</v>
      </c>
      <c r="AX117" s="28"/>
      <c r="AY117" s="141"/>
      <c r="BB117" s="199" t="s">
        <v>84</v>
      </c>
      <c r="BC117" s="142">
        <f>SUM(BC92:BC116)</f>
        <v>154</v>
      </c>
      <c r="BD117" s="146">
        <f>SUM(BD92:BD116)</f>
        <v>168</v>
      </c>
      <c r="BE117" s="142">
        <v>0</v>
      </c>
      <c r="BF117" s="143">
        <f>SUM(BF92:BF116)</f>
        <v>0</v>
      </c>
      <c r="BG117" s="146">
        <v>0</v>
      </c>
      <c r="BH117" s="142">
        <v>0</v>
      </c>
      <c r="BI117" s="146">
        <v>0</v>
      </c>
      <c r="BJ117" s="142"/>
      <c r="BK117" s="143"/>
      <c r="BL117" s="146">
        <f>5+11+2+5+6+3+7+5+6+2+9+10+3+3</f>
        <v>77</v>
      </c>
    </row>
    <row r="118" spans="3:64" ht="15" thickBot="1" x14ac:dyDescent="0.35">
      <c r="H118" t="s">
        <v>6</v>
      </c>
      <c r="AP118" s="138" t="s">
        <v>84</v>
      </c>
      <c r="AQ118" s="138">
        <f>SUM(AQ102:AQ117)</f>
        <v>178</v>
      </c>
      <c r="AR118" s="141">
        <f>SUM(AR102:AR117)</f>
        <v>217</v>
      </c>
      <c r="AS118" s="138"/>
      <c r="AT118" s="141"/>
      <c r="AU118" s="28"/>
      <c r="AV118" s="28"/>
      <c r="AW118" s="28" t="s">
        <v>6</v>
      </c>
      <c r="AX118" s="28"/>
      <c r="AY118" s="141">
        <f>SUM(AV103:AV118)</f>
        <v>138</v>
      </c>
      <c r="BB118" t="s">
        <v>223</v>
      </c>
      <c r="BC118">
        <f>SUM(BC117+BC91+BC87+BC82+BC79+BC77)</f>
        <v>1595</v>
      </c>
      <c r="BD118">
        <v>1730</v>
      </c>
      <c r="BE118">
        <v>0</v>
      </c>
      <c r="BF118">
        <f>SUM(BF117+BF91+BF87+BF82+BF79+BF75)</f>
        <v>0</v>
      </c>
      <c r="BG118">
        <v>0</v>
      </c>
      <c r="BH118">
        <f>SUM(BH117+BH91+BH87+BH81+BH79+BH75)</f>
        <v>56171</v>
      </c>
      <c r="BI118">
        <f>SUM(BI117+BI91+BI87+BI81+BI79+BI75)</f>
        <v>14544</v>
      </c>
      <c r="BK118" t="s">
        <v>247</v>
      </c>
      <c r="BL118">
        <f>SUM(+BL91+BL87+BL82+BL79+BL77)</f>
        <v>165</v>
      </c>
    </row>
    <row r="119" spans="3:64" ht="15" thickBot="1" x14ac:dyDescent="0.35">
      <c r="AP119" s="171" t="s">
        <v>84</v>
      </c>
      <c r="AQ119" s="207">
        <f>SUM(AQ118+AQ100+AQ91+AQ76)</f>
        <v>1683</v>
      </c>
      <c r="AR119" s="207">
        <f>SUM(AR118+AR100+AR91+AR76)</f>
        <v>1792</v>
      </c>
      <c r="AS119" s="207"/>
      <c r="AT119" s="208"/>
      <c r="AU119" s="170"/>
      <c r="AV119" s="170"/>
      <c r="AW119" s="170"/>
      <c r="AX119" s="170"/>
      <c r="AY119" s="172">
        <f>SUM(AY76:AY118)</f>
        <v>334</v>
      </c>
      <c r="BB119" t="s">
        <v>225</v>
      </c>
      <c r="BD119">
        <f>SUM(BL117)</f>
        <v>77</v>
      </c>
    </row>
    <row r="120" spans="3:64" x14ac:dyDescent="0.3">
      <c r="BB120" t="s">
        <v>229</v>
      </c>
      <c r="BD120">
        <v>15</v>
      </c>
    </row>
    <row r="121" spans="3:64" x14ac:dyDescent="0.3">
      <c r="BB121" t="s">
        <v>232</v>
      </c>
      <c r="BD121" t="s">
        <v>233</v>
      </c>
      <c r="BF121">
        <f>SUM(AQ119)</f>
        <v>1683</v>
      </c>
      <c r="BH121" t="s">
        <v>234</v>
      </c>
      <c r="BJ121" t="s">
        <v>233</v>
      </c>
      <c r="BL121">
        <f>SUM(BC118)</f>
        <v>1595</v>
      </c>
    </row>
    <row r="122" spans="3:64" x14ac:dyDescent="0.3">
      <c r="BA122" t="s">
        <v>6</v>
      </c>
      <c r="BD122" t="s">
        <v>236</v>
      </c>
      <c r="BF122">
        <f>SUM(AR119)</f>
        <v>1792</v>
      </c>
      <c r="BJ122" t="s">
        <v>236</v>
      </c>
      <c r="BL122">
        <f>SUM(BD118)</f>
        <v>1730</v>
      </c>
    </row>
    <row r="123" spans="3:64" x14ac:dyDescent="0.3">
      <c r="BB123" t="s">
        <v>238</v>
      </c>
      <c r="BC123" t="s">
        <v>239</v>
      </c>
      <c r="BE123" t="s">
        <v>240</v>
      </c>
      <c r="BF123" t="s">
        <v>241</v>
      </c>
      <c r="BI123" t="s">
        <v>242</v>
      </c>
      <c r="BJ123" t="s">
        <v>243</v>
      </c>
    </row>
    <row r="124" spans="3:64" x14ac:dyDescent="0.3">
      <c r="BB124" t="s">
        <v>233</v>
      </c>
      <c r="BD124">
        <f>SUM(B109)</f>
        <v>38463</v>
      </c>
      <c r="BE124" t="s">
        <v>233</v>
      </c>
      <c r="BG124">
        <f>SUM(AC106)</f>
        <v>2269</v>
      </c>
      <c r="BH124" t="s">
        <v>233</v>
      </c>
      <c r="BJ124">
        <f>SUM(BG124+BC118)</f>
        <v>3864</v>
      </c>
      <c r="BK124" t="s">
        <v>245</v>
      </c>
      <c r="BL124">
        <f>SUM(BD124+BJ124)</f>
        <v>42327</v>
      </c>
    </row>
    <row r="125" spans="3:64" x14ac:dyDescent="0.3">
      <c r="BB125" t="s">
        <v>236</v>
      </c>
      <c r="BD125">
        <f>SUM(C109)</f>
        <v>43973</v>
      </c>
      <c r="BE125" t="s">
        <v>236</v>
      </c>
      <c r="BG125">
        <f>SUM(AD106)</f>
        <v>2291</v>
      </c>
      <c r="BH125" t="s">
        <v>236</v>
      </c>
      <c r="BJ125">
        <f>SUM(BG125+BD118)</f>
        <v>4021</v>
      </c>
      <c r="BL125">
        <f>SUM(BD125+BJ125)</f>
        <v>47994</v>
      </c>
    </row>
    <row r="127" spans="3:64" x14ac:dyDescent="0.3">
      <c r="C127" t="s">
        <v>0</v>
      </c>
      <c r="P127" t="s">
        <v>1</v>
      </c>
    </row>
    <row r="128" spans="3:64" x14ac:dyDescent="0.3">
      <c r="D128" t="s">
        <v>2</v>
      </c>
      <c r="Q128" t="s">
        <v>3</v>
      </c>
      <c r="AF128" t="s">
        <v>0</v>
      </c>
      <c r="AS128" t="s">
        <v>4</v>
      </c>
      <c r="BF128" t="s">
        <v>5</v>
      </c>
    </row>
    <row r="129" spans="1:64" x14ac:dyDescent="0.3">
      <c r="A129" t="s">
        <v>6</v>
      </c>
      <c r="C129" t="s">
        <v>7</v>
      </c>
      <c r="O129" t="s">
        <v>8</v>
      </c>
      <c r="AF129" t="s">
        <v>9</v>
      </c>
      <c r="AT129" t="s">
        <v>2</v>
      </c>
      <c r="BG129" t="s">
        <v>2</v>
      </c>
    </row>
    <row r="130" spans="1:64" x14ac:dyDescent="0.3">
      <c r="D130" t="s">
        <v>993</v>
      </c>
      <c r="Q130" t="s">
        <v>993</v>
      </c>
      <c r="AF130" t="s">
        <v>11</v>
      </c>
      <c r="AR130" t="s">
        <v>12</v>
      </c>
      <c r="AZ130" t="s">
        <v>6</v>
      </c>
      <c r="BE130" t="s">
        <v>13</v>
      </c>
    </row>
    <row r="131" spans="1:64" x14ac:dyDescent="0.3">
      <c r="I131" s="194" t="s">
        <v>949</v>
      </c>
      <c r="U131" t="s">
        <v>15</v>
      </c>
      <c r="AG131" t="s">
        <v>993</v>
      </c>
      <c r="AT131" t="s">
        <v>993</v>
      </c>
      <c r="BG131" t="s">
        <v>993</v>
      </c>
      <c r="BK131" s="194" t="s">
        <v>950</v>
      </c>
    </row>
    <row r="132" spans="1:64" x14ac:dyDescent="0.3">
      <c r="A132" s="134" t="s">
        <v>17</v>
      </c>
      <c r="B132" s="134" t="s">
        <v>18</v>
      </c>
      <c r="C132" s="136"/>
      <c r="D132" s="135" t="s">
        <v>19</v>
      </c>
      <c r="E132" s="135"/>
      <c r="F132" s="135"/>
      <c r="G132" s="195" t="s">
        <v>20</v>
      </c>
      <c r="H132" s="135" t="s">
        <v>21</v>
      </c>
      <c r="I132" s="135"/>
      <c r="J132" s="136"/>
      <c r="L132" s="134" t="s">
        <v>17</v>
      </c>
      <c r="M132" s="135" t="s">
        <v>22</v>
      </c>
      <c r="N132" s="135"/>
      <c r="O132" s="135" t="s">
        <v>23</v>
      </c>
      <c r="P132" s="135"/>
      <c r="Q132" s="135"/>
      <c r="R132" s="135" t="s">
        <v>24</v>
      </c>
      <c r="S132" s="135"/>
      <c r="T132" s="135" t="s">
        <v>21</v>
      </c>
      <c r="U132" s="136"/>
      <c r="AL132" s="28" t="s">
        <v>25</v>
      </c>
      <c r="AX132" s="194" t="s">
        <v>951</v>
      </c>
      <c r="BB132" s="195" t="s">
        <v>17</v>
      </c>
      <c r="BC132" s="134" t="s">
        <v>27</v>
      </c>
      <c r="BD132" s="136"/>
      <c r="BE132" s="135" t="s">
        <v>28</v>
      </c>
      <c r="BF132" s="135"/>
      <c r="BG132" s="135"/>
      <c r="BH132" s="135" t="s">
        <v>29</v>
      </c>
      <c r="BI132" s="135" t="s">
        <v>30</v>
      </c>
      <c r="BJ132" s="135" t="s">
        <v>31</v>
      </c>
      <c r="BK132" s="135"/>
      <c r="BL132" s="136"/>
    </row>
    <row r="133" spans="1:64" x14ac:dyDescent="0.3">
      <c r="A133" s="138" t="s">
        <v>32</v>
      </c>
      <c r="B133" s="138"/>
      <c r="C133" s="141"/>
      <c r="D133" s="28"/>
      <c r="E133" s="28"/>
      <c r="F133" s="28"/>
      <c r="G133" s="196"/>
      <c r="H133" s="28" t="s">
        <v>33</v>
      </c>
      <c r="I133" s="28"/>
      <c r="J133" s="141"/>
      <c r="L133" s="138"/>
      <c r="M133" s="28"/>
      <c r="N133" s="28"/>
      <c r="O133" s="28"/>
      <c r="P133" s="28"/>
      <c r="Q133" s="28"/>
      <c r="R133" s="28"/>
      <c r="S133" s="28"/>
      <c r="T133" s="28" t="s">
        <v>33</v>
      </c>
      <c r="U133" s="141"/>
      <c r="AB133" s="134" t="s">
        <v>34</v>
      </c>
      <c r="AC133" s="134" t="s">
        <v>35</v>
      </c>
      <c r="AD133" s="136"/>
      <c r="AE133" s="135" t="s">
        <v>36</v>
      </c>
      <c r="AF133" s="135"/>
      <c r="AG133" s="135"/>
      <c r="AH133" s="134" t="s">
        <v>37</v>
      </c>
      <c r="AI133" s="136"/>
      <c r="AJ133" s="135" t="s">
        <v>30</v>
      </c>
      <c r="AK133" s="134" t="s">
        <v>38</v>
      </c>
      <c r="AL133" s="135"/>
      <c r="AM133" s="136"/>
      <c r="AP133" s="134" t="s">
        <v>17</v>
      </c>
      <c r="AQ133" s="134" t="s">
        <v>39</v>
      </c>
      <c r="AR133" s="136"/>
      <c r="AS133" s="134" t="s">
        <v>29</v>
      </c>
      <c r="AT133" s="136" t="s">
        <v>30</v>
      </c>
      <c r="AU133" s="135" t="s">
        <v>40</v>
      </c>
      <c r="AV133" s="135"/>
      <c r="AW133" s="135"/>
      <c r="AX133" s="135"/>
      <c r="AY133" s="136"/>
      <c r="BB133" s="196"/>
      <c r="BC133" s="138"/>
      <c r="BD133" s="141"/>
      <c r="BE133" s="28"/>
      <c r="BF133" s="28"/>
      <c r="BG133" s="28"/>
      <c r="BH133" s="28"/>
      <c r="BI133" s="28" t="s">
        <v>6</v>
      </c>
      <c r="BJ133" s="28" t="s">
        <v>41</v>
      </c>
      <c r="BK133" s="28"/>
      <c r="BL133" s="141"/>
    </row>
    <row r="134" spans="1:64" x14ac:dyDescent="0.3">
      <c r="A134" s="142" t="s">
        <v>42</v>
      </c>
      <c r="B134" s="142" t="s">
        <v>43</v>
      </c>
      <c r="C134" s="143" t="s">
        <v>44</v>
      </c>
      <c r="D134" s="197" t="s">
        <v>45</v>
      </c>
      <c r="E134" s="198" t="s">
        <v>46</v>
      </c>
      <c r="F134" s="198" t="s">
        <v>47</v>
      </c>
      <c r="G134" s="199" t="s">
        <v>48</v>
      </c>
      <c r="H134" s="143" t="s">
        <v>49</v>
      </c>
      <c r="I134" s="143"/>
      <c r="J134" s="146"/>
      <c r="L134" s="142" t="s">
        <v>50</v>
      </c>
      <c r="M134" s="143" t="s">
        <v>43</v>
      </c>
      <c r="N134" s="143" t="s">
        <v>44</v>
      </c>
      <c r="O134" s="143" t="s">
        <v>43</v>
      </c>
      <c r="P134" s="143" t="s">
        <v>51</v>
      </c>
      <c r="Q134" s="143" t="s">
        <v>44</v>
      </c>
      <c r="R134" s="143" t="s">
        <v>43</v>
      </c>
      <c r="S134" s="143" t="s">
        <v>44</v>
      </c>
      <c r="T134" s="143" t="s">
        <v>49</v>
      </c>
      <c r="U134" s="146"/>
      <c r="AB134" s="142" t="s">
        <v>50</v>
      </c>
      <c r="AC134" s="142" t="s">
        <v>43</v>
      </c>
      <c r="AD134" s="146" t="s">
        <v>44</v>
      </c>
      <c r="AE134" s="143" t="s">
        <v>45</v>
      </c>
      <c r="AF134" s="143" t="s">
        <v>46</v>
      </c>
      <c r="AG134" s="143" t="s">
        <v>52</v>
      </c>
      <c r="AH134" s="142" t="s">
        <v>43</v>
      </c>
      <c r="AI134" s="146" t="s">
        <v>44</v>
      </c>
      <c r="AJ134" s="143" t="s">
        <v>43</v>
      </c>
      <c r="AK134" s="142" t="s">
        <v>53</v>
      </c>
      <c r="AL134" s="143"/>
      <c r="AM134" s="146"/>
      <c r="AP134" s="138" t="s">
        <v>42</v>
      </c>
      <c r="AQ134" s="138" t="s">
        <v>43</v>
      </c>
      <c r="AR134" s="141" t="s">
        <v>44</v>
      </c>
      <c r="AS134" s="138" t="s">
        <v>43</v>
      </c>
      <c r="AT134" s="141" t="s">
        <v>44</v>
      </c>
      <c r="AU134" s="28"/>
      <c r="AV134" s="28"/>
      <c r="AW134" s="28"/>
      <c r="AX134" s="28"/>
      <c r="AY134" s="141"/>
      <c r="BB134" s="199" t="s">
        <v>42</v>
      </c>
      <c r="BC134" s="142" t="s">
        <v>43</v>
      </c>
      <c r="BD134" s="146" t="s">
        <v>44</v>
      </c>
      <c r="BE134" s="143" t="s">
        <v>45</v>
      </c>
      <c r="BF134" s="143" t="s">
        <v>46</v>
      </c>
      <c r="BG134" s="143" t="s">
        <v>52</v>
      </c>
      <c r="BH134" s="143" t="s">
        <v>43</v>
      </c>
      <c r="BI134" s="143" t="s">
        <v>44</v>
      </c>
      <c r="BJ134" s="143" t="s">
        <v>54</v>
      </c>
      <c r="BK134" s="143"/>
      <c r="BL134" s="146"/>
    </row>
    <row r="135" spans="1:64" x14ac:dyDescent="0.3">
      <c r="A135" s="134"/>
      <c r="B135" s="134"/>
      <c r="C135" s="135"/>
      <c r="D135" s="134"/>
      <c r="E135" s="135"/>
      <c r="F135" s="135"/>
      <c r="G135" s="195"/>
      <c r="H135" s="135" t="s">
        <v>396</v>
      </c>
      <c r="I135" s="135"/>
      <c r="J135" s="136"/>
      <c r="L135" s="134"/>
      <c r="M135" s="134"/>
      <c r="N135" s="195"/>
      <c r="O135" s="134"/>
      <c r="P135" s="195"/>
      <c r="Q135" s="136"/>
      <c r="R135" s="134"/>
      <c r="S135" s="195"/>
      <c r="T135" s="134" t="s">
        <v>396</v>
      </c>
      <c r="U135" s="136"/>
      <c r="AB135" s="138"/>
      <c r="AC135" s="138"/>
      <c r="AD135" s="141"/>
      <c r="AE135" s="28"/>
      <c r="AF135" s="28"/>
      <c r="AG135" s="28"/>
      <c r="AH135" s="138"/>
      <c r="AI135" s="141"/>
      <c r="AJ135" s="28"/>
      <c r="AK135" s="138"/>
      <c r="AL135" s="28"/>
      <c r="AM135" s="141"/>
      <c r="AP135" s="134"/>
      <c r="AQ135" s="134"/>
      <c r="AR135" s="136"/>
      <c r="AS135" s="134"/>
      <c r="AT135" s="136"/>
      <c r="AU135" s="135"/>
      <c r="AV135" s="135"/>
      <c r="AW135" s="135"/>
      <c r="AX135" s="135"/>
      <c r="AY135" s="136"/>
      <c r="BB135" s="195" t="s">
        <v>85</v>
      </c>
      <c r="BC135" s="135">
        <v>31</v>
      </c>
      <c r="BD135" s="135">
        <v>22</v>
      </c>
      <c r="BE135" s="134"/>
      <c r="BF135" s="135"/>
      <c r="BG135" s="135"/>
      <c r="BH135" s="134"/>
      <c r="BI135" s="136"/>
      <c r="BJ135" s="135" t="s">
        <v>58</v>
      </c>
      <c r="BK135" s="135"/>
      <c r="BL135" s="136"/>
    </row>
    <row r="136" spans="1:64" x14ac:dyDescent="0.3">
      <c r="A136" s="138" t="s">
        <v>59</v>
      </c>
      <c r="B136" s="138">
        <v>1045</v>
      </c>
      <c r="C136" s="28">
        <v>1366</v>
      </c>
      <c r="D136" s="138"/>
      <c r="E136" s="28" t="s">
        <v>60</v>
      </c>
      <c r="F136" s="28"/>
      <c r="G136" s="196">
        <v>1404</v>
      </c>
      <c r="H136" s="28">
        <v>5</v>
      </c>
      <c r="I136" s="28" t="s">
        <v>61</v>
      </c>
      <c r="J136" s="141"/>
      <c r="L136" s="138" t="s">
        <v>59</v>
      </c>
      <c r="M136" s="138">
        <v>6009</v>
      </c>
      <c r="N136" s="196">
        <v>42471</v>
      </c>
      <c r="O136" s="138">
        <v>0</v>
      </c>
      <c r="P136" s="196">
        <v>0</v>
      </c>
      <c r="Q136" s="141">
        <v>0</v>
      </c>
      <c r="R136" s="138">
        <v>0</v>
      </c>
      <c r="S136" s="196">
        <v>0</v>
      </c>
      <c r="T136" s="138"/>
      <c r="U136" s="141"/>
      <c r="AB136" s="138"/>
      <c r="AC136" s="138"/>
      <c r="AD136" s="141"/>
      <c r="AE136" s="28"/>
      <c r="AF136" s="28"/>
      <c r="AG136" s="28"/>
      <c r="AH136" s="138"/>
      <c r="AI136" s="141"/>
      <c r="AJ136" s="28"/>
      <c r="AK136" s="138" t="s">
        <v>62</v>
      </c>
      <c r="AL136" s="28"/>
      <c r="AM136" s="141"/>
      <c r="AP136" s="138" t="s">
        <v>6</v>
      </c>
      <c r="AQ136" s="138"/>
      <c r="AR136" s="141"/>
      <c r="AS136" s="138"/>
      <c r="AT136" s="141"/>
      <c r="AU136" s="28"/>
      <c r="AV136" s="28" t="s">
        <v>91</v>
      </c>
      <c r="AW136" s="28"/>
      <c r="AX136" s="28"/>
      <c r="AY136" s="141"/>
      <c r="BB136" s="196" t="s">
        <v>64</v>
      </c>
      <c r="BC136" s="28">
        <v>90</v>
      </c>
      <c r="BD136" s="28">
        <v>101</v>
      </c>
      <c r="BE136" s="138">
        <v>0</v>
      </c>
      <c r="BF136" s="28">
        <v>0</v>
      </c>
      <c r="BG136" s="28">
        <v>0</v>
      </c>
      <c r="BH136" s="138">
        <v>0</v>
      </c>
      <c r="BI136" s="141">
        <v>0</v>
      </c>
      <c r="BJ136" s="43">
        <v>16</v>
      </c>
      <c r="BK136" s="28" t="s">
        <v>474</v>
      </c>
      <c r="BL136" s="141" t="s">
        <v>6</v>
      </c>
    </row>
    <row r="137" spans="1:64" x14ac:dyDescent="0.3">
      <c r="A137" s="138" t="s">
        <v>6</v>
      </c>
      <c r="B137" s="138"/>
      <c r="C137" s="28"/>
      <c r="D137" s="138"/>
      <c r="E137" s="28"/>
      <c r="F137" s="28"/>
      <c r="G137" s="196"/>
      <c r="H137" s="28"/>
      <c r="I137" s="28" t="s">
        <v>528</v>
      </c>
      <c r="J137" s="141">
        <f>SUM(H136)</f>
        <v>5</v>
      </c>
      <c r="L137" s="142"/>
      <c r="M137" s="142"/>
      <c r="N137" s="199"/>
      <c r="O137" s="142"/>
      <c r="P137" s="199"/>
      <c r="Q137" s="146"/>
      <c r="R137" s="142"/>
      <c r="S137" s="199"/>
      <c r="T137" s="142"/>
      <c r="U137" s="146"/>
      <c r="AB137" s="138" t="s">
        <v>59</v>
      </c>
      <c r="AC137" s="138">
        <v>1583</v>
      </c>
      <c r="AD137" s="141">
        <v>1726</v>
      </c>
      <c r="AE137" s="28">
        <v>0</v>
      </c>
      <c r="AF137" s="28">
        <v>0</v>
      </c>
      <c r="AG137" s="28">
        <v>0</v>
      </c>
      <c r="AH137" s="138">
        <v>0</v>
      </c>
      <c r="AI137" s="141">
        <v>0</v>
      </c>
      <c r="AJ137" s="28">
        <v>0</v>
      </c>
      <c r="AK137" s="138">
        <v>5</v>
      </c>
      <c r="AL137" s="28" t="s">
        <v>66</v>
      </c>
      <c r="AM137" s="141"/>
      <c r="AP137" s="138" t="s">
        <v>56</v>
      </c>
      <c r="AQ137" s="138">
        <v>1449</v>
      </c>
      <c r="AR137" s="141">
        <v>1499</v>
      </c>
      <c r="AS137" s="138"/>
      <c r="AT137" s="141"/>
      <c r="AU137" s="28"/>
      <c r="AV137" s="28">
        <v>1</v>
      </c>
      <c r="AW137" s="28" t="s">
        <v>145</v>
      </c>
      <c r="AX137" s="28"/>
      <c r="AY137" s="141"/>
      <c r="BB137" s="196" t="s">
        <v>108</v>
      </c>
      <c r="BC137">
        <v>27</v>
      </c>
      <c r="BD137">
        <v>36</v>
      </c>
      <c r="BE137" s="138"/>
      <c r="BF137" s="28"/>
      <c r="BG137" s="28"/>
      <c r="BH137" s="138"/>
      <c r="BI137" s="141"/>
      <c r="BJ137" s="28"/>
      <c r="BK137" s="28"/>
      <c r="BL137" s="141"/>
    </row>
    <row r="138" spans="1:64" x14ac:dyDescent="0.3">
      <c r="A138" s="134"/>
      <c r="B138" s="134"/>
      <c r="C138" s="135"/>
      <c r="D138" s="134"/>
      <c r="E138" s="135"/>
      <c r="F138" s="135"/>
      <c r="G138" s="195"/>
      <c r="H138" s="135" t="s">
        <v>70</v>
      </c>
      <c r="I138" s="135"/>
      <c r="J138" s="136"/>
      <c r="L138" s="134"/>
      <c r="M138" s="134"/>
      <c r="N138" s="195"/>
      <c r="O138" s="134"/>
      <c r="P138" s="195"/>
      <c r="Q138" s="136"/>
      <c r="R138" s="134"/>
      <c r="S138" s="195"/>
      <c r="T138" s="134"/>
      <c r="U138" s="136"/>
      <c r="AB138" s="142"/>
      <c r="AC138" s="142"/>
      <c r="AD138" s="146"/>
      <c r="AE138" s="143"/>
      <c r="AF138" s="143"/>
      <c r="AG138" s="143"/>
      <c r="AH138" s="142"/>
      <c r="AI138" s="146"/>
      <c r="AJ138" s="143"/>
      <c r="AK138" s="142" t="s">
        <v>6</v>
      </c>
      <c r="AL138" s="143" t="s">
        <v>398</v>
      </c>
      <c r="AM138" s="146"/>
      <c r="AP138" s="142" t="s">
        <v>6</v>
      </c>
      <c r="AQ138" s="142"/>
      <c r="AR138" s="146"/>
      <c r="AS138" s="142"/>
      <c r="AT138" s="146"/>
      <c r="AU138" s="143"/>
      <c r="AV138" s="143">
        <f>204/2</f>
        <v>102</v>
      </c>
      <c r="AW138" s="143" t="s">
        <v>73</v>
      </c>
      <c r="AX138" s="143"/>
      <c r="AY138" s="146">
        <f>SUM(AV138)</f>
        <v>102</v>
      </c>
      <c r="BB138" s="199" t="s">
        <v>84</v>
      </c>
      <c r="BC138" s="143">
        <f>SUM(BC135:BC137)</f>
        <v>148</v>
      </c>
      <c r="BD138" s="143">
        <f>SUM(BD135:BD137)</f>
        <v>159</v>
      </c>
      <c r="BE138" s="142"/>
      <c r="BF138" s="143"/>
      <c r="BG138" s="143"/>
      <c r="BH138" s="142"/>
      <c r="BI138" s="146"/>
      <c r="BJ138" s="143">
        <v>5</v>
      </c>
      <c r="BK138" s="143" t="s">
        <v>69</v>
      </c>
      <c r="BL138" s="146">
        <f>SUM(BJ136:BJ138)</f>
        <v>21</v>
      </c>
    </row>
    <row r="139" spans="1:64" x14ac:dyDescent="0.3">
      <c r="A139" s="138" t="s">
        <v>74</v>
      </c>
      <c r="B139" s="138">
        <v>1124</v>
      </c>
      <c r="C139" s="28">
        <v>2755</v>
      </c>
      <c r="D139" s="138"/>
      <c r="E139" s="28" t="s">
        <v>60</v>
      </c>
      <c r="F139" s="28"/>
      <c r="G139" s="196">
        <v>2999</v>
      </c>
      <c r="H139" s="28">
        <v>1</v>
      </c>
      <c r="I139" s="28" t="s">
        <v>75</v>
      </c>
      <c r="J139" s="141"/>
      <c r="L139" s="138"/>
      <c r="M139" s="138"/>
      <c r="N139" s="196"/>
      <c r="O139" s="138"/>
      <c r="P139" s="196"/>
      <c r="Q139" s="141"/>
      <c r="R139" s="138"/>
      <c r="S139" s="196"/>
      <c r="T139" s="138" t="s">
        <v>80</v>
      </c>
      <c r="U139" s="141"/>
      <c r="AB139" s="134" t="s">
        <v>6</v>
      </c>
      <c r="AC139" s="134"/>
      <c r="AD139" s="136"/>
      <c r="AE139" s="135"/>
      <c r="AF139" s="135"/>
      <c r="AG139" s="135"/>
      <c r="AH139" s="134"/>
      <c r="AI139" s="136"/>
      <c r="AJ139" s="135"/>
      <c r="AK139" s="134" t="s">
        <v>952</v>
      </c>
      <c r="AL139" s="135"/>
      <c r="AM139" s="136"/>
      <c r="AP139" s="134" t="s">
        <v>56</v>
      </c>
      <c r="AQ139" s="134">
        <v>2</v>
      </c>
      <c r="AR139" s="136">
        <v>1</v>
      </c>
      <c r="AS139" s="134"/>
      <c r="AT139" s="136"/>
      <c r="AU139" s="135"/>
      <c r="AV139" s="135"/>
      <c r="AW139" s="135"/>
      <c r="AX139" s="135"/>
      <c r="AY139" s="136"/>
      <c r="BB139" s="195"/>
      <c r="BC139" s="134"/>
      <c r="BD139" s="136"/>
      <c r="BE139" s="135"/>
      <c r="BF139" s="135"/>
      <c r="BG139" s="135"/>
      <c r="BH139" s="134"/>
      <c r="BI139" s="136"/>
      <c r="BJ139" s="135" t="s">
        <v>82</v>
      </c>
      <c r="BK139" s="135"/>
      <c r="BL139" s="136"/>
    </row>
    <row r="140" spans="1:64" x14ac:dyDescent="0.3">
      <c r="A140" s="138"/>
      <c r="B140" s="138"/>
      <c r="C140" s="28"/>
      <c r="D140" s="138"/>
      <c r="E140" s="28"/>
      <c r="F140" s="28"/>
      <c r="G140" s="196"/>
      <c r="H140" s="28">
        <v>4</v>
      </c>
      <c r="I140" s="28" t="s">
        <v>79</v>
      </c>
      <c r="J140" s="141"/>
      <c r="L140" s="138" t="s">
        <v>74</v>
      </c>
      <c r="M140" s="138">
        <v>7127</v>
      </c>
      <c r="N140" s="196">
        <v>0</v>
      </c>
      <c r="O140" s="138">
        <v>0</v>
      </c>
      <c r="P140" s="196">
        <v>0</v>
      </c>
      <c r="Q140" s="141">
        <v>0</v>
      </c>
      <c r="R140" s="138">
        <v>6</v>
      </c>
      <c r="S140" s="196">
        <v>0</v>
      </c>
      <c r="T140" s="138"/>
      <c r="U140" s="141"/>
      <c r="AB140" s="142" t="s">
        <v>76</v>
      </c>
      <c r="AC140" s="142">
        <v>0</v>
      </c>
      <c r="AD140" s="146">
        <v>0</v>
      </c>
      <c r="AE140" s="143">
        <v>0</v>
      </c>
      <c r="AF140" s="143">
        <v>0</v>
      </c>
      <c r="AG140" s="143">
        <v>0</v>
      </c>
      <c r="AH140" s="142">
        <v>0</v>
      </c>
      <c r="AI140" s="146">
        <v>0</v>
      </c>
      <c r="AJ140" s="143">
        <v>0</v>
      </c>
      <c r="AK140" s="142"/>
      <c r="AL140" s="143" t="s">
        <v>780</v>
      </c>
      <c r="AM140" s="146"/>
      <c r="AP140" s="138" t="s">
        <v>63</v>
      </c>
      <c r="AQ140" s="138">
        <v>2</v>
      </c>
      <c r="AR140" s="141">
        <v>2</v>
      </c>
      <c r="AS140" s="138"/>
      <c r="AT140" s="141"/>
      <c r="AU140" s="28"/>
      <c r="AV140" s="28" t="s">
        <v>110</v>
      </c>
      <c r="AW140" s="28" t="s">
        <v>111</v>
      </c>
      <c r="AX140" s="28" t="s">
        <v>112</v>
      </c>
      <c r="AY140" s="141"/>
      <c r="BB140" s="199" t="s">
        <v>85</v>
      </c>
      <c r="BC140" s="142">
        <v>3</v>
      </c>
      <c r="BD140" s="146">
        <v>2</v>
      </c>
      <c r="BE140" s="143"/>
      <c r="BF140" s="143">
        <v>0</v>
      </c>
      <c r="BG140" s="143">
        <v>0</v>
      </c>
      <c r="BH140" s="142">
        <v>0</v>
      </c>
      <c r="BI140" s="146">
        <v>0</v>
      </c>
      <c r="BJ140" s="143">
        <v>1</v>
      </c>
      <c r="BK140" s="143" t="s">
        <v>86</v>
      </c>
      <c r="BL140" s="146">
        <f>SUM(BJ140)</f>
        <v>1</v>
      </c>
    </row>
    <row r="141" spans="1:64" x14ac:dyDescent="0.3">
      <c r="A141" s="142"/>
      <c r="B141" s="142"/>
      <c r="C141" s="143"/>
      <c r="D141" s="142"/>
      <c r="E141" s="143"/>
      <c r="F141" s="143"/>
      <c r="G141" s="199"/>
      <c r="H141" s="143">
        <v>14</v>
      </c>
      <c r="I141" s="143" t="s">
        <v>83</v>
      </c>
      <c r="J141" s="146">
        <f>SUM(H139:H141)</f>
        <v>19</v>
      </c>
      <c r="L141" s="142"/>
      <c r="M141" s="142"/>
      <c r="N141" s="199"/>
      <c r="O141" s="142"/>
      <c r="P141" s="199"/>
      <c r="Q141" s="146"/>
      <c r="R141" s="142"/>
      <c r="S141" s="199"/>
      <c r="T141" s="142"/>
      <c r="U141" s="146"/>
      <c r="AB141" s="134"/>
      <c r="AC141" s="134"/>
      <c r="AD141" s="136"/>
      <c r="AE141" s="135"/>
      <c r="AF141" s="135"/>
      <c r="AG141" s="135"/>
      <c r="AH141" s="134"/>
      <c r="AI141" s="136"/>
      <c r="AJ141" s="135"/>
      <c r="AK141" s="134"/>
      <c r="AL141" s="135"/>
      <c r="AM141" s="136"/>
      <c r="AP141" s="138" t="s">
        <v>115</v>
      </c>
      <c r="AQ141" s="138">
        <v>26</v>
      </c>
      <c r="AR141" s="141">
        <v>61</v>
      </c>
      <c r="AS141" s="138"/>
      <c r="AT141" s="141"/>
      <c r="AU141" s="28"/>
      <c r="AV141" s="28"/>
      <c r="AW141" s="28"/>
      <c r="AX141" s="28"/>
      <c r="AY141" s="141"/>
      <c r="BB141" s="195" t="s">
        <v>107</v>
      </c>
      <c r="BC141" s="134">
        <v>0</v>
      </c>
      <c r="BD141" s="136">
        <v>0</v>
      </c>
      <c r="BE141" s="135"/>
      <c r="BF141" s="135"/>
      <c r="BG141" s="135"/>
      <c r="BH141" s="134"/>
      <c r="BI141" s="136"/>
      <c r="BJ141" s="135"/>
      <c r="BK141" s="135" t="s">
        <v>92</v>
      </c>
      <c r="BL141" s="136"/>
    </row>
    <row r="142" spans="1:64" x14ac:dyDescent="0.3">
      <c r="A142" s="134"/>
      <c r="B142" s="134"/>
      <c r="C142" s="135"/>
      <c r="D142" s="134"/>
      <c r="E142" s="135"/>
      <c r="F142" s="135"/>
      <c r="G142" s="195"/>
      <c r="H142" s="135" t="s">
        <v>87</v>
      </c>
      <c r="I142" s="135"/>
      <c r="J142" s="136"/>
      <c r="L142" s="134" t="s">
        <v>88</v>
      </c>
      <c r="M142" s="134">
        <v>0</v>
      </c>
      <c r="N142" s="195">
        <v>0</v>
      </c>
      <c r="O142" s="134"/>
      <c r="P142" s="195"/>
      <c r="Q142" s="136"/>
      <c r="R142" s="134"/>
      <c r="S142" s="195"/>
      <c r="T142" s="134" t="s">
        <v>6</v>
      </c>
      <c r="U142" s="136"/>
      <c r="AB142" s="138" t="s">
        <v>89</v>
      </c>
      <c r="AC142" s="138">
        <v>36</v>
      </c>
      <c r="AD142" s="141">
        <v>31</v>
      </c>
      <c r="AE142" s="28"/>
      <c r="AF142" s="28"/>
      <c r="AG142" s="28"/>
      <c r="AH142" s="138"/>
      <c r="AI142" s="141"/>
      <c r="AJ142" s="28"/>
      <c r="AK142" s="138" t="s">
        <v>90</v>
      </c>
      <c r="AL142" s="28"/>
      <c r="AM142" s="141"/>
      <c r="AP142" s="138" t="s">
        <v>72</v>
      </c>
      <c r="AQ142" s="138">
        <v>0</v>
      </c>
      <c r="AR142" s="141">
        <v>0</v>
      </c>
      <c r="AS142" s="138"/>
      <c r="AT142" s="141"/>
      <c r="AU142" s="28"/>
      <c r="AV142" s="28"/>
      <c r="AW142" s="28"/>
      <c r="AX142" s="28"/>
      <c r="AY142" s="141"/>
      <c r="BB142" s="196" t="s">
        <v>99</v>
      </c>
      <c r="BC142" s="138">
        <v>0</v>
      </c>
      <c r="BD142" s="141">
        <v>0</v>
      </c>
      <c r="BE142" s="28">
        <v>0</v>
      </c>
      <c r="BF142" s="28">
        <v>0</v>
      </c>
      <c r="BG142" s="28">
        <v>0</v>
      </c>
      <c r="BH142" s="138">
        <v>62599</v>
      </c>
      <c r="BI142" s="141">
        <v>16362</v>
      </c>
      <c r="BJ142" s="43">
        <v>31</v>
      </c>
      <c r="BK142" s="28" t="s">
        <v>100</v>
      </c>
      <c r="BL142" s="141"/>
    </row>
    <row r="143" spans="1:64" x14ac:dyDescent="0.3">
      <c r="A143" s="138" t="s">
        <v>93</v>
      </c>
      <c r="B143" s="138">
        <v>3182</v>
      </c>
      <c r="C143" s="28">
        <v>3428</v>
      </c>
      <c r="D143" s="138"/>
      <c r="E143" s="28" t="s">
        <v>60</v>
      </c>
      <c r="F143" s="28"/>
      <c r="G143" s="196">
        <v>4896</v>
      </c>
      <c r="H143" s="43">
        <v>11</v>
      </c>
      <c r="I143" s="28" t="s">
        <v>94</v>
      </c>
      <c r="J143" s="141"/>
      <c r="L143" s="138" t="s">
        <v>95</v>
      </c>
      <c r="M143" s="138">
        <v>0</v>
      </c>
      <c r="N143" s="196">
        <v>0</v>
      </c>
      <c r="O143" s="138"/>
      <c r="P143" s="196"/>
      <c r="Q143" s="141"/>
      <c r="R143" s="138"/>
      <c r="S143" s="196"/>
      <c r="T143" s="138" t="s">
        <v>96</v>
      </c>
      <c r="U143" s="141"/>
      <c r="AB143" s="138" t="s">
        <v>974</v>
      </c>
      <c r="AC143" s="138">
        <v>0</v>
      </c>
      <c r="AD143" s="141">
        <v>0</v>
      </c>
      <c r="AE143" s="28">
        <v>0</v>
      </c>
      <c r="AF143" s="28">
        <v>0</v>
      </c>
      <c r="AG143" s="28">
        <v>0</v>
      </c>
      <c r="AH143" s="138">
        <v>0</v>
      </c>
      <c r="AI143" s="141">
        <v>0</v>
      </c>
      <c r="AJ143" s="28">
        <v>0</v>
      </c>
      <c r="AK143" s="138"/>
      <c r="AL143" s="28" t="s">
        <v>529</v>
      </c>
      <c r="AM143" s="141"/>
      <c r="AP143" s="138" t="s">
        <v>78</v>
      </c>
      <c r="AQ143" s="138">
        <v>76</v>
      </c>
      <c r="AR143" s="141">
        <v>79</v>
      </c>
      <c r="AS143" s="138"/>
      <c r="AT143" s="141"/>
      <c r="AU143" s="28"/>
      <c r="AV143" s="28"/>
      <c r="AW143" s="28"/>
      <c r="AX143" s="28"/>
      <c r="AY143" s="141"/>
      <c r="AZ143" t="s">
        <v>6</v>
      </c>
      <c r="BB143" s="199" t="s">
        <v>84</v>
      </c>
      <c r="BC143" s="142">
        <f>SUM(BC141:BC142)</f>
        <v>0</v>
      </c>
      <c r="BD143" s="146">
        <f>SUM(BD141:BD142)</f>
        <v>0</v>
      </c>
      <c r="BE143" s="143"/>
      <c r="BF143" s="143"/>
      <c r="BG143" s="143"/>
      <c r="BH143" s="142"/>
      <c r="BI143" s="146"/>
      <c r="BJ143" s="143">
        <v>0</v>
      </c>
      <c r="BK143" s="143" t="s">
        <v>506</v>
      </c>
      <c r="BL143" s="146">
        <f>SUM(BJ142:BJ143)</f>
        <v>31</v>
      </c>
    </row>
    <row r="144" spans="1:64" x14ac:dyDescent="0.3">
      <c r="A144" s="138"/>
      <c r="B144" s="138"/>
      <c r="C144" s="28"/>
      <c r="D144" s="138"/>
      <c r="E144" s="28"/>
      <c r="F144" s="28"/>
      <c r="G144" s="196"/>
      <c r="H144" s="28">
        <v>20</v>
      </c>
      <c r="I144" s="28" t="s">
        <v>101</v>
      </c>
      <c r="J144" s="141">
        <f>SUM(H143:H144)</f>
        <v>31</v>
      </c>
      <c r="L144" s="138" t="s">
        <v>102</v>
      </c>
      <c r="M144" s="138">
        <v>0</v>
      </c>
      <c r="N144" s="196">
        <v>0</v>
      </c>
      <c r="O144" s="138"/>
      <c r="P144" s="196"/>
      <c r="Q144" s="141"/>
      <c r="R144" s="138"/>
      <c r="S144" s="196"/>
      <c r="T144" s="138"/>
      <c r="U144" s="141"/>
      <c r="AB144" s="142" t="s">
        <v>84</v>
      </c>
      <c r="AC144" s="142">
        <f>SUM(AC142:AC143)</f>
        <v>36</v>
      </c>
      <c r="AD144" s="146">
        <f>SUM(AD142:AD143)</f>
        <v>31</v>
      </c>
      <c r="AE144" s="143"/>
      <c r="AF144" s="143"/>
      <c r="AG144" s="143"/>
      <c r="AH144" s="142"/>
      <c r="AI144" s="146"/>
      <c r="AJ144" s="143"/>
      <c r="AK144" s="142">
        <v>1</v>
      </c>
      <c r="AL144" s="143" t="s">
        <v>145</v>
      </c>
      <c r="AM144" s="146"/>
      <c r="AP144" s="138" t="s">
        <v>122</v>
      </c>
      <c r="AQ144" s="138">
        <v>70</v>
      </c>
      <c r="AR144" s="141">
        <v>59</v>
      </c>
      <c r="AS144" s="138"/>
      <c r="AT144" s="141"/>
      <c r="AU144" s="28"/>
      <c r="AV144" s="28">
        <v>41</v>
      </c>
      <c r="AW144" s="28" t="s">
        <v>123</v>
      </c>
      <c r="AX144" s="28"/>
      <c r="AY144" s="141"/>
      <c r="BB144" s="196"/>
      <c r="BC144" s="138"/>
      <c r="BD144" s="141"/>
      <c r="BH144" s="138"/>
      <c r="BI144" s="141"/>
      <c r="BJ144" s="134"/>
      <c r="BK144" s="135"/>
      <c r="BL144" s="136"/>
    </row>
    <row r="145" spans="1:65" x14ac:dyDescent="0.3">
      <c r="A145" s="134" t="s">
        <v>108</v>
      </c>
      <c r="B145" s="134">
        <v>0</v>
      </c>
      <c r="C145" s="135">
        <v>0</v>
      </c>
      <c r="D145" s="134"/>
      <c r="E145" s="135">
        <v>649</v>
      </c>
      <c r="F145" s="136"/>
      <c r="G145" s="136"/>
      <c r="H145" s="135" t="s">
        <v>104</v>
      </c>
      <c r="I145" s="135"/>
      <c r="J145" s="136"/>
      <c r="L145" s="142" t="s">
        <v>84</v>
      </c>
      <c r="M145" s="142">
        <v>0</v>
      </c>
      <c r="N145" s="199">
        <v>0</v>
      </c>
      <c r="O145" s="142">
        <v>0</v>
      </c>
      <c r="P145" s="199">
        <v>0</v>
      </c>
      <c r="Q145" s="146">
        <v>0</v>
      </c>
      <c r="R145" s="142">
        <v>0</v>
      </c>
      <c r="S145" s="199">
        <v>0</v>
      </c>
      <c r="T145" s="142"/>
      <c r="U145" s="146"/>
      <c r="AB145" s="134"/>
      <c r="AC145" s="134"/>
      <c r="AD145" s="136"/>
      <c r="AE145" s="135"/>
      <c r="AF145" s="135"/>
      <c r="AG145" s="135"/>
      <c r="AH145" s="134"/>
      <c r="AI145" s="136"/>
      <c r="AJ145" s="135"/>
      <c r="AK145" s="134" t="s">
        <v>6</v>
      </c>
      <c r="AL145" s="135" t="s">
        <v>6</v>
      </c>
      <c r="AM145" s="136"/>
      <c r="AP145" s="138" t="s">
        <v>125</v>
      </c>
      <c r="AQ145" s="138">
        <v>3</v>
      </c>
      <c r="AR145" s="141">
        <v>3</v>
      </c>
      <c r="AS145" s="138"/>
      <c r="AT145" s="141"/>
      <c r="AU145" s="28"/>
      <c r="AV145" s="28">
        <v>50</v>
      </c>
      <c r="AW145" s="28" t="s">
        <v>126</v>
      </c>
      <c r="AX145" s="28"/>
      <c r="AY145" s="141"/>
      <c r="AZ145" t="s">
        <v>6</v>
      </c>
      <c r="BA145" t="s">
        <v>6</v>
      </c>
      <c r="BB145" s="196" t="s">
        <v>89</v>
      </c>
      <c r="BC145" s="138">
        <v>665</v>
      </c>
      <c r="BD145" s="141">
        <v>564</v>
      </c>
      <c r="BH145" s="138"/>
      <c r="BI145" s="141"/>
      <c r="BJ145" s="138"/>
      <c r="BK145" s="28" t="s">
        <v>91</v>
      </c>
      <c r="BL145" s="141"/>
    </row>
    <row r="146" spans="1:65" x14ac:dyDescent="0.3">
      <c r="A146" s="138" t="s">
        <v>109</v>
      </c>
      <c r="B146" s="138">
        <v>1589</v>
      </c>
      <c r="C146" s="28">
        <v>1872</v>
      </c>
      <c r="D146" s="138"/>
      <c r="E146" s="28">
        <v>0</v>
      </c>
      <c r="F146" s="141"/>
      <c r="G146" s="141"/>
      <c r="H146" s="28">
        <v>9</v>
      </c>
      <c r="I146" s="28" t="s">
        <v>114</v>
      </c>
      <c r="J146" s="141"/>
      <c r="L146" s="134"/>
      <c r="M146" s="134"/>
      <c r="N146" s="195"/>
      <c r="O146" s="134"/>
      <c r="P146" s="195"/>
      <c r="Q146" s="136"/>
      <c r="R146" s="134"/>
      <c r="S146" s="195"/>
      <c r="T146" s="134" t="s">
        <v>104</v>
      </c>
      <c r="U146" s="136"/>
      <c r="AB146" s="138" t="s">
        <v>6</v>
      </c>
      <c r="AC146" s="138"/>
      <c r="AD146" s="141"/>
      <c r="AE146" s="28">
        <v>0</v>
      </c>
      <c r="AF146" s="28">
        <v>0</v>
      </c>
      <c r="AG146" s="28">
        <v>0</v>
      </c>
      <c r="AH146" s="138"/>
      <c r="AI146" s="141"/>
      <c r="AJ146" s="28">
        <v>0</v>
      </c>
      <c r="AK146" s="138"/>
      <c r="AL146" s="28" t="s">
        <v>6</v>
      </c>
      <c r="AM146" s="141"/>
      <c r="AP146" s="138" t="s">
        <v>128</v>
      </c>
      <c r="AQ146" s="138">
        <v>0</v>
      </c>
      <c r="AR146" s="141">
        <v>0</v>
      </c>
      <c r="AS146" s="138"/>
      <c r="AT146" s="141"/>
      <c r="AU146" s="28"/>
      <c r="AV146" s="28">
        <v>41</v>
      </c>
      <c r="AW146" s="28" t="s">
        <v>129</v>
      </c>
      <c r="AX146" s="28"/>
      <c r="AY146" s="141"/>
      <c r="BA146" t="s">
        <v>6</v>
      </c>
      <c r="BB146" s="196" t="s">
        <v>137</v>
      </c>
      <c r="BC146" s="138">
        <v>12</v>
      </c>
      <c r="BD146" s="141">
        <v>64</v>
      </c>
      <c r="BH146" s="138"/>
      <c r="BI146" s="141"/>
      <c r="BJ146" s="138">
        <v>38</v>
      </c>
      <c r="BK146" s="43" t="s">
        <v>145</v>
      </c>
      <c r="BL146" s="141"/>
    </row>
    <row r="147" spans="1:65" x14ac:dyDescent="0.3">
      <c r="A147" s="138" t="s">
        <v>84</v>
      </c>
      <c r="B147" s="138">
        <f>SUM(B145:B146)</f>
        <v>1589</v>
      </c>
      <c r="C147" s="28">
        <f>SUM(C145:C146)</f>
        <v>1872</v>
      </c>
      <c r="D147" s="138"/>
      <c r="E147" s="28">
        <f>SUM(E145:E146)</f>
        <v>649</v>
      </c>
      <c r="F147" s="141"/>
      <c r="G147" s="141">
        <v>3328</v>
      </c>
      <c r="H147" s="28"/>
      <c r="I147" s="28"/>
      <c r="J147" s="141">
        <f>SUM(H146)</f>
        <v>9</v>
      </c>
      <c r="L147" s="138" t="s">
        <v>109</v>
      </c>
      <c r="M147" s="138">
        <v>3078</v>
      </c>
      <c r="N147" s="196">
        <v>0</v>
      </c>
      <c r="O147" s="138">
        <v>0</v>
      </c>
      <c r="P147" s="196">
        <v>0</v>
      </c>
      <c r="Q147" s="141">
        <v>0</v>
      </c>
      <c r="R147" s="138">
        <v>0</v>
      </c>
      <c r="S147" s="196">
        <v>0</v>
      </c>
      <c r="T147" s="138"/>
      <c r="U147" s="141"/>
      <c r="AB147" s="138"/>
      <c r="AC147" s="138"/>
      <c r="AD147" s="141"/>
      <c r="AE147" s="28">
        <v>0</v>
      </c>
      <c r="AF147" s="28">
        <v>0</v>
      </c>
      <c r="AG147" s="28">
        <v>0</v>
      </c>
      <c r="AH147" s="138"/>
      <c r="AI147" s="141"/>
      <c r="AJ147" s="28"/>
      <c r="AK147" s="138"/>
      <c r="AL147" s="28"/>
      <c r="AM147" s="141"/>
      <c r="AP147" s="138" t="s">
        <v>132</v>
      </c>
      <c r="AQ147" s="138">
        <v>0</v>
      </c>
      <c r="AR147" s="141">
        <v>0</v>
      </c>
      <c r="AS147" s="138"/>
      <c r="AT147" s="141"/>
      <c r="AU147" s="28"/>
      <c r="AV147" s="28"/>
      <c r="AW147" s="28"/>
      <c r="AX147" s="28"/>
      <c r="AY147" s="141"/>
      <c r="BB147" s="196" t="s">
        <v>113</v>
      </c>
      <c r="BC147" s="138">
        <v>793</v>
      </c>
      <c r="BD147" s="141">
        <v>834</v>
      </c>
      <c r="BH147" s="138"/>
      <c r="BI147" s="141"/>
      <c r="BJ147" s="138">
        <v>45</v>
      </c>
      <c r="BK147" s="28" t="s">
        <v>73</v>
      </c>
      <c r="BL147" s="141"/>
    </row>
    <row r="148" spans="1:65" x14ac:dyDescent="0.3">
      <c r="A148" s="142"/>
      <c r="B148" s="142"/>
      <c r="C148" s="143"/>
      <c r="D148" s="142"/>
      <c r="E148" s="143"/>
      <c r="F148" s="146"/>
      <c r="G148" s="146"/>
      <c r="H148" s="143"/>
      <c r="I148" s="143"/>
      <c r="J148" s="146"/>
      <c r="L148" s="142"/>
      <c r="M148" s="142"/>
      <c r="N148" s="199"/>
      <c r="O148" s="142"/>
      <c r="P148" s="199"/>
      <c r="Q148" s="146"/>
      <c r="R148" s="142"/>
      <c r="S148" s="199"/>
      <c r="T148" s="142"/>
      <c r="U148" s="146"/>
      <c r="AB148" s="142"/>
      <c r="AC148" s="142"/>
      <c r="AD148" s="146"/>
      <c r="AE148" s="143">
        <v>0</v>
      </c>
      <c r="AF148" s="143">
        <v>0</v>
      </c>
      <c r="AG148" s="143">
        <v>0</v>
      </c>
      <c r="AH148" s="142"/>
      <c r="AI148" s="146"/>
      <c r="AJ148" s="143"/>
      <c r="AK148" s="142"/>
      <c r="AL148" s="143"/>
      <c r="AM148" s="146"/>
      <c r="AP148" s="138" t="s">
        <v>81</v>
      </c>
      <c r="AQ148" s="138">
        <v>15</v>
      </c>
      <c r="AR148" s="141">
        <v>33</v>
      </c>
      <c r="AS148" s="138"/>
      <c r="AT148" s="141"/>
      <c r="AU148" s="28"/>
      <c r="AV148" s="28"/>
      <c r="AW148" s="28"/>
      <c r="AX148" s="28"/>
      <c r="AY148" s="141"/>
      <c r="BA148" t="s">
        <v>6</v>
      </c>
      <c r="BB148" s="196" t="s">
        <v>84</v>
      </c>
      <c r="BC148" s="138">
        <f>SUM(BC145:BC147)</f>
        <v>1470</v>
      </c>
      <c r="BD148" s="141">
        <f>SUM(BD145:BD147)</f>
        <v>1462</v>
      </c>
      <c r="BE148">
        <v>0</v>
      </c>
      <c r="BF148">
        <v>0</v>
      </c>
      <c r="BG148">
        <v>0</v>
      </c>
      <c r="BH148" s="138">
        <v>0</v>
      </c>
      <c r="BI148" s="141">
        <v>0</v>
      </c>
      <c r="BJ148" s="142"/>
      <c r="BK148" s="143"/>
      <c r="BL148" s="146">
        <f>SUM(BJ147)</f>
        <v>45</v>
      </c>
    </row>
    <row r="149" spans="1:65" x14ac:dyDescent="0.3">
      <c r="A149" s="138" t="s">
        <v>93</v>
      </c>
      <c r="B149" s="138">
        <v>7808</v>
      </c>
      <c r="C149" s="28">
        <v>7721</v>
      </c>
      <c r="D149" s="138"/>
      <c r="E149" s="28"/>
      <c r="F149" s="28"/>
      <c r="G149" s="196">
        <v>9340</v>
      </c>
      <c r="H149" s="28" t="s">
        <v>118</v>
      </c>
      <c r="I149" s="28"/>
      <c r="J149" s="141"/>
      <c r="L149" s="134" t="s">
        <v>93</v>
      </c>
      <c r="M149" s="134">
        <v>0</v>
      </c>
      <c r="N149" s="195">
        <v>114</v>
      </c>
      <c r="O149" s="134"/>
      <c r="P149" s="195"/>
      <c r="Q149" s="136"/>
      <c r="R149" s="134">
        <v>0</v>
      </c>
      <c r="S149" s="195">
        <v>0</v>
      </c>
      <c r="T149" s="134" t="s">
        <v>116</v>
      </c>
      <c r="U149" s="136"/>
      <c r="AB149" s="138"/>
      <c r="AC149" s="138"/>
      <c r="AD149" s="141"/>
      <c r="AE149" s="28"/>
      <c r="AF149" s="28"/>
      <c r="AG149" s="28"/>
      <c r="AH149" s="138"/>
      <c r="AI149" s="141"/>
      <c r="AJ149" s="28"/>
      <c r="AK149" s="138"/>
      <c r="AL149" s="28" t="s">
        <v>117</v>
      </c>
      <c r="AM149" s="141"/>
      <c r="AP149" s="138" t="s">
        <v>138</v>
      </c>
      <c r="AQ149" s="138">
        <v>0</v>
      </c>
      <c r="AR149" s="141">
        <v>0</v>
      </c>
      <c r="AS149" s="138"/>
      <c r="AT149" s="141"/>
      <c r="AU149" s="28"/>
      <c r="AV149" s="28"/>
      <c r="AW149" s="28"/>
      <c r="AX149" s="28"/>
      <c r="AY149" s="141"/>
      <c r="BB149" s="134"/>
      <c r="BC149" s="134"/>
      <c r="BD149" s="136"/>
      <c r="BE149" s="135"/>
      <c r="BF149" s="135"/>
      <c r="BG149" s="135"/>
      <c r="BH149" s="134"/>
      <c r="BI149" s="136"/>
      <c r="BJ149" s="135" t="s">
        <v>994</v>
      </c>
      <c r="BK149" s="135"/>
      <c r="BL149" s="136"/>
    </row>
    <row r="150" spans="1:65" x14ac:dyDescent="0.3">
      <c r="A150" s="138" t="s">
        <v>120</v>
      </c>
      <c r="B150" s="138">
        <v>5026</v>
      </c>
      <c r="C150" s="43">
        <v>5290</v>
      </c>
      <c r="D150" s="138"/>
      <c r="E150" s="28" t="s">
        <v>60</v>
      </c>
      <c r="F150" s="28"/>
      <c r="G150" s="196">
        <v>14365</v>
      </c>
      <c r="H150" s="28">
        <v>72</v>
      </c>
      <c r="I150" s="28" t="s">
        <v>101</v>
      </c>
      <c r="J150" s="141"/>
      <c r="L150" s="138" t="s">
        <v>99</v>
      </c>
      <c r="M150" s="138">
        <v>35867</v>
      </c>
      <c r="N150" s="196">
        <v>30407</v>
      </c>
      <c r="O150" s="138"/>
      <c r="P150" s="196"/>
      <c r="Q150" s="141"/>
      <c r="R150" s="138">
        <v>5484</v>
      </c>
      <c r="S150" s="196">
        <v>196</v>
      </c>
      <c r="T150" s="138"/>
      <c r="U150" s="141"/>
      <c r="AB150" s="138"/>
      <c r="AC150" s="138"/>
      <c r="AD150" s="141"/>
      <c r="AE150" s="28"/>
      <c r="AF150" s="28"/>
      <c r="AG150" s="28"/>
      <c r="AH150" s="138"/>
      <c r="AI150" s="141"/>
      <c r="AJ150" s="28"/>
      <c r="AK150" s="138"/>
      <c r="AL150" s="28" t="s">
        <v>558</v>
      </c>
      <c r="AM150" s="141"/>
      <c r="AP150" s="138" t="s">
        <v>230</v>
      </c>
      <c r="AQ150" s="138">
        <v>2</v>
      </c>
      <c r="AR150" s="141">
        <v>2</v>
      </c>
      <c r="AS150" s="138"/>
      <c r="AT150" s="141"/>
      <c r="AU150" s="28"/>
      <c r="AV150" s="28"/>
      <c r="AW150" s="28"/>
      <c r="AX150" s="28"/>
      <c r="AY150" s="141"/>
      <c r="BB150" s="138" t="s">
        <v>113</v>
      </c>
      <c r="BC150" s="138">
        <v>20</v>
      </c>
      <c r="BD150" s="141">
        <v>9</v>
      </c>
      <c r="BE150" s="28"/>
      <c r="BF150" s="28"/>
      <c r="BG150" s="28"/>
      <c r="BH150" s="138"/>
      <c r="BI150" s="141"/>
      <c r="BJ150" s="28">
        <v>3</v>
      </c>
      <c r="BK150" s="28" t="s">
        <v>100</v>
      </c>
      <c r="BL150" s="141"/>
    </row>
    <row r="151" spans="1:65" x14ac:dyDescent="0.3">
      <c r="A151" s="142" t="s">
        <v>84</v>
      </c>
      <c r="B151" s="142">
        <f>SUM(B149:B150)</f>
        <v>12834</v>
      </c>
      <c r="C151" s="143">
        <f>SUM(C149:C150)</f>
        <v>13011</v>
      </c>
      <c r="D151" s="142"/>
      <c r="E151" s="143"/>
      <c r="F151" s="143"/>
      <c r="G151" s="199">
        <f>SUM(G149:G150)</f>
        <v>23705</v>
      </c>
      <c r="H151" s="143">
        <v>21</v>
      </c>
      <c r="I151" s="143" t="s">
        <v>927</v>
      </c>
      <c r="J151" s="146">
        <f>SUM(H150:H151)</f>
        <v>93</v>
      </c>
      <c r="L151" s="138" t="s">
        <v>120</v>
      </c>
      <c r="M151" s="138">
        <v>135</v>
      </c>
      <c r="N151" s="196">
        <v>12298</v>
      </c>
      <c r="O151" s="138"/>
      <c r="P151" s="196"/>
      <c r="Q151" s="141" t="s">
        <v>6</v>
      </c>
      <c r="R151" s="138">
        <v>0</v>
      </c>
      <c r="S151" s="196">
        <v>0</v>
      </c>
      <c r="T151" s="138"/>
      <c r="U151" s="141"/>
      <c r="AB151" s="138"/>
      <c r="AC151" s="138"/>
      <c r="AD151" s="141"/>
      <c r="AE151" s="28"/>
      <c r="AF151" s="28"/>
      <c r="AG151" s="28"/>
      <c r="AH151" s="138"/>
      <c r="AI151" s="141"/>
      <c r="AJ151" s="28"/>
      <c r="AK151" s="138"/>
      <c r="AL151" s="28" t="s">
        <v>401</v>
      </c>
      <c r="AM151" s="141"/>
      <c r="AP151" s="138" t="s">
        <v>67</v>
      </c>
      <c r="AQ151" s="138">
        <v>89</v>
      </c>
      <c r="AR151" s="141">
        <v>76</v>
      </c>
      <c r="AS151" s="138"/>
      <c r="AT151" s="141"/>
      <c r="AU151" s="28"/>
      <c r="AV151" s="28"/>
      <c r="AW151" s="28"/>
      <c r="AX151" s="28"/>
      <c r="AY151" s="141"/>
      <c r="BB151" s="138" t="s">
        <v>475</v>
      </c>
      <c r="BC151" s="138">
        <v>0</v>
      </c>
      <c r="BD151" s="141">
        <v>0</v>
      </c>
      <c r="BE151" s="28"/>
      <c r="BF151" s="28"/>
      <c r="BG151" s="28"/>
      <c r="BH151" s="138"/>
      <c r="BI151" s="141"/>
      <c r="BJ151" s="43">
        <v>3</v>
      </c>
      <c r="BK151" s="43" t="s">
        <v>73</v>
      </c>
      <c r="BL151" s="141"/>
      <c r="BM151" t="s">
        <v>6</v>
      </c>
    </row>
    <row r="152" spans="1:65" x14ac:dyDescent="0.3">
      <c r="A152" s="195"/>
      <c r="B152" s="134"/>
      <c r="C152" s="136"/>
      <c r="D152" s="134"/>
      <c r="E152" s="135"/>
      <c r="F152" s="135"/>
      <c r="G152" s="195"/>
      <c r="H152" s="135"/>
      <c r="I152" s="135"/>
      <c r="J152" s="136"/>
      <c r="L152" s="142" t="s">
        <v>84</v>
      </c>
      <c r="M152" s="142">
        <f>SUM(M149:M151)</f>
        <v>36002</v>
      </c>
      <c r="N152" s="199">
        <f>SUM(N149:N151)</f>
        <v>42819</v>
      </c>
      <c r="O152" s="142">
        <v>0</v>
      </c>
      <c r="P152" s="199">
        <v>0</v>
      </c>
      <c r="Q152" s="146">
        <v>0</v>
      </c>
      <c r="R152" s="142">
        <f>SUM(R149:R151)</f>
        <v>5484</v>
      </c>
      <c r="S152" s="199">
        <f>SUM(S149:S151)</f>
        <v>196</v>
      </c>
      <c r="T152" s="142"/>
      <c r="U152" s="146"/>
      <c r="AB152" s="138"/>
      <c r="AC152" s="138"/>
      <c r="AD152" s="141"/>
      <c r="AE152" s="28"/>
      <c r="AF152" s="28"/>
      <c r="AG152" s="28"/>
      <c r="AH152" s="138"/>
      <c r="AI152" s="141"/>
      <c r="AJ152" s="28"/>
      <c r="AK152" s="138">
        <v>1</v>
      </c>
      <c r="AL152" s="28" t="s">
        <v>124</v>
      </c>
      <c r="AM152" s="141"/>
      <c r="AP152" s="142" t="s">
        <v>84</v>
      </c>
      <c r="AQ152" s="142">
        <f>SUM(AQ140:AQ151)</f>
        <v>283</v>
      </c>
      <c r="AR152" s="146">
        <f>SUM(AR140:AR151)</f>
        <v>315</v>
      </c>
      <c r="AS152" s="142"/>
      <c r="AT152" s="146">
        <v>0</v>
      </c>
      <c r="AU152" s="143"/>
      <c r="AV152" s="143"/>
      <c r="AW152" s="143"/>
      <c r="AX152" s="143"/>
      <c r="AY152" s="146">
        <f>SUM(AV144:AV146)</f>
        <v>132</v>
      </c>
      <c r="BB152" s="142" t="s">
        <v>84</v>
      </c>
      <c r="BC152" s="142">
        <f>SUM(BC150:BC151)</f>
        <v>20</v>
      </c>
      <c r="BD152" s="146">
        <f>SUM(BD150:BD151)</f>
        <v>9</v>
      </c>
      <c r="BE152" s="143">
        <v>0</v>
      </c>
      <c r="BF152" s="143">
        <v>0</v>
      </c>
      <c r="BG152" s="143">
        <v>0</v>
      </c>
      <c r="BH152" s="142">
        <v>0</v>
      </c>
      <c r="BI152" s="146">
        <v>0</v>
      </c>
      <c r="BJ152" s="143"/>
      <c r="BK152" s="143"/>
      <c r="BL152" s="146">
        <f>SUM(BJ151)</f>
        <v>3</v>
      </c>
    </row>
    <row r="153" spans="1:65" x14ac:dyDescent="0.3">
      <c r="A153" s="196" t="s">
        <v>88</v>
      </c>
      <c r="B153" s="138">
        <v>552</v>
      </c>
      <c r="C153" s="141">
        <v>1003</v>
      </c>
      <c r="D153" s="138"/>
      <c r="E153" s="28">
        <v>0</v>
      </c>
      <c r="F153" s="28"/>
      <c r="G153" s="196">
        <v>2334</v>
      </c>
      <c r="H153" s="28" t="s">
        <v>131</v>
      </c>
      <c r="I153" s="28"/>
      <c r="J153" s="141"/>
      <c r="L153" s="134"/>
      <c r="M153" s="134"/>
      <c r="N153" s="195"/>
      <c r="O153" s="134"/>
      <c r="P153" s="195"/>
      <c r="Q153" s="136"/>
      <c r="R153" s="134"/>
      <c r="S153" s="195"/>
      <c r="T153" s="134"/>
      <c r="U153" s="136"/>
      <c r="AB153" s="134"/>
      <c r="AC153" s="134"/>
      <c r="AD153" s="136"/>
      <c r="AE153" s="135"/>
      <c r="AF153" s="135"/>
      <c r="AG153" s="135"/>
      <c r="AH153" s="134"/>
      <c r="AI153" s="136"/>
      <c r="AJ153" s="135"/>
      <c r="AK153" s="134"/>
      <c r="AL153" s="135"/>
      <c r="AM153" s="136"/>
      <c r="AP153" s="134"/>
      <c r="AQ153" s="134"/>
      <c r="AR153" s="136"/>
      <c r="AS153" s="134"/>
      <c r="AT153" s="136"/>
      <c r="AU153" s="135"/>
      <c r="AV153" s="135"/>
      <c r="AW153" s="135"/>
      <c r="AX153" s="135"/>
      <c r="AY153" s="136"/>
      <c r="BB153" s="196" t="s">
        <v>108</v>
      </c>
      <c r="BC153" s="138">
        <v>12</v>
      </c>
      <c r="BD153" s="141">
        <v>2</v>
      </c>
      <c r="BE153" s="134"/>
      <c r="BF153" s="135"/>
      <c r="BG153" s="136"/>
      <c r="BH153" s="138"/>
      <c r="BI153" s="141"/>
      <c r="BJ153" s="134" t="s">
        <v>140</v>
      </c>
      <c r="BK153" s="135"/>
      <c r="BL153" s="136"/>
    </row>
    <row r="154" spans="1:65" x14ac:dyDescent="0.3">
      <c r="A154" s="211" t="s">
        <v>99</v>
      </c>
      <c r="B154" s="212">
        <v>266</v>
      </c>
      <c r="C154" s="209">
        <v>379</v>
      </c>
      <c r="D154" s="138"/>
      <c r="E154" s="28">
        <v>0</v>
      </c>
      <c r="F154" s="28"/>
      <c r="G154" s="211">
        <v>668</v>
      </c>
      <c r="H154" s="28"/>
      <c r="I154" s="28"/>
      <c r="J154" s="141"/>
      <c r="L154" s="138" t="s">
        <v>105</v>
      </c>
      <c r="M154" s="138">
        <v>1788</v>
      </c>
      <c r="N154" s="196">
        <v>356</v>
      </c>
      <c r="O154" s="138">
        <v>0</v>
      </c>
      <c r="P154" s="196">
        <v>0</v>
      </c>
      <c r="Q154" s="141"/>
      <c r="R154" s="138">
        <v>0</v>
      </c>
      <c r="S154" s="196">
        <v>0</v>
      </c>
      <c r="T154" s="138"/>
      <c r="U154" s="141"/>
      <c r="AB154" s="138" t="s">
        <v>97</v>
      </c>
      <c r="AC154" s="138">
        <v>184</v>
      </c>
      <c r="AD154" s="141">
        <v>216</v>
      </c>
      <c r="AE154" s="28"/>
      <c r="AF154" s="28"/>
      <c r="AG154" s="28"/>
      <c r="AH154" s="138"/>
      <c r="AI154" s="141"/>
      <c r="AJ154" s="28"/>
      <c r="AK154" s="138"/>
      <c r="AL154" s="28"/>
      <c r="AM154" s="141"/>
      <c r="AP154" s="138" t="s">
        <v>63</v>
      </c>
      <c r="AQ154" s="138">
        <v>6</v>
      </c>
      <c r="AR154" s="141">
        <v>10</v>
      </c>
      <c r="AS154" s="138"/>
      <c r="AT154" s="141"/>
      <c r="AU154" s="28"/>
      <c r="AV154" s="28"/>
      <c r="AW154" s="28"/>
      <c r="AX154" s="28"/>
      <c r="AY154" s="141"/>
      <c r="BB154" s="196" t="s">
        <v>164</v>
      </c>
      <c r="BC154" s="138">
        <v>2</v>
      </c>
      <c r="BD154" s="141">
        <v>7</v>
      </c>
      <c r="BE154" s="138"/>
      <c r="BF154" s="28"/>
      <c r="BG154" s="141"/>
      <c r="BH154" s="138"/>
      <c r="BI154" s="141"/>
      <c r="BJ154" s="138"/>
      <c r="BK154" s="28"/>
      <c r="BL154" s="141"/>
    </row>
    <row r="155" spans="1:65" x14ac:dyDescent="0.3">
      <c r="A155" s="196" t="s">
        <v>102</v>
      </c>
      <c r="B155" s="138">
        <v>324</v>
      </c>
      <c r="C155" s="209">
        <v>250</v>
      </c>
      <c r="D155" s="138"/>
      <c r="E155" s="28">
        <v>0</v>
      </c>
      <c r="F155" s="28"/>
      <c r="G155" s="196">
        <v>1521</v>
      </c>
      <c r="H155" s="43">
        <v>16</v>
      </c>
      <c r="I155" s="28" t="s">
        <v>134</v>
      </c>
      <c r="J155" s="141"/>
      <c r="L155" s="138" t="s">
        <v>99</v>
      </c>
      <c r="M155" s="138">
        <v>173</v>
      </c>
      <c r="N155" s="196">
        <v>0</v>
      </c>
      <c r="O155" s="138">
        <v>0</v>
      </c>
      <c r="P155" s="196">
        <v>0</v>
      </c>
      <c r="Q155" s="141">
        <v>0</v>
      </c>
      <c r="R155" s="138">
        <v>0</v>
      </c>
      <c r="S155" s="196">
        <v>0</v>
      </c>
      <c r="T155" s="138" t="s">
        <v>135</v>
      </c>
      <c r="U155" s="141"/>
      <c r="AB155" s="138" t="s">
        <v>89</v>
      </c>
      <c r="AC155" s="138">
        <v>427</v>
      </c>
      <c r="AD155" s="141">
        <v>358</v>
      </c>
      <c r="AE155" s="28"/>
      <c r="AF155" s="28"/>
      <c r="AG155" s="28"/>
      <c r="AH155" s="138"/>
      <c r="AI155" s="141"/>
      <c r="AJ155" s="28"/>
      <c r="AK155" s="138" t="s">
        <v>953</v>
      </c>
      <c r="AL155" s="28"/>
      <c r="AM155" s="141"/>
      <c r="AP155" s="138" t="s">
        <v>536</v>
      </c>
      <c r="AQ155" s="138">
        <v>0</v>
      </c>
      <c r="AR155" s="141">
        <v>0</v>
      </c>
      <c r="AS155" s="138"/>
      <c r="AT155" s="141"/>
      <c r="AU155" s="28"/>
      <c r="AV155" s="28"/>
      <c r="AW155" s="28"/>
      <c r="AX155" s="28"/>
      <c r="AY155" s="141"/>
      <c r="BB155" s="196" t="s">
        <v>133</v>
      </c>
      <c r="BC155" s="138">
        <v>16</v>
      </c>
      <c r="BD155" s="141">
        <v>22</v>
      </c>
      <c r="BE155" s="138"/>
      <c r="BF155" s="28"/>
      <c r="BG155" s="141"/>
      <c r="BH155" s="138"/>
      <c r="BI155" s="141"/>
      <c r="BJ155" s="138"/>
      <c r="BK155" s="28"/>
      <c r="BL155" s="141"/>
    </row>
    <row r="156" spans="1:65" x14ac:dyDescent="0.3">
      <c r="A156" s="196" t="s">
        <v>84</v>
      </c>
      <c r="B156" s="142">
        <f>SUM(B153:B155)</f>
        <v>1142</v>
      </c>
      <c r="C156" s="146">
        <f>SUM(C153:C155)</f>
        <v>1632</v>
      </c>
      <c r="D156" s="142"/>
      <c r="E156" s="143">
        <v>0</v>
      </c>
      <c r="F156" s="143"/>
      <c r="G156" s="199">
        <f>SUM(G153:G155)</f>
        <v>4523</v>
      </c>
      <c r="H156" s="143">
        <v>6</v>
      </c>
      <c r="I156" s="143" t="s">
        <v>815</v>
      </c>
      <c r="J156" s="146">
        <f>SUM(H155:H156)</f>
        <v>22</v>
      </c>
      <c r="L156" s="138"/>
      <c r="M156" s="138"/>
      <c r="N156" s="196"/>
      <c r="O156" s="138"/>
      <c r="P156" s="196"/>
      <c r="Q156" s="141"/>
      <c r="R156" s="138"/>
      <c r="S156" s="196"/>
      <c r="T156" s="138"/>
      <c r="U156" s="141"/>
      <c r="AB156" s="138" t="s">
        <v>137</v>
      </c>
      <c r="AC156" s="138">
        <v>523</v>
      </c>
      <c r="AD156" s="141">
        <v>429</v>
      </c>
      <c r="AE156" s="28"/>
      <c r="AF156" s="28"/>
      <c r="AG156" s="28"/>
      <c r="AH156" s="138"/>
      <c r="AI156" s="141"/>
      <c r="AJ156" s="28"/>
      <c r="AK156" s="138">
        <v>8</v>
      </c>
      <c r="AL156" s="28" t="s">
        <v>884</v>
      </c>
      <c r="AM156" s="141"/>
      <c r="AP156" s="138" t="s">
        <v>56</v>
      </c>
      <c r="AQ156" s="138">
        <v>1</v>
      </c>
      <c r="AR156" s="141">
        <v>0</v>
      </c>
      <c r="AS156" s="138"/>
      <c r="AT156" s="141"/>
      <c r="AU156" s="28"/>
      <c r="AV156" s="28" t="s">
        <v>173</v>
      </c>
      <c r="AW156" s="28"/>
      <c r="AX156" s="28"/>
      <c r="AY156" s="141"/>
      <c r="BB156" s="196" t="s">
        <v>113</v>
      </c>
      <c r="BC156" s="138">
        <f>10+20+5+3+3+1</f>
        <v>42</v>
      </c>
      <c r="BD156" s="141">
        <v>48</v>
      </c>
      <c r="BE156" s="138"/>
      <c r="BF156" s="28"/>
      <c r="BG156" s="141"/>
      <c r="BH156" s="138"/>
      <c r="BI156" s="141"/>
      <c r="BJ156" s="138" t="s">
        <v>142</v>
      </c>
      <c r="BK156" s="28"/>
      <c r="BL156" s="141" t="s">
        <v>251</v>
      </c>
    </row>
    <row r="157" spans="1:65" x14ac:dyDescent="0.3">
      <c r="A157" s="195"/>
      <c r="B157" s="28"/>
      <c r="C157" s="28"/>
      <c r="D157" s="138"/>
      <c r="E157" s="28" t="s">
        <v>6</v>
      </c>
      <c r="F157" s="28"/>
      <c r="G157" s="196"/>
      <c r="H157" s="28" t="s">
        <v>116</v>
      </c>
      <c r="I157" s="28"/>
      <c r="J157" s="141"/>
      <c r="L157" s="142" t="s">
        <v>84</v>
      </c>
      <c r="M157" s="142">
        <f>SUM(M154:M156)</f>
        <v>1961</v>
      </c>
      <c r="N157" s="199">
        <f>SUM(N154:N156)</f>
        <v>356</v>
      </c>
      <c r="O157" s="142">
        <v>0</v>
      </c>
      <c r="P157" s="199">
        <v>0</v>
      </c>
      <c r="Q157" s="146">
        <v>0</v>
      </c>
      <c r="R157" s="142">
        <f>SUM(R154:R156)</f>
        <v>0</v>
      </c>
      <c r="S157" s="199">
        <v>0</v>
      </c>
      <c r="T157" s="142"/>
      <c r="U157" s="146"/>
      <c r="AB157" s="138" t="s">
        <v>84</v>
      </c>
      <c r="AC157" s="138">
        <f>SUM(AC154:AC156)</f>
        <v>1134</v>
      </c>
      <c r="AD157" s="141">
        <f>SUM(AD154:AD156)</f>
        <v>1003</v>
      </c>
      <c r="AE157" s="28">
        <v>0</v>
      </c>
      <c r="AF157" s="28">
        <v>0</v>
      </c>
      <c r="AG157" s="28">
        <v>0</v>
      </c>
      <c r="AH157" s="138">
        <v>0</v>
      </c>
      <c r="AI157" s="141">
        <v>0</v>
      </c>
      <c r="AJ157" s="28">
        <v>0</v>
      </c>
      <c r="AK157" s="138">
        <v>14</v>
      </c>
      <c r="AL157" s="28" t="s">
        <v>141</v>
      </c>
      <c r="AM157" s="141"/>
      <c r="AP157" s="138" t="s">
        <v>67</v>
      </c>
      <c r="AQ157" s="138">
        <v>15</v>
      </c>
      <c r="AR157" s="141">
        <v>1</v>
      </c>
      <c r="AS157" s="138"/>
      <c r="AT157" s="141"/>
      <c r="AU157" s="28"/>
      <c r="AV157" s="28"/>
      <c r="AW157" s="28"/>
      <c r="AX157" s="28"/>
      <c r="AY157" s="141"/>
      <c r="BB157" s="196" t="s">
        <v>995</v>
      </c>
      <c r="BC157" s="138">
        <v>0</v>
      </c>
      <c r="BD157" s="141">
        <v>2</v>
      </c>
      <c r="BE157" s="138"/>
      <c r="BF157" s="28"/>
      <c r="BG157" s="141"/>
      <c r="BH157" s="138"/>
      <c r="BI157" s="141"/>
      <c r="BJ157" s="138" t="s">
        <v>146</v>
      </c>
      <c r="BK157" s="28"/>
      <c r="BL157" s="141" t="s">
        <v>955</v>
      </c>
    </row>
    <row r="158" spans="1:65" x14ac:dyDescent="0.3">
      <c r="A158" s="196" t="s">
        <v>93</v>
      </c>
      <c r="B158" s="43">
        <v>8569</v>
      </c>
      <c r="C158" s="43">
        <v>8579</v>
      </c>
      <c r="D158" s="138"/>
      <c r="E158" s="28" t="s">
        <v>60</v>
      </c>
      <c r="F158" s="28"/>
      <c r="G158" s="196">
        <v>9515</v>
      </c>
      <c r="H158" s="43">
        <v>141</v>
      </c>
      <c r="I158" s="28" t="s">
        <v>144</v>
      </c>
      <c r="J158" s="141"/>
      <c r="L158" s="138"/>
      <c r="M158" s="138"/>
      <c r="N158" s="196"/>
      <c r="O158" s="138"/>
      <c r="P158" s="196"/>
      <c r="Q158" s="141"/>
      <c r="R158" s="138"/>
      <c r="S158" s="196"/>
      <c r="T158" s="138"/>
      <c r="U158" s="141"/>
      <c r="AB158" s="142"/>
      <c r="AC158" s="142"/>
      <c r="AD158" s="146"/>
      <c r="AE158" s="143"/>
      <c r="AF158" s="143"/>
      <c r="AG158" s="143"/>
      <c r="AH158" s="142"/>
      <c r="AI158" s="146"/>
      <c r="AJ158" s="143"/>
      <c r="AK158" s="142">
        <v>1</v>
      </c>
      <c r="AL158" s="143" t="s">
        <v>996</v>
      </c>
      <c r="AM158" s="146"/>
      <c r="AP158" s="138" t="s">
        <v>78</v>
      </c>
      <c r="AQ158" s="138">
        <v>0</v>
      </c>
      <c r="AR158" s="141">
        <v>7</v>
      </c>
      <c r="AS158" s="138"/>
      <c r="AT158" s="141"/>
      <c r="AU158" s="28"/>
      <c r="AV158" s="28">
        <v>17</v>
      </c>
      <c r="AW158" s="28" t="s">
        <v>183</v>
      </c>
      <c r="AX158" s="28"/>
      <c r="AY158" s="141"/>
      <c r="BA158" t="s">
        <v>6</v>
      </c>
      <c r="BB158" s="196" t="s">
        <v>200</v>
      </c>
      <c r="BC158" s="138">
        <v>3</v>
      </c>
      <c r="BD158" s="141">
        <v>3</v>
      </c>
      <c r="BE158" s="138"/>
      <c r="BF158" s="28"/>
      <c r="BG158" s="141"/>
      <c r="BH158" s="138"/>
      <c r="BI158" s="141"/>
      <c r="BJ158" s="138"/>
      <c r="BK158" s="28"/>
      <c r="BL158" s="141"/>
    </row>
    <row r="159" spans="1:65" x14ac:dyDescent="0.3">
      <c r="A159" s="196" t="s">
        <v>99</v>
      </c>
      <c r="B159" s="43">
        <v>12479</v>
      </c>
      <c r="C159" s="43">
        <v>12576</v>
      </c>
      <c r="D159" s="138"/>
      <c r="E159" s="28" t="s">
        <v>60</v>
      </c>
      <c r="F159" s="28"/>
      <c r="G159" s="196">
        <v>13660</v>
      </c>
      <c r="H159" s="43">
        <v>4</v>
      </c>
      <c r="I159" s="28" t="s">
        <v>148</v>
      </c>
      <c r="J159" s="141"/>
      <c r="L159" s="138"/>
      <c r="M159" s="138"/>
      <c r="N159" s="196"/>
      <c r="O159" s="138"/>
      <c r="P159" s="196"/>
      <c r="Q159" s="141"/>
      <c r="R159" s="138"/>
      <c r="S159" s="196"/>
      <c r="T159" s="138"/>
      <c r="U159" s="141"/>
      <c r="AB159" s="138"/>
      <c r="AC159" s="138"/>
      <c r="AD159" s="141"/>
      <c r="AE159" s="28"/>
      <c r="AF159" s="28"/>
      <c r="AG159" s="28"/>
      <c r="AH159" s="138"/>
      <c r="AI159" s="141"/>
      <c r="AJ159" s="28"/>
      <c r="AK159" s="138" t="s">
        <v>149</v>
      </c>
      <c r="AL159" s="28"/>
      <c r="AM159" s="141"/>
      <c r="AN159" t="s">
        <v>6</v>
      </c>
      <c r="AP159" s="138" t="s">
        <v>115</v>
      </c>
      <c r="AQ159" s="138">
        <v>0</v>
      </c>
      <c r="AR159" s="141">
        <v>0</v>
      </c>
      <c r="AS159" s="138"/>
      <c r="AT159" s="141"/>
      <c r="AU159" s="28"/>
      <c r="AV159" s="28" t="s">
        <v>6</v>
      </c>
      <c r="AW159" s="28"/>
      <c r="AX159" s="28"/>
      <c r="AY159" s="141"/>
      <c r="BB159" s="196" t="s">
        <v>99</v>
      </c>
      <c r="BC159" s="138">
        <v>0</v>
      </c>
      <c r="BD159" s="141">
        <v>6</v>
      </c>
      <c r="BE159" s="138" t="s">
        <v>150</v>
      </c>
      <c r="BF159" s="28"/>
      <c r="BG159" s="141"/>
      <c r="BH159" s="138"/>
      <c r="BI159" s="141"/>
      <c r="BJ159" s="138" t="s">
        <v>151</v>
      </c>
      <c r="BK159" s="28"/>
      <c r="BL159" s="141"/>
    </row>
    <row r="160" spans="1:65" x14ac:dyDescent="0.3">
      <c r="A160" s="196" t="s">
        <v>120</v>
      </c>
      <c r="B160" s="43">
        <v>4105</v>
      </c>
      <c r="C160" s="28">
        <v>4661</v>
      </c>
      <c r="D160" s="138"/>
      <c r="E160" s="28" t="s">
        <v>60</v>
      </c>
      <c r="F160" s="28"/>
      <c r="G160" s="196">
        <v>4994</v>
      </c>
      <c r="H160" s="43">
        <v>31</v>
      </c>
      <c r="I160" s="28" t="s">
        <v>152</v>
      </c>
      <c r="J160" s="141"/>
      <c r="L160" s="138"/>
      <c r="M160" s="138"/>
      <c r="N160" s="196"/>
      <c r="O160" s="138"/>
      <c r="P160" s="196"/>
      <c r="Q160" s="141"/>
      <c r="R160" s="138"/>
      <c r="S160" s="196"/>
      <c r="T160" s="138"/>
      <c r="U160" s="141"/>
      <c r="AB160" s="138" t="s">
        <v>99</v>
      </c>
      <c r="AC160" s="138">
        <v>0</v>
      </c>
      <c r="AD160" s="141">
        <v>0</v>
      </c>
      <c r="AE160" s="28">
        <v>0</v>
      </c>
      <c r="AF160" s="28">
        <v>0</v>
      </c>
      <c r="AG160" s="28">
        <v>0</v>
      </c>
      <c r="AH160" s="138">
        <v>35891</v>
      </c>
      <c r="AI160" s="141">
        <v>4779</v>
      </c>
      <c r="AJ160" s="28">
        <v>0</v>
      </c>
      <c r="AK160" s="138">
        <v>3</v>
      </c>
      <c r="AL160" s="28" t="s">
        <v>153</v>
      </c>
      <c r="AM160" s="141"/>
      <c r="AP160" s="138" t="s">
        <v>72</v>
      </c>
      <c r="AQ160" s="138">
        <v>1</v>
      </c>
      <c r="AR160" s="141">
        <v>1</v>
      </c>
      <c r="AS160" s="138"/>
      <c r="AT160" s="141"/>
      <c r="AU160" s="28"/>
      <c r="AV160" s="28"/>
      <c r="AW160" s="28"/>
      <c r="AX160" s="28"/>
      <c r="AY160" s="141"/>
      <c r="BB160" s="196" t="s">
        <v>997</v>
      </c>
      <c r="BC160" s="138">
        <v>2</v>
      </c>
      <c r="BD160" s="141">
        <v>0</v>
      </c>
      <c r="BE160" s="138"/>
      <c r="BF160" s="28"/>
      <c r="BG160" s="141"/>
      <c r="BH160" s="138"/>
      <c r="BI160" s="141"/>
      <c r="BJ160" s="138" t="s">
        <v>843</v>
      </c>
      <c r="BK160" s="28" t="s">
        <v>385</v>
      </c>
      <c r="BL160" s="141" t="s">
        <v>276</v>
      </c>
    </row>
    <row r="161" spans="1:64" x14ac:dyDescent="0.3">
      <c r="A161" s="199" t="s">
        <v>84</v>
      </c>
      <c r="B161" s="143">
        <f>SUM(B158:B160)</f>
        <v>25153</v>
      </c>
      <c r="C161" s="143">
        <f>SUM(C158:C160)</f>
        <v>25816</v>
      </c>
      <c r="D161" s="142"/>
      <c r="E161" s="143"/>
      <c r="F161" s="143"/>
      <c r="G161" s="199">
        <f>SUM(G158:G160)</f>
        <v>28169</v>
      </c>
      <c r="H161" s="143">
        <v>2</v>
      </c>
      <c r="I161" s="143" t="s">
        <v>958</v>
      </c>
      <c r="J161" s="146">
        <f>SUM(H158:H161)</f>
        <v>178</v>
      </c>
      <c r="L161" s="138"/>
      <c r="M161" s="138"/>
      <c r="N161" s="196"/>
      <c r="O161" s="138"/>
      <c r="P161" s="196"/>
      <c r="Q161" s="141"/>
      <c r="R161" s="138"/>
      <c r="S161" s="196"/>
      <c r="T161" s="138"/>
      <c r="U161" s="141"/>
      <c r="AB161" s="138"/>
      <c r="AC161" s="138"/>
      <c r="AD161" s="141"/>
      <c r="AE161" s="28"/>
      <c r="AF161" s="28"/>
      <c r="AG161" s="28"/>
      <c r="AH161" s="138"/>
      <c r="AI161" s="141"/>
      <c r="AJ161" s="28"/>
      <c r="AK161" s="138" t="s">
        <v>157</v>
      </c>
      <c r="AL161" s="28"/>
      <c r="AM161" s="141"/>
      <c r="AP161" s="142" t="s">
        <v>84</v>
      </c>
      <c r="AQ161" s="142">
        <f>SUM(AQ154:AQ160)</f>
        <v>23</v>
      </c>
      <c r="AR161" s="146">
        <f>SUM(AR154:AR160)</f>
        <v>19</v>
      </c>
      <c r="AS161" s="142"/>
      <c r="AT161" s="146"/>
      <c r="AU161" s="143"/>
      <c r="AV161" s="143"/>
      <c r="AW161" s="143"/>
      <c r="AX161" s="143"/>
      <c r="AY161" s="146">
        <f>SUM(AV158)</f>
        <v>17</v>
      </c>
      <c r="BB161" s="196" t="s">
        <v>998</v>
      </c>
      <c r="BC161" s="138">
        <v>0</v>
      </c>
      <c r="BD161" s="141">
        <v>8</v>
      </c>
      <c r="BE161" s="138"/>
      <c r="BF161" s="28"/>
      <c r="BG161" s="141"/>
      <c r="BH161" s="138"/>
      <c r="BI161" s="141"/>
      <c r="BJ161" s="138" t="s">
        <v>511</v>
      </c>
      <c r="BK161" s="28" t="s">
        <v>719</v>
      </c>
      <c r="BL161" s="141" t="s">
        <v>272</v>
      </c>
    </row>
    <row r="162" spans="1:64" x14ac:dyDescent="0.3">
      <c r="A162" s="195"/>
      <c r="B162" s="135"/>
      <c r="C162" s="135"/>
      <c r="D162" s="134"/>
      <c r="E162" s="135"/>
      <c r="F162" s="135"/>
      <c r="G162" s="195"/>
      <c r="H162" s="135" t="s">
        <v>162</v>
      </c>
      <c r="I162" s="135"/>
      <c r="J162" s="136"/>
      <c r="L162" s="138"/>
      <c r="M162" s="138"/>
      <c r="N162" s="196"/>
      <c r="O162" s="138"/>
      <c r="P162" s="196"/>
      <c r="Q162" s="141"/>
      <c r="R162" s="138"/>
      <c r="S162" s="196"/>
      <c r="T162" s="138"/>
      <c r="U162" s="141"/>
      <c r="AB162" s="134" t="s">
        <v>99</v>
      </c>
      <c r="AC162" s="134">
        <v>0</v>
      </c>
      <c r="AD162" s="136">
        <v>0</v>
      </c>
      <c r="AE162" s="135">
        <v>0</v>
      </c>
      <c r="AF162" s="135">
        <v>0</v>
      </c>
      <c r="AG162" s="135">
        <v>0</v>
      </c>
      <c r="AH162" s="134">
        <v>156697</v>
      </c>
      <c r="AI162" s="136">
        <v>118019</v>
      </c>
      <c r="AJ162" s="135">
        <v>0</v>
      </c>
      <c r="AK162" s="134">
        <v>2</v>
      </c>
      <c r="AL162" s="135" t="s">
        <v>163</v>
      </c>
      <c r="AM162" s="136"/>
      <c r="AP162" s="134"/>
      <c r="AQ162" s="134"/>
      <c r="AR162" s="136"/>
      <c r="AS162" s="134"/>
      <c r="AT162" s="136"/>
      <c r="AU162" s="135"/>
      <c r="AV162" s="135"/>
      <c r="AW162" s="135"/>
      <c r="AX162" s="135"/>
      <c r="AY162" s="136"/>
      <c r="BB162" s="196" t="s">
        <v>107</v>
      </c>
      <c r="BC162" s="138">
        <v>0</v>
      </c>
      <c r="BD162" s="141">
        <v>0</v>
      </c>
      <c r="BE162" s="138"/>
      <c r="BF162" s="28"/>
      <c r="BG162" s="141"/>
      <c r="BH162" s="138"/>
      <c r="BI162" s="141"/>
      <c r="BJ162" s="138" t="s">
        <v>345</v>
      </c>
      <c r="BK162" s="28" t="s">
        <v>999</v>
      </c>
      <c r="BL162" s="141" t="s">
        <v>625</v>
      </c>
    </row>
    <row r="163" spans="1:64" x14ac:dyDescent="0.3">
      <c r="A163" s="196" t="s">
        <v>105</v>
      </c>
      <c r="B163" s="43">
        <v>1770</v>
      </c>
      <c r="C163" s="43">
        <v>1458</v>
      </c>
      <c r="D163" s="138"/>
      <c r="E163" s="28">
        <v>1012</v>
      </c>
      <c r="F163" s="28"/>
      <c r="G163" s="196"/>
      <c r="H163" s="28"/>
      <c r="I163" s="28"/>
      <c r="J163" s="141"/>
      <c r="L163" s="142" t="s">
        <v>84</v>
      </c>
      <c r="M163" s="142">
        <f t="shared" ref="M163:S163" si="2">SUM(M157+M152+M147+M145+M140+M136)</f>
        <v>54177</v>
      </c>
      <c r="N163" s="199">
        <f t="shared" si="2"/>
        <v>85646</v>
      </c>
      <c r="O163" s="142">
        <f t="shared" si="2"/>
        <v>0</v>
      </c>
      <c r="P163" s="199">
        <f t="shared" si="2"/>
        <v>0</v>
      </c>
      <c r="Q163" s="143">
        <f t="shared" si="2"/>
        <v>0</v>
      </c>
      <c r="R163" s="142">
        <f t="shared" si="2"/>
        <v>5490</v>
      </c>
      <c r="S163" s="199">
        <f t="shared" si="2"/>
        <v>196</v>
      </c>
      <c r="T163" s="142"/>
      <c r="U163" s="146"/>
      <c r="AB163" s="138" t="s">
        <v>6</v>
      </c>
      <c r="AC163" s="138"/>
      <c r="AD163" s="141"/>
      <c r="AE163" s="28"/>
      <c r="AF163" s="28"/>
      <c r="AG163" s="28"/>
      <c r="AH163" s="138"/>
      <c r="AI163" s="141"/>
      <c r="AJ163" s="28"/>
      <c r="AK163" s="138">
        <v>12</v>
      </c>
      <c r="AL163" s="28" t="s">
        <v>153</v>
      </c>
      <c r="AM163" s="141"/>
      <c r="AP163" s="138" t="s">
        <v>63</v>
      </c>
      <c r="AQ163" s="138">
        <f>1+6+3</f>
        <v>10</v>
      </c>
      <c r="AR163" s="141">
        <f>1+14+7</f>
        <v>22</v>
      </c>
      <c r="AS163" s="138"/>
      <c r="AT163" s="141"/>
      <c r="AU163" s="28"/>
      <c r="AV163" s="28" t="s">
        <v>140</v>
      </c>
      <c r="AW163" s="28"/>
      <c r="AX163" s="28"/>
      <c r="AY163" s="141"/>
      <c r="BB163" s="196" t="s">
        <v>169</v>
      </c>
      <c r="BC163" s="138">
        <v>2</v>
      </c>
      <c r="BD163" s="141">
        <v>3</v>
      </c>
      <c r="BE163" s="138"/>
      <c r="BF163" s="28"/>
      <c r="BG163" s="141"/>
      <c r="BH163" s="138"/>
      <c r="BI163" s="141"/>
      <c r="BJ163" s="138" t="s">
        <v>736</v>
      </c>
      <c r="BK163" s="43" t="s">
        <v>1000</v>
      </c>
      <c r="BL163" s="141" t="s">
        <v>936</v>
      </c>
    </row>
    <row r="164" spans="1:64" ht="15" thickBot="1" x14ac:dyDescent="0.35">
      <c r="A164" s="196" t="s">
        <v>99</v>
      </c>
      <c r="B164" s="43">
        <v>588</v>
      </c>
      <c r="C164" s="43">
        <v>543</v>
      </c>
      <c r="D164" s="138"/>
      <c r="E164" s="28">
        <v>812</v>
      </c>
      <c r="F164" s="28"/>
      <c r="G164" s="196"/>
      <c r="H164" s="28">
        <v>42</v>
      </c>
      <c r="I164" s="28" t="s">
        <v>101</v>
      </c>
      <c r="J164" s="141"/>
      <c r="AB164" s="138" t="s">
        <v>6</v>
      </c>
      <c r="AC164" s="138"/>
      <c r="AD164" s="141"/>
      <c r="AE164" s="28"/>
      <c r="AF164" s="28"/>
      <c r="AG164" s="28"/>
      <c r="AH164" s="138"/>
      <c r="AI164" s="141"/>
      <c r="AJ164" s="28"/>
      <c r="AK164" s="138"/>
      <c r="AL164" s="28"/>
      <c r="AM164" s="141"/>
      <c r="AP164" s="138" t="s">
        <v>78</v>
      </c>
      <c r="AQ164" s="138">
        <f>56+12</f>
        <v>68</v>
      </c>
      <c r="AR164" s="141">
        <f>7+79+10</f>
        <v>96</v>
      </c>
      <c r="AS164" s="138"/>
      <c r="AT164" s="141"/>
      <c r="AU164" s="28"/>
      <c r="AV164" s="28">
        <v>25</v>
      </c>
      <c r="AW164" s="28" t="s">
        <v>204</v>
      </c>
      <c r="AX164" s="28"/>
      <c r="AY164" s="141"/>
      <c r="BB164" s="196" t="s">
        <v>384</v>
      </c>
      <c r="BC164" s="138">
        <v>6</v>
      </c>
      <c r="BD164" s="141">
        <v>3</v>
      </c>
      <c r="BE164" s="138"/>
      <c r="BF164" s="28"/>
      <c r="BG164" s="141"/>
      <c r="BH164" s="138"/>
      <c r="BI164" s="141"/>
      <c r="BJ164" s="138" t="s">
        <v>1001</v>
      </c>
      <c r="BK164" s="43"/>
      <c r="BL164" s="141" t="s">
        <v>463</v>
      </c>
    </row>
    <row r="165" spans="1:64" x14ac:dyDescent="0.3">
      <c r="A165" s="199" t="s">
        <v>84</v>
      </c>
      <c r="B165" s="143">
        <f>SUM(B162:B164)</f>
        <v>2358</v>
      </c>
      <c r="C165" s="143">
        <f>SUM(C162:C164)</f>
        <v>2001</v>
      </c>
      <c r="D165" s="142"/>
      <c r="E165" s="143">
        <f>SUM(E162:E164)</f>
        <v>1824</v>
      </c>
      <c r="F165" s="143"/>
      <c r="G165" s="199">
        <v>6957</v>
      </c>
      <c r="H165" s="143"/>
      <c r="I165" s="143"/>
      <c r="J165" s="146">
        <f>SUM(H164)</f>
        <v>42</v>
      </c>
      <c r="L165" t="s">
        <v>6</v>
      </c>
      <c r="AB165" s="33"/>
      <c r="AC165" s="200"/>
      <c r="AD165" s="201"/>
      <c r="AE165" s="34"/>
      <c r="AF165" s="34"/>
      <c r="AG165" s="34"/>
      <c r="AH165" s="200"/>
      <c r="AI165" s="201"/>
      <c r="AJ165" s="34"/>
      <c r="AK165" s="200"/>
      <c r="AL165" s="34"/>
      <c r="AM165" s="35"/>
      <c r="AP165" s="138" t="s">
        <v>209</v>
      </c>
      <c r="AQ165" s="138">
        <v>0</v>
      </c>
      <c r="AR165" s="141">
        <v>0</v>
      </c>
      <c r="AS165" s="138"/>
      <c r="AT165" s="141"/>
      <c r="AU165" s="28"/>
      <c r="AV165" s="28">
        <v>2</v>
      </c>
      <c r="AW165" s="28" t="s">
        <v>210</v>
      </c>
      <c r="AX165" s="28" t="s">
        <v>6</v>
      </c>
      <c r="AY165" s="141"/>
      <c r="BB165" s="196" t="s">
        <v>97</v>
      </c>
      <c r="BC165" s="138">
        <v>0</v>
      </c>
      <c r="BD165" s="141">
        <v>0</v>
      </c>
      <c r="BE165" s="138"/>
      <c r="BF165" s="28"/>
      <c r="BG165" s="141"/>
      <c r="BH165" s="138"/>
      <c r="BI165" s="141"/>
      <c r="BJ165" s="212" t="s">
        <v>1002</v>
      </c>
      <c r="BK165" s="43" t="s">
        <v>1003</v>
      </c>
      <c r="BL165" s="141" t="s">
        <v>333</v>
      </c>
    </row>
    <row r="166" spans="1:64" x14ac:dyDescent="0.3">
      <c r="A166" s="196" t="s">
        <v>6</v>
      </c>
      <c r="B166" s="135"/>
      <c r="C166" s="135"/>
      <c r="D166" s="134"/>
      <c r="E166" s="135" t="s">
        <v>60</v>
      </c>
      <c r="F166" s="136"/>
      <c r="G166" s="135"/>
      <c r="H166" s="134" t="s">
        <v>182</v>
      </c>
      <c r="I166" s="135"/>
      <c r="J166" s="136"/>
      <c r="AB166" s="42"/>
      <c r="AC166" s="138"/>
      <c r="AD166" s="141"/>
      <c r="AE166" s="28"/>
      <c r="AF166" s="28"/>
      <c r="AG166" s="28"/>
      <c r="AH166" s="138"/>
      <c r="AI166" s="141"/>
      <c r="AJ166" s="28"/>
      <c r="AK166" s="138"/>
      <c r="AL166" s="28"/>
      <c r="AM166" s="40"/>
      <c r="AP166" s="138" t="s">
        <v>168</v>
      </c>
      <c r="AQ166" s="138">
        <v>0</v>
      </c>
      <c r="AR166" s="141">
        <v>0</v>
      </c>
      <c r="AS166" s="138"/>
      <c r="AT166" s="141"/>
      <c r="AU166" s="28"/>
      <c r="AV166" s="28">
        <v>14</v>
      </c>
      <c r="AW166" s="28" t="s">
        <v>213</v>
      </c>
      <c r="AX166" s="28" t="s">
        <v>6</v>
      </c>
      <c r="AY166" s="141"/>
      <c r="BB166" s="196" t="s">
        <v>658</v>
      </c>
      <c r="BC166" s="138">
        <v>2</v>
      </c>
      <c r="BD166" s="141">
        <v>1</v>
      </c>
      <c r="BE166" s="138"/>
      <c r="BF166" s="28"/>
      <c r="BG166" s="141"/>
      <c r="BH166" s="138"/>
      <c r="BI166" s="141"/>
      <c r="BJ166" s="138" t="s">
        <v>1004</v>
      </c>
      <c r="BK166" s="43" t="s">
        <v>371</v>
      </c>
      <c r="BL166" s="141" t="s">
        <v>362</v>
      </c>
    </row>
    <row r="167" spans="1:64" ht="15" thickBot="1" x14ac:dyDescent="0.35">
      <c r="A167" s="196" t="s">
        <v>181</v>
      </c>
      <c r="B167" s="28">
        <v>3723</v>
      </c>
      <c r="C167" s="28">
        <v>3986</v>
      </c>
      <c r="D167" s="138"/>
      <c r="E167" s="28" t="s">
        <v>60</v>
      </c>
      <c r="F167" s="141"/>
      <c r="G167" s="28"/>
      <c r="H167" s="138"/>
      <c r="I167" s="28" t="s">
        <v>94</v>
      </c>
      <c r="J167" s="141"/>
      <c r="AB167" s="47" t="s">
        <v>84</v>
      </c>
      <c r="AC167" s="202">
        <f>SUM(AC162+AC160+AC157+AC144+AC140+AC137)</f>
        <v>2753</v>
      </c>
      <c r="AD167" s="203">
        <f>SUM(AD162+AD160+AD157+AD144+AD140+AD137)</f>
        <v>2760</v>
      </c>
      <c r="AE167" s="48">
        <v>0</v>
      </c>
      <c r="AF167" s="48">
        <v>0</v>
      </c>
      <c r="AG167" s="48">
        <v>0</v>
      </c>
      <c r="AH167" s="202">
        <f>SUM(AH163+AH162+AH160+AH137)</f>
        <v>192588</v>
      </c>
      <c r="AI167" s="203">
        <f>SUM(AI162+AI160+AI137)</f>
        <v>122798</v>
      </c>
      <c r="AJ167" s="48">
        <v>0</v>
      </c>
      <c r="AK167" s="202" t="s">
        <v>743</v>
      </c>
      <c r="AL167" s="48"/>
      <c r="AM167" s="49">
        <f>SUM(AK137:AK163)</f>
        <v>47</v>
      </c>
      <c r="AP167" s="138" t="s">
        <v>81</v>
      </c>
      <c r="AQ167" s="138">
        <v>14</v>
      </c>
      <c r="AR167" s="141">
        <v>26</v>
      </c>
      <c r="AS167" s="138"/>
      <c r="AT167" s="141"/>
      <c r="AU167" s="28"/>
      <c r="AV167" s="43">
        <v>1</v>
      </c>
      <c r="AW167" s="28" t="s">
        <v>904</v>
      </c>
      <c r="AX167" s="28"/>
      <c r="AY167" s="141" t="s">
        <v>6</v>
      </c>
      <c r="BB167" s="196" t="s">
        <v>64</v>
      </c>
      <c r="BC167" s="138">
        <v>0</v>
      </c>
      <c r="BD167" s="141">
        <v>0</v>
      </c>
      <c r="BE167" s="138"/>
      <c r="BF167" s="28"/>
      <c r="BG167" s="141"/>
      <c r="BH167" s="138"/>
      <c r="BI167" s="141"/>
      <c r="BJ167" s="138" t="s">
        <v>373</v>
      </c>
      <c r="BK167" s="43" t="s">
        <v>1005</v>
      </c>
      <c r="BL167" s="209" t="s">
        <v>651</v>
      </c>
    </row>
    <row r="168" spans="1:64" x14ac:dyDescent="0.3">
      <c r="A168" s="196" t="s">
        <v>84</v>
      </c>
      <c r="B168" s="28">
        <f>SUM(B166:B167)</f>
        <v>3723</v>
      </c>
      <c r="C168" s="28">
        <f>SUM(C166:C167)</f>
        <v>3986</v>
      </c>
      <c r="D168" s="138"/>
      <c r="E168" s="28" t="s">
        <v>60</v>
      </c>
      <c r="F168" s="141"/>
      <c r="G168" s="28">
        <v>5069</v>
      </c>
      <c r="H168" s="138">
        <v>31</v>
      </c>
      <c r="I168" s="28" t="s">
        <v>101</v>
      </c>
      <c r="J168" s="141"/>
      <c r="AB168" t="s">
        <v>193</v>
      </c>
      <c r="AM168" t="s">
        <v>6</v>
      </c>
      <c r="AP168" s="138" t="s">
        <v>72</v>
      </c>
      <c r="AQ168" s="138">
        <f>7+9+6</f>
        <v>22</v>
      </c>
      <c r="AR168" s="141">
        <f>5+4+3</f>
        <v>12</v>
      </c>
      <c r="AS168" s="138"/>
      <c r="AT168" s="141"/>
      <c r="AU168" s="28"/>
      <c r="AV168" s="43">
        <v>1</v>
      </c>
      <c r="AW168" s="28" t="s">
        <v>216</v>
      </c>
      <c r="AX168" s="28"/>
      <c r="AY168" s="141"/>
      <c r="BB168" s="196" t="s">
        <v>657</v>
      </c>
      <c r="BC168" s="138">
        <v>0</v>
      </c>
      <c r="BD168" s="141">
        <v>0</v>
      </c>
      <c r="BE168" s="138"/>
      <c r="BF168" s="28"/>
      <c r="BG168" s="141"/>
      <c r="BH168" s="138"/>
      <c r="BI168" s="141"/>
      <c r="BJ168" s="138" t="s">
        <v>1006</v>
      </c>
      <c r="BK168" s="43" t="s">
        <v>582</v>
      </c>
      <c r="BL168" s="213" t="s">
        <v>1007</v>
      </c>
    </row>
    <row r="169" spans="1:64" ht="15" thickBot="1" x14ac:dyDescent="0.35">
      <c r="A169" s="199"/>
      <c r="B169" s="28"/>
      <c r="C169" s="28"/>
      <c r="D169" s="142"/>
      <c r="E169" s="143"/>
      <c r="F169" s="146"/>
      <c r="G169" s="28"/>
      <c r="H169" s="142"/>
      <c r="I169" s="143" t="s">
        <v>284</v>
      </c>
      <c r="J169" s="146">
        <f>SUM(H167:H168)</f>
        <v>31</v>
      </c>
      <c r="AP169" s="138" t="s">
        <v>115</v>
      </c>
      <c r="AQ169" s="138">
        <f>24+7</f>
        <v>31</v>
      </c>
      <c r="AR169" s="141">
        <f>17+10</f>
        <v>27</v>
      </c>
      <c r="AS169" s="138"/>
      <c r="AT169" s="141"/>
      <c r="AU169" s="28"/>
      <c r="AV169" s="43">
        <v>17</v>
      </c>
      <c r="AW169" s="28" t="s">
        <v>217</v>
      </c>
      <c r="AX169" s="28"/>
      <c r="AY169" s="141"/>
      <c r="BB169" s="196" t="s">
        <v>862</v>
      </c>
      <c r="BC169" s="138">
        <v>0</v>
      </c>
      <c r="BD169" s="141">
        <v>0</v>
      </c>
      <c r="BE169" s="138"/>
      <c r="BF169" s="28"/>
      <c r="BG169" s="141"/>
      <c r="BH169" s="138"/>
      <c r="BI169" s="141"/>
      <c r="BJ169" s="138" t="s">
        <v>510</v>
      </c>
      <c r="BK169" s="43" t="s">
        <v>175</v>
      </c>
      <c r="BL169" s="141" t="s">
        <v>167</v>
      </c>
    </row>
    <row r="170" spans="1:64" ht="15" thickBot="1" x14ac:dyDescent="0.35">
      <c r="A170" s="47" t="s">
        <v>84</v>
      </c>
      <c r="B170" s="210">
        <f>SUM(B168,B165,B161+B156+B151+B147+B143+B139+B136)</f>
        <v>52150</v>
      </c>
      <c r="C170" s="170">
        <f>SUM(C168+C165+C161+C156+C151+C147+C143+C139+C136)</f>
        <v>55867</v>
      </c>
      <c r="D170" s="202"/>
      <c r="E170" s="48">
        <f>SUM(E165+E147)</f>
        <v>2473</v>
      </c>
      <c r="F170" s="203"/>
      <c r="G170" s="206">
        <f>SUM(G168+G165+G161+G156+G151+G147+G143+G139+G136)</f>
        <v>81050</v>
      </c>
      <c r="H170" s="48" t="s">
        <v>844</v>
      </c>
      <c r="I170" s="48"/>
      <c r="J170" s="49">
        <f>SUM(J135:J169)</f>
        <v>430</v>
      </c>
      <c r="AP170" s="138" t="s">
        <v>56</v>
      </c>
      <c r="AQ170" s="138">
        <f>3+5+9</f>
        <v>17</v>
      </c>
      <c r="AR170" s="141">
        <f>13+1+3+5+6+8</f>
        <v>36</v>
      </c>
      <c r="AS170" s="138"/>
      <c r="AT170" s="141"/>
      <c r="AU170" s="28"/>
      <c r="AV170" s="43">
        <v>1</v>
      </c>
      <c r="AW170" s="28" t="s">
        <v>1008</v>
      </c>
      <c r="AX170" s="28"/>
      <c r="AY170" s="141"/>
      <c r="BB170" s="196" t="s">
        <v>1009</v>
      </c>
      <c r="BC170" s="138">
        <v>0</v>
      </c>
      <c r="BD170" s="141">
        <v>0</v>
      </c>
      <c r="BE170" s="138"/>
      <c r="BF170" s="28"/>
      <c r="BG170" s="141"/>
      <c r="BH170" s="138"/>
      <c r="BI170" s="141"/>
      <c r="BJ170" s="138" t="s">
        <v>522</v>
      </c>
      <c r="BK170" s="43" t="s">
        <v>280</v>
      </c>
      <c r="BL170" s="141" t="s">
        <v>340</v>
      </c>
    </row>
    <row r="171" spans="1:64" x14ac:dyDescent="0.3">
      <c r="D171" s="28"/>
      <c r="E171" s="28"/>
      <c r="F171" s="28"/>
      <c r="AP171" s="138" t="s">
        <v>138</v>
      </c>
      <c r="AQ171" s="138">
        <v>0</v>
      </c>
      <c r="AR171" s="141">
        <v>0</v>
      </c>
      <c r="AS171" s="138"/>
      <c r="AT171" s="141"/>
      <c r="AU171" s="28"/>
      <c r="AV171" s="43">
        <v>2</v>
      </c>
      <c r="AW171" s="28" t="s">
        <v>221</v>
      </c>
      <c r="AX171" s="28"/>
      <c r="AY171" s="141"/>
      <c r="BB171" s="196" t="s">
        <v>158</v>
      </c>
      <c r="BC171" s="138">
        <v>0</v>
      </c>
      <c r="BD171" s="141">
        <v>0</v>
      </c>
      <c r="BE171" s="138"/>
      <c r="BF171" s="28"/>
      <c r="BG171" s="141"/>
      <c r="BH171" s="138"/>
      <c r="BI171" s="141"/>
      <c r="BJ171" s="138"/>
      <c r="BK171" s="43"/>
      <c r="BL171" s="141"/>
    </row>
    <row r="172" spans="1:64" x14ac:dyDescent="0.3">
      <c r="AP172" s="138" t="s">
        <v>67</v>
      </c>
      <c r="AQ172" s="138">
        <f>1+17+3</f>
        <v>21</v>
      </c>
      <c r="AR172" s="141">
        <f>25+4</f>
        <v>29</v>
      </c>
      <c r="AS172" s="138"/>
      <c r="AT172" s="141"/>
      <c r="AU172" s="28"/>
      <c r="AV172" s="43">
        <v>1</v>
      </c>
      <c r="AW172" s="28" t="s">
        <v>244</v>
      </c>
      <c r="AX172" s="28"/>
      <c r="AY172" s="141"/>
      <c r="BB172" s="196" t="s">
        <v>971</v>
      </c>
      <c r="BC172" s="138">
        <v>0</v>
      </c>
      <c r="BD172" s="141">
        <v>0</v>
      </c>
      <c r="BE172" s="138"/>
      <c r="BF172" s="28"/>
      <c r="BG172" s="141"/>
      <c r="BH172" s="138"/>
      <c r="BI172" s="141"/>
      <c r="BJ172" s="138"/>
      <c r="BK172" s="28"/>
      <c r="BL172" s="141"/>
    </row>
    <row r="173" spans="1:64" x14ac:dyDescent="0.3">
      <c r="AP173" s="138" t="s">
        <v>122</v>
      </c>
      <c r="AQ173" s="138">
        <v>7</v>
      </c>
      <c r="AR173" s="141">
        <v>11</v>
      </c>
      <c r="AS173" s="138"/>
      <c r="AT173" s="141"/>
      <c r="AU173" s="28"/>
      <c r="AV173" s="43">
        <v>4</v>
      </c>
      <c r="AW173" s="28" t="s">
        <v>618</v>
      </c>
      <c r="AX173" s="28"/>
      <c r="AY173" s="141"/>
      <c r="BB173" s="196" t="s">
        <v>564</v>
      </c>
      <c r="BC173" s="138">
        <v>9</v>
      </c>
      <c r="BD173" s="141">
        <v>9</v>
      </c>
      <c r="BE173" s="138"/>
      <c r="BF173" s="28"/>
      <c r="BG173" s="141"/>
      <c r="BH173" s="138"/>
      <c r="BI173" s="141"/>
      <c r="BJ173" s="138"/>
      <c r="BK173" s="28"/>
      <c r="BL173" s="141"/>
    </row>
    <row r="174" spans="1:64" x14ac:dyDescent="0.3">
      <c r="AP174" s="138" t="s">
        <v>227</v>
      </c>
      <c r="AQ174" s="138">
        <v>0</v>
      </c>
      <c r="AR174" s="141">
        <v>0</v>
      </c>
      <c r="AS174" s="138"/>
      <c r="AT174" s="141"/>
      <c r="AU174" s="28"/>
      <c r="AV174" s="43">
        <v>1</v>
      </c>
      <c r="AW174" s="28" t="s">
        <v>352</v>
      </c>
      <c r="AX174" s="28"/>
      <c r="AY174" s="141"/>
      <c r="BB174" s="196" t="s">
        <v>196</v>
      </c>
      <c r="BC174" s="138">
        <v>0</v>
      </c>
      <c r="BD174" s="141">
        <v>0</v>
      </c>
      <c r="BE174" s="138"/>
      <c r="BF174" s="28"/>
      <c r="BG174" s="141"/>
      <c r="BH174" s="138"/>
      <c r="BI174" s="141"/>
      <c r="BJ174" s="138"/>
      <c r="BK174" s="28"/>
      <c r="BL174" s="141"/>
    </row>
    <row r="175" spans="1:64" x14ac:dyDescent="0.3">
      <c r="AP175" s="138" t="s">
        <v>230</v>
      </c>
      <c r="AQ175" s="138">
        <v>6</v>
      </c>
      <c r="AR175" s="141">
        <v>6</v>
      </c>
      <c r="AS175" s="138"/>
      <c r="AT175" s="141"/>
      <c r="AU175" s="28"/>
      <c r="AV175" s="43">
        <v>17</v>
      </c>
      <c r="AW175" s="28" t="s">
        <v>655</v>
      </c>
      <c r="AX175" s="28"/>
      <c r="AY175" s="141"/>
      <c r="BB175" s="196" t="s">
        <v>211</v>
      </c>
      <c r="BC175" s="138">
        <v>34</v>
      </c>
      <c r="BD175" s="141">
        <v>1</v>
      </c>
      <c r="BE175" s="138"/>
      <c r="BF175" s="28"/>
      <c r="BG175" s="141"/>
      <c r="BH175" s="138"/>
      <c r="BI175" s="141"/>
      <c r="BJ175" s="138"/>
      <c r="BK175" s="28"/>
      <c r="BL175" s="141"/>
    </row>
    <row r="176" spans="1:64" x14ac:dyDescent="0.3">
      <c r="AP176" s="138" t="s">
        <v>125</v>
      </c>
      <c r="AQ176" s="138">
        <v>0</v>
      </c>
      <c r="AR176" s="141">
        <v>0</v>
      </c>
      <c r="AS176" s="138"/>
      <c r="AT176" s="141"/>
      <c r="AU176" s="28"/>
      <c r="AV176" s="43">
        <v>2</v>
      </c>
      <c r="AW176" s="28" t="s">
        <v>991</v>
      </c>
      <c r="AX176" s="28"/>
      <c r="AY176" s="141"/>
      <c r="BB176" s="196" t="s">
        <v>218</v>
      </c>
      <c r="BC176" s="138">
        <v>0</v>
      </c>
      <c r="BD176" s="141">
        <v>28</v>
      </c>
      <c r="BE176" s="138"/>
      <c r="BF176" s="28">
        <v>0</v>
      </c>
      <c r="BG176" s="141"/>
      <c r="BH176" s="138"/>
      <c r="BI176" s="141"/>
      <c r="BJ176" s="138"/>
      <c r="BK176" s="28"/>
      <c r="BL176" s="141"/>
    </row>
    <row r="177" spans="1:64" x14ac:dyDescent="0.3">
      <c r="AM177" t="s">
        <v>6</v>
      </c>
      <c r="AP177" s="138" t="s">
        <v>132</v>
      </c>
      <c r="AQ177" s="138">
        <v>0</v>
      </c>
      <c r="AR177" s="141">
        <v>2</v>
      </c>
      <c r="AS177" s="138"/>
      <c r="AT177" s="141"/>
      <c r="AU177" s="28"/>
      <c r="AV177" s="43">
        <v>4</v>
      </c>
      <c r="AW177" s="28" t="s">
        <v>682</v>
      </c>
      <c r="AX177" s="28"/>
      <c r="AY177" s="141"/>
      <c r="BB177" s="196" t="s">
        <v>93</v>
      </c>
      <c r="BC177" s="138">
        <v>0</v>
      </c>
      <c r="BD177" s="141">
        <v>3</v>
      </c>
      <c r="BE177" s="138"/>
      <c r="BF177" s="28"/>
      <c r="BG177" s="141"/>
      <c r="BH177" s="138"/>
      <c r="BI177" s="141"/>
      <c r="BJ177" s="138"/>
      <c r="BK177" s="28"/>
      <c r="BL177" s="141"/>
    </row>
    <row r="178" spans="1:64" x14ac:dyDescent="0.3">
      <c r="H178" t="s">
        <v>6</v>
      </c>
      <c r="AP178" s="138" t="s">
        <v>992</v>
      </c>
      <c r="AQ178" s="138">
        <v>0</v>
      </c>
      <c r="AR178" s="141">
        <v>0</v>
      </c>
      <c r="AS178" s="138"/>
      <c r="AT178" s="141"/>
      <c r="AU178" s="28"/>
      <c r="AV178" s="43">
        <v>74</v>
      </c>
      <c r="AW178" s="28" t="s">
        <v>555</v>
      </c>
      <c r="AX178" s="28"/>
      <c r="AY178" s="141"/>
      <c r="BB178" s="199" t="s">
        <v>84</v>
      </c>
      <c r="BC178" s="142">
        <f>SUM(BC153:BC177)</f>
        <v>130</v>
      </c>
      <c r="BD178" s="146">
        <f>SUM(BD153:BD177)</f>
        <v>146</v>
      </c>
      <c r="BE178" s="142">
        <v>0</v>
      </c>
      <c r="BF178" s="143">
        <f>SUM(BF153:BF177)</f>
        <v>0</v>
      </c>
      <c r="BG178" s="146">
        <v>0</v>
      </c>
      <c r="BH178" s="142">
        <v>0</v>
      </c>
      <c r="BI178" s="146">
        <v>0</v>
      </c>
      <c r="BJ178" s="142"/>
      <c r="BK178" s="143"/>
      <c r="BL178" s="146">
        <f>8+7+4+9+5+7+5+4+4+4+4+3+6</f>
        <v>70</v>
      </c>
    </row>
    <row r="179" spans="1:64" ht="15" thickBot="1" x14ac:dyDescent="0.35">
      <c r="H179" t="s">
        <v>6</v>
      </c>
      <c r="AP179" s="138" t="s">
        <v>84</v>
      </c>
      <c r="AQ179" s="138">
        <f>SUM(AQ163:AQ178)</f>
        <v>196</v>
      </c>
      <c r="AR179" s="141">
        <f>SUM(AR163:AR178)</f>
        <v>267</v>
      </c>
      <c r="AS179" s="138"/>
      <c r="AT179" s="141"/>
      <c r="AU179" s="28"/>
      <c r="AV179" s="28">
        <v>1</v>
      </c>
      <c r="AW179" s="28" t="s">
        <v>1010</v>
      </c>
      <c r="AX179" s="28"/>
      <c r="AY179" s="141">
        <f>SUM(AV164:AV179)</f>
        <v>167</v>
      </c>
      <c r="BB179" t="s">
        <v>223</v>
      </c>
      <c r="BC179">
        <f>SUM(BC178+BC152+BC148+BC143+BC140+BC138)</f>
        <v>1771</v>
      </c>
      <c r="BD179">
        <v>1730</v>
      </c>
      <c r="BE179">
        <v>0</v>
      </c>
      <c r="BF179">
        <f>SUM(BF178+BF152+BF148+BF143+BF140+BF136)</f>
        <v>0</v>
      </c>
      <c r="BG179">
        <v>0</v>
      </c>
      <c r="BH179">
        <f>SUM(BH178+BH152+BH148+BH142+BH140+BH136)</f>
        <v>62599</v>
      </c>
      <c r="BI179">
        <f>SUM(BI178+BI152+BI148+BI142+BI140+BI136)</f>
        <v>16362</v>
      </c>
      <c r="BK179" t="s">
        <v>247</v>
      </c>
      <c r="BL179">
        <f>SUM(+BL152+BL148+BL143+BL140+BL138)</f>
        <v>101</v>
      </c>
    </row>
    <row r="180" spans="1:64" ht="15" thickBot="1" x14ac:dyDescent="0.35">
      <c r="AP180" s="171" t="s">
        <v>84</v>
      </c>
      <c r="AQ180" s="207">
        <f>SUM(AQ179+AQ161+AQ152+AQ137)</f>
        <v>1951</v>
      </c>
      <c r="AR180" s="207">
        <f>SUM(AR179+AR161+AR152+AR137)</f>
        <v>2100</v>
      </c>
      <c r="AS180" s="207"/>
      <c r="AT180" s="208"/>
      <c r="AU180" s="170"/>
      <c r="AV180" s="170"/>
      <c r="AW180" s="170"/>
      <c r="AX180" s="170"/>
      <c r="AY180" s="172">
        <f>SUM(AY137:AY179)</f>
        <v>418</v>
      </c>
      <c r="BB180" t="s">
        <v>225</v>
      </c>
      <c r="BD180">
        <f>SUM(BL178)</f>
        <v>70</v>
      </c>
    </row>
    <row r="181" spans="1:64" x14ac:dyDescent="0.3">
      <c r="BB181" t="s">
        <v>229</v>
      </c>
      <c r="BD181">
        <f>4+5+5</f>
        <v>14</v>
      </c>
    </row>
    <row r="182" spans="1:64" x14ac:dyDescent="0.3">
      <c r="BB182" t="s">
        <v>232</v>
      </c>
      <c r="BD182" t="s">
        <v>233</v>
      </c>
      <c r="BF182">
        <f>SUM(AQ180)</f>
        <v>1951</v>
      </c>
      <c r="BH182" t="s">
        <v>234</v>
      </c>
      <c r="BJ182" t="s">
        <v>233</v>
      </c>
      <c r="BL182">
        <f>SUM(BC179)</f>
        <v>1771</v>
      </c>
    </row>
    <row r="183" spans="1:64" x14ac:dyDescent="0.3">
      <c r="BA183" t="s">
        <v>6</v>
      </c>
      <c r="BD183" t="s">
        <v>236</v>
      </c>
      <c r="BF183">
        <f>SUM(AR180)</f>
        <v>2100</v>
      </c>
      <c r="BJ183" t="s">
        <v>236</v>
      </c>
      <c r="BL183">
        <f>SUM(BD179)</f>
        <v>1730</v>
      </c>
    </row>
    <row r="184" spans="1:64" x14ac:dyDescent="0.3">
      <c r="BB184" t="s">
        <v>238</v>
      </c>
      <c r="BC184" t="s">
        <v>239</v>
      </c>
      <c r="BE184" t="s">
        <v>240</v>
      </c>
      <c r="BF184" t="s">
        <v>241</v>
      </c>
      <c r="BI184" t="s">
        <v>242</v>
      </c>
      <c r="BJ184" t="s">
        <v>243</v>
      </c>
    </row>
    <row r="185" spans="1:64" x14ac:dyDescent="0.3">
      <c r="BB185" t="s">
        <v>233</v>
      </c>
      <c r="BD185">
        <f>SUM(B170)</f>
        <v>52150</v>
      </c>
      <c r="BE185" t="s">
        <v>233</v>
      </c>
      <c r="BG185">
        <f>SUM(AC167)</f>
        <v>2753</v>
      </c>
      <c r="BH185" t="s">
        <v>233</v>
      </c>
      <c r="BJ185">
        <f>SUM(BG185+BC179)</f>
        <v>4524</v>
      </c>
      <c r="BK185" t="s">
        <v>245</v>
      </c>
      <c r="BL185">
        <f>SUM(BD185+BJ185)</f>
        <v>56674</v>
      </c>
    </row>
    <row r="186" spans="1:64" x14ac:dyDescent="0.3">
      <c r="BB186" t="s">
        <v>236</v>
      </c>
      <c r="BD186">
        <f>SUM(C170)</f>
        <v>55867</v>
      </c>
      <c r="BE186" t="s">
        <v>236</v>
      </c>
      <c r="BG186">
        <f>SUM(AD167)</f>
        <v>2760</v>
      </c>
      <c r="BH186" t="s">
        <v>236</v>
      </c>
      <c r="BJ186">
        <f>SUM(BG186+BD179)</f>
        <v>4490</v>
      </c>
      <c r="BL186">
        <f>SUM(BD186+BJ186)</f>
        <v>60357</v>
      </c>
    </row>
    <row r="190" spans="1:64" x14ac:dyDescent="0.3">
      <c r="C190" t="s">
        <v>0</v>
      </c>
      <c r="P190" t="s">
        <v>1</v>
      </c>
    </row>
    <row r="191" spans="1:64" x14ac:dyDescent="0.3">
      <c r="D191" t="s">
        <v>2</v>
      </c>
      <c r="Q191" t="s">
        <v>3</v>
      </c>
      <c r="AF191" t="s">
        <v>0</v>
      </c>
      <c r="AS191" t="s">
        <v>4</v>
      </c>
      <c r="BF191" t="s">
        <v>5</v>
      </c>
    </row>
    <row r="192" spans="1:64" x14ac:dyDescent="0.3">
      <c r="A192" t="s">
        <v>6</v>
      </c>
      <c r="C192" t="s">
        <v>7</v>
      </c>
      <c r="O192" t="s">
        <v>8</v>
      </c>
      <c r="AF192" t="s">
        <v>9</v>
      </c>
      <c r="AT192" t="s">
        <v>2</v>
      </c>
      <c r="BG192" t="s">
        <v>2</v>
      </c>
    </row>
    <row r="193" spans="1:64" x14ac:dyDescent="0.3">
      <c r="D193" t="s">
        <v>1011</v>
      </c>
      <c r="Q193" t="s">
        <v>1011</v>
      </c>
      <c r="AF193" t="s">
        <v>11</v>
      </c>
      <c r="AR193" t="s">
        <v>12</v>
      </c>
      <c r="BE193" t="s">
        <v>13</v>
      </c>
    </row>
    <row r="194" spans="1:64" x14ac:dyDescent="0.3">
      <c r="I194" s="194" t="s">
        <v>949</v>
      </c>
      <c r="U194" t="s">
        <v>15</v>
      </c>
      <c r="AG194" t="s">
        <v>1011</v>
      </c>
      <c r="AT194" t="s">
        <v>1011</v>
      </c>
      <c r="BG194" t="s">
        <v>1011</v>
      </c>
      <c r="BK194" s="194" t="s">
        <v>950</v>
      </c>
    </row>
    <row r="195" spans="1:64" x14ac:dyDescent="0.3">
      <c r="A195" s="134" t="s">
        <v>17</v>
      </c>
      <c r="B195" s="134" t="s">
        <v>18</v>
      </c>
      <c r="C195" s="136"/>
      <c r="D195" s="135" t="s">
        <v>19</v>
      </c>
      <c r="E195" s="135"/>
      <c r="F195" s="135"/>
      <c r="G195" s="195" t="s">
        <v>20</v>
      </c>
      <c r="H195" s="135" t="s">
        <v>21</v>
      </c>
      <c r="I195" s="135"/>
      <c r="J195" s="136"/>
      <c r="L195" s="134" t="s">
        <v>17</v>
      </c>
      <c r="M195" s="135" t="s">
        <v>22</v>
      </c>
      <c r="N195" s="135"/>
      <c r="O195" s="135" t="s">
        <v>23</v>
      </c>
      <c r="P195" s="135"/>
      <c r="Q195" s="135"/>
      <c r="R195" s="135" t="s">
        <v>24</v>
      </c>
      <c r="S195" s="135"/>
      <c r="T195" s="135" t="s">
        <v>21</v>
      </c>
      <c r="U195" s="136"/>
      <c r="AL195" s="28" t="s">
        <v>25</v>
      </c>
      <c r="AX195" s="194" t="s">
        <v>951</v>
      </c>
      <c r="BB195" s="195" t="s">
        <v>17</v>
      </c>
      <c r="BC195" s="134" t="s">
        <v>27</v>
      </c>
      <c r="BD195" s="136"/>
      <c r="BE195" s="135" t="s">
        <v>28</v>
      </c>
      <c r="BF195" s="135"/>
      <c r="BG195" s="135"/>
      <c r="BH195" s="135" t="s">
        <v>29</v>
      </c>
      <c r="BI195" s="135" t="s">
        <v>30</v>
      </c>
      <c r="BJ195" s="135" t="s">
        <v>31</v>
      </c>
      <c r="BK195" s="135"/>
      <c r="BL195" s="136"/>
    </row>
    <row r="196" spans="1:64" x14ac:dyDescent="0.3">
      <c r="A196" s="138" t="s">
        <v>32</v>
      </c>
      <c r="B196" s="138"/>
      <c r="C196" s="141"/>
      <c r="D196" s="28"/>
      <c r="E196" s="28"/>
      <c r="F196" s="28"/>
      <c r="G196" s="196"/>
      <c r="H196" s="28" t="s">
        <v>33</v>
      </c>
      <c r="I196" s="28"/>
      <c r="J196" s="141"/>
      <c r="L196" s="138"/>
      <c r="M196" s="28"/>
      <c r="N196" s="28"/>
      <c r="O196" s="28"/>
      <c r="P196" s="28"/>
      <c r="Q196" s="28"/>
      <c r="R196" s="28"/>
      <c r="S196" s="28"/>
      <c r="T196" s="28" t="s">
        <v>33</v>
      </c>
      <c r="U196" s="141"/>
      <c r="AB196" s="134" t="s">
        <v>34</v>
      </c>
      <c r="AC196" s="134" t="s">
        <v>35</v>
      </c>
      <c r="AD196" s="136"/>
      <c r="AE196" s="135" t="s">
        <v>36</v>
      </c>
      <c r="AF196" s="135"/>
      <c r="AG196" s="135"/>
      <c r="AH196" s="134" t="s">
        <v>37</v>
      </c>
      <c r="AI196" s="136"/>
      <c r="AJ196" s="135" t="s">
        <v>30</v>
      </c>
      <c r="AK196" s="134" t="s">
        <v>38</v>
      </c>
      <c r="AL196" s="135"/>
      <c r="AM196" s="136"/>
      <c r="AP196" s="134" t="s">
        <v>17</v>
      </c>
      <c r="AQ196" s="134" t="s">
        <v>39</v>
      </c>
      <c r="AR196" s="136"/>
      <c r="AS196" s="134" t="s">
        <v>29</v>
      </c>
      <c r="AT196" s="136" t="s">
        <v>30</v>
      </c>
      <c r="AU196" s="135" t="s">
        <v>40</v>
      </c>
      <c r="AV196" s="135"/>
      <c r="AW196" s="135"/>
      <c r="AX196" s="135"/>
      <c r="AY196" s="136"/>
      <c r="BB196" s="196"/>
      <c r="BC196" s="138"/>
      <c r="BD196" s="141"/>
      <c r="BE196" s="28"/>
      <c r="BF196" s="28"/>
      <c r="BG196" s="28"/>
      <c r="BH196" s="28"/>
      <c r="BI196" s="28" t="s">
        <v>6</v>
      </c>
      <c r="BJ196" s="28" t="s">
        <v>41</v>
      </c>
      <c r="BK196" s="28"/>
      <c r="BL196" s="141"/>
    </row>
    <row r="197" spans="1:64" x14ac:dyDescent="0.3">
      <c r="A197" s="142" t="s">
        <v>42</v>
      </c>
      <c r="B197" s="142" t="s">
        <v>43</v>
      </c>
      <c r="C197" s="143" t="s">
        <v>44</v>
      </c>
      <c r="D197" s="197" t="s">
        <v>45</v>
      </c>
      <c r="E197" s="198" t="s">
        <v>46</v>
      </c>
      <c r="F197" s="198" t="s">
        <v>47</v>
      </c>
      <c r="G197" s="199" t="s">
        <v>48</v>
      </c>
      <c r="H197" s="143" t="s">
        <v>49</v>
      </c>
      <c r="I197" s="143"/>
      <c r="J197" s="146"/>
      <c r="L197" s="142" t="s">
        <v>50</v>
      </c>
      <c r="M197" s="143" t="s">
        <v>43</v>
      </c>
      <c r="N197" s="143" t="s">
        <v>44</v>
      </c>
      <c r="O197" s="143" t="s">
        <v>43</v>
      </c>
      <c r="P197" s="143" t="s">
        <v>51</v>
      </c>
      <c r="Q197" s="143" t="s">
        <v>44</v>
      </c>
      <c r="R197" s="143" t="s">
        <v>43</v>
      </c>
      <c r="S197" s="143" t="s">
        <v>44</v>
      </c>
      <c r="T197" s="143" t="s">
        <v>49</v>
      </c>
      <c r="U197" s="146"/>
      <c r="AB197" s="142" t="s">
        <v>50</v>
      </c>
      <c r="AC197" s="142" t="s">
        <v>43</v>
      </c>
      <c r="AD197" s="146" t="s">
        <v>44</v>
      </c>
      <c r="AE197" s="143" t="s">
        <v>45</v>
      </c>
      <c r="AF197" s="143" t="s">
        <v>46</v>
      </c>
      <c r="AG197" s="143" t="s">
        <v>52</v>
      </c>
      <c r="AH197" s="142" t="s">
        <v>43</v>
      </c>
      <c r="AI197" s="146" t="s">
        <v>44</v>
      </c>
      <c r="AJ197" s="143" t="s">
        <v>43</v>
      </c>
      <c r="AK197" s="142" t="s">
        <v>53</v>
      </c>
      <c r="AL197" s="143"/>
      <c r="AM197" s="146"/>
      <c r="AP197" s="138" t="s">
        <v>42</v>
      </c>
      <c r="AQ197" s="138" t="s">
        <v>43</v>
      </c>
      <c r="AR197" s="141" t="s">
        <v>44</v>
      </c>
      <c r="AS197" s="138" t="s">
        <v>43</v>
      </c>
      <c r="AT197" s="141" t="s">
        <v>44</v>
      </c>
      <c r="AU197" s="28"/>
      <c r="AV197" s="28"/>
      <c r="AW197" s="28"/>
      <c r="AX197" s="28"/>
      <c r="AY197" s="141"/>
      <c r="BB197" s="199" t="s">
        <v>42</v>
      </c>
      <c r="BC197" s="142" t="s">
        <v>43</v>
      </c>
      <c r="BD197" s="146" t="s">
        <v>44</v>
      </c>
      <c r="BE197" s="143" t="s">
        <v>45</v>
      </c>
      <c r="BF197" s="143" t="s">
        <v>46</v>
      </c>
      <c r="BG197" s="143" t="s">
        <v>52</v>
      </c>
      <c r="BH197" s="143" t="s">
        <v>43</v>
      </c>
      <c r="BI197" s="143" t="s">
        <v>44</v>
      </c>
      <c r="BJ197" s="143" t="s">
        <v>54</v>
      </c>
      <c r="BK197" s="143"/>
      <c r="BL197" s="146"/>
    </row>
    <row r="198" spans="1:64" x14ac:dyDescent="0.3">
      <c r="A198" s="134"/>
      <c r="B198" s="134"/>
      <c r="C198" s="135"/>
      <c r="D198" s="134"/>
      <c r="E198" s="135"/>
      <c r="F198" s="135"/>
      <c r="G198" s="195"/>
      <c r="H198" s="135" t="s">
        <v>396</v>
      </c>
      <c r="I198" s="135"/>
      <c r="J198" s="136"/>
      <c r="L198" s="134"/>
      <c r="M198" s="134"/>
      <c r="N198" s="195"/>
      <c r="O198" s="134"/>
      <c r="P198" s="195"/>
      <c r="Q198" s="136"/>
      <c r="R198" s="134"/>
      <c r="S198" s="195"/>
      <c r="T198" s="134" t="s">
        <v>396</v>
      </c>
      <c r="U198" s="136"/>
      <c r="AB198" s="138"/>
      <c r="AC198" s="138"/>
      <c r="AD198" s="141"/>
      <c r="AE198" s="28"/>
      <c r="AF198" s="28"/>
      <c r="AG198" s="28"/>
      <c r="AH198" s="138"/>
      <c r="AI198" s="141"/>
      <c r="AJ198" s="28"/>
      <c r="AK198" s="138"/>
      <c r="AL198" s="28"/>
      <c r="AM198" s="141"/>
      <c r="AP198" s="134"/>
      <c r="AQ198" s="134"/>
      <c r="AR198" s="136"/>
      <c r="AS198" s="134"/>
      <c r="AT198" s="136"/>
      <c r="AU198" s="135"/>
      <c r="AV198" s="135"/>
      <c r="AW198" s="135"/>
      <c r="AX198" s="135"/>
      <c r="AY198" s="136"/>
      <c r="BB198" s="195" t="s">
        <v>85</v>
      </c>
      <c r="BC198" s="135">
        <v>30</v>
      </c>
      <c r="BD198" s="135">
        <v>0</v>
      </c>
      <c r="BE198" s="134"/>
      <c r="BF198" s="135"/>
      <c r="BG198" s="135"/>
      <c r="BH198" s="134"/>
      <c r="BI198" s="136"/>
      <c r="BJ198" s="135" t="s">
        <v>58</v>
      </c>
      <c r="BK198" s="135"/>
      <c r="BL198" s="136"/>
    </row>
    <row r="199" spans="1:64" x14ac:dyDescent="0.3">
      <c r="A199" s="138" t="s">
        <v>59</v>
      </c>
      <c r="B199" s="138">
        <v>761</v>
      </c>
      <c r="C199" s="28">
        <v>1083</v>
      </c>
      <c r="D199" s="138"/>
      <c r="E199" s="28" t="s">
        <v>60</v>
      </c>
      <c r="F199" s="28"/>
      <c r="G199" s="196">
        <v>1120</v>
      </c>
      <c r="H199" s="28">
        <v>4</v>
      </c>
      <c r="I199" s="28" t="s">
        <v>61</v>
      </c>
      <c r="J199" s="141"/>
      <c r="L199" s="138" t="s">
        <v>59</v>
      </c>
      <c r="M199" s="138">
        <v>10682</v>
      </c>
      <c r="N199" s="196">
        <v>38224</v>
      </c>
      <c r="O199" s="138">
        <v>0</v>
      </c>
      <c r="P199" s="196">
        <v>0</v>
      </c>
      <c r="Q199" s="141">
        <v>0</v>
      </c>
      <c r="R199" s="138">
        <v>0</v>
      </c>
      <c r="S199" s="196">
        <v>0</v>
      </c>
      <c r="T199" s="138"/>
      <c r="U199" s="141"/>
      <c r="AB199" s="138"/>
      <c r="AC199" s="138"/>
      <c r="AD199" s="141"/>
      <c r="AE199" s="28"/>
      <c r="AF199" s="28"/>
      <c r="AG199" s="28"/>
      <c r="AH199" s="138"/>
      <c r="AI199" s="141"/>
      <c r="AJ199" s="28"/>
      <c r="AK199" s="138" t="s">
        <v>62</v>
      </c>
      <c r="AL199" s="28"/>
      <c r="AM199" s="141"/>
      <c r="AP199" s="138" t="s">
        <v>6</v>
      </c>
      <c r="AQ199" s="138"/>
      <c r="AR199" s="141"/>
      <c r="AS199" s="138"/>
      <c r="AT199" s="141"/>
      <c r="AU199" s="28"/>
      <c r="AV199" s="28" t="s">
        <v>91</v>
      </c>
      <c r="AW199" s="28"/>
      <c r="AX199" s="28"/>
      <c r="AY199" s="141"/>
      <c r="BB199" s="196" t="s">
        <v>64</v>
      </c>
      <c r="BC199" s="28">
        <v>84</v>
      </c>
      <c r="BD199" s="28">
        <v>82</v>
      </c>
      <c r="BE199" s="138">
        <v>0</v>
      </c>
      <c r="BF199" s="28">
        <v>0</v>
      </c>
      <c r="BG199" s="28">
        <v>0</v>
      </c>
      <c r="BH199" s="138">
        <v>0</v>
      </c>
      <c r="BI199" s="141">
        <v>0</v>
      </c>
      <c r="BJ199" s="43">
        <v>13</v>
      </c>
      <c r="BK199" s="28" t="s">
        <v>474</v>
      </c>
      <c r="BL199" s="141" t="s">
        <v>6</v>
      </c>
    </row>
    <row r="200" spans="1:64" x14ac:dyDescent="0.3">
      <c r="A200" s="138" t="s">
        <v>6</v>
      </c>
      <c r="B200" s="138"/>
      <c r="C200" s="28"/>
      <c r="D200" s="138"/>
      <c r="E200" s="28"/>
      <c r="F200" s="28"/>
      <c r="G200" s="196"/>
      <c r="H200" s="28"/>
      <c r="I200" s="28" t="s">
        <v>528</v>
      </c>
      <c r="J200" s="141">
        <f>SUM(H199)</f>
        <v>4</v>
      </c>
      <c r="L200" s="142"/>
      <c r="M200" s="142"/>
      <c r="N200" s="199"/>
      <c r="O200" s="142"/>
      <c r="P200" s="199"/>
      <c r="Q200" s="146"/>
      <c r="R200" s="142"/>
      <c r="S200" s="199"/>
      <c r="T200" s="142"/>
      <c r="U200" s="146"/>
      <c r="AB200" s="138" t="s">
        <v>59</v>
      </c>
      <c r="AC200" s="138">
        <v>1240</v>
      </c>
      <c r="AD200" s="141">
        <v>1435</v>
      </c>
      <c r="AE200" s="28">
        <v>0</v>
      </c>
      <c r="AF200" s="28">
        <v>0</v>
      </c>
      <c r="AG200" s="28">
        <v>0</v>
      </c>
      <c r="AH200" s="138">
        <v>0</v>
      </c>
      <c r="AI200" s="141">
        <v>0</v>
      </c>
      <c r="AJ200" s="28">
        <v>0</v>
      </c>
      <c r="AK200" s="138">
        <v>4</v>
      </c>
      <c r="AL200" s="28" t="s">
        <v>66</v>
      </c>
      <c r="AM200" s="141"/>
      <c r="AP200" s="138" t="s">
        <v>56</v>
      </c>
      <c r="AQ200" s="138">
        <v>1529</v>
      </c>
      <c r="AR200" s="141">
        <v>1515</v>
      </c>
      <c r="AS200" s="138"/>
      <c r="AT200" s="141"/>
      <c r="AU200" s="28"/>
      <c r="AV200" s="28">
        <v>2</v>
      </c>
      <c r="AW200" s="28" t="s">
        <v>145</v>
      </c>
      <c r="AX200" s="28"/>
      <c r="AY200" s="141"/>
      <c r="BB200" s="196" t="s">
        <v>108</v>
      </c>
      <c r="BC200">
        <v>12</v>
      </c>
      <c r="BD200">
        <v>12</v>
      </c>
      <c r="BE200" s="138"/>
      <c r="BF200" s="28"/>
      <c r="BG200" s="28"/>
      <c r="BH200" s="138"/>
      <c r="BI200" s="141"/>
      <c r="BJ200" s="28"/>
      <c r="BK200" s="28"/>
      <c r="BL200" s="141"/>
    </row>
    <row r="201" spans="1:64" x14ac:dyDescent="0.3">
      <c r="A201" s="134"/>
      <c r="B201" s="134"/>
      <c r="C201" s="135"/>
      <c r="D201" s="134"/>
      <c r="E201" s="135"/>
      <c r="F201" s="135"/>
      <c r="G201" s="195"/>
      <c r="H201" s="135" t="s">
        <v>70</v>
      </c>
      <c r="I201" s="135"/>
      <c r="J201" s="136"/>
      <c r="L201" s="134"/>
      <c r="M201" s="134"/>
      <c r="N201" s="195"/>
      <c r="O201" s="134"/>
      <c r="P201" s="195"/>
      <c r="Q201" s="136"/>
      <c r="R201" s="134"/>
      <c r="S201" s="195"/>
      <c r="T201" s="134"/>
      <c r="U201" s="136"/>
      <c r="AB201" s="142"/>
      <c r="AC201" s="142"/>
      <c r="AD201" s="146"/>
      <c r="AE201" s="143"/>
      <c r="AF201" s="143"/>
      <c r="AG201" s="143"/>
      <c r="AH201" s="142"/>
      <c r="AI201" s="146"/>
      <c r="AJ201" s="143"/>
      <c r="AK201" s="142" t="s">
        <v>6</v>
      </c>
      <c r="AL201" s="143" t="s">
        <v>398</v>
      </c>
      <c r="AM201" s="146"/>
      <c r="AP201" s="142" t="s">
        <v>6</v>
      </c>
      <c r="AQ201" s="142"/>
      <c r="AR201" s="146"/>
      <c r="AS201" s="142"/>
      <c r="AT201" s="146"/>
      <c r="AU201" s="143"/>
      <c r="AV201" s="143">
        <v>109</v>
      </c>
      <c r="AW201" s="143" t="s">
        <v>73</v>
      </c>
      <c r="AX201" s="143"/>
      <c r="AY201" s="146">
        <f>SUM(AV201)</f>
        <v>109</v>
      </c>
      <c r="BB201" s="199" t="s">
        <v>84</v>
      </c>
      <c r="BC201" s="143">
        <f>SUM(BC198:BC200)</f>
        <v>126</v>
      </c>
      <c r="BD201" s="143">
        <f>SUM(BD198:BD200)</f>
        <v>94</v>
      </c>
      <c r="BE201" s="142"/>
      <c r="BF201" s="143"/>
      <c r="BG201" s="143"/>
      <c r="BH201" s="142"/>
      <c r="BI201" s="146"/>
      <c r="BJ201" s="143">
        <v>3</v>
      </c>
      <c r="BK201" s="143" t="s">
        <v>69</v>
      </c>
      <c r="BL201" s="146">
        <f>SUM(BJ199:BJ201)</f>
        <v>16</v>
      </c>
    </row>
    <row r="202" spans="1:64" x14ac:dyDescent="0.3">
      <c r="A202" s="138" t="s">
        <v>74</v>
      </c>
      <c r="B202" s="138">
        <v>964</v>
      </c>
      <c r="C202" s="28">
        <v>2151</v>
      </c>
      <c r="D202" s="138"/>
      <c r="E202" s="28" t="s">
        <v>60</v>
      </c>
      <c r="F202" s="28"/>
      <c r="G202" s="196">
        <v>2452</v>
      </c>
      <c r="H202" s="28"/>
      <c r="I202" s="28" t="s">
        <v>75</v>
      </c>
      <c r="J202" s="141"/>
      <c r="L202" s="138"/>
      <c r="M202" s="138"/>
      <c r="N202" s="196"/>
      <c r="O202" s="138"/>
      <c r="P202" s="196"/>
      <c r="Q202" s="141"/>
      <c r="R202" s="138"/>
      <c r="S202" s="196"/>
      <c r="T202" s="138" t="s">
        <v>80</v>
      </c>
      <c r="U202" s="141"/>
      <c r="AB202" s="134" t="s">
        <v>6</v>
      </c>
      <c r="AC202" s="134"/>
      <c r="AD202" s="136"/>
      <c r="AE202" s="135"/>
      <c r="AF202" s="135"/>
      <c r="AG202" s="135"/>
      <c r="AH202" s="134"/>
      <c r="AI202" s="136"/>
      <c r="AJ202" s="135"/>
      <c r="AK202" s="134" t="s">
        <v>952</v>
      </c>
      <c r="AL202" s="135"/>
      <c r="AM202" s="136"/>
      <c r="AP202" s="134" t="s">
        <v>56</v>
      </c>
      <c r="AQ202" s="134">
        <v>0</v>
      </c>
      <c r="AR202" s="136">
        <v>0</v>
      </c>
      <c r="AS202" s="134"/>
      <c r="AT202" s="136"/>
      <c r="AU202" s="135"/>
      <c r="AV202" s="135"/>
      <c r="AW202" s="135"/>
      <c r="AX202" s="135"/>
      <c r="AY202" s="136"/>
      <c r="BB202" s="195"/>
      <c r="BC202" s="134"/>
      <c r="BD202" s="136"/>
      <c r="BE202" s="135"/>
      <c r="BF202" s="135"/>
      <c r="BG202" s="135"/>
      <c r="BH202" s="134"/>
      <c r="BI202" s="136"/>
      <c r="BJ202" s="135" t="s">
        <v>82</v>
      </c>
      <c r="BK202" s="135"/>
      <c r="BL202" s="136"/>
    </row>
    <row r="203" spans="1:64" x14ac:dyDescent="0.3">
      <c r="A203" s="138"/>
      <c r="B203" s="138"/>
      <c r="C203" s="28"/>
      <c r="D203" s="138"/>
      <c r="E203" s="28"/>
      <c r="F203" s="28"/>
      <c r="G203" s="196"/>
      <c r="H203" s="28">
        <v>13</v>
      </c>
      <c r="I203" s="28" t="s">
        <v>79</v>
      </c>
      <c r="J203" s="141"/>
      <c r="L203" s="138" t="s">
        <v>74</v>
      </c>
      <c r="M203" s="138">
        <v>13989</v>
      </c>
      <c r="N203" s="196">
        <v>475</v>
      </c>
      <c r="O203" s="138">
        <v>0</v>
      </c>
      <c r="P203" s="196">
        <v>0</v>
      </c>
      <c r="Q203" s="141">
        <v>0</v>
      </c>
      <c r="R203" s="138">
        <v>77</v>
      </c>
      <c r="S203" s="196">
        <v>0</v>
      </c>
      <c r="T203" s="138"/>
      <c r="U203" s="141"/>
      <c r="AB203" s="142" t="s">
        <v>76</v>
      </c>
      <c r="AC203" s="142">
        <v>150</v>
      </c>
      <c r="AD203" s="146">
        <v>0</v>
      </c>
      <c r="AE203" s="143">
        <v>0</v>
      </c>
      <c r="AF203" s="143">
        <v>0</v>
      </c>
      <c r="AG203" s="143">
        <v>0</v>
      </c>
      <c r="AH203" s="142">
        <v>0</v>
      </c>
      <c r="AI203" s="146">
        <v>0</v>
      </c>
      <c r="AJ203" s="143">
        <v>0</v>
      </c>
      <c r="AK203" s="142">
        <v>1</v>
      </c>
      <c r="AL203" s="143" t="s">
        <v>780</v>
      </c>
      <c r="AM203" s="146"/>
      <c r="AP203" s="138" t="s">
        <v>63</v>
      </c>
      <c r="AQ203" s="138">
        <v>48</v>
      </c>
      <c r="AR203" s="141">
        <v>57</v>
      </c>
      <c r="AS203" s="138"/>
      <c r="AT203" s="141"/>
      <c r="AU203" s="28"/>
      <c r="AV203" s="28" t="s">
        <v>110</v>
      </c>
      <c r="AW203" s="28" t="s">
        <v>111</v>
      </c>
      <c r="AX203" s="28" t="s">
        <v>112</v>
      </c>
      <c r="AY203" s="141"/>
      <c r="BB203" s="199" t="s">
        <v>85</v>
      </c>
      <c r="BC203" s="142">
        <v>0</v>
      </c>
      <c r="BD203" s="146">
        <v>0</v>
      </c>
      <c r="BE203" s="143"/>
      <c r="BF203" s="143">
        <v>0</v>
      </c>
      <c r="BG203" s="143">
        <v>0</v>
      </c>
      <c r="BH203" s="142">
        <v>0</v>
      </c>
      <c r="BI203" s="146">
        <v>0</v>
      </c>
      <c r="BJ203" s="143"/>
      <c r="BK203" s="143" t="s">
        <v>86</v>
      </c>
      <c r="BL203" s="146">
        <f>SUM(BJ203)</f>
        <v>0</v>
      </c>
    </row>
    <row r="204" spans="1:64" x14ac:dyDescent="0.3">
      <c r="A204" s="142"/>
      <c r="B204" s="142"/>
      <c r="C204" s="143"/>
      <c r="D204" s="142"/>
      <c r="E204" s="143"/>
      <c r="F204" s="143"/>
      <c r="G204" s="199"/>
      <c r="H204" s="143">
        <v>4</v>
      </c>
      <c r="I204" s="143" t="s">
        <v>83</v>
      </c>
      <c r="J204" s="146">
        <f>SUM(H202:H204)</f>
        <v>17</v>
      </c>
      <c r="L204" s="142"/>
      <c r="M204" s="142"/>
      <c r="N204" s="199"/>
      <c r="O204" s="142"/>
      <c r="P204" s="199"/>
      <c r="Q204" s="146"/>
      <c r="R204" s="142"/>
      <c r="S204" s="199"/>
      <c r="T204" s="142"/>
      <c r="U204" s="146"/>
      <c r="AB204" s="134"/>
      <c r="AC204" s="134"/>
      <c r="AD204" s="136"/>
      <c r="AE204" s="135"/>
      <c r="AF204" s="135"/>
      <c r="AG204" s="135"/>
      <c r="AH204" s="134"/>
      <c r="AI204" s="136"/>
      <c r="AJ204" s="135"/>
      <c r="AK204" s="134"/>
      <c r="AL204" s="135"/>
      <c r="AM204" s="136"/>
      <c r="AP204" s="138" t="s">
        <v>115</v>
      </c>
      <c r="AQ204" s="138">
        <v>39</v>
      </c>
      <c r="AR204" s="141">
        <v>33</v>
      </c>
      <c r="AS204" s="138"/>
      <c r="AT204" s="141"/>
      <c r="AU204" s="28"/>
      <c r="AV204" s="28"/>
      <c r="AW204" s="28"/>
      <c r="AX204" s="28"/>
      <c r="AY204" s="141"/>
      <c r="BB204" s="195" t="s">
        <v>107</v>
      </c>
      <c r="BC204" s="134">
        <v>0</v>
      </c>
      <c r="BD204" s="136">
        <v>0</v>
      </c>
      <c r="BE204" s="135"/>
      <c r="BF204" s="135"/>
      <c r="BG204" s="135"/>
      <c r="BH204" s="134"/>
      <c r="BI204" s="136"/>
      <c r="BJ204" s="135"/>
      <c r="BK204" s="135" t="s">
        <v>92</v>
      </c>
      <c r="BL204" s="136"/>
    </row>
    <row r="205" spans="1:64" x14ac:dyDescent="0.3">
      <c r="A205" s="134"/>
      <c r="B205" s="134"/>
      <c r="C205" s="135"/>
      <c r="D205" s="134"/>
      <c r="E205" s="135"/>
      <c r="F205" s="135"/>
      <c r="G205" s="195"/>
      <c r="H205" s="135" t="s">
        <v>87</v>
      </c>
      <c r="I205" s="135"/>
      <c r="J205" s="136"/>
      <c r="L205" s="134" t="s">
        <v>88</v>
      </c>
      <c r="M205" s="134">
        <v>0</v>
      </c>
      <c r="N205" s="195">
        <v>0</v>
      </c>
      <c r="O205" s="134"/>
      <c r="P205" s="195"/>
      <c r="Q205" s="136"/>
      <c r="R205" s="134"/>
      <c r="S205" s="195"/>
      <c r="T205" s="134" t="s">
        <v>6</v>
      </c>
      <c r="U205" s="136"/>
      <c r="AB205" s="138" t="s">
        <v>89</v>
      </c>
      <c r="AC205" s="138">
        <v>35</v>
      </c>
      <c r="AD205" s="141">
        <v>42</v>
      </c>
      <c r="AE205" s="28"/>
      <c r="AF205" s="28"/>
      <c r="AG205" s="28"/>
      <c r="AH205" s="138"/>
      <c r="AI205" s="141"/>
      <c r="AJ205" s="28"/>
      <c r="AK205" s="138" t="s">
        <v>90</v>
      </c>
      <c r="AL205" s="28"/>
      <c r="AM205" s="141"/>
      <c r="AP205" s="138" t="s">
        <v>72</v>
      </c>
      <c r="AQ205" s="138">
        <v>0</v>
      </c>
      <c r="AR205" s="141">
        <v>0</v>
      </c>
      <c r="AS205" s="138"/>
      <c r="AT205" s="141"/>
      <c r="AU205" s="28"/>
      <c r="AV205" s="28"/>
      <c r="AW205" s="28"/>
      <c r="AX205" s="28"/>
      <c r="AY205" s="141"/>
      <c r="BB205" s="196" t="s">
        <v>99</v>
      </c>
      <c r="BC205" s="138">
        <v>0</v>
      </c>
      <c r="BD205" s="141">
        <v>0</v>
      </c>
      <c r="BE205" s="28">
        <v>0</v>
      </c>
      <c r="BF205" s="28">
        <v>0</v>
      </c>
      <c r="BG205" s="28">
        <v>0</v>
      </c>
      <c r="BH205" s="138">
        <f>69358+2606</f>
        <v>71964</v>
      </c>
      <c r="BI205" s="141">
        <f>909+18180</f>
        <v>19089</v>
      </c>
      <c r="BJ205" s="43">
        <v>26</v>
      </c>
      <c r="BK205" s="28" t="s">
        <v>100</v>
      </c>
      <c r="BL205" s="141"/>
    </row>
    <row r="206" spans="1:64" x14ac:dyDescent="0.3">
      <c r="A206" s="138" t="s">
        <v>93</v>
      </c>
      <c r="B206" s="138">
        <v>3454</v>
      </c>
      <c r="C206" s="28">
        <v>4627</v>
      </c>
      <c r="D206" s="138"/>
      <c r="E206" s="28" t="s">
        <v>60</v>
      </c>
      <c r="F206" s="28"/>
      <c r="G206" s="196">
        <v>4924</v>
      </c>
      <c r="H206" s="43">
        <v>13</v>
      </c>
      <c r="I206" s="28" t="s">
        <v>94</v>
      </c>
      <c r="J206" s="141"/>
      <c r="L206" s="138" t="s">
        <v>95</v>
      </c>
      <c r="M206" s="138">
        <v>0</v>
      </c>
      <c r="N206" s="196">
        <v>0</v>
      </c>
      <c r="O206" s="138"/>
      <c r="P206" s="196"/>
      <c r="Q206" s="141"/>
      <c r="R206" s="138"/>
      <c r="S206" s="196"/>
      <c r="T206" s="138" t="s">
        <v>96</v>
      </c>
      <c r="U206" s="141"/>
      <c r="AB206" s="138" t="s">
        <v>974</v>
      </c>
      <c r="AC206" s="138">
        <v>0</v>
      </c>
      <c r="AD206" s="141">
        <v>0</v>
      </c>
      <c r="AE206" s="28">
        <v>0</v>
      </c>
      <c r="AF206" s="28">
        <v>0</v>
      </c>
      <c r="AG206" s="28">
        <v>0</v>
      </c>
      <c r="AH206" s="138">
        <v>0</v>
      </c>
      <c r="AI206" s="141">
        <v>0</v>
      </c>
      <c r="AJ206" s="28">
        <v>0</v>
      </c>
      <c r="AK206" s="138"/>
      <c r="AL206" s="28" t="s">
        <v>529</v>
      </c>
      <c r="AM206" s="141"/>
      <c r="AP206" s="138" t="s">
        <v>78</v>
      </c>
      <c r="AQ206" s="138">
        <v>53</v>
      </c>
      <c r="AR206" s="141">
        <v>32</v>
      </c>
      <c r="AS206" s="138"/>
      <c r="AT206" s="141"/>
      <c r="AU206" s="28"/>
      <c r="AV206" s="28"/>
      <c r="AW206" s="28"/>
      <c r="AX206" s="28"/>
      <c r="AY206" s="141"/>
      <c r="AZ206" t="s">
        <v>6</v>
      </c>
      <c r="BB206" s="199" t="s">
        <v>84</v>
      </c>
      <c r="BC206" s="142">
        <f>SUM(BC204:BC205)</f>
        <v>0</v>
      </c>
      <c r="BD206" s="146">
        <f>SUM(BD203:BD205)</f>
        <v>0</v>
      </c>
      <c r="BE206" s="143"/>
      <c r="BF206" s="143"/>
      <c r="BG206" s="143"/>
      <c r="BH206" s="142"/>
      <c r="BI206" s="146"/>
      <c r="BJ206" s="143">
        <v>0</v>
      </c>
      <c r="BK206" s="143" t="s">
        <v>506</v>
      </c>
      <c r="BL206" s="146">
        <f>SUM(BJ205:BJ206)</f>
        <v>26</v>
      </c>
    </row>
    <row r="207" spans="1:64" x14ac:dyDescent="0.3">
      <c r="A207" s="138"/>
      <c r="B207" s="138"/>
      <c r="C207" s="28"/>
      <c r="D207" s="138"/>
      <c r="E207" s="28"/>
      <c r="F207" s="28"/>
      <c r="G207" s="196"/>
      <c r="H207" s="28">
        <v>17</v>
      </c>
      <c r="I207" s="28" t="s">
        <v>101</v>
      </c>
      <c r="J207" s="141">
        <f>SUM(H206:H207)</f>
        <v>30</v>
      </c>
      <c r="L207" s="138" t="s">
        <v>102</v>
      </c>
      <c r="M207" s="138">
        <v>0</v>
      </c>
      <c r="N207" s="196">
        <v>0</v>
      </c>
      <c r="O207" s="138"/>
      <c r="P207" s="196"/>
      <c r="Q207" s="141"/>
      <c r="R207" s="138"/>
      <c r="S207" s="196"/>
      <c r="T207" s="138"/>
      <c r="U207" s="141"/>
      <c r="AB207" s="142" t="s">
        <v>84</v>
      </c>
      <c r="AC207" s="142">
        <f>SUM(AC205:AC206)</f>
        <v>35</v>
      </c>
      <c r="AD207" s="146">
        <f>SUM(AD205:AD206)</f>
        <v>42</v>
      </c>
      <c r="AE207" s="143"/>
      <c r="AF207" s="143"/>
      <c r="AG207" s="143"/>
      <c r="AH207" s="142"/>
      <c r="AI207" s="146"/>
      <c r="AJ207" s="143"/>
      <c r="AK207" s="142">
        <v>1</v>
      </c>
      <c r="AL207" s="143" t="s">
        <v>145</v>
      </c>
      <c r="AM207" s="146"/>
      <c r="AP207" s="138" t="s">
        <v>122</v>
      </c>
      <c r="AQ207" s="138">
        <v>11</v>
      </c>
      <c r="AR207" s="141">
        <v>24</v>
      </c>
      <c r="AS207" s="138"/>
      <c r="AT207" s="141"/>
      <c r="AU207" s="28"/>
      <c r="AV207" s="28">
        <v>36</v>
      </c>
      <c r="AW207" s="28" t="s">
        <v>123</v>
      </c>
      <c r="AX207" s="28"/>
      <c r="AY207" s="141"/>
      <c r="BB207" s="196"/>
      <c r="BC207" s="138"/>
      <c r="BD207" s="141"/>
      <c r="BH207" s="138"/>
      <c r="BI207" s="141"/>
      <c r="BJ207" s="134"/>
      <c r="BK207" s="135"/>
      <c r="BL207" s="136"/>
    </row>
    <row r="208" spans="1:64" x14ac:dyDescent="0.3">
      <c r="A208" s="134" t="s">
        <v>108</v>
      </c>
      <c r="B208" s="134">
        <v>0</v>
      </c>
      <c r="C208" s="135">
        <v>0</v>
      </c>
      <c r="D208" s="134"/>
      <c r="E208" s="135">
        <v>798</v>
      </c>
      <c r="F208" s="136"/>
      <c r="G208" s="136"/>
      <c r="H208" s="135" t="s">
        <v>104</v>
      </c>
      <c r="I208" s="135"/>
      <c r="J208" s="136"/>
      <c r="L208" s="142" t="s">
        <v>84</v>
      </c>
      <c r="M208" s="142">
        <v>0</v>
      </c>
      <c r="N208" s="199">
        <v>0</v>
      </c>
      <c r="O208" s="142">
        <v>0</v>
      </c>
      <c r="P208" s="199">
        <v>0</v>
      </c>
      <c r="Q208" s="146">
        <v>0</v>
      </c>
      <c r="R208" s="142">
        <v>0</v>
      </c>
      <c r="S208" s="199">
        <v>0</v>
      </c>
      <c r="T208" s="142"/>
      <c r="U208" s="146"/>
      <c r="AB208" s="134"/>
      <c r="AC208" s="134"/>
      <c r="AD208" s="136"/>
      <c r="AE208" s="135"/>
      <c r="AF208" s="135"/>
      <c r="AG208" s="135"/>
      <c r="AH208" s="134"/>
      <c r="AI208" s="136"/>
      <c r="AJ208" s="135"/>
      <c r="AK208" s="134" t="s">
        <v>6</v>
      </c>
      <c r="AL208" s="135" t="s">
        <v>6</v>
      </c>
      <c r="AM208" s="136"/>
      <c r="AP208" s="138" t="s">
        <v>125</v>
      </c>
      <c r="AQ208" s="138">
        <v>0</v>
      </c>
      <c r="AR208" s="141">
        <v>0</v>
      </c>
      <c r="AS208" s="138"/>
      <c r="AT208" s="141"/>
      <c r="AU208" s="28"/>
      <c r="AV208" s="28">
        <v>24</v>
      </c>
      <c r="AW208" s="28" t="s">
        <v>126</v>
      </c>
      <c r="AX208" s="28"/>
      <c r="AY208" s="141"/>
      <c r="BA208" t="s">
        <v>6</v>
      </c>
      <c r="BB208" s="196" t="s">
        <v>89</v>
      </c>
      <c r="BC208" s="138">
        <v>491</v>
      </c>
      <c r="BD208" s="141">
        <v>478</v>
      </c>
      <c r="BH208" s="138"/>
      <c r="BI208" s="141"/>
      <c r="BJ208" s="138"/>
      <c r="BK208" s="28" t="s">
        <v>91</v>
      </c>
      <c r="BL208" s="141"/>
    </row>
    <row r="209" spans="1:65" x14ac:dyDescent="0.3">
      <c r="A209" s="138" t="s">
        <v>109</v>
      </c>
      <c r="B209" s="138">
        <v>1173</v>
      </c>
      <c r="C209" s="28">
        <v>1394</v>
      </c>
      <c r="D209" s="138"/>
      <c r="E209" s="28">
        <v>0</v>
      </c>
      <c r="F209" s="141"/>
      <c r="G209" s="141"/>
      <c r="H209" s="43">
        <v>8</v>
      </c>
      <c r="I209" s="28" t="s">
        <v>114</v>
      </c>
      <c r="J209" s="141"/>
      <c r="L209" s="134"/>
      <c r="M209" s="134"/>
      <c r="N209" s="195"/>
      <c r="O209" s="134"/>
      <c r="P209" s="195"/>
      <c r="Q209" s="136"/>
      <c r="R209" s="134"/>
      <c r="S209" s="195"/>
      <c r="T209" s="134" t="s">
        <v>104</v>
      </c>
      <c r="U209" s="136"/>
      <c r="AB209" s="138" t="s">
        <v>6</v>
      </c>
      <c r="AC209" s="138"/>
      <c r="AD209" s="141"/>
      <c r="AE209" s="28">
        <v>0</v>
      </c>
      <c r="AF209" s="28">
        <v>0</v>
      </c>
      <c r="AG209" s="28">
        <v>0</v>
      </c>
      <c r="AH209" s="138"/>
      <c r="AI209" s="141"/>
      <c r="AJ209" s="28">
        <v>0</v>
      </c>
      <c r="AK209" s="138"/>
      <c r="AL209" s="28" t="s">
        <v>6</v>
      </c>
      <c r="AM209" s="141"/>
      <c r="AP209" s="138" t="s">
        <v>128</v>
      </c>
      <c r="AQ209" s="138">
        <v>4</v>
      </c>
      <c r="AR209" s="141">
        <v>4</v>
      </c>
      <c r="AS209" s="138"/>
      <c r="AT209" s="141"/>
      <c r="AU209" s="28"/>
      <c r="AV209" s="28">
        <v>36</v>
      </c>
      <c r="AW209" s="28" t="s">
        <v>129</v>
      </c>
      <c r="AX209" s="28"/>
      <c r="AY209" s="141"/>
      <c r="BA209" t="s">
        <v>6</v>
      </c>
      <c r="BB209" s="196" t="s">
        <v>137</v>
      </c>
      <c r="BC209" s="138">
        <v>92</v>
      </c>
      <c r="BD209" s="141">
        <v>49</v>
      </c>
      <c r="BH209" s="138"/>
      <c r="BI209" s="141"/>
      <c r="BJ209" s="138">
        <v>39</v>
      </c>
      <c r="BK209" s="43" t="s">
        <v>145</v>
      </c>
      <c r="BL209" s="141"/>
    </row>
    <row r="210" spans="1:65" x14ac:dyDescent="0.3">
      <c r="A210" s="138" t="s">
        <v>84</v>
      </c>
      <c r="B210" s="138">
        <f>SUM(B208:B209)</f>
        <v>1173</v>
      </c>
      <c r="C210" s="28">
        <f>SUM(C208:C209)</f>
        <v>1394</v>
      </c>
      <c r="D210" s="138"/>
      <c r="E210" s="28">
        <f>SUM(E208:E209)</f>
        <v>798</v>
      </c>
      <c r="F210" s="141"/>
      <c r="G210" s="141">
        <v>2964</v>
      </c>
      <c r="H210" s="28"/>
      <c r="I210" s="28"/>
      <c r="J210" s="141">
        <f>SUM(H209)</f>
        <v>8</v>
      </c>
      <c r="L210" s="138" t="s">
        <v>109</v>
      </c>
      <c r="M210" s="138">
        <v>1965</v>
      </c>
      <c r="N210" s="196">
        <v>0</v>
      </c>
      <c r="O210" s="138">
        <v>0</v>
      </c>
      <c r="P210" s="196">
        <v>0</v>
      </c>
      <c r="Q210" s="141">
        <v>0</v>
      </c>
      <c r="R210" s="138">
        <v>0</v>
      </c>
      <c r="S210" s="196">
        <v>0</v>
      </c>
      <c r="T210" s="138"/>
      <c r="U210" s="141"/>
      <c r="AB210" s="138"/>
      <c r="AC210" s="138"/>
      <c r="AD210" s="141"/>
      <c r="AE210" s="28">
        <v>0</v>
      </c>
      <c r="AF210" s="28">
        <v>0</v>
      </c>
      <c r="AG210" s="28">
        <v>0</v>
      </c>
      <c r="AH210" s="138"/>
      <c r="AI210" s="141"/>
      <c r="AJ210" s="28"/>
      <c r="AK210" s="138"/>
      <c r="AL210" s="28"/>
      <c r="AM210" s="141"/>
      <c r="AP210" s="138" t="s">
        <v>132</v>
      </c>
      <c r="AQ210" s="138">
        <v>0</v>
      </c>
      <c r="AR210" s="141">
        <v>0</v>
      </c>
      <c r="AS210" s="138"/>
      <c r="AT210" s="141"/>
      <c r="AU210" s="28"/>
      <c r="AV210" s="28"/>
      <c r="AW210" s="28"/>
      <c r="AX210" s="28"/>
      <c r="AY210" s="141"/>
      <c r="BB210" s="196" t="s">
        <v>113</v>
      </c>
      <c r="BC210" s="138">
        <v>886</v>
      </c>
      <c r="BD210" s="141">
        <v>1018</v>
      </c>
      <c r="BH210" s="138"/>
      <c r="BI210" s="141"/>
      <c r="BJ210" s="138">
        <v>42</v>
      </c>
      <c r="BK210" s="28" t="s">
        <v>73</v>
      </c>
      <c r="BL210" s="141"/>
    </row>
    <row r="211" spans="1:65" x14ac:dyDescent="0.3">
      <c r="A211" s="142"/>
      <c r="B211" s="142"/>
      <c r="C211" s="143"/>
      <c r="D211" s="142"/>
      <c r="E211" s="143"/>
      <c r="F211" s="146"/>
      <c r="G211" s="146"/>
      <c r="H211" s="143"/>
      <c r="I211" s="143"/>
      <c r="J211" s="146"/>
      <c r="L211" s="142"/>
      <c r="M211" s="142"/>
      <c r="N211" s="199"/>
      <c r="O211" s="142"/>
      <c r="P211" s="199"/>
      <c r="Q211" s="146"/>
      <c r="R211" s="142"/>
      <c r="S211" s="199"/>
      <c r="T211" s="142"/>
      <c r="U211" s="146"/>
      <c r="AB211" s="142"/>
      <c r="AC211" s="142"/>
      <c r="AD211" s="146"/>
      <c r="AE211" s="143">
        <v>0</v>
      </c>
      <c r="AF211" s="143">
        <v>0</v>
      </c>
      <c r="AG211" s="143">
        <v>0</v>
      </c>
      <c r="AH211" s="142"/>
      <c r="AI211" s="146"/>
      <c r="AJ211" s="143"/>
      <c r="AK211" s="142"/>
      <c r="AL211" s="143"/>
      <c r="AM211" s="146"/>
      <c r="AP211" s="138" t="s">
        <v>81</v>
      </c>
      <c r="AQ211" s="138">
        <v>19</v>
      </c>
      <c r="AR211" s="141">
        <v>16</v>
      </c>
      <c r="AS211" s="138"/>
      <c r="AT211" s="141"/>
      <c r="AU211" s="28"/>
      <c r="AV211" s="28"/>
      <c r="AW211" s="28"/>
      <c r="AX211" s="28"/>
      <c r="AY211" s="141"/>
      <c r="BA211" t="s">
        <v>6</v>
      </c>
      <c r="BB211" s="196" t="s">
        <v>84</v>
      </c>
      <c r="BC211" s="138">
        <f>SUM(BC208:BC210)</f>
        <v>1469</v>
      </c>
      <c r="BD211" s="141">
        <f>SUM(BD208:BD210)</f>
        <v>1545</v>
      </c>
      <c r="BE211">
        <v>0</v>
      </c>
      <c r="BF211">
        <v>0</v>
      </c>
      <c r="BG211">
        <v>0</v>
      </c>
      <c r="BH211" s="138">
        <v>0</v>
      </c>
      <c r="BI211" s="141">
        <v>0</v>
      </c>
      <c r="BJ211" s="142"/>
      <c r="BK211" s="143"/>
      <c r="BL211" s="146">
        <f>SUM(BJ210)</f>
        <v>42</v>
      </c>
    </row>
    <row r="212" spans="1:65" x14ac:dyDescent="0.3">
      <c r="A212" s="138" t="s">
        <v>93</v>
      </c>
      <c r="B212" s="138">
        <v>6999</v>
      </c>
      <c r="C212" s="28">
        <v>8200</v>
      </c>
      <c r="D212" s="138"/>
      <c r="E212" s="28"/>
      <c r="F212" s="28"/>
      <c r="G212" s="196">
        <v>9210</v>
      </c>
      <c r="H212" s="28" t="s">
        <v>118</v>
      </c>
      <c r="I212" s="28"/>
      <c r="J212" s="141"/>
      <c r="L212" s="134" t="s">
        <v>93</v>
      </c>
      <c r="M212" s="134">
        <v>0</v>
      </c>
      <c r="N212" s="195">
        <v>0</v>
      </c>
      <c r="O212" s="134"/>
      <c r="P212" s="195"/>
      <c r="Q212" s="136"/>
      <c r="R212" s="134">
        <v>0</v>
      </c>
      <c r="S212" s="195">
        <v>0</v>
      </c>
      <c r="T212" s="134" t="s">
        <v>116</v>
      </c>
      <c r="U212" s="136"/>
      <c r="AB212" s="138"/>
      <c r="AC212" s="138"/>
      <c r="AD212" s="141"/>
      <c r="AE212" s="28"/>
      <c r="AF212" s="28"/>
      <c r="AG212" s="28"/>
      <c r="AH212" s="138"/>
      <c r="AI212" s="141"/>
      <c r="AJ212" s="28"/>
      <c r="AK212" s="138"/>
      <c r="AL212" s="28" t="s">
        <v>117</v>
      </c>
      <c r="AM212" s="141"/>
      <c r="AP212" s="138" t="s">
        <v>138</v>
      </c>
      <c r="AQ212" s="138">
        <v>4</v>
      </c>
      <c r="AR212" s="141">
        <v>4</v>
      </c>
      <c r="AS212" s="138"/>
      <c r="AT212" s="141"/>
      <c r="AU212" s="28"/>
      <c r="AV212" s="28"/>
      <c r="AW212" s="28"/>
      <c r="AX212" s="28"/>
      <c r="AY212" s="141"/>
      <c r="BB212" s="134"/>
      <c r="BC212" s="134"/>
      <c r="BD212" s="136"/>
      <c r="BE212" s="135"/>
      <c r="BF212" s="135"/>
      <c r="BG212" s="135"/>
      <c r="BH212" s="134"/>
      <c r="BI212" s="136"/>
      <c r="BJ212" s="135" t="s">
        <v>994</v>
      </c>
      <c r="BK212" s="135"/>
      <c r="BL212" s="136"/>
    </row>
    <row r="213" spans="1:65" x14ac:dyDescent="0.3">
      <c r="A213" s="138" t="s">
        <v>120</v>
      </c>
      <c r="B213" s="138">
        <v>4421</v>
      </c>
      <c r="C213" s="43">
        <v>5426</v>
      </c>
      <c r="D213" s="138"/>
      <c r="E213" s="28" t="s">
        <v>60</v>
      </c>
      <c r="F213" s="28"/>
      <c r="G213" s="196">
        <v>5700</v>
      </c>
      <c r="H213" s="28">
        <v>73</v>
      </c>
      <c r="I213" s="28" t="s">
        <v>101</v>
      </c>
      <c r="J213" s="141"/>
      <c r="L213" s="138" t="s">
        <v>99</v>
      </c>
      <c r="M213" s="138">
        <v>31795</v>
      </c>
      <c r="N213" s="196">
        <v>12524</v>
      </c>
      <c r="O213" s="138"/>
      <c r="P213" s="196"/>
      <c r="Q213" s="141"/>
      <c r="R213" s="138">
        <v>6775</v>
      </c>
      <c r="S213" s="196">
        <v>241</v>
      </c>
      <c r="T213" s="138"/>
      <c r="U213" s="141"/>
      <c r="AB213" s="138"/>
      <c r="AC213" s="138"/>
      <c r="AD213" s="141"/>
      <c r="AE213" s="28"/>
      <c r="AF213" s="28"/>
      <c r="AG213" s="28"/>
      <c r="AH213" s="138"/>
      <c r="AI213" s="141"/>
      <c r="AJ213" s="28"/>
      <c r="AK213" s="138"/>
      <c r="AL213" s="28" t="s">
        <v>558</v>
      </c>
      <c r="AM213" s="141"/>
      <c r="AP213" s="138" t="s">
        <v>230</v>
      </c>
      <c r="AQ213" s="138">
        <v>9</v>
      </c>
      <c r="AR213" s="141">
        <v>0</v>
      </c>
      <c r="AS213" s="138"/>
      <c r="AT213" s="141"/>
      <c r="AU213" s="28"/>
      <c r="AV213" s="28"/>
      <c r="AW213" s="28"/>
      <c r="AX213" s="28"/>
      <c r="AY213" s="141"/>
      <c r="BB213" s="138" t="s">
        <v>113</v>
      </c>
      <c r="BC213" s="138">
        <v>310</v>
      </c>
      <c r="BD213" s="141">
        <v>331</v>
      </c>
      <c r="BE213" s="28"/>
      <c r="BF213" s="28"/>
      <c r="BG213" s="28"/>
      <c r="BH213" s="138"/>
      <c r="BI213" s="141"/>
      <c r="BJ213" s="28">
        <v>21</v>
      </c>
      <c r="BK213" s="28" t="s">
        <v>100</v>
      </c>
      <c r="BL213" s="141"/>
    </row>
    <row r="214" spans="1:65" x14ac:dyDescent="0.3">
      <c r="A214" s="142" t="s">
        <v>84</v>
      </c>
      <c r="B214" s="142">
        <f>SUM(B212:B213)</f>
        <v>11420</v>
      </c>
      <c r="C214" s="143">
        <f>SUM(C212:C213)</f>
        <v>13626</v>
      </c>
      <c r="D214" s="142"/>
      <c r="E214" s="143"/>
      <c r="F214" s="143"/>
      <c r="G214" s="199">
        <f>SUM(G212:G213)</f>
        <v>14910</v>
      </c>
      <c r="H214" s="143">
        <v>17</v>
      </c>
      <c r="I214" s="143" t="s">
        <v>927</v>
      </c>
      <c r="J214" s="146">
        <f>SUM(H213:H214)</f>
        <v>90</v>
      </c>
      <c r="L214" s="138" t="s">
        <v>120</v>
      </c>
      <c r="M214" s="138">
        <v>2613</v>
      </c>
      <c r="N214" s="196">
        <v>13477</v>
      </c>
      <c r="O214" s="138"/>
      <c r="P214" s="196"/>
      <c r="Q214" s="141" t="s">
        <v>6</v>
      </c>
      <c r="R214" s="138">
        <v>0</v>
      </c>
      <c r="S214" s="196">
        <v>0</v>
      </c>
      <c r="T214" s="138"/>
      <c r="U214" s="141"/>
      <c r="AB214" s="138"/>
      <c r="AC214" s="138"/>
      <c r="AD214" s="141"/>
      <c r="AE214" s="28"/>
      <c r="AF214" s="28"/>
      <c r="AG214" s="28"/>
      <c r="AH214" s="138"/>
      <c r="AI214" s="141"/>
      <c r="AJ214" s="28"/>
      <c r="AK214" s="138"/>
      <c r="AL214" s="28" t="s">
        <v>401</v>
      </c>
      <c r="AM214" s="141"/>
      <c r="AP214" s="138" t="s">
        <v>67</v>
      </c>
      <c r="AQ214" s="138">
        <v>74</v>
      </c>
      <c r="AR214" s="141">
        <v>57</v>
      </c>
      <c r="AS214" s="138"/>
      <c r="AT214" s="141"/>
      <c r="AU214" s="28"/>
      <c r="AV214" s="28"/>
      <c r="AW214" s="28"/>
      <c r="AX214" s="28"/>
      <c r="AY214" s="141"/>
      <c r="BB214" s="138" t="s">
        <v>475</v>
      </c>
      <c r="BC214" s="138">
        <v>0</v>
      </c>
      <c r="BD214" s="141">
        <v>0</v>
      </c>
      <c r="BE214" s="28"/>
      <c r="BF214" s="28"/>
      <c r="BG214" s="28"/>
      <c r="BH214" s="138"/>
      <c r="BI214" s="141"/>
      <c r="BJ214" s="43">
        <v>21</v>
      </c>
      <c r="BK214" s="43" t="s">
        <v>73</v>
      </c>
      <c r="BL214" s="141"/>
      <c r="BM214" t="s">
        <v>6</v>
      </c>
    </row>
    <row r="215" spans="1:65" x14ac:dyDescent="0.3">
      <c r="A215" s="195"/>
      <c r="B215" s="134"/>
      <c r="C215" s="136"/>
      <c r="D215" s="134"/>
      <c r="E215" s="135"/>
      <c r="F215" s="135"/>
      <c r="G215" s="195"/>
      <c r="H215" s="135"/>
      <c r="I215" s="135"/>
      <c r="J215" s="136"/>
      <c r="L215" s="142" t="s">
        <v>84</v>
      </c>
      <c r="M215" s="142">
        <f>SUM(M212:M214)</f>
        <v>34408</v>
      </c>
      <c r="N215" s="199">
        <f>SUM(N212:N214)</f>
        <v>26001</v>
      </c>
      <c r="O215" s="142">
        <v>0</v>
      </c>
      <c r="P215" s="199">
        <v>0</v>
      </c>
      <c r="Q215" s="146">
        <v>0</v>
      </c>
      <c r="R215" s="142">
        <f>SUM(R212:R214)</f>
        <v>6775</v>
      </c>
      <c r="S215" s="199">
        <f>SUM(S212:S214)</f>
        <v>241</v>
      </c>
      <c r="T215" s="142"/>
      <c r="U215" s="146"/>
      <c r="AB215" s="138"/>
      <c r="AC215" s="138"/>
      <c r="AD215" s="141"/>
      <c r="AE215" s="28"/>
      <c r="AF215" s="28"/>
      <c r="AG215" s="28"/>
      <c r="AH215" s="138"/>
      <c r="AI215" s="141"/>
      <c r="AJ215" s="28"/>
      <c r="AK215" s="138">
        <v>1</v>
      </c>
      <c r="AL215" s="28" t="s">
        <v>124</v>
      </c>
      <c r="AM215" s="141"/>
      <c r="AP215" s="142" t="s">
        <v>84</v>
      </c>
      <c r="AQ215" s="142">
        <f>SUM(AQ203:AQ214)</f>
        <v>261</v>
      </c>
      <c r="AR215" s="146">
        <f>SUM(AR203:AR214)</f>
        <v>227</v>
      </c>
      <c r="AS215" s="142"/>
      <c r="AT215" s="146">
        <v>0</v>
      </c>
      <c r="AU215" s="143"/>
      <c r="AV215" s="143"/>
      <c r="AW215" s="143"/>
      <c r="AX215" s="143"/>
      <c r="AY215" s="146">
        <f>SUM(AV207:AV209)</f>
        <v>96</v>
      </c>
      <c r="BB215" s="142" t="s">
        <v>84</v>
      </c>
      <c r="BC215" s="142">
        <f>SUM(BC213:BC214)</f>
        <v>310</v>
      </c>
      <c r="BD215" s="146">
        <f>SUM(BD213:BD214)</f>
        <v>331</v>
      </c>
      <c r="BE215" s="143">
        <v>0</v>
      </c>
      <c r="BF215" s="143">
        <v>0</v>
      </c>
      <c r="BG215" s="143">
        <v>0</v>
      </c>
      <c r="BH215" s="142">
        <v>0</v>
      </c>
      <c r="BI215" s="146">
        <v>0</v>
      </c>
      <c r="BJ215" s="143"/>
      <c r="BK215" s="143"/>
      <c r="BL215" s="146">
        <f>SUM(BJ214)</f>
        <v>21</v>
      </c>
    </row>
    <row r="216" spans="1:65" x14ac:dyDescent="0.3">
      <c r="A216" s="196" t="s">
        <v>88</v>
      </c>
      <c r="B216" s="138">
        <v>458</v>
      </c>
      <c r="C216" s="141">
        <v>1487</v>
      </c>
      <c r="D216" s="138"/>
      <c r="E216" s="28">
        <v>0</v>
      </c>
      <c r="F216" s="28"/>
      <c r="G216" s="196">
        <v>2478</v>
      </c>
      <c r="H216" s="28" t="s">
        <v>131</v>
      </c>
      <c r="I216" s="28"/>
      <c r="J216" s="141"/>
      <c r="L216" s="134"/>
      <c r="M216" s="134"/>
      <c r="N216" s="195"/>
      <c r="O216" s="134"/>
      <c r="P216" s="195"/>
      <c r="Q216" s="136"/>
      <c r="R216" s="134"/>
      <c r="S216" s="195"/>
      <c r="T216" s="134"/>
      <c r="U216" s="136"/>
      <c r="AB216" s="134"/>
      <c r="AC216" s="134"/>
      <c r="AD216" s="136"/>
      <c r="AE216" s="135"/>
      <c r="AF216" s="135"/>
      <c r="AG216" s="135"/>
      <c r="AH216" s="134"/>
      <c r="AI216" s="136"/>
      <c r="AJ216" s="135"/>
      <c r="AK216" s="134"/>
      <c r="AL216" s="135"/>
      <c r="AM216" s="136"/>
      <c r="AP216" s="134"/>
      <c r="AQ216" s="134"/>
      <c r="AR216" s="136"/>
      <c r="AS216" s="134"/>
      <c r="AT216" s="136"/>
      <c r="AU216" s="135"/>
      <c r="AV216" s="135"/>
      <c r="AW216" s="135"/>
      <c r="AX216" s="135"/>
      <c r="AY216" s="136"/>
      <c r="BB216" s="196" t="s">
        <v>214</v>
      </c>
      <c r="BC216" s="138">
        <v>0</v>
      </c>
      <c r="BD216" s="141">
        <v>12</v>
      </c>
      <c r="BE216" s="134"/>
      <c r="BF216" s="135"/>
      <c r="BG216" s="136"/>
      <c r="BH216" s="138"/>
      <c r="BI216" s="141"/>
      <c r="BJ216" s="134" t="s">
        <v>140</v>
      </c>
      <c r="BK216" s="135"/>
      <c r="BL216" s="136"/>
    </row>
    <row r="217" spans="1:65" x14ac:dyDescent="0.3">
      <c r="A217" s="211" t="s">
        <v>99</v>
      </c>
      <c r="B217" s="212">
        <v>775</v>
      </c>
      <c r="C217" s="209">
        <v>1258</v>
      </c>
      <c r="D217" s="138"/>
      <c r="E217" s="28">
        <v>0</v>
      </c>
      <c r="F217" s="28"/>
      <c r="G217" s="211">
        <v>2864</v>
      </c>
      <c r="H217" s="28"/>
      <c r="I217" s="28"/>
      <c r="J217" s="141"/>
      <c r="L217" s="138" t="s">
        <v>105</v>
      </c>
      <c r="M217" s="138">
        <v>792</v>
      </c>
      <c r="N217" s="196">
        <v>999</v>
      </c>
      <c r="O217" s="138">
        <v>0</v>
      </c>
      <c r="P217" s="196">
        <v>0</v>
      </c>
      <c r="Q217" s="141">
        <v>0</v>
      </c>
      <c r="R217" s="138">
        <v>0</v>
      </c>
      <c r="S217" s="196">
        <v>0</v>
      </c>
      <c r="T217" s="138"/>
      <c r="U217" s="141"/>
      <c r="AB217" s="138" t="s">
        <v>97</v>
      </c>
      <c r="AC217" s="138">
        <v>205</v>
      </c>
      <c r="AD217" s="141">
        <v>238</v>
      </c>
      <c r="AE217" s="28"/>
      <c r="AF217" s="28"/>
      <c r="AG217" s="28"/>
      <c r="AH217" s="138"/>
      <c r="AI217" s="141"/>
      <c r="AJ217" s="28"/>
      <c r="AK217" s="138"/>
      <c r="AL217" s="28"/>
      <c r="AM217" s="141"/>
      <c r="AP217" s="138" t="s">
        <v>63</v>
      </c>
      <c r="AQ217" s="138">
        <v>2</v>
      </c>
      <c r="AR217" s="141">
        <v>2</v>
      </c>
      <c r="AS217" s="138"/>
      <c r="AT217" s="141"/>
      <c r="AU217" s="28"/>
      <c r="AV217" s="28"/>
      <c r="AW217" s="28"/>
      <c r="AX217" s="28"/>
      <c r="AY217" s="141"/>
      <c r="BB217" s="196" t="s">
        <v>164</v>
      </c>
      <c r="BC217" s="138">
        <v>2</v>
      </c>
      <c r="BD217" s="141">
        <v>0</v>
      </c>
      <c r="BE217" s="138"/>
      <c r="BF217" s="28"/>
      <c r="BG217" s="141"/>
      <c r="BH217" s="138"/>
      <c r="BI217" s="141"/>
      <c r="BJ217" s="138"/>
      <c r="BK217" s="28"/>
      <c r="BL217" s="141"/>
    </row>
    <row r="218" spans="1:65" x14ac:dyDescent="0.3">
      <c r="A218" s="196" t="s">
        <v>102</v>
      </c>
      <c r="B218" s="138">
        <v>265</v>
      </c>
      <c r="C218" s="209">
        <v>403</v>
      </c>
      <c r="D218" s="138"/>
      <c r="E218" s="28">
        <v>0</v>
      </c>
      <c r="F218" s="28"/>
      <c r="G218" s="196">
        <v>1358</v>
      </c>
      <c r="H218" s="43">
        <v>30</v>
      </c>
      <c r="I218" s="28" t="s">
        <v>134</v>
      </c>
      <c r="J218" s="141"/>
      <c r="L218" s="138" t="s">
        <v>99</v>
      </c>
      <c r="M218" s="138">
        <v>163</v>
      </c>
      <c r="N218" s="196">
        <v>0</v>
      </c>
      <c r="O218" s="138">
        <v>0</v>
      </c>
      <c r="P218" s="196">
        <v>0</v>
      </c>
      <c r="Q218" s="141">
        <v>0</v>
      </c>
      <c r="R218" s="138">
        <v>0</v>
      </c>
      <c r="S218" s="196">
        <v>0</v>
      </c>
      <c r="T218" s="138" t="s">
        <v>135</v>
      </c>
      <c r="U218" s="141"/>
      <c r="AB218" s="138" t="s">
        <v>89</v>
      </c>
      <c r="AC218" s="138">
        <v>628</v>
      </c>
      <c r="AD218" s="141">
        <v>572</v>
      </c>
      <c r="AE218" s="28"/>
      <c r="AF218" s="28"/>
      <c r="AG218" s="28"/>
      <c r="AH218" s="138"/>
      <c r="AI218" s="141"/>
      <c r="AJ218" s="28"/>
      <c r="AK218" s="138" t="s">
        <v>953</v>
      </c>
      <c r="AL218" s="28"/>
      <c r="AM218" s="141"/>
      <c r="AP218" s="138" t="s">
        <v>536</v>
      </c>
      <c r="AQ218" s="138">
        <v>0</v>
      </c>
      <c r="AR218" s="141">
        <v>0</v>
      </c>
      <c r="AS218" s="138"/>
      <c r="AT218" s="141"/>
      <c r="AU218" s="28"/>
      <c r="AV218" s="28"/>
      <c r="AW218" s="28"/>
      <c r="AX218" s="28"/>
      <c r="AY218" s="141"/>
      <c r="BB218" s="196" t="s">
        <v>133</v>
      </c>
      <c r="BC218" s="138">
        <f>6+5</f>
        <v>11</v>
      </c>
      <c r="BD218" s="141">
        <v>3</v>
      </c>
      <c r="BE218" s="138"/>
      <c r="BF218" s="28"/>
      <c r="BG218" s="141"/>
      <c r="BH218" s="138"/>
      <c r="BI218" s="141"/>
      <c r="BJ218" s="138"/>
      <c r="BK218" s="28"/>
      <c r="BL218" s="141"/>
    </row>
    <row r="219" spans="1:65" x14ac:dyDescent="0.3">
      <c r="A219" s="196" t="s">
        <v>84</v>
      </c>
      <c r="B219" s="142">
        <f>SUM(B216:B218)</f>
        <v>1498</v>
      </c>
      <c r="C219" s="146">
        <f>SUM(C216:C218)</f>
        <v>3148</v>
      </c>
      <c r="D219" s="142"/>
      <c r="E219" s="143">
        <v>0</v>
      </c>
      <c r="F219" s="143"/>
      <c r="G219" s="199">
        <f>SUM(G216:G218)</f>
        <v>6700</v>
      </c>
      <c r="H219" s="143">
        <v>3</v>
      </c>
      <c r="I219" s="143" t="s">
        <v>815</v>
      </c>
      <c r="J219" s="146">
        <f>SUM(H218:H219)</f>
        <v>33</v>
      </c>
      <c r="L219" s="138"/>
      <c r="M219" s="138"/>
      <c r="N219" s="196"/>
      <c r="O219" s="138"/>
      <c r="P219" s="196"/>
      <c r="Q219" s="141"/>
      <c r="R219" s="138"/>
      <c r="S219" s="196"/>
      <c r="T219" s="138"/>
      <c r="U219" s="141"/>
      <c r="AB219" s="138" t="s">
        <v>137</v>
      </c>
      <c r="AC219" s="138">
        <v>278</v>
      </c>
      <c r="AD219" s="141">
        <v>361</v>
      </c>
      <c r="AE219" s="28"/>
      <c r="AF219" s="28"/>
      <c r="AG219" s="28"/>
      <c r="AH219" s="138"/>
      <c r="AI219" s="141"/>
      <c r="AJ219" s="28"/>
      <c r="AK219" s="138">
        <v>6</v>
      </c>
      <c r="AL219" s="28" t="s">
        <v>884</v>
      </c>
      <c r="AM219" s="141"/>
      <c r="AP219" s="138" t="s">
        <v>56</v>
      </c>
      <c r="AQ219" s="138">
        <v>0</v>
      </c>
      <c r="AR219" s="141">
        <v>0</v>
      </c>
      <c r="AS219" s="138"/>
      <c r="AT219" s="141"/>
      <c r="AU219" s="28"/>
      <c r="AV219" s="28" t="s">
        <v>173</v>
      </c>
      <c r="AW219" s="28"/>
      <c r="AX219" s="28"/>
      <c r="AY219" s="141"/>
      <c r="BB219" s="196" t="s">
        <v>113</v>
      </c>
      <c r="BC219" s="138">
        <f>4+2+25</f>
        <v>31</v>
      </c>
      <c r="BD219" s="141">
        <f>7+6+4+22</f>
        <v>39</v>
      </c>
      <c r="BE219" s="138"/>
      <c r="BF219" s="28"/>
      <c r="BG219" s="141"/>
      <c r="BH219" s="138"/>
      <c r="BI219" s="141"/>
      <c r="BJ219" s="138" t="s">
        <v>142</v>
      </c>
      <c r="BK219" s="28"/>
      <c r="BL219" s="141" t="s">
        <v>1012</v>
      </c>
    </row>
    <row r="220" spans="1:65" x14ac:dyDescent="0.3">
      <c r="A220" s="195"/>
      <c r="B220" s="28"/>
      <c r="C220" s="28"/>
      <c r="D220" s="138"/>
      <c r="E220" s="28" t="s">
        <v>6</v>
      </c>
      <c r="F220" s="28"/>
      <c r="G220" s="196"/>
      <c r="H220" s="28" t="s">
        <v>116</v>
      </c>
      <c r="I220" s="28"/>
      <c r="J220" s="141"/>
      <c r="L220" s="142" t="s">
        <v>84</v>
      </c>
      <c r="M220" s="142">
        <f>SUM(M217:M219)</f>
        <v>955</v>
      </c>
      <c r="N220" s="199">
        <f>SUM(N217:N219)</f>
        <v>999</v>
      </c>
      <c r="O220" s="142">
        <v>0</v>
      </c>
      <c r="P220" s="199">
        <v>0</v>
      </c>
      <c r="Q220" s="146">
        <v>0</v>
      </c>
      <c r="R220" s="142">
        <f>SUM(R217:R219)</f>
        <v>0</v>
      </c>
      <c r="S220" s="199">
        <v>0</v>
      </c>
      <c r="T220" s="142"/>
      <c r="U220" s="146"/>
      <c r="AB220" s="138" t="s">
        <v>84</v>
      </c>
      <c r="AC220" s="138">
        <f>SUM(AC217:AC219)</f>
        <v>1111</v>
      </c>
      <c r="AD220" s="141">
        <f>SUM(AD217:AD219)</f>
        <v>1171</v>
      </c>
      <c r="AE220" s="28">
        <v>0</v>
      </c>
      <c r="AF220" s="28">
        <v>0</v>
      </c>
      <c r="AG220" s="28">
        <v>0</v>
      </c>
      <c r="AH220" s="138">
        <v>0</v>
      </c>
      <c r="AI220" s="141">
        <v>0</v>
      </c>
      <c r="AJ220" s="28">
        <v>0</v>
      </c>
      <c r="AK220" s="138">
        <v>16</v>
      </c>
      <c r="AL220" s="28" t="s">
        <v>141</v>
      </c>
      <c r="AM220" s="141"/>
      <c r="AP220" s="138" t="s">
        <v>67</v>
      </c>
      <c r="AQ220" s="138">
        <v>0</v>
      </c>
      <c r="AR220" s="141">
        <v>0</v>
      </c>
      <c r="AS220" s="138"/>
      <c r="AT220" s="141"/>
      <c r="AU220" s="28"/>
      <c r="AV220" s="28"/>
      <c r="AW220" s="28"/>
      <c r="AX220" s="28"/>
      <c r="AY220" s="141"/>
      <c r="BB220" s="196" t="s">
        <v>108</v>
      </c>
      <c r="BC220" s="138">
        <v>2</v>
      </c>
      <c r="BD220" s="141">
        <v>0</v>
      </c>
      <c r="BE220" s="138"/>
      <c r="BF220" s="28"/>
      <c r="BG220" s="141"/>
      <c r="BH220" s="138"/>
      <c r="BI220" s="141"/>
      <c r="BJ220" s="138" t="s">
        <v>146</v>
      </c>
      <c r="BK220" s="28"/>
      <c r="BL220" s="141" t="s">
        <v>955</v>
      </c>
    </row>
    <row r="221" spans="1:65" x14ac:dyDescent="0.3">
      <c r="A221" s="196" t="s">
        <v>93</v>
      </c>
      <c r="B221" s="43">
        <v>4790</v>
      </c>
      <c r="C221" s="43">
        <v>5213</v>
      </c>
      <c r="D221" s="138"/>
      <c r="E221" s="28" t="s">
        <v>60</v>
      </c>
      <c r="F221" s="28"/>
      <c r="G221" s="196">
        <v>5502</v>
      </c>
      <c r="H221" s="43">
        <v>146</v>
      </c>
      <c r="I221" s="28" t="s">
        <v>144</v>
      </c>
      <c r="J221" s="141"/>
      <c r="L221" s="138"/>
      <c r="M221" s="138"/>
      <c r="N221" s="196"/>
      <c r="O221" s="138"/>
      <c r="P221" s="196"/>
      <c r="Q221" s="141"/>
      <c r="R221" s="138"/>
      <c r="S221" s="196"/>
      <c r="T221" s="138"/>
      <c r="U221" s="141"/>
      <c r="AB221" s="142"/>
      <c r="AC221" s="142"/>
      <c r="AD221" s="146"/>
      <c r="AE221" s="143"/>
      <c r="AF221" s="143"/>
      <c r="AG221" s="143"/>
      <c r="AH221" s="142"/>
      <c r="AI221" s="146"/>
      <c r="AJ221" s="143"/>
      <c r="AK221" s="142"/>
      <c r="AL221" s="143" t="s">
        <v>996</v>
      </c>
      <c r="AM221" s="146"/>
      <c r="AP221" s="138" t="s">
        <v>78</v>
      </c>
      <c r="AQ221" s="138">
        <v>3</v>
      </c>
      <c r="AR221" s="141">
        <v>4</v>
      </c>
      <c r="AS221" s="138"/>
      <c r="AT221" s="141"/>
      <c r="AU221" s="28"/>
      <c r="AV221" s="28">
        <v>5</v>
      </c>
      <c r="AW221" s="28" t="s">
        <v>183</v>
      </c>
      <c r="AX221" s="28"/>
      <c r="AY221" s="141"/>
      <c r="BA221" t="s">
        <v>6</v>
      </c>
      <c r="BB221" s="196" t="s">
        <v>174</v>
      </c>
      <c r="BC221" s="138">
        <v>5</v>
      </c>
      <c r="BD221" s="141">
        <v>4</v>
      </c>
      <c r="BE221" s="138"/>
      <c r="BF221" s="28"/>
      <c r="BG221" s="141"/>
      <c r="BH221" s="138"/>
      <c r="BI221" s="141"/>
      <c r="BJ221" s="138"/>
      <c r="BK221" s="28"/>
      <c r="BL221" s="141"/>
    </row>
    <row r="222" spans="1:65" x14ac:dyDescent="0.3">
      <c r="A222" s="196" t="s">
        <v>99</v>
      </c>
      <c r="B222" s="43">
        <v>9643</v>
      </c>
      <c r="C222" s="43">
        <v>11744</v>
      </c>
      <c r="D222" s="138"/>
      <c r="E222" s="28" t="s">
        <v>60</v>
      </c>
      <c r="F222" s="28"/>
      <c r="G222" s="196">
        <v>14022</v>
      </c>
      <c r="H222" s="43">
        <v>1</v>
      </c>
      <c r="I222" s="28" t="s">
        <v>148</v>
      </c>
      <c r="J222" s="141"/>
      <c r="L222" s="138"/>
      <c r="M222" s="138"/>
      <c r="N222" s="196"/>
      <c r="O222" s="138"/>
      <c r="P222" s="196"/>
      <c r="Q222" s="141"/>
      <c r="R222" s="138"/>
      <c r="S222" s="196"/>
      <c r="T222" s="138"/>
      <c r="U222" s="141"/>
      <c r="AB222" s="138"/>
      <c r="AC222" s="138"/>
      <c r="AD222" s="141"/>
      <c r="AE222" s="28"/>
      <c r="AF222" s="28"/>
      <c r="AG222" s="28"/>
      <c r="AH222" s="138"/>
      <c r="AI222" s="141"/>
      <c r="AJ222" s="28"/>
      <c r="AK222" s="138" t="s">
        <v>149</v>
      </c>
      <c r="AL222" s="28"/>
      <c r="AM222" s="141"/>
      <c r="AN222" t="s">
        <v>6</v>
      </c>
      <c r="AP222" s="138" t="s">
        <v>115</v>
      </c>
      <c r="AQ222" s="138">
        <v>0</v>
      </c>
      <c r="AR222" s="141">
        <v>0</v>
      </c>
      <c r="AS222" s="138"/>
      <c r="AT222" s="141"/>
      <c r="AU222" s="28"/>
      <c r="AV222" s="28" t="s">
        <v>6</v>
      </c>
      <c r="AW222" s="28"/>
      <c r="AX222" s="28"/>
      <c r="AY222" s="141"/>
      <c r="BB222" s="196" t="s">
        <v>99</v>
      </c>
      <c r="BC222" s="138">
        <v>10</v>
      </c>
      <c r="BD222" s="141">
        <v>3</v>
      </c>
      <c r="BE222" s="138" t="s">
        <v>150</v>
      </c>
      <c r="BF222" s="28"/>
      <c r="BG222" s="141"/>
      <c r="BH222" s="138"/>
      <c r="BI222" s="141"/>
      <c r="BJ222" s="138" t="s">
        <v>151</v>
      </c>
      <c r="BK222" s="28"/>
      <c r="BL222" s="141"/>
    </row>
    <row r="223" spans="1:65" x14ac:dyDescent="0.3">
      <c r="A223" s="196" t="s">
        <v>120</v>
      </c>
      <c r="B223" s="43">
        <v>4060</v>
      </c>
      <c r="C223" s="28">
        <v>4502</v>
      </c>
      <c r="D223" s="138"/>
      <c r="E223" s="28" t="s">
        <v>60</v>
      </c>
      <c r="F223" s="28"/>
      <c r="G223" s="196">
        <v>4833</v>
      </c>
      <c r="H223" s="43">
        <v>3</v>
      </c>
      <c r="I223" s="28" t="s">
        <v>152</v>
      </c>
      <c r="J223" s="141"/>
      <c r="L223" s="138"/>
      <c r="M223" s="138"/>
      <c r="N223" s="196"/>
      <c r="O223" s="138"/>
      <c r="P223" s="196"/>
      <c r="Q223" s="141"/>
      <c r="R223" s="138"/>
      <c r="S223" s="196"/>
      <c r="T223" s="138"/>
      <c r="U223" s="141"/>
      <c r="AB223" s="138" t="s">
        <v>99</v>
      </c>
      <c r="AC223" s="138">
        <v>0</v>
      </c>
      <c r="AD223" s="141">
        <v>0</v>
      </c>
      <c r="AE223" s="28">
        <v>0</v>
      </c>
      <c r="AF223" s="28">
        <v>0</v>
      </c>
      <c r="AG223" s="28">
        <v>0</v>
      </c>
      <c r="AH223" s="138">
        <v>65732</v>
      </c>
      <c r="AI223" s="141">
        <v>6169</v>
      </c>
      <c r="AJ223" s="28">
        <v>0</v>
      </c>
      <c r="AK223" s="138">
        <v>4</v>
      </c>
      <c r="AL223" s="28" t="s">
        <v>153</v>
      </c>
      <c r="AM223" s="141"/>
      <c r="AP223" s="138" t="s">
        <v>72</v>
      </c>
      <c r="AQ223" s="138">
        <v>0</v>
      </c>
      <c r="AR223" s="141">
        <v>0</v>
      </c>
      <c r="AS223" s="138"/>
      <c r="AT223" s="141"/>
      <c r="AU223" s="28"/>
      <c r="AV223" s="28"/>
      <c r="AW223" s="28"/>
      <c r="AX223" s="28"/>
      <c r="AY223" s="141"/>
      <c r="BB223" s="196" t="s">
        <v>85</v>
      </c>
      <c r="BC223" s="138">
        <v>6</v>
      </c>
      <c r="BD223" s="141">
        <v>0</v>
      </c>
      <c r="BE223" s="138"/>
      <c r="BF223" s="28"/>
      <c r="BG223" s="141"/>
      <c r="BH223" s="138"/>
      <c r="BI223" s="141"/>
      <c r="BJ223" s="138" t="s">
        <v>546</v>
      </c>
      <c r="BK223" s="28" t="s">
        <v>310</v>
      </c>
      <c r="BL223" s="141" t="s">
        <v>941</v>
      </c>
    </row>
    <row r="224" spans="1:65" x14ac:dyDescent="0.3">
      <c r="A224" s="199" t="s">
        <v>84</v>
      </c>
      <c r="B224" s="143">
        <f>SUM(B221:B223)</f>
        <v>18493</v>
      </c>
      <c r="C224" s="143">
        <f>SUM(C221:C223)</f>
        <v>21459</v>
      </c>
      <c r="D224" s="142"/>
      <c r="E224" s="143"/>
      <c r="F224" s="143"/>
      <c r="G224" s="199">
        <f>SUM(G221:G223)</f>
        <v>24357</v>
      </c>
      <c r="H224" s="143"/>
      <c r="I224" s="143" t="s">
        <v>958</v>
      </c>
      <c r="J224" s="146">
        <f>SUM(H221:H224)</f>
        <v>150</v>
      </c>
      <c r="L224" s="138"/>
      <c r="M224" s="138"/>
      <c r="N224" s="196"/>
      <c r="O224" s="138"/>
      <c r="P224" s="196"/>
      <c r="Q224" s="141"/>
      <c r="R224" s="138"/>
      <c r="S224" s="196"/>
      <c r="T224" s="138"/>
      <c r="U224" s="141"/>
      <c r="AB224" s="138"/>
      <c r="AC224" s="138"/>
      <c r="AD224" s="141"/>
      <c r="AE224" s="28"/>
      <c r="AF224" s="28"/>
      <c r="AG224" s="28"/>
      <c r="AH224" s="138"/>
      <c r="AI224" s="141"/>
      <c r="AJ224" s="28"/>
      <c r="AK224" s="138" t="s">
        <v>157</v>
      </c>
      <c r="AL224" s="28"/>
      <c r="AM224" s="141"/>
      <c r="AP224" s="142" t="s">
        <v>84</v>
      </c>
      <c r="AQ224" s="142">
        <f>SUM(AQ217:AQ223)</f>
        <v>5</v>
      </c>
      <c r="AR224" s="146">
        <f>SUM(AR217:AR223)</f>
        <v>6</v>
      </c>
      <c r="AS224" s="142"/>
      <c r="AT224" s="146"/>
      <c r="AU224" s="143"/>
      <c r="AV224" s="143"/>
      <c r="AW224" s="143"/>
      <c r="AX224" s="143"/>
      <c r="AY224" s="146">
        <f>SUM(AV221)</f>
        <v>5</v>
      </c>
      <c r="BB224" s="196" t="s">
        <v>1013</v>
      </c>
      <c r="BC224" s="138">
        <v>0</v>
      </c>
      <c r="BD224" s="141">
        <v>1</v>
      </c>
      <c r="BE224" s="138"/>
      <c r="BF224" s="28"/>
      <c r="BG224" s="141"/>
      <c r="BH224" s="138"/>
      <c r="BI224" s="141"/>
      <c r="BJ224" s="138" t="s">
        <v>513</v>
      </c>
      <c r="BK224" s="28" t="s">
        <v>572</v>
      </c>
      <c r="BL224" s="141" t="s">
        <v>347</v>
      </c>
    </row>
    <row r="225" spans="1:64" x14ac:dyDescent="0.3">
      <c r="A225" s="195"/>
      <c r="B225" s="135"/>
      <c r="C225" s="135"/>
      <c r="D225" s="134"/>
      <c r="E225" s="135"/>
      <c r="F225" s="135"/>
      <c r="G225" s="195"/>
      <c r="H225" s="135" t="s">
        <v>162</v>
      </c>
      <c r="I225" s="135"/>
      <c r="J225" s="136"/>
      <c r="L225" s="138"/>
      <c r="M225" s="138"/>
      <c r="N225" s="196"/>
      <c r="O225" s="138"/>
      <c r="P225" s="196"/>
      <c r="Q225" s="141"/>
      <c r="R225" s="138"/>
      <c r="S225" s="196"/>
      <c r="T225" s="138"/>
      <c r="U225" s="141"/>
      <c r="AB225" s="134" t="s">
        <v>99</v>
      </c>
      <c r="AC225" s="134">
        <v>0</v>
      </c>
      <c r="AD225" s="136">
        <v>0</v>
      </c>
      <c r="AE225" s="135">
        <v>0</v>
      </c>
      <c r="AF225" s="135">
        <v>0</v>
      </c>
      <c r="AG225" s="135">
        <v>0</v>
      </c>
      <c r="AH225" s="134">
        <v>147898</v>
      </c>
      <c r="AI225" s="136">
        <v>205981</v>
      </c>
      <c r="AJ225" s="135">
        <v>0</v>
      </c>
      <c r="AK225" s="134">
        <v>1</v>
      </c>
      <c r="AL225" s="135" t="s">
        <v>163</v>
      </c>
      <c r="AM225" s="136"/>
      <c r="AP225" s="134"/>
      <c r="AQ225" s="134"/>
      <c r="AR225" s="136"/>
      <c r="AS225" s="134"/>
      <c r="AT225" s="136"/>
      <c r="AU225" s="135"/>
      <c r="AV225" s="135"/>
      <c r="AW225" s="135"/>
      <c r="AX225" s="135"/>
      <c r="AY225" s="136"/>
      <c r="BB225" s="196" t="s">
        <v>1014</v>
      </c>
      <c r="BC225" s="138">
        <v>1</v>
      </c>
      <c r="BD225" s="141">
        <v>0</v>
      </c>
      <c r="BE225" s="138"/>
      <c r="BF225" s="28"/>
      <c r="BG225" s="141"/>
      <c r="BH225" s="138"/>
      <c r="BI225" s="141"/>
      <c r="BJ225" s="138" t="s">
        <v>345</v>
      </c>
      <c r="BK225" s="28" t="s">
        <v>522</v>
      </c>
      <c r="BL225" s="141" t="s">
        <v>698</v>
      </c>
    </row>
    <row r="226" spans="1:64" x14ac:dyDescent="0.3">
      <c r="A226" s="196" t="s">
        <v>105</v>
      </c>
      <c r="B226" s="43">
        <v>935</v>
      </c>
      <c r="C226" s="43">
        <v>1898</v>
      </c>
      <c r="D226" s="138"/>
      <c r="E226" s="28">
        <v>790</v>
      </c>
      <c r="F226" s="28"/>
      <c r="G226" s="196"/>
      <c r="H226" s="28"/>
      <c r="I226" s="28"/>
      <c r="J226" s="141"/>
      <c r="L226" s="142" t="s">
        <v>84</v>
      </c>
      <c r="M226" s="142">
        <f t="shared" ref="M226:S226" si="3">SUM(M220+M215+M210+M208+M203+M199)</f>
        <v>61999</v>
      </c>
      <c r="N226" s="199">
        <f t="shared" si="3"/>
        <v>65699</v>
      </c>
      <c r="O226" s="142">
        <f t="shared" si="3"/>
        <v>0</v>
      </c>
      <c r="P226" s="199">
        <f t="shared" si="3"/>
        <v>0</v>
      </c>
      <c r="Q226" s="143">
        <f t="shared" si="3"/>
        <v>0</v>
      </c>
      <c r="R226" s="142">
        <f t="shared" si="3"/>
        <v>6852</v>
      </c>
      <c r="S226" s="199">
        <f t="shared" si="3"/>
        <v>241</v>
      </c>
      <c r="T226" s="142"/>
      <c r="U226" s="146"/>
      <c r="AB226" s="138" t="s">
        <v>6</v>
      </c>
      <c r="AC226" s="138"/>
      <c r="AD226" s="141"/>
      <c r="AE226" s="28"/>
      <c r="AF226" s="28"/>
      <c r="AG226" s="28"/>
      <c r="AH226" s="138"/>
      <c r="AI226" s="141"/>
      <c r="AJ226" s="28"/>
      <c r="AK226" s="138">
        <v>11</v>
      </c>
      <c r="AL226" s="28" t="s">
        <v>153</v>
      </c>
      <c r="AM226" s="141"/>
      <c r="AP226" s="138" t="s">
        <v>63</v>
      </c>
      <c r="AQ226" s="138">
        <f>14+2</f>
        <v>16</v>
      </c>
      <c r="AR226" s="141">
        <f>5+2+19</f>
        <v>26</v>
      </c>
      <c r="AS226" s="138"/>
      <c r="AT226" s="141"/>
      <c r="AU226" s="28"/>
      <c r="AV226" s="28" t="s">
        <v>140</v>
      </c>
      <c r="AW226" s="28"/>
      <c r="AX226" s="28"/>
      <c r="AY226" s="141"/>
      <c r="BB226" s="196" t="s">
        <v>169</v>
      </c>
      <c r="BC226" s="138">
        <v>0</v>
      </c>
      <c r="BD226" s="141">
        <v>2</v>
      </c>
      <c r="BE226" s="138"/>
      <c r="BF226" s="28"/>
      <c r="BG226" s="141"/>
      <c r="BH226" s="138"/>
      <c r="BI226" s="141"/>
      <c r="BJ226" s="138" t="s">
        <v>1015</v>
      </c>
      <c r="BK226" s="43" t="s">
        <v>411</v>
      </c>
      <c r="BL226" s="141" t="s">
        <v>1002</v>
      </c>
    </row>
    <row r="227" spans="1:64" ht="15" thickBot="1" x14ac:dyDescent="0.35">
      <c r="A227" s="196" t="s">
        <v>99</v>
      </c>
      <c r="B227" s="43">
        <v>781</v>
      </c>
      <c r="C227" s="43">
        <v>391</v>
      </c>
      <c r="D227" s="138"/>
      <c r="E227" s="28">
        <v>1017</v>
      </c>
      <c r="F227" s="28"/>
      <c r="G227" s="196"/>
      <c r="H227" s="28">
        <v>41</v>
      </c>
      <c r="I227" s="28" t="s">
        <v>101</v>
      </c>
      <c r="J227" s="141"/>
      <c r="AB227" s="138" t="s">
        <v>6</v>
      </c>
      <c r="AC227" s="138"/>
      <c r="AD227" s="141"/>
      <c r="AE227" s="28"/>
      <c r="AF227" s="28"/>
      <c r="AG227" s="28"/>
      <c r="AH227" s="138"/>
      <c r="AI227" s="141"/>
      <c r="AJ227" s="28"/>
      <c r="AK227" s="138"/>
      <c r="AL227" s="28"/>
      <c r="AM227" s="141"/>
      <c r="AP227" s="138" t="s">
        <v>78</v>
      </c>
      <c r="AQ227" s="138">
        <f>3+19+35</f>
        <v>57</v>
      </c>
      <c r="AR227" s="141">
        <f>4+18+33+6+4</f>
        <v>65</v>
      </c>
      <c r="AS227" s="138"/>
      <c r="AT227" s="141"/>
      <c r="AU227" s="28"/>
      <c r="AV227" s="28">
        <v>24</v>
      </c>
      <c r="AW227" s="28" t="s">
        <v>204</v>
      </c>
      <c r="AX227" s="28"/>
      <c r="AY227" s="141"/>
      <c r="BB227" s="196" t="s">
        <v>384</v>
      </c>
      <c r="BC227" s="138">
        <v>0</v>
      </c>
      <c r="BD227" s="141">
        <v>0</v>
      </c>
      <c r="BE227" s="138"/>
      <c r="BF227" s="28"/>
      <c r="BG227" s="141"/>
      <c r="BH227" s="138"/>
      <c r="BI227" s="141"/>
      <c r="BJ227" s="138" t="s">
        <v>325</v>
      </c>
      <c r="BK227" s="43" t="s">
        <v>1016</v>
      </c>
      <c r="BL227" s="141" t="s">
        <v>1017</v>
      </c>
    </row>
    <row r="228" spans="1:64" x14ac:dyDescent="0.3">
      <c r="A228" s="199" t="s">
        <v>84</v>
      </c>
      <c r="B228" s="143">
        <f>SUM(B225:B227)</f>
        <v>1716</v>
      </c>
      <c r="C228" s="143">
        <f>SUM(C225:C227)</f>
        <v>2289</v>
      </c>
      <c r="D228" s="142"/>
      <c r="E228" s="143">
        <f>SUM(E225:E227)</f>
        <v>1807</v>
      </c>
      <c r="F228" s="143"/>
      <c r="G228" s="199">
        <v>6796</v>
      </c>
      <c r="H228" s="143"/>
      <c r="I228" s="143"/>
      <c r="J228" s="146">
        <f>SUM(H227)</f>
        <v>41</v>
      </c>
      <c r="L228" t="s">
        <v>6</v>
      </c>
      <c r="AB228" s="33"/>
      <c r="AC228" s="200"/>
      <c r="AD228" s="201"/>
      <c r="AE228" s="34"/>
      <c r="AF228" s="34"/>
      <c r="AG228" s="34"/>
      <c r="AH228" s="200"/>
      <c r="AI228" s="201"/>
      <c r="AJ228" s="34"/>
      <c r="AK228" s="200"/>
      <c r="AL228" s="34"/>
      <c r="AM228" s="35"/>
      <c r="AP228" s="138" t="s">
        <v>209</v>
      </c>
      <c r="AQ228" s="138">
        <v>0</v>
      </c>
      <c r="AR228" s="141">
        <v>0</v>
      </c>
      <c r="AS228" s="138"/>
      <c r="AT228" s="141"/>
      <c r="AU228" s="28"/>
      <c r="AV228" s="28">
        <v>4</v>
      </c>
      <c r="AW228" s="28" t="s">
        <v>1018</v>
      </c>
      <c r="AX228" s="28" t="s">
        <v>6</v>
      </c>
      <c r="AY228" s="141"/>
      <c r="BB228" s="196" t="s">
        <v>97</v>
      </c>
      <c r="BC228" s="138">
        <v>0</v>
      </c>
      <c r="BD228" s="141">
        <v>0</v>
      </c>
      <c r="BE228" s="138"/>
      <c r="BF228" s="28"/>
      <c r="BG228" s="141"/>
      <c r="BH228" s="138"/>
      <c r="BI228" s="141"/>
      <c r="BJ228" s="212" t="s">
        <v>734</v>
      </c>
      <c r="BK228" s="43" t="s">
        <v>725</v>
      </c>
      <c r="BL228" s="141" t="s">
        <v>1005</v>
      </c>
    </row>
    <row r="229" spans="1:64" x14ac:dyDescent="0.3">
      <c r="A229" s="196" t="s">
        <v>6</v>
      </c>
      <c r="B229" s="135"/>
      <c r="C229" s="135"/>
      <c r="D229" s="134"/>
      <c r="E229" s="135" t="s">
        <v>60</v>
      </c>
      <c r="F229" s="136"/>
      <c r="G229" s="135"/>
      <c r="H229" s="134" t="s">
        <v>182</v>
      </c>
      <c r="I229" s="135"/>
      <c r="J229" s="136"/>
      <c r="AB229" s="42"/>
      <c r="AC229" s="138"/>
      <c r="AD229" s="141"/>
      <c r="AE229" s="28"/>
      <c r="AF229" s="28"/>
      <c r="AG229" s="28"/>
      <c r="AH229" s="138"/>
      <c r="AI229" s="141"/>
      <c r="AJ229" s="28"/>
      <c r="AK229" s="138"/>
      <c r="AL229" s="28"/>
      <c r="AM229" s="40"/>
      <c r="AP229" s="138" t="s">
        <v>168</v>
      </c>
      <c r="AQ229" s="138">
        <v>2</v>
      </c>
      <c r="AR229" s="141">
        <v>0</v>
      </c>
      <c r="AS229" s="138"/>
      <c r="AT229" s="141"/>
      <c r="AU229" s="28"/>
      <c r="AV229" s="28">
        <f>28+11+9</f>
        <v>48</v>
      </c>
      <c r="AW229" s="28" t="s">
        <v>213</v>
      </c>
      <c r="AX229" s="28" t="s">
        <v>6</v>
      </c>
      <c r="AY229" s="141"/>
      <c r="BB229" s="196" t="s">
        <v>658</v>
      </c>
      <c r="BC229" s="138">
        <v>4</v>
      </c>
      <c r="BD229" s="141">
        <v>1</v>
      </c>
      <c r="BE229" s="138"/>
      <c r="BF229" s="28"/>
      <c r="BG229" s="141"/>
      <c r="BH229" s="138"/>
      <c r="BI229" s="141"/>
      <c r="BJ229" s="138" t="s">
        <v>1019</v>
      </c>
      <c r="BK229" s="43" t="s">
        <v>537</v>
      </c>
      <c r="BL229" s="141" t="s">
        <v>280</v>
      </c>
    </row>
    <row r="230" spans="1:64" ht="15" thickBot="1" x14ac:dyDescent="0.35">
      <c r="A230" s="196" t="s">
        <v>181</v>
      </c>
      <c r="B230" s="28">
        <v>3025</v>
      </c>
      <c r="C230" s="28">
        <v>3996</v>
      </c>
      <c r="D230" s="138"/>
      <c r="E230" s="28" t="s">
        <v>60</v>
      </c>
      <c r="F230" s="141"/>
      <c r="G230" s="28"/>
      <c r="H230" s="138"/>
      <c r="I230" s="28" t="s">
        <v>94</v>
      </c>
      <c r="J230" s="141"/>
      <c r="AB230" s="47" t="s">
        <v>84</v>
      </c>
      <c r="AC230" s="202">
        <f>SUM(AC225+AC223+AC220+AC207+AC203+AC200)</f>
        <v>2536</v>
      </c>
      <c r="AD230" s="203">
        <f>SUM(AD225+AD223+AD220+AD207+AD203+AD200)</f>
        <v>2648</v>
      </c>
      <c r="AE230" s="48">
        <v>0</v>
      </c>
      <c r="AF230" s="48">
        <v>0</v>
      </c>
      <c r="AG230" s="48">
        <v>0</v>
      </c>
      <c r="AH230" s="202">
        <f>SUM(AH226+AH225+AH223+AH200)</f>
        <v>213630</v>
      </c>
      <c r="AI230" s="203">
        <f>SUM(AI225+AI223+AI200)</f>
        <v>212150</v>
      </c>
      <c r="AJ230" s="48">
        <v>0</v>
      </c>
      <c r="AK230" s="202" t="s">
        <v>743</v>
      </c>
      <c r="AL230" s="48"/>
      <c r="AM230" s="49">
        <f>SUM(AK200:AK226)</f>
        <v>45</v>
      </c>
      <c r="AP230" s="138" t="s">
        <v>81</v>
      </c>
      <c r="AQ230" s="138">
        <v>20</v>
      </c>
      <c r="AR230" s="141">
        <v>6</v>
      </c>
      <c r="AS230" s="138"/>
      <c r="AT230" s="141"/>
      <c r="AU230" s="28"/>
      <c r="AV230" s="43">
        <v>1</v>
      </c>
      <c r="AW230" s="28" t="s">
        <v>681</v>
      </c>
      <c r="AX230" s="28"/>
      <c r="AY230" s="141" t="s">
        <v>6</v>
      </c>
      <c r="BB230" s="196" t="s">
        <v>64</v>
      </c>
      <c r="BC230" s="138">
        <f>15+5</f>
        <v>20</v>
      </c>
      <c r="BD230" s="141">
        <f>13+3</f>
        <v>16</v>
      </c>
      <c r="BE230" s="138"/>
      <c r="BF230" s="28"/>
      <c r="BG230" s="141"/>
      <c r="BH230" s="138"/>
      <c r="BI230" s="141"/>
      <c r="BJ230" s="138" t="s">
        <v>1020</v>
      </c>
      <c r="BK230" s="43"/>
      <c r="BL230" s="209" t="s">
        <v>1021</v>
      </c>
    </row>
    <row r="231" spans="1:64" x14ac:dyDescent="0.3">
      <c r="A231" s="196" t="s">
        <v>84</v>
      </c>
      <c r="B231" s="28">
        <f>SUM(B229:B230)</f>
        <v>3025</v>
      </c>
      <c r="C231" s="28">
        <f>SUM(C229:C230)</f>
        <v>3996</v>
      </c>
      <c r="D231" s="138"/>
      <c r="E231" s="28" t="s">
        <v>60</v>
      </c>
      <c r="F231" s="141"/>
      <c r="G231" s="28">
        <v>5023</v>
      </c>
      <c r="H231" s="138">
        <v>30</v>
      </c>
      <c r="I231" s="28" t="s">
        <v>101</v>
      </c>
      <c r="J231" s="141"/>
      <c r="AB231" t="s">
        <v>193</v>
      </c>
      <c r="AM231" t="s">
        <v>6</v>
      </c>
      <c r="AP231" s="138" t="s">
        <v>72</v>
      </c>
      <c r="AQ231" s="138">
        <f>14+4+2+15</f>
        <v>35</v>
      </c>
      <c r="AR231" s="141">
        <f>5+3+9+14</f>
        <v>31</v>
      </c>
      <c r="AS231" s="138"/>
      <c r="AT231" s="141"/>
      <c r="AU231" s="28"/>
      <c r="AV231" s="43">
        <v>3</v>
      </c>
      <c r="AW231" s="28" t="s">
        <v>216</v>
      </c>
      <c r="AX231" s="28"/>
      <c r="AY231" s="141"/>
      <c r="BB231" s="196" t="s">
        <v>657</v>
      </c>
      <c r="BC231" s="138">
        <v>0</v>
      </c>
      <c r="BD231" s="141">
        <v>0</v>
      </c>
      <c r="BE231" s="138"/>
      <c r="BF231" s="28"/>
      <c r="BG231" s="141"/>
      <c r="BH231" s="138"/>
      <c r="BI231" s="141"/>
      <c r="BJ231" s="138"/>
      <c r="BK231" s="43"/>
      <c r="BL231" s="213"/>
    </row>
    <row r="232" spans="1:64" ht="15" thickBot="1" x14ac:dyDescent="0.35">
      <c r="A232" s="199"/>
      <c r="B232" s="28"/>
      <c r="C232" s="28"/>
      <c r="D232" s="142"/>
      <c r="E232" s="143"/>
      <c r="F232" s="146"/>
      <c r="G232" s="28"/>
      <c r="H232" s="142"/>
      <c r="I232" s="143" t="s">
        <v>284</v>
      </c>
      <c r="J232" s="146">
        <f>SUM(H230:H231)</f>
        <v>30</v>
      </c>
      <c r="AP232" s="138" t="s">
        <v>115</v>
      </c>
      <c r="AQ232" s="138">
        <f>10+12+5</f>
        <v>27</v>
      </c>
      <c r="AR232" s="141">
        <f>3+16+20+2</f>
        <v>41</v>
      </c>
      <c r="AS232" s="138"/>
      <c r="AT232" s="141"/>
      <c r="AU232" s="28"/>
      <c r="AV232" s="43">
        <v>7</v>
      </c>
      <c r="AW232" s="28" t="s">
        <v>217</v>
      </c>
      <c r="AX232" s="28"/>
      <c r="AY232" s="141"/>
      <c r="BB232" s="196" t="s">
        <v>862</v>
      </c>
      <c r="BC232" s="138">
        <v>2</v>
      </c>
      <c r="BD232" s="141">
        <v>0</v>
      </c>
      <c r="BE232" s="138"/>
      <c r="BF232" s="28"/>
      <c r="BG232" s="141"/>
      <c r="BH232" s="138"/>
      <c r="BI232" s="141"/>
      <c r="BJ232" s="138"/>
      <c r="BK232" s="43"/>
      <c r="BL232" s="141"/>
    </row>
    <row r="233" spans="1:64" ht="15" thickBot="1" x14ac:dyDescent="0.35">
      <c r="A233" s="47" t="s">
        <v>84</v>
      </c>
      <c r="B233" s="210">
        <f>SUM(B231,B228,B224+B219+B214+B210+B206+B202+B199)</f>
        <v>42504</v>
      </c>
      <c r="C233" s="170">
        <f>SUM(C231+C228+C224+C219+C214+C210+C206+C202+C199)</f>
        <v>53773</v>
      </c>
      <c r="D233" s="202"/>
      <c r="E233" s="48">
        <f>SUM(E228+E210)</f>
        <v>2605</v>
      </c>
      <c r="F233" s="203"/>
      <c r="G233" s="206">
        <f>SUM(G231+G228+G224+G219+G214+G210+G206+G202+G199)</f>
        <v>69246</v>
      </c>
      <c r="H233" s="48" t="s">
        <v>844</v>
      </c>
      <c r="I233" s="48"/>
      <c r="J233" s="49">
        <f>SUM(J198:J232)</f>
        <v>403</v>
      </c>
      <c r="AP233" s="138" t="s">
        <v>56</v>
      </c>
      <c r="AQ233" s="138">
        <f>2+7+6+2</f>
        <v>17</v>
      </c>
      <c r="AR233" s="141">
        <f>2+9+1+3+5+5</f>
        <v>25</v>
      </c>
      <c r="AS233" s="138"/>
      <c r="AT233" s="141"/>
      <c r="AU233" s="28"/>
      <c r="AV233" s="43">
        <v>2</v>
      </c>
      <c r="AW233" s="28" t="s">
        <v>1022</v>
      </c>
      <c r="AX233" s="28"/>
      <c r="AY233" s="141"/>
      <c r="BB233" s="196" t="s">
        <v>1009</v>
      </c>
      <c r="BC233" s="138">
        <v>0</v>
      </c>
      <c r="BD233" s="141">
        <v>0</v>
      </c>
      <c r="BE233" s="138"/>
      <c r="BF233" s="28"/>
      <c r="BG233" s="141"/>
      <c r="BH233" s="138"/>
      <c r="BI233" s="141"/>
      <c r="BJ233" s="138"/>
      <c r="BK233" s="43"/>
      <c r="BL233" s="141"/>
    </row>
    <row r="234" spans="1:64" x14ac:dyDescent="0.3">
      <c r="D234" s="28"/>
      <c r="E234" s="28"/>
      <c r="F234" s="28"/>
      <c r="AP234" s="138" t="s">
        <v>138</v>
      </c>
      <c r="AQ234" s="138">
        <v>0</v>
      </c>
      <c r="AR234" s="141">
        <v>0</v>
      </c>
      <c r="AS234" s="138"/>
      <c r="AT234" s="141"/>
      <c r="AU234" s="28"/>
      <c r="AV234" s="43">
        <v>2</v>
      </c>
      <c r="AW234" s="28" t="s">
        <v>221</v>
      </c>
      <c r="AX234" s="28"/>
      <c r="AY234" s="141"/>
      <c r="BB234" s="196" t="s">
        <v>158</v>
      </c>
      <c r="BC234" s="138">
        <v>19</v>
      </c>
      <c r="BD234" s="141">
        <v>19</v>
      </c>
      <c r="BE234" s="138"/>
      <c r="BF234" s="28"/>
      <c r="BG234" s="141"/>
      <c r="BH234" s="138"/>
      <c r="BI234" s="141"/>
      <c r="BJ234" s="138"/>
      <c r="BK234" s="43"/>
      <c r="BL234" s="141"/>
    </row>
    <row r="235" spans="1:64" x14ac:dyDescent="0.3">
      <c r="AP235" s="138" t="s">
        <v>67</v>
      </c>
      <c r="AQ235" s="138">
        <f>4+25</f>
        <v>29</v>
      </c>
      <c r="AR235" s="141">
        <f>4+9</f>
        <v>13</v>
      </c>
      <c r="AS235" s="138"/>
      <c r="AT235" s="141"/>
      <c r="AU235" s="28"/>
      <c r="AV235" s="43">
        <v>3</v>
      </c>
      <c r="AW235" s="28" t="s">
        <v>244</v>
      </c>
      <c r="AX235" s="28"/>
      <c r="AY235" s="141"/>
      <c r="BB235" s="196" t="s">
        <v>971</v>
      </c>
      <c r="BC235" s="138">
        <v>0</v>
      </c>
      <c r="BD235" s="141">
        <v>0</v>
      </c>
      <c r="BE235" s="138"/>
      <c r="BF235" s="28"/>
      <c r="BG235" s="141"/>
      <c r="BH235" s="138"/>
      <c r="BI235" s="141"/>
      <c r="BJ235" s="138"/>
      <c r="BK235" s="28"/>
      <c r="BL235" s="141"/>
    </row>
    <row r="236" spans="1:64" x14ac:dyDescent="0.3">
      <c r="AP236" s="138" t="s">
        <v>122</v>
      </c>
      <c r="AQ236" s="138">
        <f>2+5</f>
        <v>7</v>
      </c>
      <c r="AR236" s="141">
        <v>0</v>
      </c>
      <c r="AS236" s="138"/>
      <c r="AT236" s="141"/>
      <c r="AU236" s="28"/>
      <c r="AV236" s="43">
        <v>4</v>
      </c>
      <c r="AW236" s="28" t="s">
        <v>618</v>
      </c>
      <c r="AX236" s="28"/>
      <c r="AY236" s="141"/>
      <c r="BB236" s="196" t="s">
        <v>564</v>
      </c>
      <c r="BC236" s="138">
        <v>0</v>
      </c>
      <c r="BD236" s="141">
        <v>0</v>
      </c>
      <c r="BE236" s="138"/>
      <c r="BF236" s="28"/>
      <c r="BG236" s="141"/>
      <c r="BH236" s="138"/>
      <c r="BI236" s="141"/>
      <c r="BJ236" s="138"/>
      <c r="BK236" s="28"/>
      <c r="BL236" s="141"/>
    </row>
    <row r="237" spans="1:64" x14ac:dyDescent="0.3">
      <c r="AP237" s="138" t="s">
        <v>227</v>
      </c>
      <c r="AQ237" s="138">
        <v>0</v>
      </c>
      <c r="AR237" s="141">
        <v>0</v>
      </c>
      <c r="AS237" s="138"/>
      <c r="AT237" s="141"/>
      <c r="AU237" s="28"/>
      <c r="AV237" s="43">
        <v>1</v>
      </c>
      <c r="AW237" s="28" t="s">
        <v>392</v>
      </c>
      <c r="AX237" s="28"/>
      <c r="AY237" s="141"/>
      <c r="BB237" s="196" t="s">
        <v>196</v>
      </c>
      <c r="BC237" s="138">
        <v>0</v>
      </c>
      <c r="BD237" s="141">
        <v>6</v>
      </c>
      <c r="BE237" s="138"/>
      <c r="BF237" s="28"/>
      <c r="BG237" s="141"/>
      <c r="BH237" s="138"/>
      <c r="BI237" s="141"/>
      <c r="BJ237" s="138"/>
      <c r="BK237" s="28"/>
      <c r="BL237" s="141"/>
    </row>
    <row r="238" spans="1:64" x14ac:dyDescent="0.3">
      <c r="AP238" s="138" t="s">
        <v>230</v>
      </c>
      <c r="AQ238" s="138">
        <f>1+4</f>
        <v>5</v>
      </c>
      <c r="AR238" s="141">
        <v>5</v>
      </c>
      <c r="AS238" s="138"/>
      <c r="AT238" s="141"/>
      <c r="AU238" s="28"/>
      <c r="AV238" s="43">
        <v>10</v>
      </c>
      <c r="AW238" s="28" t="s">
        <v>655</v>
      </c>
      <c r="AX238" s="28"/>
      <c r="AY238" s="141"/>
      <c r="BB238" s="196" t="s">
        <v>211</v>
      </c>
      <c r="BC238" s="138">
        <v>9</v>
      </c>
      <c r="BD238" s="141">
        <v>2</v>
      </c>
      <c r="BE238" s="138"/>
      <c r="BF238" s="28"/>
      <c r="BG238" s="141"/>
      <c r="BH238" s="138"/>
      <c r="BI238" s="141"/>
      <c r="BJ238" s="138"/>
      <c r="BK238" s="28"/>
      <c r="BL238" s="141"/>
    </row>
    <row r="239" spans="1:64" x14ac:dyDescent="0.3">
      <c r="AP239" s="138" t="s">
        <v>125</v>
      </c>
      <c r="AQ239" s="138">
        <v>0</v>
      </c>
      <c r="AR239" s="141">
        <v>0</v>
      </c>
      <c r="AS239" s="138"/>
      <c r="AT239" s="141"/>
      <c r="AU239" s="28"/>
      <c r="AV239" s="43">
        <v>1</v>
      </c>
      <c r="AW239" s="28" t="s">
        <v>1023</v>
      </c>
      <c r="AX239" s="28"/>
      <c r="AY239" s="141"/>
      <c r="BB239" s="196" t="s">
        <v>218</v>
      </c>
      <c r="BC239" s="138">
        <v>0</v>
      </c>
      <c r="BD239" s="141">
        <v>26</v>
      </c>
      <c r="BE239" s="138"/>
      <c r="BF239" s="28">
        <v>0</v>
      </c>
      <c r="BG239" s="141"/>
      <c r="BH239" s="138"/>
      <c r="BI239" s="141"/>
      <c r="BJ239" s="138"/>
      <c r="BK239" s="28"/>
      <c r="BL239" s="141"/>
    </row>
    <row r="240" spans="1:64" x14ac:dyDescent="0.3">
      <c r="AM240" t="s">
        <v>6</v>
      </c>
      <c r="AP240" s="138" t="s">
        <v>132</v>
      </c>
      <c r="AQ240" s="138">
        <v>5</v>
      </c>
      <c r="AR240" s="141">
        <v>6</v>
      </c>
      <c r="AS240" s="138"/>
      <c r="AT240" s="141"/>
      <c r="AU240" s="28"/>
      <c r="AV240" s="43">
        <v>4</v>
      </c>
      <c r="AW240" s="28" t="s">
        <v>682</v>
      </c>
      <c r="AX240" s="28"/>
      <c r="AY240" s="141"/>
      <c r="BB240" s="196" t="s">
        <v>93</v>
      </c>
      <c r="BC240" s="138">
        <v>0</v>
      </c>
      <c r="BD240" s="141">
        <v>0</v>
      </c>
      <c r="BE240" s="138"/>
      <c r="BF240" s="28"/>
      <c r="BG240" s="141"/>
      <c r="BH240" s="138"/>
      <c r="BI240" s="141"/>
      <c r="BJ240" s="138"/>
      <c r="BK240" s="28"/>
      <c r="BL240" s="141"/>
    </row>
    <row r="241" spans="1:64" x14ac:dyDescent="0.3">
      <c r="H241" t="s">
        <v>6</v>
      </c>
      <c r="AP241" s="138" t="s">
        <v>992</v>
      </c>
      <c r="AQ241" s="138">
        <v>0</v>
      </c>
      <c r="AR241" s="141">
        <v>0</v>
      </c>
      <c r="AS241" s="138"/>
      <c r="AT241" s="141"/>
      <c r="AU241" s="28"/>
      <c r="AV241" s="43">
        <v>51</v>
      </c>
      <c r="AW241" s="28" t="s">
        <v>555</v>
      </c>
      <c r="AX241" s="28"/>
      <c r="AY241" s="141"/>
      <c r="BB241" s="199" t="s">
        <v>84</v>
      </c>
      <c r="BC241" s="142">
        <f>SUM(BC216:BC240)</f>
        <v>122</v>
      </c>
      <c r="BD241" s="146">
        <f>SUM(BD216:BD240)</f>
        <v>134</v>
      </c>
      <c r="BE241" s="142">
        <v>0</v>
      </c>
      <c r="BF241" s="143">
        <f>SUM(BF216:BF240)</f>
        <v>0</v>
      </c>
      <c r="BG241" s="146">
        <v>0</v>
      </c>
      <c r="BH241" s="142">
        <v>0</v>
      </c>
      <c r="BI241" s="146">
        <v>0</v>
      </c>
      <c r="BJ241" s="142"/>
      <c r="BK241" s="143"/>
      <c r="BL241" s="146">
        <f>2+4+4+4+8+4+9+3+3+4</f>
        <v>45</v>
      </c>
    </row>
    <row r="242" spans="1:64" ht="15" thickBot="1" x14ac:dyDescent="0.35">
      <c r="H242" t="s">
        <v>6</v>
      </c>
      <c r="AP242" s="138" t="s">
        <v>84</v>
      </c>
      <c r="AQ242" s="138">
        <f>SUM(AQ226:AQ241)</f>
        <v>220</v>
      </c>
      <c r="AR242" s="141">
        <f>SUM(AR226:AR241)</f>
        <v>218</v>
      </c>
      <c r="AS242" s="138"/>
      <c r="AT242" s="141"/>
      <c r="AU242" s="28"/>
      <c r="AV242" s="43">
        <v>0</v>
      </c>
      <c r="AW242" s="28" t="s">
        <v>1010</v>
      </c>
      <c r="AX242" s="28"/>
      <c r="AY242" s="141">
        <f>SUM(AV227:AV242)</f>
        <v>165</v>
      </c>
      <c r="BB242" t="s">
        <v>223</v>
      </c>
      <c r="BC242">
        <f>SUM(BC241+BC215+BC211+BC206+BC203+BC201)</f>
        <v>2027</v>
      </c>
      <c r="BD242">
        <f>SUM(BD241+BD215+BD211+BD206+BD201+BD203)</f>
        <v>2104</v>
      </c>
      <c r="BE242">
        <v>0</v>
      </c>
      <c r="BF242">
        <f>SUM(BF241+BF215+BF211+BF206+BF203+BF199)</f>
        <v>0</v>
      </c>
      <c r="BG242">
        <v>0</v>
      </c>
      <c r="BH242">
        <f>SUM(BH241+BH215+BH211+BH205+BH203+BH199)</f>
        <v>71964</v>
      </c>
      <c r="BI242">
        <f>SUM(BI241+BI215+BI211+BI205+BI203+BI199)</f>
        <v>19089</v>
      </c>
      <c r="BK242" t="s">
        <v>247</v>
      </c>
      <c r="BL242">
        <f>SUM(+BL215+BL211+BL206+BL203+BL201)</f>
        <v>105</v>
      </c>
    </row>
    <row r="243" spans="1:64" ht="15" thickBot="1" x14ac:dyDescent="0.35">
      <c r="AP243" s="171" t="s">
        <v>84</v>
      </c>
      <c r="AQ243" s="207">
        <f>SUM(AQ242+AQ224+AQ215+AQ200)</f>
        <v>2015</v>
      </c>
      <c r="AR243" s="207">
        <f>SUM(AR242+AR224+AR215+AR200)</f>
        <v>1966</v>
      </c>
      <c r="AS243" s="207"/>
      <c r="AT243" s="208"/>
      <c r="AU243" s="170"/>
      <c r="AV243" s="170"/>
      <c r="AW243" s="170"/>
      <c r="AX243" s="170"/>
      <c r="AY243" s="172">
        <f>SUM(AY200:AY242)</f>
        <v>375</v>
      </c>
      <c r="BB243" t="s">
        <v>225</v>
      </c>
      <c r="BD243">
        <f>SUM(BL241)</f>
        <v>45</v>
      </c>
    </row>
    <row r="244" spans="1:64" x14ac:dyDescent="0.3">
      <c r="BB244" t="s">
        <v>229</v>
      </c>
      <c r="BD244">
        <f>8+4+2</f>
        <v>14</v>
      </c>
    </row>
    <row r="245" spans="1:64" x14ac:dyDescent="0.3">
      <c r="BB245" t="s">
        <v>232</v>
      </c>
      <c r="BD245" t="s">
        <v>233</v>
      </c>
      <c r="BF245">
        <f>SUM(AQ243)</f>
        <v>2015</v>
      </c>
      <c r="BH245" t="s">
        <v>234</v>
      </c>
      <c r="BJ245" t="s">
        <v>233</v>
      </c>
      <c r="BL245">
        <f>SUM(BC242)</f>
        <v>2027</v>
      </c>
    </row>
    <row r="246" spans="1:64" x14ac:dyDescent="0.3">
      <c r="BA246" t="s">
        <v>6</v>
      </c>
      <c r="BD246" t="s">
        <v>236</v>
      </c>
      <c r="BF246">
        <f>SUM(AR243)</f>
        <v>1966</v>
      </c>
      <c r="BJ246" t="s">
        <v>236</v>
      </c>
      <c r="BL246">
        <f>SUM(BD242)</f>
        <v>2104</v>
      </c>
    </row>
    <row r="247" spans="1:64" x14ac:dyDescent="0.3">
      <c r="BB247" t="s">
        <v>238</v>
      </c>
      <c r="BC247" t="s">
        <v>239</v>
      </c>
      <c r="BE247" t="s">
        <v>240</v>
      </c>
      <c r="BF247" t="s">
        <v>241</v>
      </c>
      <c r="BI247" t="s">
        <v>242</v>
      </c>
      <c r="BJ247" t="s">
        <v>243</v>
      </c>
    </row>
    <row r="248" spans="1:64" x14ac:dyDescent="0.3">
      <c r="BB248" t="s">
        <v>233</v>
      </c>
      <c r="BD248">
        <f>SUM(B233)</f>
        <v>42504</v>
      </c>
      <c r="BE248" t="s">
        <v>233</v>
      </c>
      <c r="BG248">
        <f>SUM(AC230)</f>
        <v>2536</v>
      </c>
      <c r="BH248" t="s">
        <v>233</v>
      </c>
      <c r="BJ248">
        <f>SUM(BG248+BC242)</f>
        <v>4563</v>
      </c>
      <c r="BK248" t="s">
        <v>245</v>
      </c>
      <c r="BL248">
        <f>SUM(BD248+BJ248)</f>
        <v>47067</v>
      </c>
    </row>
    <row r="249" spans="1:64" x14ac:dyDescent="0.3">
      <c r="BB249" t="s">
        <v>236</v>
      </c>
      <c r="BD249">
        <f>SUM(C233)</f>
        <v>53773</v>
      </c>
      <c r="BE249" t="s">
        <v>236</v>
      </c>
      <c r="BG249">
        <f>SUM(AD230)</f>
        <v>2648</v>
      </c>
      <c r="BH249" t="s">
        <v>236</v>
      </c>
      <c r="BJ249">
        <f>SUM(BG249+BD242)</f>
        <v>4752</v>
      </c>
      <c r="BL249">
        <f>SUM(BD249+BJ249)</f>
        <v>58525</v>
      </c>
    </row>
    <row r="254" spans="1:64" x14ac:dyDescent="0.3">
      <c r="C254" t="s">
        <v>0</v>
      </c>
      <c r="P254" t="s">
        <v>1</v>
      </c>
    </row>
    <row r="255" spans="1:64" x14ac:dyDescent="0.3">
      <c r="D255" t="s">
        <v>2</v>
      </c>
      <c r="Q255" t="s">
        <v>3</v>
      </c>
      <c r="AF255" t="s">
        <v>0</v>
      </c>
      <c r="AS255" t="s">
        <v>4</v>
      </c>
      <c r="BF255" t="s">
        <v>5</v>
      </c>
    </row>
    <row r="256" spans="1:64" x14ac:dyDescent="0.3">
      <c r="A256" t="s">
        <v>6</v>
      </c>
      <c r="C256" t="s">
        <v>7</v>
      </c>
      <c r="O256" t="s">
        <v>8</v>
      </c>
      <c r="AF256" t="s">
        <v>9</v>
      </c>
      <c r="AT256" t="s">
        <v>2</v>
      </c>
      <c r="BG256" t="s">
        <v>2</v>
      </c>
    </row>
    <row r="257" spans="1:64" x14ac:dyDescent="0.3">
      <c r="D257" t="s">
        <v>1024</v>
      </c>
      <c r="Q257" t="s">
        <v>1024</v>
      </c>
      <c r="AF257" t="s">
        <v>11</v>
      </c>
      <c r="AR257" t="s">
        <v>12</v>
      </c>
      <c r="BE257" t="s">
        <v>13</v>
      </c>
    </row>
    <row r="258" spans="1:64" x14ac:dyDescent="0.3">
      <c r="I258" s="194" t="s">
        <v>949</v>
      </c>
      <c r="U258" t="s">
        <v>15</v>
      </c>
      <c r="AG258" t="s">
        <v>1024</v>
      </c>
      <c r="AT258" t="s">
        <v>1024</v>
      </c>
      <c r="BG258" t="s">
        <v>1024</v>
      </c>
      <c r="BK258" s="194" t="s">
        <v>950</v>
      </c>
    </row>
    <row r="259" spans="1:64" x14ac:dyDescent="0.3">
      <c r="A259" s="134" t="s">
        <v>17</v>
      </c>
      <c r="B259" s="134" t="s">
        <v>18</v>
      </c>
      <c r="C259" s="136"/>
      <c r="D259" s="135" t="s">
        <v>19</v>
      </c>
      <c r="E259" s="135"/>
      <c r="F259" s="135"/>
      <c r="G259" s="195" t="s">
        <v>20</v>
      </c>
      <c r="H259" s="135" t="s">
        <v>21</v>
      </c>
      <c r="I259" s="135"/>
      <c r="J259" s="136"/>
      <c r="L259" s="134" t="s">
        <v>17</v>
      </c>
      <c r="M259" s="135" t="s">
        <v>22</v>
      </c>
      <c r="N259" s="135"/>
      <c r="O259" s="135" t="s">
        <v>23</v>
      </c>
      <c r="P259" s="135"/>
      <c r="Q259" s="135"/>
      <c r="R259" s="135" t="s">
        <v>24</v>
      </c>
      <c r="S259" s="135"/>
      <c r="T259" s="135" t="s">
        <v>21</v>
      </c>
      <c r="U259" s="136"/>
      <c r="AL259" s="28" t="s">
        <v>25</v>
      </c>
      <c r="AX259" s="194" t="s">
        <v>951</v>
      </c>
      <c r="BB259" s="195" t="s">
        <v>17</v>
      </c>
      <c r="BC259" s="134" t="s">
        <v>27</v>
      </c>
      <c r="BD259" s="136"/>
      <c r="BE259" s="135" t="s">
        <v>28</v>
      </c>
      <c r="BF259" s="135"/>
      <c r="BG259" s="135"/>
      <c r="BH259" s="135" t="s">
        <v>29</v>
      </c>
      <c r="BI259" s="135" t="s">
        <v>30</v>
      </c>
      <c r="BJ259" s="135" t="s">
        <v>31</v>
      </c>
      <c r="BK259" s="135"/>
      <c r="BL259" s="136"/>
    </row>
    <row r="260" spans="1:64" x14ac:dyDescent="0.3">
      <c r="A260" s="138" t="s">
        <v>32</v>
      </c>
      <c r="B260" s="138"/>
      <c r="C260" s="141"/>
      <c r="D260" s="28"/>
      <c r="E260" s="28"/>
      <c r="F260" s="28"/>
      <c r="G260" s="196"/>
      <c r="H260" s="28" t="s">
        <v>33</v>
      </c>
      <c r="I260" s="28"/>
      <c r="J260" s="141"/>
      <c r="L260" s="138"/>
      <c r="M260" s="28"/>
      <c r="N260" s="28"/>
      <c r="O260" s="28"/>
      <c r="P260" s="28"/>
      <c r="Q260" s="28"/>
      <c r="R260" s="28"/>
      <c r="S260" s="28"/>
      <c r="T260" s="28" t="s">
        <v>33</v>
      </c>
      <c r="U260" s="141"/>
      <c r="AB260" s="134" t="s">
        <v>34</v>
      </c>
      <c r="AC260" s="134" t="s">
        <v>35</v>
      </c>
      <c r="AD260" s="136"/>
      <c r="AE260" s="135" t="s">
        <v>36</v>
      </c>
      <c r="AF260" s="135"/>
      <c r="AG260" s="135"/>
      <c r="AH260" s="134" t="s">
        <v>37</v>
      </c>
      <c r="AI260" s="136"/>
      <c r="AJ260" s="135" t="s">
        <v>30</v>
      </c>
      <c r="AK260" s="134" t="s">
        <v>38</v>
      </c>
      <c r="AL260" s="135"/>
      <c r="AM260" s="136"/>
      <c r="AP260" s="134" t="s">
        <v>17</v>
      </c>
      <c r="AQ260" s="134" t="s">
        <v>39</v>
      </c>
      <c r="AR260" s="136"/>
      <c r="AS260" s="134" t="s">
        <v>29</v>
      </c>
      <c r="AT260" s="136" t="s">
        <v>30</v>
      </c>
      <c r="AU260" s="135" t="s">
        <v>40</v>
      </c>
      <c r="AV260" s="135"/>
      <c r="AW260" s="135"/>
      <c r="AX260" s="135"/>
      <c r="AY260" s="136"/>
      <c r="BB260" s="196"/>
      <c r="BC260" s="138"/>
      <c r="BD260" s="141"/>
      <c r="BE260" s="28"/>
      <c r="BF260" s="28"/>
      <c r="BG260" s="28"/>
      <c r="BH260" s="28"/>
      <c r="BI260" s="28" t="s">
        <v>6</v>
      </c>
      <c r="BJ260" s="28" t="s">
        <v>41</v>
      </c>
      <c r="BK260" s="28"/>
      <c r="BL260" s="141"/>
    </row>
    <row r="261" spans="1:64" x14ac:dyDescent="0.3">
      <c r="A261" s="142" t="s">
        <v>42</v>
      </c>
      <c r="B261" s="142" t="s">
        <v>43</v>
      </c>
      <c r="C261" s="143" t="s">
        <v>44</v>
      </c>
      <c r="D261" s="197" t="s">
        <v>45</v>
      </c>
      <c r="E261" s="198" t="s">
        <v>46</v>
      </c>
      <c r="F261" s="198" t="s">
        <v>47</v>
      </c>
      <c r="G261" s="199" t="s">
        <v>48</v>
      </c>
      <c r="H261" s="143" t="s">
        <v>49</v>
      </c>
      <c r="I261" s="143"/>
      <c r="J261" s="146"/>
      <c r="L261" s="142" t="s">
        <v>50</v>
      </c>
      <c r="M261" s="143" t="s">
        <v>43</v>
      </c>
      <c r="N261" s="143" t="s">
        <v>44</v>
      </c>
      <c r="O261" s="143" t="s">
        <v>43</v>
      </c>
      <c r="P261" s="143" t="s">
        <v>51</v>
      </c>
      <c r="Q261" s="143" t="s">
        <v>44</v>
      </c>
      <c r="R261" s="143" t="s">
        <v>43</v>
      </c>
      <c r="S261" s="143" t="s">
        <v>44</v>
      </c>
      <c r="T261" s="143" t="s">
        <v>49</v>
      </c>
      <c r="U261" s="146"/>
      <c r="AB261" s="142" t="s">
        <v>50</v>
      </c>
      <c r="AC261" s="142" t="s">
        <v>43</v>
      </c>
      <c r="AD261" s="146" t="s">
        <v>44</v>
      </c>
      <c r="AE261" s="143" t="s">
        <v>45</v>
      </c>
      <c r="AF261" s="143" t="s">
        <v>46</v>
      </c>
      <c r="AG261" s="143" t="s">
        <v>52</v>
      </c>
      <c r="AH261" s="142" t="s">
        <v>43</v>
      </c>
      <c r="AI261" s="146" t="s">
        <v>44</v>
      </c>
      <c r="AJ261" s="143" t="s">
        <v>43</v>
      </c>
      <c r="AK261" s="142" t="s">
        <v>53</v>
      </c>
      <c r="AL261" s="143"/>
      <c r="AM261" s="146"/>
      <c r="AP261" s="138" t="s">
        <v>42</v>
      </c>
      <c r="AQ261" s="138" t="s">
        <v>43</v>
      </c>
      <c r="AR261" s="141" t="s">
        <v>44</v>
      </c>
      <c r="AS261" s="138" t="s">
        <v>43</v>
      </c>
      <c r="AT261" s="141" t="s">
        <v>44</v>
      </c>
      <c r="AU261" s="28"/>
      <c r="AV261" s="28"/>
      <c r="AW261" s="28"/>
      <c r="AX261" s="28"/>
      <c r="AY261" s="141"/>
      <c r="BB261" s="199" t="s">
        <v>42</v>
      </c>
      <c r="BC261" s="142" t="s">
        <v>43</v>
      </c>
      <c r="BD261" s="146" t="s">
        <v>44</v>
      </c>
      <c r="BE261" s="143" t="s">
        <v>45</v>
      </c>
      <c r="BF261" s="143" t="s">
        <v>46</v>
      </c>
      <c r="BG261" s="143" t="s">
        <v>52</v>
      </c>
      <c r="BH261" s="143" t="s">
        <v>43</v>
      </c>
      <c r="BI261" s="143" t="s">
        <v>44</v>
      </c>
      <c r="BJ261" s="143" t="s">
        <v>54</v>
      </c>
      <c r="BK261" s="143"/>
      <c r="BL261" s="146"/>
    </row>
    <row r="262" spans="1:64" x14ac:dyDescent="0.3">
      <c r="A262" s="134"/>
      <c r="B262" s="134"/>
      <c r="C262" s="135"/>
      <c r="D262" s="134"/>
      <c r="E262" s="135"/>
      <c r="F262" s="135"/>
      <c r="G262" s="195"/>
      <c r="H262" s="135" t="s">
        <v>396</v>
      </c>
      <c r="I262" s="135"/>
      <c r="J262" s="136"/>
      <c r="L262" s="134"/>
      <c r="M262" s="134"/>
      <c r="N262" s="195"/>
      <c r="O262" s="134"/>
      <c r="P262" s="195"/>
      <c r="Q262" s="136"/>
      <c r="R262" s="134"/>
      <c r="S262" s="195"/>
      <c r="T262" s="134" t="s">
        <v>396</v>
      </c>
      <c r="U262" s="136"/>
      <c r="AB262" s="138"/>
      <c r="AC262" s="138"/>
      <c r="AD262" s="141"/>
      <c r="AE262" s="28"/>
      <c r="AF262" s="28"/>
      <c r="AG262" s="28"/>
      <c r="AH262" s="138"/>
      <c r="AI262" s="141"/>
      <c r="AJ262" s="28"/>
      <c r="AK262" s="138"/>
      <c r="AL262" s="28"/>
      <c r="AM262" s="141"/>
      <c r="AP262" s="134"/>
      <c r="AQ262" s="134"/>
      <c r="AR262" s="136"/>
      <c r="AS262" s="134"/>
      <c r="AT262" s="136"/>
      <c r="AU262" s="135"/>
      <c r="AV262" s="135"/>
      <c r="AW262" s="135"/>
      <c r="AX262" s="135"/>
      <c r="AY262" s="136"/>
      <c r="BB262" s="195" t="s">
        <v>85</v>
      </c>
      <c r="BC262" s="135">
        <v>0</v>
      </c>
      <c r="BD262" s="135">
        <v>30</v>
      </c>
      <c r="BE262" s="134"/>
      <c r="BF262" s="135"/>
      <c r="BG262" s="135"/>
      <c r="BH262" s="134"/>
      <c r="BI262" s="136"/>
      <c r="BJ262" s="135" t="s">
        <v>58</v>
      </c>
      <c r="BK262" s="135"/>
      <c r="BL262" s="136"/>
    </row>
    <row r="263" spans="1:64" x14ac:dyDescent="0.3">
      <c r="A263" s="138" t="s">
        <v>59</v>
      </c>
      <c r="B263" s="138">
        <v>1062</v>
      </c>
      <c r="C263" s="28">
        <v>1401</v>
      </c>
      <c r="D263" s="138"/>
      <c r="E263" s="28" t="s">
        <v>60</v>
      </c>
      <c r="F263" s="28"/>
      <c r="G263" s="196">
        <v>1384</v>
      </c>
      <c r="H263" s="28">
        <v>5</v>
      </c>
      <c r="I263" s="28" t="s">
        <v>61</v>
      </c>
      <c r="J263" s="141"/>
      <c r="L263" s="138" t="s">
        <v>59</v>
      </c>
      <c r="M263" s="138">
        <v>8106</v>
      </c>
      <c r="N263" s="196">
        <v>44517</v>
      </c>
      <c r="O263" s="138">
        <v>0</v>
      </c>
      <c r="P263" s="196">
        <v>0</v>
      </c>
      <c r="Q263" s="141">
        <v>0</v>
      </c>
      <c r="R263" s="138">
        <v>0</v>
      </c>
      <c r="S263" s="196">
        <v>0</v>
      </c>
      <c r="T263" s="138"/>
      <c r="U263" s="141"/>
      <c r="AB263" s="138"/>
      <c r="AC263" s="138"/>
      <c r="AD263" s="141"/>
      <c r="AE263" s="28"/>
      <c r="AF263" s="28"/>
      <c r="AG263" s="28"/>
      <c r="AH263" s="138"/>
      <c r="AI263" s="141"/>
      <c r="AJ263" s="28"/>
      <c r="AK263" s="138" t="s">
        <v>62</v>
      </c>
      <c r="AL263" s="28"/>
      <c r="AM263" s="141"/>
      <c r="AP263" s="138" t="s">
        <v>6</v>
      </c>
      <c r="AQ263" s="138"/>
      <c r="AR263" s="141"/>
      <c r="AS263" s="138"/>
      <c r="AT263" s="141"/>
      <c r="AU263" s="28"/>
      <c r="AV263" s="28" t="s">
        <v>91</v>
      </c>
      <c r="AW263" s="28"/>
      <c r="AX263" s="28"/>
      <c r="AY263" s="141"/>
      <c r="BB263" s="196" t="s">
        <v>64</v>
      </c>
      <c r="BC263" s="28">
        <f>146+4</f>
        <v>150</v>
      </c>
      <c r="BD263" s="28">
        <v>157</v>
      </c>
      <c r="BE263" s="138">
        <v>0</v>
      </c>
      <c r="BF263" s="28">
        <v>0</v>
      </c>
      <c r="BG263" s="28">
        <v>0</v>
      </c>
      <c r="BH263" s="138">
        <v>0</v>
      </c>
      <c r="BI263" s="141">
        <v>0</v>
      </c>
      <c r="BJ263" s="43">
        <v>19</v>
      </c>
      <c r="BK263" s="28" t="s">
        <v>474</v>
      </c>
      <c r="BL263" s="141" t="s">
        <v>6</v>
      </c>
    </row>
    <row r="264" spans="1:64" x14ac:dyDescent="0.3">
      <c r="A264" s="138" t="s">
        <v>6</v>
      </c>
      <c r="B264" s="138"/>
      <c r="C264" s="28"/>
      <c r="D264" s="138"/>
      <c r="E264" s="28"/>
      <c r="F264" s="28"/>
      <c r="G264" s="196"/>
      <c r="H264" s="28"/>
      <c r="I264" s="28" t="s">
        <v>528</v>
      </c>
      <c r="J264" s="141">
        <f>SUM(H263)</f>
        <v>5</v>
      </c>
      <c r="L264" s="142"/>
      <c r="M264" s="142"/>
      <c r="N264" s="199"/>
      <c r="O264" s="142"/>
      <c r="P264" s="199"/>
      <c r="Q264" s="146"/>
      <c r="R264" s="142"/>
      <c r="S264" s="199"/>
      <c r="T264" s="142"/>
      <c r="U264" s="146"/>
      <c r="AB264" s="138" t="s">
        <v>59</v>
      </c>
      <c r="AC264" s="138"/>
      <c r="AD264" s="141"/>
      <c r="AE264" s="28">
        <v>0</v>
      </c>
      <c r="AF264" s="28">
        <v>0</v>
      </c>
      <c r="AG264" s="28">
        <v>0</v>
      </c>
      <c r="AH264" s="138">
        <v>0</v>
      </c>
      <c r="AI264" s="141">
        <v>0</v>
      </c>
      <c r="AJ264" s="28">
        <v>0</v>
      </c>
      <c r="AK264" s="138"/>
      <c r="AL264" s="28" t="s">
        <v>66</v>
      </c>
      <c r="AM264" s="141"/>
      <c r="AP264" s="138" t="s">
        <v>56</v>
      </c>
      <c r="AQ264" s="138">
        <v>1581</v>
      </c>
      <c r="AR264" s="141">
        <v>1674</v>
      </c>
      <c r="AS264" s="138"/>
      <c r="AT264" s="141"/>
      <c r="AU264" s="28"/>
      <c r="AV264" s="28">
        <v>2</v>
      </c>
      <c r="AW264" s="28" t="s">
        <v>145</v>
      </c>
      <c r="AX264" s="28"/>
      <c r="AY264" s="141"/>
      <c r="BB264" s="196" t="s">
        <v>108</v>
      </c>
      <c r="BC264">
        <v>8</v>
      </c>
      <c r="BD264">
        <v>20</v>
      </c>
      <c r="BE264" s="138"/>
      <c r="BF264" s="28"/>
      <c r="BG264" s="28"/>
      <c r="BH264" s="138"/>
      <c r="BI264" s="141"/>
      <c r="BJ264" s="28"/>
      <c r="BK264" s="28"/>
      <c r="BL264" s="141"/>
    </row>
    <row r="265" spans="1:64" x14ac:dyDescent="0.3">
      <c r="A265" s="134"/>
      <c r="B265" s="134"/>
      <c r="C265" s="135"/>
      <c r="D265" s="134"/>
      <c r="E265" s="135"/>
      <c r="F265" s="135"/>
      <c r="G265" s="195"/>
      <c r="H265" s="135" t="s">
        <v>70</v>
      </c>
      <c r="I265" s="135"/>
      <c r="J265" s="136"/>
      <c r="L265" s="134"/>
      <c r="M265" s="134"/>
      <c r="N265" s="195"/>
      <c r="O265" s="134"/>
      <c r="P265" s="195"/>
      <c r="Q265" s="136"/>
      <c r="R265" s="134"/>
      <c r="S265" s="195"/>
      <c r="T265" s="134"/>
      <c r="U265" s="136"/>
      <c r="AB265" s="142"/>
      <c r="AC265" s="142"/>
      <c r="AD265" s="146"/>
      <c r="AE265" s="143"/>
      <c r="AF265" s="143"/>
      <c r="AG265" s="143"/>
      <c r="AH265" s="142"/>
      <c r="AI265" s="146"/>
      <c r="AJ265" s="143"/>
      <c r="AK265" s="142" t="s">
        <v>6</v>
      </c>
      <c r="AL265" s="143" t="s">
        <v>398</v>
      </c>
      <c r="AM265" s="146"/>
      <c r="AP265" s="142" t="s">
        <v>6</v>
      </c>
      <c r="AQ265" s="142"/>
      <c r="AR265" s="146"/>
      <c r="AS265" s="142"/>
      <c r="AT265" s="146"/>
      <c r="AU265" s="143"/>
      <c r="AV265" s="143">
        <v>107</v>
      </c>
      <c r="AW265" s="143" t="s">
        <v>73</v>
      </c>
      <c r="AX265" s="143"/>
      <c r="AY265" s="146">
        <f>SUM(AV265)</f>
        <v>107</v>
      </c>
      <c r="BB265" s="199" t="s">
        <v>84</v>
      </c>
      <c r="BC265" s="143">
        <f>SUM(BC262:BC264)</f>
        <v>158</v>
      </c>
      <c r="BD265" s="143">
        <f>SUM(BD262:BD264)</f>
        <v>207</v>
      </c>
      <c r="BE265" s="142"/>
      <c r="BF265" s="143"/>
      <c r="BG265" s="143"/>
      <c r="BH265" s="142"/>
      <c r="BI265" s="146"/>
      <c r="BJ265" s="143">
        <v>4</v>
      </c>
      <c r="BK265" s="143" t="s">
        <v>69</v>
      </c>
      <c r="BL265" s="146">
        <f>SUM(BJ263:BJ265)</f>
        <v>23</v>
      </c>
    </row>
    <row r="266" spans="1:64" x14ac:dyDescent="0.3">
      <c r="A266" s="138" t="s">
        <v>74</v>
      </c>
      <c r="B266" s="138">
        <v>764</v>
      </c>
      <c r="C266" s="28">
        <v>2048</v>
      </c>
      <c r="D266" s="138"/>
      <c r="E266" s="28" t="s">
        <v>60</v>
      </c>
      <c r="F266" s="28"/>
      <c r="G266" s="196">
        <v>2467</v>
      </c>
      <c r="H266" s="28"/>
      <c r="I266" s="28" t="s">
        <v>75</v>
      </c>
      <c r="J266" s="141"/>
      <c r="L266" s="138"/>
      <c r="M266" s="138"/>
      <c r="N266" s="196"/>
      <c r="O266" s="138"/>
      <c r="P266" s="196"/>
      <c r="Q266" s="141"/>
      <c r="R266" s="138"/>
      <c r="S266" s="196"/>
      <c r="T266" s="138" t="s">
        <v>80</v>
      </c>
      <c r="U266" s="141"/>
      <c r="AB266" s="134" t="s">
        <v>6</v>
      </c>
      <c r="AC266" s="134"/>
      <c r="AD266" s="136"/>
      <c r="AE266" s="135"/>
      <c r="AF266" s="135"/>
      <c r="AG266" s="135"/>
      <c r="AH266" s="134"/>
      <c r="AI266" s="136"/>
      <c r="AJ266" s="135"/>
      <c r="AK266" s="134" t="s">
        <v>952</v>
      </c>
      <c r="AL266" s="135"/>
      <c r="AM266" s="136"/>
      <c r="AP266" s="134" t="s">
        <v>56</v>
      </c>
      <c r="AQ266" s="134">
        <v>0</v>
      </c>
      <c r="AR266" s="136">
        <v>0</v>
      </c>
      <c r="AS266" s="134"/>
      <c r="AT266" s="136"/>
      <c r="AU266" s="135"/>
      <c r="AV266" s="135"/>
      <c r="AW266" s="135"/>
      <c r="AX266" s="135"/>
      <c r="AY266" s="136"/>
      <c r="BB266" s="195" t="s">
        <v>174</v>
      </c>
      <c r="BC266" s="134"/>
      <c r="BD266" s="136"/>
      <c r="BE266" s="135"/>
      <c r="BF266" s="135">
        <v>4</v>
      </c>
      <c r="BG266" s="135"/>
      <c r="BH266" s="134"/>
      <c r="BI266" s="136"/>
      <c r="BJ266" s="135" t="s">
        <v>82</v>
      </c>
      <c r="BK266" s="135"/>
      <c r="BL266" s="136"/>
    </row>
    <row r="267" spans="1:64" x14ac:dyDescent="0.3">
      <c r="A267" s="138"/>
      <c r="B267" s="138"/>
      <c r="C267" s="28"/>
      <c r="D267" s="138"/>
      <c r="E267" s="28"/>
      <c r="F267" s="28"/>
      <c r="G267" s="196"/>
      <c r="H267" s="28">
        <v>12</v>
      </c>
      <c r="I267" s="28" t="s">
        <v>79</v>
      </c>
      <c r="J267" s="141"/>
      <c r="L267" s="138" t="s">
        <v>74</v>
      </c>
      <c r="M267" s="138">
        <v>5775</v>
      </c>
      <c r="N267" s="196">
        <v>75</v>
      </c>
      <c r="O267" s="138">
        <v>0</v>
      </c>
      <c r="P267" s="196">
        <v>0</v>
      </c>
      <c r="Q267" s="141">
        <v>0</v>
      </c>
      <c r="R267" s="138">
        <v>0</v>
      </c>
      <c r="S267" s="196">
        <v>0</v>
      </c>
      <c r="T267" s="138"/>
      <c r="U267" s="141"/>
      <c r="AB267" s="142" t="s">
        <v>76</v>
      </c>
      <c r="AC267" s="142">
        <v>140</v>
      </c>
      <c r="AD267" s="146">
        <v>0</v>
      </c>
      <c r="AE267" s="143">
        <v>0</v>
      </c>
      <c r="AF267" s="143">
        <v>0</v>
      </c>
      <c r="AG267" s="143">
        <v>0</v>
      </c>
      <c r="AH267" s="142">
        <v>0</v>
      </c>
      <c r="AI267" s="146">
        <v>0</v>
      </c>
      <c r="AJ267" s="143">
        <v>0</v>
      </c>
      <c r="AK267" s="142">
        <v>2</v>
      </c>
      <c r="AL267" s="143" t="s">
        <v>145</v>
      </c>
      <c r="AM267" s="146"/>
      <c r="AP267" s="138" t="s">
        <v>63</v>
      </c>
      <c r="AQ267" s="138">
        <v>94</v>
      </c>
      <c r="AR267" s="141">
        <v>55</v>
      </c>
      <c r="AS267" s="138"/>
      <c r="AT267" s="141"/>
      <c r="AU267" s="28"/>
      <c r="AV267" s="28" t="s">
        <v>110</v>
      </c>
      <c r="AW267" s="28" t="s">
        <v>111</v>
      </c>
      <c r="AX267" s="28" t="s">
        <v>112</v>
      </c>
      <c r="AY267" s="141"/>
      <c r="BB267" s="199" t="s">
        <v>85</v>
      </c>
      <c r="BC267" s="142">
        <v>6</v>
      </c>
      <c r="BD267" s="146">
        <v>5</v>
      </c>
      <c r="BE267" s="143"/>
      <c r="BF267" s="143">
        <v>0</v>
      </c>
      <c r="BG267" s="143">
        <v>0</v>
      </c>
      <c r="BH267" s="142">
        <v>0</v>
      </c>
      <c r="BI267" s="146">
        <v>0</v>
      </c>
      <c r="BJ267" s="143">
        <v>3</v>
      </c>
      <c r="BK267" s="143" t="s">
        <v>86</v>
      </c>
      <c r="BL267" s="146">
        <f>SUM(BJ267)</f>
        <v>3</v>
      </c>
    </row>
    <row r="268" spans="1:64" x14ac:dyDescent="0.3">
      <c r="A268" s="142"/>
      <c r="B268" s="142"/>
      <c r="C268" s="143"/>
      <c r="D268" s="142"/>
      <c r="E268" s="143"/>
      <c r="F268" s="143"/>
      <c r="G268" s="199"/>
      <c r="H268" s="143">
        <v>5</v>
      </c>
      <c r="I268" s="143" t="s">
        <v>83</v>
      </c>
      <c r="J268" s="146">
        <f>SUM(H266:H268)</f>
        <v>17</v>
      </c>
      <c r="L268" s="142"/>
      <c r="M268" s="142"/>
      <c r="N268" s="199"/>
      <c r="O268" s="142"/>
      <c r="P268" s="199"/>
      <c r="Q268" s="146"/>
      <c r="R268" s="142"/>
      <c r="S268" s="199"/>
      <c r="T268" s="142"/>
      <c r="U268" s="146"/>
      <c r="AB268" s="134"/>
      <c r="AC268" s="134"/>
      <c r="AD268" s="136"/>
      <c r="AE268" s="135"/>
      <c r="AF268" s="135"/>
      <c r="AG268" s="135"/>
      <c r="AH268" s="134"/>
      <c r="AI268" s="136"/>
      <c r="AJ268" s="135"/>
      <c r="AK268" s="134"/>
      <c r="AL268" s="135" t="s">
        <v>150</v>
      </c>
      <c r="AM268" s="136"/>
      <c r="AP268" s="138" t="s">
        <v>115</v>
      </c>
      <c r="AQ268" s="138">
        <v>72</v>
      </c>
      <c r="AR268" s="141">
        <v>38</v>
      </c>
      <c r="AS268" s="138"/>
      <c r="AT268" s="141"/>
      <c r="AU268" s="28"/>
      <c r="AV268" s="28"/>
      <c r="AW268" s="28"/>
      <c r="AX268" s="28"/>
      <c r="AY268" s="141"/>
      <c r="BB268" s="195" t="s">
        <v>107</v>
      </c>
      <c r="BC268" s="134">
        <v>0</v>
      </c>
      <c r="BD268" s="136">
        <v>0</v>
      </c>
      <c r="BE268" s="135"/>
      <c r="BF268" s="135"/>
      <c r="BG268" s="135"/>
      <c r="BH268" s="134"/>
      <c r="BI268" s="136"/>
      <c r="BJ268" s="135"/>
      <c r="BK268" s="135" t="s">
        <v>92</v>
      </c>
      <c r="BL268" s="136"/>
    </row>
    <row r="269" spans="1:64" x14ac:dyDescent="0.3">
      <c r="A269" s="134"/>
      <c r="B269" s="134"/>
      <c r="C269" s="135"/>
      <c r="D269" s="134"/>
      <c r="E269" s="135"/>
      <c r="F269" s="135"/>
      <c r="G269" s="195"/>
      <c r="H269" s="135" t="s">
        <v>87</v>
      </c>
      <c r="I269" s="135"/>
      <c r="J269" s="136"/>
      <c r="L269" s="134" t="s">
        <v>88</v>
      </c>
      <c r="M269" s="134">
        <v>0</v>
      </c>
      <c r="N269" s="195">
        <v>0</v>
      </c>
      <c r="O269" s="134"/>
      <c r="P269" s="195"/>
      <c r="Q269" s="136"/>
      <c r="R269" s="134"/>
      <c r="S269" s="195"/>
      <c r="T269" s="134" t="s">
        <v>6</v>
      </c>
      <c r="U269" s="136"/>
      <c r="AB269" s="138" t="s">
        <v>89</v>
      </c>
      <c r="AC269" s="138">
        <v>32</v>
      </c>
      <c r="AD269" s="141">
        <v>35</v>
      </c>
      <c r="AE269" s="28"/>
      <c r="AF269" s="28"/>
      <c r="AG269" s="28"/>
      <c r="AH269" s="138"/>
      <c r="AI269" s="141"/>
      <c r="AJ269" s="28"/>
      <c r="AK269" s="138" t="s">
        <v>90</v>
      </c>
      <c r="AL269" s="28"/>
      <c r="AM269" s="141"/>
      <c r="AP269" s="138" t="s">
        <v>72</v>
      </c>
      <c r="AQ269" s="138">
        <v>9</v>
      </c>
      <c r="AR269" s="141">
        <v>3</v>
      </c>
      <c r="AS269" s="138"/>
      <c r="AT269" s="141"/>
      <c r="AU269" s="28"/>
      <c r="AV269" s="28"/>
      <c r="AW269" s="28"/>
      <c r="AX269" s="28"/>
      <c r="AY269" s="141"/>
      <c r="BB269" s="196" t="s">
        <v>99</v>
      </c>
      <c r="BC269" s="138">
        <v>0</v>
      </c>
      <c r="BD269" s="141">
        <v>0</v>
      </c>
      <c r="BE269" s="28">
        <v>0</v>
      </c>
      <c r="BF269" s="28">
        <v>0</v>
      </c>
      <c r="BG269" s="28">
        <v>0</v>
      </c>
      <c r="BH269" s="138">
        <v>69267</v>
      </c>
      <c r="BI269" s="141">
        <v>15453</v>
      </c>
      <c r="BJ269" s="43">
        <v>26</v>
      </c>
      <c r="BK269" s="28" t="s">
        <v>100</v>
      </c>
      <c r="BL269" s="141"/>
    </row>
    <row r="270" spans="1:64" x14ac:dyDescent="0.3">
      <c r="A270" s="138" t="s">
        <v>93</v>
      </c>
      <c r="B270" s="138">
        <v>3974</v>
      </c>
      <c r="C270" s="28">
        <v>5259</v>
      </c>
      <c r="D270" s="138"/>
      <c r="E270" s="28" t="s">
        <v>60</v>
      </c>
      <c r="F270" s="28"/>
      <c r="G270" s="196">
        <v>5531</v>
      </c>
      <c r="H270" s="43"/>
      <c r="I270" s="28" t="s">
        <v>94</v>
      </c>
      <c r="J270" s="141"/>
      <c r="L270" s="138" t="s">
        <v>95</v>
      </c>
      <c r="M270" s="138">
        <v>0</v>
      </c>
      <c r="N270" s="196">
        <v>0</v>
      </c>
      <c r="O270" s="138"/>
      <c r="P270" s="196"/>
      <c r="Q270" s="141"/>
      <c r="R270" s="138"/>
      <c r="S270" s="196"/>
      <c r="T270" s="138" t="s">
        <v>96</v>
      </c>
      <c r="U270" s="141"/>
      <c r="AB270" s="138" t="s">
        <v>974</v>
      </c>
      <c r="AC270" s="138">
        <v>0</v>
      </c>
      <c r="AD270" s="141">
        <v>0</v>
      </c>
      <c r="AE270" s="28">
        <v>0</v>
      </c>
      <c r="AF270" s="28">
        <v>0</v>
      </c>
      <c r="AG270" s="28">
        <v>0</v>
      </c>
      <c r="AH270" s="138">
        <v>0</v>
      </c>
      <c r="AI270" s="141">
        <v>0</v>
      </c>
      <c r="AJ270" s="28">
        <v>0</v>
      </c>
      <c r="AK270" s="138"/>
      <c r="AL270" s="28" t="s">
        <v>529</v>
      </c>
      <c r="AM270" s="141"/>
      <c r="AP270" s="138" t="s">
        <v>78</v>
      </c>
      <c r="AQ270" s="138">
        <v>48</v>
      </c>
      <c r="AR270" s="141">
        <v>32</v>
      </c>
      <c r="AS270" s="138"/>
      <c r="AT270" s="141"/>
      <c r="AU270" s="28"/>
      <c r="AV270" s="28"/>
      <c r="AW270" s="28"/>
      <c r="AX270" s="28"/>
      <c r="AY270" s="141"/>
      <c r="AZ270" t="s">
        <v>6</v>
      </c>
      <c r="BB270" s="199" t="s">
        <v>84</v>
      </c>
      <c r="BC270" s="138">
        <f>SUM(BC268:BC269)</f>
        <v>0</v>
      </c>
      <c r="BD270" s="141">
        <f>SUM(BD267:BD269)</f>
        <v>5</v>
      </c>
      <c r="BE270" s="143"/>
      <c r="BF270" s="143"/>
      <c r="BG270" s="143"/>
      <c r="BH270" s="142"/>
      <c r="BI270" s="146"/>
      <c r="BJ270" s="143">
        <v>1</v>
      </c>
      <c r="BK270" s="143" t="s">
        <v>506</v>
      </c>
      <c r="BL270" s="146">
        <f>SUM(BJ269:BJ270)</f>
        <v>27</v>
      </c>
    </row>
    <row r="271" spans="1:64" x14ac:dyDescent="0.3">
      <c r="A271" s="138"/>
      <c r="B271" s="138"/>
      <c r="C271" s="28"/>
      <c r="D271" s="138"/>
      <c r="E271" s="28"/>
      <c r="F271" s="28"/>
      <c r="G271" s="196"/>
      <c r="H271" s="28">
        <v>31</v>
      </c>
      <c r="I271" s="28" t="s">
        <v>101</v>
      </c>
      <c r="J271" s="141">
        <f>SUM(H270:H271)</f>
        <v>31</v>
      </c>
      <c r="L271" s="138" t="s">
        <v>102</v>
      </c>
      <c r="M271" s="138">
        <v>0</v>
      </c>
      <c r="N271" s="196">
        <v>0</v>
      </c>
      <c r="O271" s="138"/>
      <c r="P271" s="196"/>
      <c r="Q271" s="141"/>
      <c r="R271" s="138"/>
      <c r="S271" s="196"/>
      <c r="T271" s="138"/>
      <c r="U271" s="141"/>
      <c r="AB271" s="142" t="s">
        <v>84</v>
      </c>
      <c r="AC271" s="142">
        <f>SUM(AC269:AC270)</f>
        <v>32</v>
      </c>
      <c r="AD271" s="146">
        <f>SUM(AD269:AD270)</f>
        <v>35</v>
      </c>
      <c r="AE271" s="143"/>
      <c r="AF271" s="143"/>
      <c r="AG271" s="143"/>
      <c r="AH271" s="142"/>
      <c r="AI271" s="146"/>
      <c r="AJ271" s="143"/>
      <c r="AK271" s="142">
        <v>1</v>
      </c>
      <c r="AL271" s="143" t="s">
        <v>145</v>
      </c>
      <c r="AM271" s="146"/>
      <c r="AP271" s="138" t="s">
        <v>122</v>
      </c>
      <c r="AQ271" s="138">
        <v>23</v>
      </c>
      <c r="AR271" s="141">
        <v>25</v>
      </c>
      <c r="AS271" s="138"/>
      <c r="AT271" s="141"/>
      <c r="AU271" s="28"/>
      <c r="AV271" s="28">
        <v>24</v>
      </c>
      <c r="AW271" s="28" t="s">
        <v>123</v>
      </c>
      <c r="AX271" s="28"/>
      <c r="AY271" s="141"/>
      <c r="BB271" s="138" t="s">
        <v>89</v>
      </c>
      <c r="BC271" s="134">
        <f>320+18</f>
        <v>338</v>
      </c>
      <c r="BD271" s="136">
        <v>451</v>
      </c>
      <c r="BH271" s="134"/>
      <c r="BI271" s="136"/>
      <c r="BJ271" s="28"/>
      <c r="BK271" s="28" t="s">
        <v>91</v>
      </c>
      <c r="BL271" s="141"/>
    </row>
    <row r="272" spans="1:64" x14ac:dyDescent="0.3">
      <c r="A272" s="134" t="s">
        <v>108</v>
      </c>
      <c r="B272" s="134">
        <v>0</v>
      </c>
      <c r="C272" s="135">
        <v>0</v>
      </c>
      <c r="D272" s="134"/>
      <c r="E272" s="135">
        <v>424</v>
      </c>
      <c r="F272" s="136"/>
      <c r="G272" s="136"/>
      <c r="H272" s="135" t="s">
        <v>104</v>
      </c>
      <c r="I272" s="135"/>
      <c r="J272" s="136"/>
      <c r="L272" s="142" t="s">
        <v>84</v>
      </c>
      <c r="M272" s="142">
        <v>0</v>
      </c>
      <c r="N272" s="199">
        <v>0</v>
      </c>
      <c r="O272" s="142">
        <v>0</v>
      </c>
      <c r="P272" s="199">
        <v>0</v>
      </c>
      <c r="Q272" s="146">
        <v>0</v>
      </c>
      <c r="R272" s="142">
        <v>0</v>
      </c>
      <c r="S272" s="199">
        <v>0</v>
      </c>
      <c r="T272" s="142"/>
      <c r="U272" s="146"/>
      <c r="AB272" s="134"/>
      <c r="AC272" s="134"/>
      <c r="AD272" s="136"/>
      <c r="AE272" s="135"/>
      <c r="AF272" s="135"/>
      <c r="AG272" s="135"/>
      <c r="AH272" s="134"/>
      <c r="AI272" s="136"/>
      <c r="AJ272" s="135"/>
      <c r="AK272" s="134" t="s">
        <v>6</v>
      </c>
      <c r="AL272" s="135" t="s">
        <v>6</v>
      </c>
      <c r="AM272" s="136"/>
      <c r="AP272" s="138" t="s">
        <v>125</v>
      </c>
      <c r="AQ272" s="138">
        <v>0</v>
      </c>
      <c r="AR272" s="141">
        <v>3</v>
      </c>
      <c r="AS272" s="138"/>
      <c r="AT272" s="141"/>
      <c r="AU272" s="28"/>
      <c r="AV272" s="28">
        <v>43</v>
      </c>
      <c r="AW272" s="28" t="s">
        <v>126</v>
      </c>
      <c r="AX272" s="28"/>
      <c r="AY272" s="141"/>
      <c r="BA272" t="s">
        <v>6</v>
      </c>
      <c r="BB272" s="138" t="s">
        <v>137</v>
      </c>
      <c r="BC272" s="138">
        <v>111</v>
      </c>
      <c r="BD272" s="141">
        <v>78</v>
      </c>
      <c r="BH272" s="138"/>
      <c r="BI272" s="141"/>
      <c r="BJ272" s="43">
        <v>40</v>
      </c>
      <c r="BK272" s="43" t="s">
        <v>145</v>
      </c>
      <c r="BL272" s="141"/>
    </row>
    <row r="273" spans="1:65" x14ac:dyDescent="0.3">
      <c r="A273" s="138" t="s">
        <v>109</v>
      </c>
      <c r="B273" s="138">
        <v>869</v>
      </c>
      <c r="C273" s="28">
        <v>1197</v>
      </c>
      <c r="D273" s="138"/>
      <c r="E273" s="28">
        <v>0</v>
      </c>
      <c r="F273" s="141"/>
      <c r="G273" s="141"/>
      <c r="H273" s="43">
        <v>6</v>
      </c>
      <c r="I273" s="28" t="s">
        <v>114</v>
      </c>
      <c r="J273" s="141"/>
      <c r="L273" s="134"/>
      <c r="M273" s="134"/>
      <c r="N273" s="195"/>
      <c r="O273" s="134"/>
      <c r="P273" s="195"/>
      <c r="Q273" s="136"/>
      <c r="R273" s="134"/>
      <c r="S273" s="195"/>
      <c r="T273" s="134" t="s">
        <v>104</v>
      </c>
      <c r="U273" s="136"/>
      <c r="AB273" s="138" t="s">
        <v>6</v>
      </c>
      <c r="AC273" s="138"/>
      <c r="AD273" s="141"/>
      <c r="AE273" s="28">
        <v>0</v>
      </c>
      <c r="AF273" s="28">
        <v>0</v>
      </c>
      <c r="AG273" s="28">
        <v>0</v>
      </c>
      <c r="AH273" s="138"/>
      <c r="AI273" s="141"/>
      <c r="AJ273" s="28">
        <v>0</v>
      </c>
      <c r="AK273" s="138"/>
      <c r="AL273" s="28" t="s">
        <v>6</v>
      </c>
      <c r="AM273" s="141"/>
      <c r="AP273" s="138" t="s">
        <v>536</v>
      </c>
      <c r="AQ273" s="138">
        <v>5</v>
      </c>
      <c r="AR273" s="141">
        <v>0</v>
      </c>
      <c r="AS273" s="138"/>
      <c r="AT273" s="141"/>
      <c r="AU273" s="28"/>
      <c r="AV273" s="28">
        <v>40</v>
      </c>
      <c r="AW273" s="28" t="s">
        <v>129</v>
      </c>
      <c r="AX273" s="28"/>
      <c r="AY273" s="141"/>
      <c r="BA273" t="s">
        <v>6</v>
      </c>
      <c r="BB273" s="138" t="s">
        <v>113</v>
      </c>
      <c r="BC273" s="138">
        <v>828</v>
      </c>
      <c r="BD273" s="141">
        <f>886+10</f>
        <v>896</v>
      </c>
      <c r="BH273" s="138"/>
      <c r="BI273" s="141"/>
      <c r="BJ273" s="43">
        <v>41</v>
      </c>
      <c r="BK273" s="28" t="s">
        <v>73</v>
      </c>
      <c r="BL273" s="141"/>
    </row>
    <row r="274" spans="1:65" x14ac:dyDescent="0.3">
      <c r="A274" s="138" t="s">
        <v>84</v>
      </c>
      <c r="B274" s="138">
        <f>SUM(B272:B273)</f>
        <v>869</v>
      </c>
      <c r="C274" s="28">
        <f>SUM(C272:C273)</f>
        <v>1197</v>
      </c>
      <c r="D274" s="138"/>
      <c r="E274" s="28">
        <f>SUM(E272:E273)</f>
        <v>424</v>
      </c>
      <c r="F274" s="141"/>
      <c r="G274" s="141">
        <v>2964</v>
      </c>
      <c r="H274" s="28"/>
      <c r="I274" s="28"/>
      <c r="J274" s="141">
        <f>SUM(H273)</f>
        <v>6</v>
      </c>
      <c r="L274" s="138" t="s">
        <v>109</v>
      </c>
      <c r="M274" s="138">
        <v>2470</v>
      </c>
      <c r="N274" s="196">
        <v>0</v>
      </c>
      <c r="O274" s="138">
        <v>0</v>
      </c>
      <c r="P274" s="196">
        <v>0</v>
      </c>
      <c r="Q274" s="141">
        <v>0</v>
      </c>
      <c r="R274" s="138">
        <v>0</v>
      </c>
      <c r="S274" s="196">
        <v>0</v>
      </c>
      <c r="T274" s="138"/>
      <c r="U274" s="141"/>
      <c r="AB274" s="138"/>
      <c r="AC274" s="138"/>
      <c r="AD274" s="141"/>
      <c r="AE274" s="28">
        <v>0</v>
      </c>
      <c r="AF274" s="28">
        <v>0</v>
      </c>
      <c r="AG274" s="28">
        <v>0</v>
      </c>
      <c r="AH274" s="138"/>
      <c r="AI274" s="141"/>
      <c r="AJ274" s="28"/>
      <c r="AK274" s="138"/>
      <c r="AL274" s="28"/>
      <c r="AM274" s="141"/>
      <c r="AP274" s="138" t="s">
        <v>132</v>
      </c>
      <c r="AQ274" s="138">
        <v>0</v>
      </c>
      <c r="AR274" s="141">
        <v>0</v>
      </c>
      <c r="AS274" s="138"/>
      <c r="AT274" s="141"/>
      <c r="AU274" s="28"/>
      <c r="AV274" s="28"/>
      <c r="AW274" s="28"/>
      <c r="AX274" s="28"/>
      <c r="AY274" s="141"/>
      <c r="BB274" s="138" t="s">
        <v>84</v>
      </c>
      <c r="BC274" s="138">
        <f>SUM(BC271:BC273)</f>
        <v>1277</v>
      </c>
      <c r="BD274" s="141">
        <f>SUM(BD271:BD273)</f>
        <v>1425</v>
      </c>
      <c r="BE274">
        <v>0</v>
      </c>
      <c r="BF274">
        <v>0</v>
      </c>
      <c r="BG274">
        <v>0</v>
      </c>
      <c r="BH274" s="138">
        <v>0</v>
      </c>
      <c r="BI274" s="141">
        <v>0</v>
      </c>
      <c r="BJ274" s="28"/>
      <c r="BK274" s="28"/>
      <c r="BL274" s="141">
        <f>SUM(BJ273)</f>
        <v>41</v>
      </c>
    </row>
    <row r="275" spans="1:65" x14ac:dyDescent="0.3">
      <c r="A275" s="142"/>
      <c r="B275" s="142"/>
      <c r="C275" s="143"/>
      <c r="D275" s="142"/>
      <c r="E275" s="143"/>
      <c r="F275" s="146"/>
      <c r="G275" s="146"/>
      <c r="H275" s="143"/>
      <c r="I275" s="143"/>
      <c r="J275" s="146"/>
      <c r="L275" s="142"/>
      <c r="M275" s="142"/>
      <c r="N275" s="199"/>
      <c r="O275" s="142"/>
      <c r="P275" s="199"/>
      <c r="Q275" s="146"/>
      <c r="R275" s="142"/>
      <c r="S275" s="199"/>
      <c r="T275" s="142"/>
      <c r="U275" s="146"/>
      <c r="AB275" s="142"/>
      <c r="AC275" s="142"/>
      <c r="AD275" s="146"/>
      <c r="AE275" s="143">
        <v>0</v>
      </c>
      <c r="AF275" s="143">
        <v>0</v>
      </c>
      <c r="AG275" s="143">
        <v>0</v>
      </c>
      <c r="AH275" s="142"/>
      <c r="AI275" s="146"/>
      <c r="AJ275" s="143"/>
      <c r="AK275" s="142"/>
      <c r="AL275" s="143"/>
      <c r="AM275" s="146"/>
      <c r="AP275" s="138" t="s">
        <v>81</v>
      </c>
      <c r="AQ275" s="138">
        <v>9</v>
      </c>
      <c r="AR275" s="141">
        <v>25</v>
      </c>
      <c r="AS275" s="138"/>
      <c r="AT275" s="141"/>
      <c r="AU275" s="28"/>
      <c r="AV275" s="28"/>
      <c r="AW275" s="28"/>
      <c r="AX275" s="28"/>
      <c r="AY275" s="141"/>
      <c r="BA275" t="s">
        <v>6</v>
      </c>
      <c r="BB275" s="134"/>
      <c r="BC275" s="134"/>
      <c r="BD275" s="136"/>
      <c r="BE275" s="135"/>
      <c r="BF275" s="135"/>
      <c r="BG275" s="135"/>
      <c r="BH275" s="134"/>
      <c r="BI275" s="136"/>
      <c r="BJ275" s="135" t="s">
        <v>1025</v>
      </c>
      <c r="BK275" s="135"/>
      <c r="BL275" s="136"/>
    </row>
    <row r="276" spans="1:65" x14ac:dyDescent="0.3">
      <c r="A276" s="138" t="s">
        <v>93</v>
      </c>
      <c r="B276" s="138">
        <v>7487</v>
      </c>
      <c r="C276" s="28">
        <v>8615</v>
      </c>
      <c r="D276" s="138"/>
      <c r="E276" s="28"/>
      <c r="F276" s="28"/>
      <c r="G276" s="196">
        <v>8310</v>
      </c>
      <c r="H276" s="28" t="s">
        <v>118</v>
      </c>
      <c r="I276" s="28"/>
      <c r="J276" s="141"/>
      <c r="L276" s="134" t="s">
        <v>93</v>
      </c>
      <c r="M276" s="134">
        <v>0</v>
      </c>
      <c r="N276" s="195">
        <v>0</v>
      </c>
      <c r="O276" s="134"/>
      <c r="P276" s="195"/>
      <c r="Q276" s="136"/>
      <c r="R276" s="134">
        <v>0</v>
      </c>
      <c r="S276" s="195">
        <v>0</v>
      </c>
      <c r="T276" s="134" t="s">
        <v>116</v>
      </c>
      <c r="U276" s="136"/>
      <c r="AB276" s="138"/>
      <c r="AC276" s="138"/>
      <c r="AD276" s="141"/>
      <c r="AE276" s="28"/>
      <c r="AF276" s="28"/>
      <c r="AG276" s="28"/>
      <c r="AH276" s="138"/>
      <c r="AI276" s="141"/>
      <c r="AJ276" s="28"/>
      <c r="AK276" s="138"/>
      <c r="AL276" s="28" t="s">
        <v>117</v>
      </c>
      <c r="AM276" s="141"/>
      <c r="AP276" s="138" t="s">
        <v>138</v>
      </c>
      <c r="AQ276" s="138">
        <v>0</v>
      </c>
      <c r="AR276" s="141">
        <v>0</v>
      </c>
      <c r="AS276" s="138"/>
      <c r="AT276" s="141"/>
      <c r="AU276" s="28"/>
      <c r="AV276" s="28"/>
      <c r="AW276" s="28"/>
      <c r="AX276" s="28"/>
      <c r="AY276" s="141"/>
      <c r="BB276" s="142" t="s">
        <v>64</v>
      </c>
      <c r="BC276" s="142">
        <v>44</v>
      </c>
      <c r="BD276" s="146">
        <v>35</v>
      </c>
      <c r="BE276" s="143"/>
      <c r="BF276" s="143"/>
      <c r="BG276" s="143"/>
      <c r="BH276" s="142"/>
      <c r="BI276" s="146"/>
      <c r="BJ276" s="143">
        <v>9</v>
      </c>
      <c r="BK276" s="143" t="s">
        <v>1026</v>
      </c>
      <c r="BL276" s="146">
        <f>SUM(BJ276)</f>
        <v>9</v>
      </c>
    </row>
    <row r="277" spans="1:65" x14ac:dyDescent="0.3">
      <c r="A277" s="138" t="s">
        <v>120</v>
      </c>
      <c r="B277" s="138">
        <v>4858</v>
      </c>
      <c r="C277" s="43">
        <v>6353</v>
      </c>
      <c r="D277" s="138"/>
      <c r="E277" s="28" t="s">
        <v>60</v>
      </c>
      <c r="F277" s="28"/>
      <c r="G277" s="196">
        <v>7410</v>
      </c>
      <c r="H277" s="28">
        <v>109</v>
      </c>
      <c r="I277" s="28" t="s">
        <v>101</v>
      </c>
      <c r="J277" s="141"/>
      <c r="L277" s="138" t="s">
        <v>99</v>
      </c>
      <c r="M277" s="138">
        <v>21533</v>
      </c>
      <c r="N277" s="196">
        <v>8673</v>
      </c>
      <c r="O277" s="138"/>
      <c r="P277" s="196"/>
      <c r="Q277" s="141"/>
      <c r="R277" s="138">
        <v>5887</v>
      </c>
      <c r="S277" s="196">
        <v>170</v>
      </c>
      <c r="T277" s="138"/>
      <c r="U277" s="141"/>
      <c r="AB277" s="138"/>
      <c r="AC277" s="138"/>
      <c r="AD277" s="141"/>
      <c r="AE277" s="28"/>
      <c r="AF277" s="28"/>
      <c r="AG277" s="28"/>
      <c r="AH277" s="138"/>
      <c r="AI277" s="141"/>
      <c r="AJ277" s="28"/>
      <c r="AK277" s="138"/>
      <c r="AL277" s="28" t="s">
        <v>558</v>
      </c>
      <c r="AM277" s="141"/>
      <c r="AP277" s="138" t="s">
        <v>230</v>
      </c>
      <c r="AQ277" s="138">
        <v>5</v>
      </c>
      <c r="AR277" s="141">
        <v>5</v>
      </c>
      <c r="AS277" s="138"/>
      <c r="AT277" s="141"/>
      <c r="AU277" s="28"/>
      <c r="AV277" s="28"/>
      <c r="AW277" s="28"/>
      <c r="AX277" s="28"/>
      <c r="AY277" s="141"/>
      <c r="BB277" s="138" t="s">
        <v>113</v>
      </c>
      <c r="BC277" s="138">
        <v>326</v>
      </c>
      <c r="BD277" s="141">
        <v>321</v>
      </c>
      <c r="BE277" s="28"/>
      <c r="BF277" s="28"/>
      <c r="BG277" s="28"/>
      <c r="BH277" s="138"/>
      <c r="BI277" s="141"/>
      <c r="BJ277" s="28" t="s">
        <v>994</v>
      </c>
      <c r="BK277" s="28"/>
      <c r="BL277" s="141"/>
    </row>
    <row r="278" spans="1:65" x14ac:dyDescent="0.3">
      <c r="A278" s="142" t="s">
        <v>84</v>
      </c>
      <c r="B278" s="142">
        <f>SUM(B276:B277)</f>
        <v>12345</v>
      </c>
      <c r="C278" s="143">
        <f>SUM(C276:C277)</f>
        <v>14968</v>
      </c>
      <c r="D278" s="142"/>
      <c r="E278" s="143"/>
      <c r="F278" s="143"/>
      <c r="G278" s="199">
        <f>SUM(G276:G277)</f>
        <v>15720</v>
      </c>
      <c r="H278" s="143">
        <v>1</v>
      </c>
      <c r="I278" s="143" t="s">
        <v>927</v>
      </c>
      <c r="J278" s="146">
        <f>SUM(H277:H278)</f>
        <v>110</v>
      </c>
      <c r="L278" s="138" t="s">
        <v>120</v>
      </c>
      <c r="M278" s="138">
        <v>2</v>
      </c>
      <c r="N278" s="196">
        <v>15526</v>
      </c>
      <c r="O278" s="138"/>
      <c r="P278" s="196"/>
      <c r="Q278" s="141" t="s">
        <v>6</v>
      </c>
      <c r="R278" s="138">
        <v>0</v>
      </c>
      <c r="S278" s="196">
        <v>0</v>
      </c>
      <c r="T278" s="138"/>
      <c r="U278" s="141"/>
      <c r="AB278" s="138"/>
      <c r="AC278" s="138"/>
      <c r="AD278" s="141"/>
      <c r="AE278" s="28"/>
      <c r="AF278" s="28"/>
      <c r="AG278" s="28"/>
      <c r="AH278" s="138"/>
      <c r="AI278" s="141"/>
      <c r="AJ278" s="28"/>
      <c r="AK278" s="138"/>
      <c r="AL278" s="28" t="s">
        <v>401</v>
      </c>
      <c r="AM278" s="141"/>
      <c r="AP278" s="138" t="s">
        <v>67</v>
      </c>
      <c r="AQ278" s="138">
        <v>101</v>
      </c>
      <c r="AR278" s="141">
        <v>88</v>
      </c>
      <c r="AS278" s="138"/>
      <c r="AT278" s="141"/>
      <c r="AU278" s="28"/>
      <c r="AV278" s="28"/>
      <c r="AW278" s="28"/>
      <c r="AX278" s="28"/>
      <c r="AY278" s="141"/>
      <c r="BB278" s="138" t="s">
        <v>475</v>
      </c>
      <c r="BC278" s="138">
        <v>0</v>
      </c>
      <c r="BD278" s="141">
        <v>0</v>
      </c>
      <c r="BE278" s="28"/>
      <c r="BF278" s="28"/>
      <c r="BG278" s="28"/>
      <c r="BH278" s="138"/>
      <c r="BI278" s="141"/>
      <c r="BJ278" s="28">
        <v>12</v>
      </c>
      <c r="BK278" s="28" t="s">
        <v>100</v>
      </c>
      <c r="BL278" s="141"/>
      <c r="BM278" t="s">
        <v>6</v>
      </c>
    </row>
    <row r="279" spans="1:65" x14ac:dyDescent="0.3">
      <c r="A279" s="195" t="s">
        <v>1027</v>
      </c>
      <c r="B279" s="134">
        <v>38</v>
      </c>
      <c r="C279" s="136">
        <v>78</v>
      </c>
      <c r="D279" s="134"/>
      <c r="E279" s="135"/>
      <c r="F279" s="135"/>
      <c r="G279" s="195">
        <v>126</v>
      </c>
      <c r="H279" s="135"/>
      <c r="I279" s="135"/>
      <c r="J279" s="136"/>
      <c r="L279" s="142" t="s">
        <v>84</v>
      </c>
      <c r="M279" s="142">
        <f>SUM(M276:M278)</f>
        <v>21535</v>
      </c>
      <c r="N279" s="199">
        <f>SUM(N276:N278)</f>
        <v>24199</v>
      </c>
      <c r="O279" s="142">
        <v>0</v>
      </c>
      <c r="P279" s="199">
        <v>0</v>
      </c>
      <c r="Q279" s="146">
        <v>0</v>
      </c>
      <c r="R279" s="142">
        <f>SUM(R276:R278)</f>
        <v>5887</v>
      </c>
      <c r="S279" s="199">
        <f>SUM(S276:S278)</f>
        <v>170</v>
      </c>
      <c r="T279" s="142"/>
      <c r="U279" s="146"/>
      <c r="AB279" s="138"/>
      <c r="AC279" s="138"/>
      <c r="AD279" s="141"/>
      <c r="AE279" s="28"/>
      <c r="AF279" s="28"/>
      <c r="AG279" s="28"/>
      <c r="AH279" s="138"/>
      <c r="AI279" s="141"/>
      <c r="AJ279" s="28"/>
      <c r="AK279" s="138">
        <v>1</v>
      </c>
      <c r="AL279" s="28" t="s">
        <v>124</v>
      </c>
      <c r="AM279" s="141"/>
      <c r="AP279" s="142" t="s">
        <v>84</v>
      </c>
      <c r="AQ279" s="142">
        <f>SUM(AQ266:AQ278)</f>
        <v>366</v>
      </c>
      <c r="AR279" s="146">
        <f>SUM(AR266:AR278)</f>
        <v>274</v>
      </c>
      <c r="AS279" s="142"/>
      <c r="AT279" s="146">
        <v>0</v>
      </c>
      <c r="AU279" s="143"/>
      <c r="AV279" s="143"/>
      <c r="AW279" s="143"/>
      <c r="AX279" s="143"/>
      <c r="AY279" s="146">
        <f>SUM(AV271:AV273)</f>
        <v>107</v>
      </c>
      <c r="BB279" s="142" t="s">
        <v>84</v>
      </c>
      <c r="BC279" s="142">
        <f>SUM(BC277:BC278)</f>
        <v>326</v>
      </c>
      <c r="BD279" s="146">
        <f>SUM(BD277:BD278)</f>
        <v>321</v>
      </c>
      <c r="BE279" s="143">
        <v>0</v>
      </c>
      <c r="BF279" s="143">
        <v>0</v>
      </c>
      <c r="BG279" s="143">
        <v>0</v>
      </c>
      <c r="BH279" s="142">
        <v>0</v>
      </c>
      <c r="BI279" s="146">
        <v>0</v>
      </c>
      <c r="BJ279" s="43">
        <v>31</v>
      </c>
      <c r="BK279" s="43" t="s">
        <v>73</v>
      </c>
      <c r="BL279" s="146">
        <f>SUM(BJ279)</f>
        <v>31</v>
      </c>
    </row>
    <row r="280" spans="1:65" x14ac:dyDescent="0.3">
      <c r="A280" s="196" t="s">
        <v>88</v>
      </c>
      <c r="B280" s="138">
        <v>449</v>
      </c>
      <c r="C280" s="141">
        <v>1764</v>
      </c>
      <c r="D280" s="138"/>
      <c r="E280" s="28">
        <v>0</v>
      </c>
      <c r="F280" s="28"/>
      <c r="G280" s="196">
        <v>2717</v>
      </c>
      <c r="H280" s="28" t="s">
        <v>131</v>
      </c>
      <c r="I280" s="28"/>
      <c r="J280" s="141"/>
      <c r="L280" s="134"/>
      <c r="M280" s="134"/>
      <c r="N280" s="195"/>
      <c r="O280" s="134"/>
      <c r="P280" s="195"/>
      <c r="Q280" s="136"/>
      <c r="R280" s="134"/>
      <c r="S280" s="195"/>
      <c r="T280" s="134"/>
      <c r="U280" s="136"/>
      <c r="AB280" s="134"/>
      <c r="AC280" s="134"/>
      <c r="AD280" s="136"/>
      <c r="AE280" s="135"/>
      <c r="AF280" s="135"/>
      <c r="AG280" s="135"/>
      <c r="AH280" s="134"/>
      <c r="AI280" s="136"/>
      <c r="AJ280" s="135"/>
      <c r="AK280" s="134"/>
      <c r="AL280" s="135"/>
      <c r="AM280" s="136"/>
      <c r="AP280" s="134"/>
      <c r="AQ280" s="134"/>
      <c r="AR280" s="136"/>
      <c r="AS280" s="134"/>
      <c r="AT280" s="136"/>
      <c r="AU280" s="135"/>
      <c r="AV280" s="135"/>
      <c r="AW280" s="135"/>
      <c r="AX280" s="135"/>
      <c r="AY280" s="136"/>
      <c r="BB280" s="196" t="s">
        <v>1028</v>
      </c>
      <c r="BC280" s="138"/>
      <c r="BD280" s="141">
        <v>1</v>
      </c>
      <c r="BE280" s="134"/>
      <c r="BF280" s="135"/>
      <c r="BG280" s="136"/>
      <c r="BH280" s="138"/>
      <c r="BI280" s="141"/>
      <c r="BJ280" s="134" t="s">
        <v>140</v>
      </c>
      <c r="BK280" s="135"/>
      <c r="BL280" s="136"/>
    </row>
    <row r="281" spans="1:65" x14ac:dyDescent="0.3">
      <c r="A281" s="211" t="s">
        <v>99</v>
      </c>
      <c r="B281" s="212">
        <v>1105</v>
      </c>
      <c r="C281" s="209">
        <v>1782</v>
      </c>
      <c r="D281" s="138"/>
      <c r="E281" s="28">
        <v>0</v>
      </c>
      <c r="F281" s="28"/>
      <c r="G281" s="211">
        <v>3274</v>
      </c>
      <c r="H281" s="28"/>
      <c r="I281" s="28"/>
      <c r="J281" s="141"/>
      <c r="L281" s="138" t="s">
        <v>105</v>
      </c>
      <c r="M281" s="138">
        <v>681</v>
      </c>
      <c r="N281" s="196">
        <v>19</v>
      </c>
      <c r="O281" s="138">
        <v>0</v>
      </c>
      <c r="P281" s="196">
        <v>0</v>
      </c>
      <c r="Q281" s="141">
        <v>0</v>
      </c>
      <c r="R281" s="138">
        <v>0</v>
      </c>
      <c r="S281" s="196">
        <v>0</v>
      </c>
      <c r="T281" s="138"/>
      <c r="U281" s="141"/>
      <c r="AB281" s="138" t="s">
        <v>97</v>
      </c>
      <c r="AC281" s="138">
        <v>250</v>
      </c>
      <c r="AD281" s="141">
        <v>248</v>
      </c>
      <c r="AE281" s="28"/>
      <c r="AF281" s="28"/>
      <c r="AG281" s="28"/>
      <c r="AH281" s="138"/>
      <c r="AI281" s="141"/>
      <c r="AJ281" s="28"/>
      <c r="AK281" s="138"/>
      <c r="AL281" s="28"/>
      <c r="AM281" s="141"/>
      <c r="AP281" s="138" t="s">
        <v>63</v>
      </c>
      <c r="AQ281" s="138">
        <v>1</v>
      </c>
      <c r="AR281" s="141">
        <v>1</v>
      </c>
      <c r="AS281" s="138"/>
      <c r="AT281" s="141"/>
      <c r="AU281" s="28"/>
      <c r="AV281" s="28"/>
      <c r="AW281" s="28"/>
      <c r="AX281" s="28"/>
      <c r="AY281" s="141"/>
      <c r="BB281" s="196" t="s">
        <v>164</v>
      </c>
      <c r="BC281" s="138">
        <v>5</v>
      </c>
      <c r="BD281" s="141"/>
      <c r="BE281" s="138"/>
      <c r="BF281" s="28"/>
      <c r="BG281" s="141"/>
      <c r="BH281" s="138"/>
      <c r="BI281" s="141"/>
      <c r="BJ281" s="138"/>
      <c r="BK281" s="28"/>
      <c r="BL281" s="141"/>
    </row>
    <row r="282" spans="1:65" x14ac:dyDescent="0.3">
      <c r="A282" s="196" t="s">
        <v>102</v>
      </c>
      <c r="B282" s="138">
        <v>391</v>
      </c>
      <c r="C282" s="209">
        <v>715</v>
      </c>
      <c r="D282" s="138"/>
      <c r="E282" s="28">
        <v>0</v>
      </c>
      <c r="F282" s="28"/>
      <c r="G282" s="196">
        <v>1358</v>
      </c>
      <c r="H282" s="43">
        <v>38</v>
      </c>
      <c r="I282" s="28" t="s">
        <v>134</v>
      </c>
      <c r="J282" s="141"/>
      <c r="L282" s="138" t="s">
        <v>99</v>
      </c>
      <c r="M282" s="138">
        <v>223</v>
      </c>
      <c r="N282" s="196"/>
      <c r="O282" s="138">
        <v>0</v>
      </c>
      <c r="P282" s="196">
        <v>0</v>
      </c>
      <c r="Q282" s="141">
        <v>0</v>
      </c>
      <c r="R282" s="138">
        <v>0</v>
      </c>
      <c r="S282" s="196">
        <v>0</v>
      </c>
      <c r="T282" s="138" t="s">
        <v>135</v>
      </c>
      <c r="U282" s="141"/>
      <c r="AB282" s="138" t="s">
        <v>89</v>
      </c>
      <c r="AC282" s="138">
        <v>591</v>
      </c>
      <c r="AD282" s="141">
        <v>448</v>
      </c>
      <c r="AE282" s="28"/>
      <c r="AF282" s="28"/>
      <c r="AG282" s="28"/>
      <c r="AH282" s="138"/>
      <c r="AI282" s="141"/>
      <c r="AJ282" s="28"/>
      <c r="AK282" s="138" t="s">
        <v>953</v>
      </c>
      <c r="AL282" s="28"/>
      <c r="AM282" s="141"/>
      <c r="AP282" s="138" t="s">
        <v>536</v>
      </c>
      <c r="AQ282" s="138">
        <v>0</v>
      </c>
      <c r="AR282" s="141">
        <v>0</v>
      </c>
      <c r="AS282" s="138"/>
      <c r="AT282" s="141"/>
      <c r="AU282" s="28"/>
      <c r="AV282" s="28"/>
      <c r="AW282" s="28"/>
      <c r="AX282" s="28"/>
      <c r="AY282" s="141"/>
      <c r="BB282" s="196" t="s">
        <v>133</v>
      </c>
      <c r="BC282" s="138">
        <f>4+3+19</f>
        <v>26</v>
      </c>
      <c r="BD282" s="141">
        <f>3+18</f>
        <v>21</v>
      </c>
      <c r="BE282" s="138"/>
      <c r="BF282" s="28"/>
      <c r="BG282" s="141"/>
      <c r="BH282" s="138"/>
      <c r="BI282" s="141"/>
      <c r="BJ282" s="138"/>
      <c r="BK282" s="28"/>
      <c r="BL282" s="141"/>
    </row>
    <row r="283" spans="1:65" x14ac:dyDescent="0.3">
      <c r="A283" s="196" t="s">
        <v>84</v>
      </c>
      <c r="B283" s="142">
        <f>SUM(B279:B282)</f>
        <v>1983</v>
      </c>
      <c r="C283" s="146">
        <f>SUM(C279:C282)</f>
        <v>4339</v>
      </c>
      <c r="D283" s="142"/>
      <c r="E283" s="143">
        <v>0</v>
      </c>
      <c r="F283" s="143"/>
      <c r="G283" s="199">
        <f>SUM(G280:G282)</f>
        <v>7349</v>
      </c>
      <c r="H283" s="143">
        <v>5</v>
      </c>
      <c r="I283" s="143" t="s">
        <v>815</v>
      </c>
      <c r="J283" s="146">
        <f>SUM(H282:H283)</f>
        <v>43</v>
      </c>
      <c r="L283" s="138"/>
      <c r="M283" s="138"/>
      <c r="N283" s="196"/>
      <c r="O283" s="138"/>
      <c r="P283" s="196"/>
      <c r="Q283" s="141"/>
      <c r="R283" s="138"/>
      <c r="S283" s="196"/>
      <c r="T283" s="138"/>
      <c r="U283" s="141"/>
      <c r="AB283" s="138" t="s">
        <v>137</v>
      </c>
      <c r="AC283" s="138">
        <v>327</v>
      </c>
      <c r="AD283" s="141">
        <v>395</v>
      </c>
      <c r="AE283" s="28"/>
      <c r="AF283" s="28"/>
      <c r="AG283" s="28"/>
      <c r="AH283" s="138"/>
      <c r="AI283" s="141"/>
      <c r="AJ283" s="28"/>
      <c r="AK283" s="138">
        <v>3</v>
      </c>
      <c r="AL283" s="28" t="s">
        <v>884</v>
      </c>
      <c r="AM283" s="141"/>
      <c r="AP283" s="138" t="s">
        <v>56</v>
      </c>
      <c r="AQ283" s="138">
        <v>0</v>
      </c>
      <c r="AR283" s="141">
        <v>0</v>
      </c>
      <c r="AS283" s="138"/>
      <c r="AT283" s="141"/>
      <c r="AU283" s="28"/>
      <c r="AV283" s="28" t="s">
        <v>173</v>
      </c>
      <c r="AW283" s="28"/>
      <c r="AX283" s="28"/>
      <c r="AY283" s="141"/>
      <c r="BB283" s="196" t="s">
        <v>113</v>
      </c>
      <c r="BC283" s="138">
        <f>5+3+16+2</f>
        <v>26</v>
      </c>
      <c r="BD283" s="141">
        <f>2+2+16+5</f>
        <v>25</v>
      </c>
      <c r="BE283" s="138"/>
      <c r="BF283" s="28"/>
      <c r="BG283" s="141"/>
      <c r="BH283" s="138"/>
      <c r="BI283" s="141"/>
      <c r="BJ283" s="138" t="s">
        <v>142</v>
      </c>
      <c r="BK283" s="28"/>
      <c r="BL283" s="141" t="s">
        <v>620</v>
      </c>
    </row>
    <row r="284" spans="1:65" x14ac:dyDescent="0.3">
      <c r="A284" s="195"/>
      <c r="B284" s="28"/>
      <c r="C284" s="28"/>
      <c r="D284" s="138"/>
      <c r="E284" s="28" t="s">
        <v>6</v>
      </c>
      <c r="F284" s="28"/>
      <c r="G284" s="196"/>
      <c r="H284" s="28" t="s">
        <v>116</v>
      </c>
      <c r="I284" s="28"/>
      <c r="J284" s="141"/>
      <c r="L284" s="142" t="s">
        <v>84</v>
      </c>
      <c r="M284" s="142">
        <f>SUM(M281:M283)</f>
        <v>904</v>
      </c>
      <c r="N284" s="199">
        <f>SUM(N281:N283)</f>
        <v>19</v>
      </c>
      <c r="O284" s="142">
        <v>0</v>
      </c>
      <c r="P284" s="199">
        <v>0</v>
      </c>
      <c r="Q284" s="146">
        <v>0</v>
      </c>
      <c r="R284" s="142">
        <f>SUM(R281:R283)</f>
        <v>0</v>
      </c>
      <c r="S284" s="199">
        <v>0</v>
      </c>
      <c r="T284" s="142"/>
      <c r="U284" s="146"/>
      <c r="AB284" s="138" t="s">
        <v>84</v>
      </c>
      <c r="AC284" s="138">
        <f>SUM(AC281:AC283)</f>
        <v>1168</v>
      </c>
      <c r="AD284" s="141">
        <f>SUM(AD281:AD283)</f>
        <v>1091</v>
      </c>
      <c r="AE284" s="28">
        <v>0</v>
      </c>
      <c r="AF284" s="28">
        <v>0</v>
      </c>
      <c r="AG284" s="28">
        <v>0</v>
      </c>
      <c r="AH284" s="138">
        <v>0</v>
      </c>
      <c r="AI284" s="141">
        <v>0</v>
      </c>
      <c r="AJ284" s="28">
        <v>0</v>
      </c>
      <c r="AK284" s="138">
        <v>18</v>
      </c>
      <c r="AL284" s="28" t="s">
        <v>141</v>
      </c>
      <c r="AM284" s="141"/>
      <c r="AP284" s="138" t="s">
        <v>67</v>
      </c>
      <c r="AQ284" s="138">
        <v>6</v>
      </c>
      <c r="AR284" s="141">
        <v>7</v>
      </c>
      <c r="AS284" s="138"/>
      <c r="AT284" s="141"/>
      <c r="AU284" s="28"/>
      <c r="AV284" s="28"/>
      <c r="AW284" s="28"/>
      <c r="AX284" s="28"/>
      <c r="AY284" s="141"/>
      <c r="BB284" s="196" t="s">
        <v>108</v>
      </c>
      <c r="BC284" s="138">
        <v>6</v>
      </c>
      <c r="BD284" s="141">
        <v>7</v>
      </c>
      <c r="BE284" s="138"/>
      <c r="BF284" s="28"/>
      <c r="BG284" s="141"/>
      <c r="BH284" s="138"/>
      <c r="BI284" s="141"/>
      <c r="BJ284" s="138" t="s">
        <v>146</v>
      </c>
      <c r="BK284" s="28"/>
      <c r="BL284" s="141" t="s">
        <v>955</v>
      </c>
    </row>
    <row r="285" spans="1:65" x14ac:dyDescent="0.3">
      <c r="A285" s="196" t="s">
        <v>93</v>
      </c>
      <c r="B285" s="43">
        <v>4043</v>
      </c>
      <c r="C285" s="43">
        <v>4643</v>
      </c>
      <c r="D285" s="138"/>
      <c r="E285" s="28" t="s">
        <v>60</v>
      </c>
      <c r="F285" s="28"/>
      <c r="G285" s="196">
        <v>4991</v>
      </c>
      <c r="H285" s="43"/>
      <c r="I285" s="28" t="s">
        <v>144</v>
      </c>
      <c r="J285" s="141"/>
      <c r="L285" s="138"/>
      <c r="M285" s="138"/>
      <c r="N285" s="196"/>
      <c r="O285" s="138"/>
      <c r="P285" s="196"/>
      <c r="Q285" s="141"/>
      <c r="R285" s="138"/>
      <c r="S285" s="196"/>
      <c r="T285" s="138"/>
      <c r="U285" s="141"/>
      <c r="AB285" s="142"/>
      <c r="AC285" s="142"/>
      <c r="AD285" s="146"/>
      <c r="AE285" s="143"/>
      <c r="AF285" s="143"/>
      <c r="AG285" s="143"/>
      <c r="AH285" s="142"/>
      <c r="AI285" s="146"/>
      <c r="AJ285" s="143"/>
      <c r="AK285" s="142">
        <v>1</v>
      </c>
      <c r="AL285" s="143" t="s">
        <v>996</v>
      </c>
      <c r="AM285" s="146"/>
      <c r="AP285" s="138" t="s">
        <v>78</v>
      </c>
      <c r="AQ285" s="138">
        <v>0</v>
      </c>
      <c r="AR285" s="141">
        <v>0</v>
      </c>
      <c r="AS285" s="138"/>
      <c r="AT285" s="141"/>
      <c r="AU285" s="28"/>
      <c r="AV285" s="28">
        <v>5</v>
      </c>
      <c r="AW285" s="28" t="s">
        <v>183</v>
      </c>
      <c r="AX285" s="28"/>
      <c r="AY285" s="141"/>
      <c r="BA285" t="s">
        <v>6</v>
      </c>
      <c r="BB285" s="196" t="s">
        <v>608</v>
      </c>
      <c r="BC285" s="138">
        <v>4</v>
      </c>
      <c r="BD285" s="141">
        <v>0</v>
      </c>
      <c r="BE285" s="138"/>
      <c r="BF285" s="28"/>
      <c r="BG285" s="141"/>
      <c r="BH285" s="138"/>
      <c r="BI285" s="141"/>
      <c r="BJ285" s="138"/>
      <c r="BK285" s="28"/>
      <c r="BL285" s="141"/>
    </row>
    <row r="286" spans="1:65" x14ac:dyDescent="0.3">
      <c r="A286" s="196" t="s">
        <v>99</v>
      </c>
      <c r="B286" s="43">
        <v>10055</v>
      </c>
      <c r="C286" s="43">
        <v>10729</v>
      </c>
      <c r="D286" s="138"/>
      <c r="E286" s="28" t="s">
        <v>60</v>
      </c>
      <c r="F286" s="28"/>
      <c r="G286" s="196">
        <v>14007</v>
      </c>
      <c r="H286" s="43"/>
      <c r="I286" s="28" t="s">
        <v>148</v>
      </c>
      <c r="J286" s="141"/>
      <c r="L286" s="138"/>
      <c r="M286" s="138"/>
      <c r="N286" s="196"/>
      <c r="O286" s="138"/>
      <c r="P286" s="196"/>
      <c r="Q286" s="141"/>
      <c r="R286" s="138"/>
      <c r="S286" s="196"/>
      <c r="T286" s="138"/>
      <c r="U286" s="141"/>
      <c r="AB286" s="138"/>
      <c r="AC286" s="138"/>
      <c r="AD286" s="141"/>
      <c r="AE286" s="28"/>
      <c r="AF286" s="28"/>
      <c r="AG286" s="28"/>
      <c r="AH286" s="138"/>
      <c r="AI286" s="141"/>
      <c r="AJ286" s="28"/>
      <c r="AK286" s="138" t="s">
        <v>149</v>
      </c>
      <c r="AL286" s="28"/>
      <c r="AM286" s="141"/>
      <c r="AP286" s="138" t="s">
        <v>115</v>
      </c>
      <c r="AQ286" s="138">
        <v>0</v>
      </c>
      <c r="AR286" s="141">
        <v>0</v>
      </c>
      <c r="AS286" s="138"/>
      <c r="AT286" s="141"/>
      <c r="AU286" s="28"/>
      <c r="AV286" s="28" t="s">
        <v>6</v>
      </c>
      <c r="AW286" s="28"/>
      <c r="AX286" s="28"/>
      <c r="AY286" s="141"/>
      <c r="BB286" s="196" t="s">
        <v>99</v>
      </c>
      <c r="BC286" s="138">
        <v>0</v>
      </c>
      <c r="BD286" s="141">
        <f>2+2</f>
        <v>4</v>
      </c>
      <c r="BE286" s="138" t="s">
        <v>150</v>
      </c>
      <c r="BF286" s="28"/>
      <c r="BG286" s="141"/>
      <c r="BH286" s="138"/>
      <c r="BI286" s="141"/>
      <c r="BJ286" s="138" t="s">
        <v>151</v>
      </c>
      <c r="BK286" s="28"/>
      <c r="BL286" s="141"/>
    </row>
    <row r="287" spans="1:65" x14ac:dyDescent="0.3">
      <c r="A287" s="196" t="s">
        <v>120</v>
      </c>
      <c r="B287" s="43">
        <v>3522</v>
      </c>
      <c r="C287" s="28">
        <v>4413</v>
      </c>
      <c r="D287" s="138"/>
      <c r="E287" s="28" t="s">
        <v>60</v>
      </c>
      <c r="F287" s="28"/>
      <c r="G287" s="196">
        <v>5039</v>
      </c>
      <c r="H287" s="43"/>
      <c r="I287" s="28" t="s">
        <v>152</v>
      </c>
      <c r="J287" s="141"/>
      <c r="L287" s="138"/>
      <c r="M287" s="138"/>
      <c r="N287" s="196"/>
      <c r="O287" s="138"/>
      <c r="P287" s="196"/>
      <c r="Q287" s="141"/>
      <c r="R287" s="138"/>
      <c r="S287" s="196"/>
      <c r="T287" s="138"/>
      <c r="U287" s="141"/>
      <c r="AB287" s="138" t="s">
        <v>99</v>
      </c>
      <c r="AC287" s="138">
        <v>0</v>
      </c>
      <c r="AD287" s="141">
        <v>0</v>
      </c>
      <c r="AE287" s="28">
        <v>0</v>
      </c>
      <c r="AF287" s="28">
        <v>0</v>
      </c>
      <c r="AG287" s="28">
        <v>0</v>
      </c>
      <c r="AH287" s="138">
        <v>45639</v>
      </c>
      <c r="AI287" s="141">
        <v>8216</v>
      </c>
      <c r="AJ287" s="28">
        <v>0</v>
      </c>
      <c r="AK287" s="138">
        <v>4</v>
      </c>
      <c r="AL287" s="28" t="s">
        <v>153</v>
      </c>
      <c r="AM287" s="141"/>
      <c r="AP287" s="138" t="s">
        <v>72</v>
      </c>
      <c r="AQ287" s="138">
        <v>0</v>
      </c>
      <c r="AR287" s="141">
        <v>0</v>
      </c>
      <c r="AS287" s="138"/>
      <c r="AT287" s="141"/>
      <c r="AU287" s="28"/>
      <c r="AV287" s="28"/>
      <c r="AW287" s="28"/>
      <c r="AX287" s="28"/>
      <c r="AY287" s="141"/>
      <c r="BB287" s="196" t="s">
        <v>85</v>
      </c>
      <c r="BC287" s="138">
        <v>10</v>
      </c>
      <c r="BD287" s="141">
        <v>0</v>
      </c>
      <c r="BE287" s="138"/>
      <c r="BF287" s="28"/>
      <c r="BG287" s="141"/>
      <c r="BH287" s="138"/>
      <c r="BI287" s="141"/>
      <c r="BJ287" s="138" t="s">
        <v>320</v>
      </c>
      <c r="BK287" s="28" t="s">
        <v>1029</v>
      </c>
      <c r="BL287" s="141" t="s">
        <v>841</v>
      </c>
    </row>
    <row r="288" spans="1:65" x14ac:dyDescent="0.3">
      <c r="A288" s="199" t="s">
        <v>84</v>
      </c>
      <c r="B288" s="143">
        <f>SUM(B285:B287)</f>
        <v>17620</v>
      </c>
      <c r="C288" s="143">
        <f>SUM(C285:C287)</f>
        <v>19785</v>
      </c>
      <c r="D288" s="142"/>
      <c r="E288" s="143"/>
      <c r="F288" s="143"/>
      <c r="G288" s="199">
        <f>SUM(G285:G287)</f>
        <v>24037</v>
      </c>
      <c r="H288" s="143"/>
      <c r="I288" s="143" t="s">
        <v>958</v>
      </c>
      <c r="J288" s="146">
        <f>SUM(H285:H288)</f>
        <v>0</v>
      </c>
      <c r="L288" s="138"/>
      <c r="M288" s="138"/>
      <c r="N288" s="196"/>
      <c r="O288" s="138"/>
      <c r="P288" s="196"/>
      <c r="Q288" s="141"/>
      <c r="R288" s="138"/>
      <c r="S288" s="196"/>
      <c r="T288" s="138"/>
      <c r="U288" s="141"/>
      <c r="AB288" s="138"/>
      <c r="AC288" s="138"/>
      <c r="AD288" s="141"/>
      <c r="AE288" s="28"/>
      <c r="AF288" s="28"/>
      <c r="AG288" s="28"/>
      <c r="AH288" s="138"/>
      <c r="AI288" s="141"/>
      <c r="AJ288" s="28"/>
      <c r="AK288" s="138" t="s">
        <v>157</v>
      </c>
      <c r="AL288" s="28"/>
      <c r="AM288" s="141"/>
      <c r="AP288" s="142" t="s">
        <v>84</v>
      </c>
      <c r="AQ288" s="142">
        <f>SUM(AQ281:AQ287)</f>
        <v>7</v>
      </c>
      <c r="AR288" s="146">
        <f>SUM(AR281:AR287)</f>
        <v>8</v>
      </c>
      <c r="AS288" s="142"/>
      <c r="AT288" s="146"/>
      <c r="AU288" s="143"/>
      <c r="AV288" s="143"/>
      <c r="AW288" s="143"/>
      <c r="AX288" s="143"/>
      <c r="AY288" s="146">
        <f>SUM(AV285)</f>
        <v>5</v>
      </c>
      <c r="BB288" s="196" t="s">
        <v>358</v>
      </c>
      <c r="BC288" s="138">
        <v>0</v>
      </c>
      <c r="BD288" s="141">
        <v>9</v>
      </c>
      <c r="BE288" s="138"/>
      <c r="BF288" s="28"/>
      <c r="BG288" s="141"/>
      <c r="BH288" s="138"/>
      <c r="BI288" s="141"/>
      <c r="BJ288" s="138" t="s">
        <v>160</v>
      </c>
      <c r="BK288" s="28" t="s">
        <v>455</v>
      </c>
      <c r="BL288" s="141" t="s">
        <v>614</v>
      </c>
    </row>
    <row r="289" spans="1:64" x14ac:dyDescent="0.3">
      <c r="A289" s="195"/>
      <c r="B289" s="135"/>
      <c r="C289" s="135"/>
      <c r="D289" s="134"/>
      <c r="E289" s="135"/>
      <c r="F289" s="135"/>
      <c r="G289" s="195"/>
      <c r="H289" s="135" t="s">
        <v>162</v>
      </c>
      <c r="I289" s="135"/>
      <c r="J289" s="136"/>
      <c r="L289" s="138"/>
      <c r="M289" s="138"/>
      <c r="N289" s="196"/>
      <c r="O289" s="138"/>
      <c r="P289" s="196"/>
      <c r="Q289" s="141"/>
      <c r="R289" s="138"/>
      <c r="S289" s="196"/>
      <c r="T289" s="138"/>
      <c r="U289" s="141"/>
      <c r="AB289" s="134" t="s">
        <v>99</v>
      </c>
      <c r="AC289" s="134">
        <v>0</v>
      </c>
      <c r="AD289" s="136">
        <v>0</v>
      </c>
      <c r="AE289" s="135">
        <v>0</v>
      </c>
      <c r="AF289" s="135">
        <v>0</v>
      </c>
      <c r="AG289" s="135">
        <v>0</v>
      </c>
      <c r="AH289" s="134">
        <v>168931</v>
      </c>
      <c r="AI289" s="136">
        <v>398332</v>
      </c>
      <c r="AJ289" s="135">
        <v>0</v>
      </c>
      <c r="AK289" s="134">
        <v>2</v>
      </c>
      <c r="AL289" s="135" t="s">
        <v>163</v>
      </c>
      <c r="AM289" s="136"/>
      <c r="AP289" s="134"/>
      <c r="AQ289" s="134"/>
      <c r="AR289" s="136"/>
      <c r="AS289" s="134"/>
      <c r="AT289" s="136"/>
      <c r="AU289" s="135"/>
      <c r="AV289" s="135"/>
      <c r="AW289" s="135"/>
      <c r="AX289" s="135"/>
      <c r="AY289" s="136"/>
      <c r="BB289" s="196" t="s">
        <v>817</v>
      </c>
      <c r="BC289" s="138">
        <v>0</v>
      </c>
      <c r="BD289" s="141">
        <v>213</v>
      </c>
      <c r="BE289" s="138"/>
      <c r="BF289" s="28"/>
      <c r="BG289" s="141"/>
      <c r="BH289" s="138"/>
      <c r="BI289" s="141"/>
      <c r="BJ289" s="138" t="s">
        <v>1030</v>
      </c>
      <c r="BK289" s="28" t="s">
        <v>500</v>
      </c>
      <c r="BL289" s="141" t="s">
        <v>206</v>
      </c>
    </row>
    <row r="290" spans="1:64" x14ac:dyDescent="0.3">
      <c r="A290" s="196" t="s">
        <v>105</v>
      </c>
      <c r="B290" s="43">
        <v>1059</v>
      </c>
      <c r="C290" s="43">
        <v>1560</v>
      </c>
      <c r="D290" s="138"/>
      <c r="E290" s="28">
        <v>1302</v>
      </c>
      <c r="F290" s="28"/>
      <c r="G290" s="196"/>
      <c r="H290" s="28"/>
      <c r="I290" s="28"/>
      <c r="J290" s="141"/>
      <c r="L290" s="142" t="s">
        <v>84</v>
      </c>
      <c r="M290" s="142">
        <f t="shared" ref="M290:S290" si="4">SUM(M284+M279+M274+M272+M267+M263)</f>
        <v>38790</v>
      </c>
      <c r="N290" s="199">
        <f t="shared" si="4"/>
        <v>68810</v>
      </c>
      <c r="O290" s="142">
        <f t="shared" si="4"/>
        <v>0</v>
      </c>
      <c r="P290" s="199">
        <f t="shared" si="4"/>
        <v>0</v>
      </c>
      <c r="Q290" s="143">
        <f t="shared" si="4"/>
        <v>0</v>
      </c>
      <c r="R290" s="142">
        <f t="shared" si="4"/>
        <v>5887</v>
      </c>
      <c r="S290" s="199">
        <f t="shared" si="4"/>
        <v>170</v>
      </c>
      <c r="T290" s="142"/>
      <c r="U290" s="146"/>
      <c r="AB290" s="138" t="s">
        <v>6</v>
      </c>
      <c r="AC290" s="138"/>
      <c r="AD290" s="141"/>
      <c r="AE290" s="28"/>
      <c r="AF290" s="28"/>
      <c r="AG290" s="28"/>
      <c r="AH290" s="138"/>
      <c r="AI290" s="141"/>
      <c r="AJ290" s="28"/>
      <c r="AK290" s="138">
        <v>14</v>
      </c>
      <c r="AL290" s="28" t="s">
        <v>153</v>
      </c>
      <c r="AM290" s="141"/>
      <c r="AP290" s="138" t="s">
        <v>63</v>
      </c>
      <c r="AQ290" s="138">
        <f>4+7</f>
        <v>11</v>
      </c>
      <c r="AR290" s="141">
        <f>7+8</f>
        <v>15</v>
      </c>
      <c r="AS290" s="138"/>
      <c r="AT290" s="141"/>
      <c r="AU290" s="28"/>
      <c r="AV290" s="28" t="s">
        <v>140</v>
      </c>
      <c r="AW290" s="28"/>
      <c r="AX290" s="28"/>
      <c r="AY290" s="141"/>
      <c r="BB290" s="196" t="s">
        <v>169</v>
      </c>
      <c r="BC290" s="138">
        <v>0</v>
      </c>
      <c r="BD290" s="141">
        <v>2</v>
      </c>
      <c r="BE290" s="138"/>
      <c r="BF290" s="28"/>
      <c r="BG290" s="141"/>
      <c r="BH290" s="138"/>
      <c r="BI290" s="141"/>
      <c r="BJ290" s="138" t="s">
        <v>1031</v>
      </c>
      <c r="BK290" s="43" t="s">
        <v>1032</v>
      </c>
      <c r="BL290" s="141" t="s">
        <v>1033</v>
      </c>
    </row>
    <row r="291" spans="1:64" ht="15" thickBot="1" x14ac:dyDescent="0.35">
      <c r="A291" s="196" t="s">
        <v>99</v>
      </c>
      <c r="B291" s="43">
        <v>847</v>
      </c>
      <c r="C291" s="43">
        <v>524</v>
      </c>
      <c r="D291" s="138"/>
      <c r="E291" s="28">
        <v>775</v>
      </c>
      <c r="F291" s="28"/>
      <c r="G291" s="196"/>
      <c r="H291" s="28">
        <v>44</v>
      </c>
      <c r="I291" s="28" t="s">
        <v>101</v>
      </c>
      <c r="J291" s="141"/>
      <c r="AB291" s="138" t="s">
        <v>6</v>
      </c>
      <c r="AC291" s="138"/>
      <c r="AD291" s="141"/>
      <c r="AE291" s="28"/>
      <c r="AF291" s="28"/>
      <c r="AG291" s="28"/>
      <c r="AH291" s="138"/>
      <c r="AI291" s="141"/>
      <c r="AJ291" s="28"/>
      <c r="AK291" s="138"/>
      <c r="AL291" s="28"/>
      <c r="AM291" s="141"/>
      <c r="AP291" s="138" t="s">
        <v>78</v>
      </c>
      <c r="AQ291" s="138">
        <f>24+3</f>
        <v>27</v>
      </c>
      <c r="AR291" s="141">
        <f>14+3</f>
        <v>17</v>
      </c>
      <c r="AS291" s="138"/>
      <c r="AT291" s="141"/>
      <c r="AU291" s="28"/>
      <c r="AV291" s="28">
        <v>19</v>
      </c>
      <c r="AW291" s="28" t="s">
        <v>204</v>
      </c>
      <c r="AX291" s="28"/>
      <c r="AY291" s="141"/>
      <c r="BB291" s="196" t="s">
        <v>502</v>
      </c>
      <c r="BC291" s="138">
        <v>0</v>
      </c>
      <c r="BD291" s="141">
        <v>2</v>
      </c>
      <c r="BE291" s="138"/>
      <c r="BF291" s="28"/>
      <c r="BG291" s="141"/>
      <c r="BH291" s="138"/>
      <c r="BI291" s="141"/>
      <c r="BJ291" s="138" t="s">
        <v>1034</v>
      </c>
      <c r="BK291" s="43" t="s">
        <v>156</v>
      </c>
      <c r="BL291" s="141" t="s">
        <v>332</v>
      </c>
    </row>
    <row r="292" spans="1:64" x14ac:dyDescent="0.3">
      <c r="A292" s="199" t="s">
        <v>84</v>
      </c>
      <c r="B292" s="143">
        <f>SUM(B289:B291)</f>
        <v>1906</v>
      </c>
      <c r="C292" s="143">
        <f>SUM(C289:C291)</f>
        <v>2084</v>
      </c>
      <c r="D292" s="142"/>
      <c r="E292" s="143">
        <f>SUM(E289:E291)</f>
        <v>2077</v>
      </c>
      <c r="F292" s="143"/>
      <c r="G292" s="199">
        <v>6796</v>
      </c>
      <c r="H292" s="143"/>
      <c r="I292" s="143"/>
      <c r="J292" s="146">
        <f>SUM(H291)</f>
        <v>44</v>
      </c>
      <c r="L292" t="s">
        <v>6</v>
      </c>
      <c r="AB292" s="33"/>
      <c r="AC292" s="200"/>
      <c r="AD292" s="201"/>
      <c r="AE292" s="34"/>
      <c r="AF292" s="34"/>
      <c r="AG292" s="34"/>
      <c r="AH292" s="200"/>
      <c r="AI292" s="201"/>
      <c r="AJ292" s="34"/>
      <c r="AK292" s="200"/>
      <c r="AL292" s="34"/>
      <c r="AM292" s="35"/>
      <c r="AP292" s="138" t="s">
        <v>209</v>
      </c>
      <c r="AQ292" s="138">
        <v>0</v>
      </c>
      <c r="AR292" s="141">
        <v>0</v>
      </c>
      <c r="AS292" s="138"/>
      <c r="AT292" s="141"/>
      <c r="AU292" s="28"/>
      <c r="AV292" s="28">
        <v>2</v>
      </c>
      <c r="AW292" s="28" t="s">
        <v>1018</v>
      </c>
      <c r="AX292" s="28" t="s">
        <v>6</v>
      </c>
      <c r="AY292" s="141"/>
      <c r="BB292" s="196" t="s">
        <v>97</v>
      </c>
      <c r="BC292" s="138">
        <v>0</v>
      </c>
      <c r="BD292" s="141">
        <v>0</v>
      </c>
      <c r="BE292" s="138"/>
      <c r="BF292" s="28"/>
      <c r="BG292" s="141"/>
      <c r="BH292" s="138"/>
      <c r="BI292" s="141"/>
      <c r="BJ292" s="212" t="s">
        <v>345</v>
      </c>
      <c r="BK292" s="43" t="s">
        <v>1035</v>
      </c>
      <c r="BL292" s="141" t="s">
        <v>584</v>
      </c>
    </row>
    <row r="293" spans="1:64" x14ac:dyDescent="0.3">
      <c r="A293" s="196" t="s">
        <v>6</v>
      </c>
      <c r="B293" s="135"/>
      <c r="C293" s="135"/>
      <c r="D293" s="134"/>
      <c r="E293" s="135" t="s">
        <v>60</v>
      </c>
      <c r="F293" s="136"/>
      <c r="G293" s="135"/>
      <c r="H293" s="134" t="s">
        <v>182</v>
      </c>
      <c r="I293" s="135"/>
      <c r="J293" s="136"/>
      <c r="AB293" s="42"/>
      <c r="AC293" s="138"/>
      <c r="AD293" s="141"/>
      <c r="AE293" s="28"/>
      <c r="AF293" s="28"/>
      <c r="AG293" s="28"/>
      <c r="AH293" s="138"/>
      <c r="AI293" s="141"/>
      <c r="AJ293" s="28"/>
      <c r="AK293" s="138"/>
      <c r="AL293" s="28"/>
      <c r="AM293" s="40"/>
      <c r="AP293" s="138" t="s">
        <v>168</v>
      </c>
      <c r="AQ293" s="138">
        <v>0</v>
      </c>
      <c r="AR293" s="141">
        <v>0</v>
      </c>
      <c r="AS293" s="138"/>
      <c r="AT293" s="141"/>
      <c r="AU293" s="28"/>
      <c r="AV293" s="28">
        <v>15</v>
      </c>
      <c r="AW293" s="28" t="s">
        <v>213</v>
      </c>
      <c r="AX293" s="28" t="s">
        <v>6</v>
      </c>
      <c r="AY293" s="141"/>
      <c r="BB293" s="196" t="s">
        <v>658</v>
      </c>
      <c r="BC293" s="138">
        <f>2+2</f>
        <v>4</v>
      </c>
      <c r="BD293" s="141">
        <v>1</v>
      </c>
      <c r="BE293" s="138"/>
      <c r="BF293" s="28"/>
      <c r="BG293" s="141"/>
      <c r="BH293" s="138"/>
      <c r="BI293" s="141"/>
      <c r="BJ293" s="138" t="s">
        <v>1036</v>
      </c>
      <c r="BK293" s="43" t="s">
        <v>798</v>
      </c>
      <c r="BL293" s="141" t="s">
        <v>1037</v>
      </c>
    </row>
    <row r="294" spans="1:64" ht="15" thickBot="1" x14ac:dyDescent="0.35">
      <c r="A294" s="196" t="s">
        <v>181</v>
      </c>
      <c r="B294" s="28">
        <v>3466</v>
      </c>
      <c r="C294" s="28">
        <v>3641</v>
      </c>
      <c r="D294" s="138"/>
      <c r="E294" s="28" t="s">
        <v>60</v>
      </c>
      <c r="F294" s="141"/>
      <c r="G294" s="28"/>
      <c r="H294" s="138"/>
      <c r="I294" s="28" t="s">
        <v>94</v>
      </c>
      <c r="J294" s="141"/>
      <c r="AB294" s="47" t="s">
        <v>84</v>
      </c>
      <c r="AC294" s="202">
        <f>SUM(AC289+AC287+AC284+AC271+AC267+AC264)</f>
        <v>1340</v>
      </c>
      <c r="AD294" s="203">
        <f>SUM(AD289+AD287+AD284+AD271+AD267+AD264)</f>
        <v>1126</v>
      </c>
      <c r="AE294" s="48">
        <v>0</v>
      </c>
      <c r="AF294" s="48">
        <v>0</v>
      </c>
      <c r="AG294" s="48">
        <v>0</v>
      </c>
      <c r="AH294" s="202">
        <f>SUM(AH290+AH289+AH287+AH264)</f>
        <v>214570</v>
      </c>
      <c r="AI294" s="203">
        <f>SUM(AI289+AI287+AI264)</f>
        <v>406548</v>
      </c>
      <c r="AJ294" s="48">
        <v>0</v>
      </c>
      <c r="AK294" s="202" t="s">
        <v>743</v>
      </c>
      <c r="AL294" s="48"/>
      <c r="AM294" s="49">
        <f>SUM(AK264:AK290)</f>
        <v>46</v>
      </c>
      <c r="AP294" s="138" t="s">
        <v>81</v>
      </c>
      <c r="AQ294" s="138">
        <f>6+4</f>
        <v>10</v>
      </c>
      <c r="AR294" s="141">
        <f>6+4</f>
        <v>10</v>
      </c>
      <c r="AS294" s="138"/>
      <c r="AT294" s="141"/>
      <c r="AU294" s="28"/>
      <c r="AV294" s="43">
        <v>4</v>
      </c>
      <c r="AW294" s="28" t="s">
        <v>1038</v>
      </c>
      <c r="AX294" s="28"/>
      <c r="AY294" s="141" t="s">
        <v>6</v>
      </c>
      <c r="BB294" s="196" t="s">
        <v>64</v>
      </c>
      <c r="BC294" s="138">
        <v>2</v>
      </c>
      <c r="BD294" s="141">
        <v>3</v>
      </c>
      <c r="BE294" s="138"/>
      <c r="BF294" s="28"/>
      <c r="BG294" s="141"/>
      <c r="BH294" s="138"/>
      <c r="BI294" s="141"/>
      <c r="BJ294" s="138" t="s">
        <v>1039</v>
      </c>
      <c r="BK294" s="43" t="s">
        <v>456</v>
      </c>
      <c r="BL294" s="209" t="s">
        <v>374</v>
      </c>
    </row>
    <row r="295" spans="1:64" x14ac:dyDescent="0.3">
      <c r="A295" s="196" t="s">
        <v>84</v>
      </c>
      <c r="B295" s="28">
        <f>SUM(B293:B294)</f>
        <v>3466</v>
      </c>
      <c r="C295" s="28">
        <f>SUM(C293:C294)</f>
        <v>3641</v>
      </c>
      <c r="D295" s="138"/>
      <c r="E295" s="28" t="s">
        <v>60</v>
      </c>
      <c r="F295" s="141"/>
      <c r="G295" s="28">
        <v>5164</v>
      </c>
      <c r="H295" s="138">
        <v>31</v>
      </c>
      <c r="I295" s="28" t="s">
        <v>101</v>
      </c>
      <c r="J295" s="141"/>
      <c r="AB295" t="s">
        <v>193</v>
      </c>
      <c r="AM295" t="s">
        <v>6</v>
      </c>
      <c r="AP295" s="138" t="s">
        <v>72</v>
      </c>
      <c r="AQ295" s="138">
        <f>17+7+1+18</f>
        <v>43</v>
      </c>
      <c r="AR295" s="141">
        <f>7+6+1+18</f>
        <v>32</v>
      </c>
      <c r="AS295" s="138"/>
      <c r="AT295" s="141"/>
      <c r="AU295" s="28"/>
      <c r="AV295" s="43">
        <v>3</v>
      </c>
      <c r="AW295" s="28" t="s">
        <v>216</v>
      </c>
      <c r="AX295" s="28"/>
      <c r="AY295" s="141"/>
      <c r="BB295" s="196" t="s">
        <v>467</v>
      </c>
      <c r="BC295" s="138">
        <v>15</v>
      </c>
      <c r="BD295" s="141">
        <v>0</v>
      </c>
      <c r="BE295" s="138"/>
      <c r="BF295" s="28"/>
      <c r="BG295" s="141"/>
      <c r="BH295" s="138"/>
      <c r="BI295" s="141"/>
      <c r="BJ295" s="138" t="s">
        <v>1040</v>
      </c>
      <c r="BK295" s="43"/>
      <c r="BL295" s="213"/>
    </row>
    <row r="296" spans="1:64" ht="15" thickBot="1" x14ac:dyDescent="0.35">
      <c r="A296" s="199"/>
      <c r="B296" s="28"/>
      <c r="C296" s="28"/>
      <c r="D296" s="142"/>
      <c r="E296" s="143"/>
      <c r="F296" s="146"/>
      <c r="G296" s="28"/>
      <c r="H296" s="142"/>
      <c r="I296" s="143" t="s">
        <v>284</v>
      </c>
      <c r="J296" s="146">
        <f>SUM(H294:H295)</f>
        <v>31</v>
      </c>
      <c r="AP296" s="138" t="s">
        <v>115</v>
      </c>
      <c r="AQ296" s="138">
        <v>14</v>
      </c>
      <c r="AR296" s="141">
        <v>5</v>
      </c>
      <c r="AS296" s="138"/>
      <c r="AT296" s="141"/>
      <c r="AU296" s="28"/>
      <c r="AV296" s="43">
        <v>15</v>
      </c>
      <c r="AW296" s="28" t="s">
        <v>217</v>
      </c>
      <c r="AX296" s="28"/>
      <c r="AY296" s="141"/>
      <c r="BB296" s="196" t="s">
        <v>862</v>
      </c>
      <c r="BC296" s="138">
        <v>0</v>
      </c>
      <c r="BD296" s="141">
        <v>0</v>
      </c>
      <c r="BE296" s="138"/>
      <c r="BF296" s="28"/>
      <c r="BG296" s="141"/>
      <c r="BH296" s="138"/>
      <c r="BI296" s="141"/>
      <c r="BJ296" s="138"/>
      <c r="BK296" s="43"/>
      <c r="BL296" s="141"/>
    </row>
    <row r="297" spans="1:64" ht="15" thickBot="1" x14ac:dyDescent="0.35">
      <c r="A297" s="47" t="s">
        <v>84</v>
      </c>
      <c r="B297" s="210">
        <f>SUM(B295,B292,B288+B283+B278+B274+B270+B266+B263)</f>
        <v>43989</v>
      </c>
      <c r="C297" s="170">
        <f>SUM(C295+C292+C288+C283+C278+C274+C270+C266+C263)</f>
        <v>54722</v>
      </c>
      <c r="D297" s="202"/>
      <c r="E297" s="48">
        <f>SUM(E292+E274)</f>
        <v>2501</v>
      </c>
      <c r="F297" s="203"/>
      <c r="G297" s="206">
        <f>SUM(G295+G292+G288+G283+G278+G274+G270+G266+G263)</f>
        <v>71412</v>
      </c>
      <c r="H297" s="48" t="s">
        <v>844</v>
      </c>
      <c r="I297" s="48"/>
      <c r="J297" s="49">
        <f>SUM(J262:J296)</f>
        <v>287</v>
      </c>
      <c r="AP297" s="138" t="s">
        <v>56</v>
      </c>
      <c r="AQ297" s="138">
        <f>5+5+4+6</f>
        <v>20</v>
      </c>
      <c r="AR297" s="141">
        <f>2+7+6</f>
        <v>15</v>
      </c>
      <c r="AS297" s="138"/>
      <c r="AT297" s="141"/>
      <c r="AU297" s="28"/>
      <c r="AV297" s="43">
        <v>1</v>
      </c>
      <c r="AW297" s="28" t="s">
        <v>1022</v>
      </c>
      <c r="AX297" s="28"/>
      <c r="AY297" s="141"/>
      <c r="BB297" s="196" t="s">
        <v>1041</v>
      </c>
      <c r="BC297" s="138">
        <v>1</v>
      </c>
      <c r="BD297" s="141">
        <v>0</v>
      </c>
      <c r="BE297" s="138"/>
      <c r="BF297" s="28"/>
      <c r="BG297" s="141"/>
      <c r="BH297" s="138"/>
      <c r="BI297" s="141"/>
      <c r="BJ297" s="138"/>
      <c r="BK297" s="43"/>
      <c r="BL297" s="141"/>
    </row>
    <row r="298" spans="1:64" x14ac:dyDescent="0.3">
      <c r="D298" s="28"/>
      <c r="E298" s="28"/>
      <c r="F298" s="28"/>
      <c r="AP298" s="138" t="s">
        <v>138</v>
      </c>
      <c r="AQ298" s="138">
        <v>0</v>
      </c>
      <c r="AR298" s="141">
        <v>0</v>
      </c>
      <c r="AS298" s="138"/>
      <c r="AT298" s="141"/>
      <c r="AU298" s="28"/>
      <c r="AV298" s="43">
        <v>1</v>
      </c>
      <c r="AW298" s="28" t="s">
        <v>221</v>
      </c>
      <c r="AX298" s="28"/>
      <c r="AY298" s="141"/>
      <c r="BB298" s="196" t="s">
        <v>200</v>
      </c>
      <c r="BC298" s="138">
        <v>6</v>
      </c>
      <c r="BD298" s="141">
        <f>5+5</f>
        <v>10</v>
      </c>
      <c r="BE298" s="138"/>
      <c r="BF298" s="28"/>
      <c r="BG298" s="141"/>
      <c r="BH298" s="138"/>
      <c r="BI298" s="141"/>
      <c r="BJ298" s="138"/>
      <c r="BK298" s="43"/>
      <c r="BL298" s="141"/>
    </row>
    <row r="299" spans="1:64" x14ac:dyDescent="0.3">
      <c r="AP299" s="138" t="s">
        <v>67</v>
      </c>
      <c r="AQ299" s="138">
        <f>1+7</f>
        <v>8</v>
      </c>
      <c r="AR299" s="141">
        <f>5+12</f>
        <v>17</v>
      </c>
      <c r="AS299" s="138"/>
      <c r="AT299" s="141"/>
      <c r="AU299" s="28"/>
      <c r="AV299" s="43">
        <v>1</v>
      </c>
      <c r="AW299" s="28" t="s">
        <v>1042</v>
      </c>
      <c r="AX299" s="28"/>
      <c r="AY299" s="141"/>
      <c r="BB299" s="196" t="s">
        <v>699</v>
      </c>
      <c r="BC299" s="138">
        <v>3</v>
      </c>
      <c r="BD299" s="141">
        <v>0</v>
      </c>
      <c r="BE299" s="138"/>
      <c r="BF299" s="28"/>
      <c r="BG299" s="141"/>
      <c r="BH299" s="138"/>
      <c r="BI299" s="141"/>
      <c r="BJ299" s="138"/>
      <c r="BK299" s="28"/>
      <c r="BL299" s="141"/>
    </row>
    <row r="300" spans="1:64" x14ac:dyDescent="0.3">
      <c r="AP300" s="138" t="s">
        <v>122</v>
      </c>
      <c r="AQ300" s="138">
        <v>1</v>
      </c>
      <c r="AR300" s="141">
        <v>0</v>
      </c>
      <c r="AS300" s="138"/>
      <c r="AT300" s="141"/>
      <c r="AU300" s="28"/>
      <c r="AV300" s="43">
        <v>1</v>
      </c>
      <c r="AW300" s="28" t="s">
        <v>618</v>
      </c>
      <c r="AX300" s="28"/>
      <c r="AY300" s="141"/>
      <c r="BB300" s="196" t="s">
        <v>564</v>
      </c>
      <c r="BC300" s="138">
        <v>0</v>
      </c>
      <c r="BD300" s="141">
        <v>0</v>
      </c>
      <c r="BE300" s="138"/>
      <c r="BF300" s="28"/>
      <c r="BG300" s="141"/>
      <c r="BH300" s="138"/>
      <c r="BI300" s="141"/>
      <c r="BJ300" s="138"/>
      <c r="BK300" s="28"/>
      <c r="BL300" s="141"/>
    </row>
    <row r="301" spans="1:64" x14ac:dyDescent="0.3">
      <c r="AP301" s="138" t="s">
        <v>227</v>
      </c>
      <c r="AQ301" s="138">
        <v>0</v>
      </c>
      <c r="AR301" s="141">
        <v>0</v>
      </c>
      <c r="AS301" s="138"/>
      <c r="AT301" s="141"/>
      <c r="AU301" s="28"/>
      <c r="AV301" s="43"/>
      <c r="AW301" s="28" t="s">
        <v>392</v>
      </c>
      <c r="AX301" s="28"/>
      <c r="AY301" s="141"/>
      <c r="BB301" s="196" t="s">
        <v>1043</v>
      </c>
      <c r="BC301" s="138">
        <v>0</v>
      </c>
      <c r="BD301" s="141">
        <v>1</v>
      </c>
      <c r="BE301" s="138"/>
      <c r="BF301" s="28"/>
      <c r="BG301" s="141"/>
      <c r="BH301" s="138"/>
      <c r="BI301" s="141"/>
      <c r="BJ301" s="138"/>
      <c r="BK301" s="28"/>
      <c r="BL301" s="141"/>
    </row>
    <row r="302" spans="1:64" x14ac:dyDescent="0.3">
      <c r="AP302" s="138" t="s">
        <v>230</v>
      </c>
      <c r="AQ302" s="138">
        <v>0</v>
      </c>
      <c r="AR302" s="141">
        <v>0</v>
      </c>
      <c r="AS302" s="138"/>
      <c r="AT302" s="141"/>
      <c r="AU302" s="28"/>
      <c r="AV302" s="43">
        <v>11</v>
      </c>
      <c r="AW302" s="28" t="s">
        <v>655</v>
      </c>
      <c r="AX302" s="28"/>
      <c r="AY302" s="141"/>
      <c r="BB302" s="196" t="s">
        <v>211</v>
      </c>
      <c r="BC302" s="138">
        <v>4</v>
      </c>
      <c r="BD302" s="141">
        <v>0</v>
      </c>
      <c r="BE302" s="138"/>
      <c r="BF302" s="28"/>
      <c r="BG302" s="141"/>
      <c r="BH302" s="138"/>
      <c r="BI302" s="141"/>
      <c r="BJ302" s="138"/>
      <c r="BK302" s="28"/>
      <c r="BL302" s="141"/>
    </row>
    <row r="303" spans="1:64" x14ac:dyDescent="0.3">
      <c r="AP303" s="138" t="s">
        <v>125</v>
      </c>
      <c r="AQ303" s="138">
        <v>0</v>
      </c>
      <c r="AR303" s="141">
        <v>0</v>
      </c>
      <c r="AS303" s="138"/>
      <c r="AT303" s="141"/>
      <c r="AU303" s="28"/>
      <c r="AV303" s="43">
        <v>3</v>
      </c>
      <c r="AW303" s="28" t="s">
        <v>352</v>
      </c>
      <c r="AX303" s="28"/>
      <c r="AY303" s="141"/>
      <c r="BB303" s="196" t="s">
        <v>218</v>
      </c>
      <c r="BC303" s="138">
        <v>0</v>
      </c>
      <c r="BD303" s="141">
        <f>3+17</f>
        <v>20</v>
      </c>
      <c r="BE303" s="138"/>
      <c r="BF303" s="28">
        <v>0</v>
      </c>
      <c r="BG303" s="141"/>
      <c r="BH303" s="138"/>
      <c r="BI303" s="141"/>
      <c r="BJ303" s="138"/>
      <c r="BK303" s="28"/>
      <c r="BL303" s="141"/>
    </row>
    <row r="304" spans="1:64" x14ac:dyDescent="0.3">
      <c r="AM304" t="s">
        <v>6</v>
      </c>
      <c r="AP304" s="138" t="s">
        <v>132</v>
      </c>
      <c r="AQ304" s="138">
        <v>6</v>
      </c>
      <c r="AR304" s="141">
        <v>5</v>
      </c>
      <c r="AS304" s="138"/>
      <c r="AT304" s="141"/>
      <c r="AU304" s="28"/>
      <c r="AV304" s="43">
        <v>5</v>
      </c>
      <c r="AW304" s="28" t="s">
        <v>682</v>
      </c>
      <c r="AX304" s="28"/>
      <c r="AY304" s="141"/>
      <c r="BB304" s="196" t="s">
        <v>93</v>
      </c>
      <c r="BC304" s="138">
        <v>0</v>
      </c>
      <c r="BD304" s="141">
        <v>2</v>
      </c>
      <c r="BE304" s="138"/>
      <c r="BF304" s="28"/>
      <c r="BG304" s="141"/>
      <c r="BH304" s="138"/>
      <c r="BI304" s="141"/>
      <c r="BJ304" s="138"/>
      <c r="BK304" s="28"/>
      <c r="BL304" s="141"/>
    </row>
    <row r="305" spans="1:64" x14ac:dyDescent="0.3">
      <c r="H305" t="s">
        <v>6</v>
      </c>
      <c r="AP305" s="138" t="s">
        <v>992</v>
      </c>
      <c r="AQ305" s="138">
        <v>0</v>
      </c>
      <c r="AR305" s="141">
        <v>0</v>
      </c>
      <c r="AS305" s="138"/>
      <c r="AT305" s="141"/>
      <c r="AU305" s="28"/>
      <c r="AV305" s="43">
        <f>34+2</f>
        <v>36</v>
      </c>
      <c r="AW305" s="28" t="s">
        <v>555</v>
      </c>
      <c r="AX305" s="28"/>
      <c r="AY305" s="141"/>
      <c r="BB305" s="199" t="s">
        <v>84</v>
      </c>
      <c r="BC305" s="142">
        <f>SUM(BC280:BC304)</f>
        <v>112</v>
      </c>
      <c r="BD305" s="146">
        <f>SUM(BD280:BD304)</f>
        <v>321</v>
      </c>
      <c r="BE305" s="142">
        <v>0</v>
      </c>
      <c r="BF305" s="143">
        <f>SUM(BF280:BF304)</f>
        <v>0</v>
      </c>
      <c r="BG305" s="146">
        <v>0</v>
      </c>
      <c r="BH305" s="142">
        <v>0</v>
      </c>
      <c r="BI305" s="146">
        <v>0</v>
      </c>
      <c r="BJ305" s="142"/>
      <c r="BK305" s="143"/>
      <c r="BL305" s="146">
        <f>9+8+5+4+9+13+4+3+3+2</f>
        <v>60</v>
      </c>
    </row>
    <row r="306" spans="1:64" ht="15" thickBot="1" x14ac:dyDescent="0.35">
      <c r="H306" t="s">
        <v>6</v>
      </c>
      <c r="AP306" s="138" t="s">
        <v>84</v>
      </c>
      <c r="AQ306" s="138">
        <f>SUM(AQ290:AQ305)</f>
        <v>140</v>
      </c>
      <c r="AR306" s="141">
        <f>SUM(AR290:AR305)</f>
        <v>116</v>
      </c>
      <c r="AS306" s="138"/>
      <c r="AT306" s="141"/>
      <c r="AU306" s="28"/>
      <c r="AV306" s="43">
        <v>0</v>
      </c>
      <c r="AW306" s="28" t="s">
        <v>1010</v>
      </c>
      <c r="AX306" s="28"/>
      <c r="AY306" s="141">
        <f>SUM(AV291:AV306)</f>
        <v>117</v>
      </c>
      <c r="BB306" t="s">
        <v>223</v>
      </c>
      <c r="BC306">
        <f>SUM(BC305+BC279+BC274+BC270+BC267+BC265+BC276)</f>
        <v>1923</v>
      </c>
      <c r="BD306">
        <f>SUM(BD305+BD279+BD274+BD270+BD265+BD267+BD276)</f>
        <v>2319</v>
      </c>
      <c r="BE306">
        <v>0</v>
      </c>
      <c r="BF306">
        <f>SUM(BF305+BF279+BF274+BF270+BF267+BF263)</f>
        <v>0</v>
      </c>
      <c r="BG306">
        <v>0</v>
      </c>
      <c r="BH306">
        <f>SUM(BH305+BH279+BH274+BH269+BH267+BH263)</f>
        <v>69267</v>
      </c>
      <c r="BI306">
        <f>SUM(BI305+BI279+BI274+BI269+BI267+BI263)</f>
        <v>15453</v>
      </c>
      <c r="BK306" t="s">
        <v>939</v>
      </c>
      <c r="BL306">
        <f>SUM(+BL279+BL274+BL270+BL267+BL265)</f>
        <v>125</v>
      </c>
    </row>
    <row r="307" spans="1:64" ht="15" thickBot="1" x14ac:dyDescent="0.35">
      <c r="AP307" s="171" t="s">
        <v>84</v>
      </c>
      <c r="AQ307" s="207">
        <f>SUM(AQ306+AQ288+AQ279+AQ264)</f>
        <v>2094</v>
      </c>
      <c r="AR307" s="207">
        <f>SUM(AR306+AR288+AR279+AR264)</f>
        <v>2072</v>
      </c>
      <c r="AS307" s="207"/>
      <c r="AT307" s="208"/>
      <c r="AU307" s="170"/>
      <c r="AV307" s="170"/>
      <c r="AW307" s="170"/>
      <c r="AX307" s="170"/>
      <c r="AY307" s="172">
        <f>SUM(AY264:AY306)</f>
        <v>336</v>
      </c>
      <c r="BB307" t="s">
        <v>225</v>
      </c>
      <c r="BD307">
        <f>SUM(BL305)</f>
        <v>60</v>
      </c>
    </row>
    <row r="308" spans="1:64" x14ac:dyDescent="0.3">
      <c r="BB308" t="s">
        <v>229</v>
      </c>
      <c r="BD308">
        <f>2+1+5+1+1+2</f>
        <v>12</v>
      </c>
    </row>
    <row r="309" spans="1:64" x14ac:dyDescent="0.3">
      <c r="BB309" t="s">
        <v>232</v>
      </c>
      <c r="BD309" t="s">
        <v>233</v>
      </c>
      <c r="BF309">
        <f>SUM(AQ307)</f>
        <v>2094</v>
      </c>
      <c r="BH309" t="s">
        <v>234</v>
      </c>
      <c r="BJ309" t="s">
        <v>233</v>
      </c>
      <c r="BL309">
        <f>SUM(BC306)</f>
        <v>1923</v>
      </c>
    </row>
    <row r="310" spans="1:64" x14ac:dyDescent="0.3">
      <c r="BA310" t="s">
        <v>6</v>
      </c>
      <c r="BD310" t="s">
        <v>236</v>
      </c>
      <c r="BF310">
        <f>SUM(AR307)</f>
        <v>2072</v>
      </c>
      <c r="BJ310" t="s">
        <v>236</v>
      </c>
      <c r="BL310">
        <f>SUM(BD306)</f>
        <v>2319</v>
      </c>
    </row>
    <row r="311" spans="1:64" x14ac:dyDescent="0.3">
      <c r="BB311" t="s">
        <v>238</v>
      </c>
      <c r="BC311" t="s">
        <v>239</v>
      </c>
      <c r="BE311" t="s">
        <v>240</v>
      </c>
      <c r="BF311" t="s">
        <v>241</v>
      </c>
      <c r="BI311" t="s">
        <v>242</v>
      </c>
      <c r="BJ311" t="s">
        <v>243</v>
      </c>
    </row>
    <row r="312" spans="1:64" x14ac:dyDescent="0.3">
      <c r="BB312" t="s">
        <v>233</v>
      </c>
      <c r="BD312">
        <f>SUM(B297)</f>
        <v>43989</v>
      </c>
      <c r="BE312" t="s">
        <v>233</v>
      </c>
      <c r="BG312">
        <f>SUM(AC294)</f>
        <v>1340</v>
      </c>
      <c r="BH312" t="s">
        <v>233</v>
      </c>
      <c r="BJ312">
        <f>SUM(BG312+BC306)</f>
        <v>3263</v>
      </c>
      <c r="BK312" t="s">
        <v>245</v>
      </c>
      <c r="BL312">
        <f>SUM(BD312+BJ312)</f>
        <v>47252</v>
      </c>
    </row>
    <row r="313" spans="1:64" x14ac:dyDescent="0.3">
      <c r="BB313" t="s">
        <v>236</v>
      </c>
      <c r="BD313">
        <f>SUM(C297)</f>
        <v>54722</v>
      </c>
      <c r="BE313" t="s">
        <v>236</v>
      </c>
      <c r="BG313">
        <f>SUM(AD294)</f>
        <v>1126</v>
      </c>
      <c r="BH313" t="s">
        <v>236</v>
      </c>
      <c r="BJ313">
        <f>SUM(BG313+BD306)</f>
        <v>3445</v>
      </c>
      <c r="BL313">
        <f>SUM(BD313+BJ313)</f>
        <v>58167</v>
      </c>
    </row>
    <row r="316" spans="1:64" x14ac:dyDescent="0.3">
      <c r="C316" t="s">
        <v>0</v>
      </c>
      <c r="P316" t="s">
        <v>1</v>
      </c>
    </row>
    <row r="317" spans="1:64" x14ac:dyDescent="0.3">
      <c r="D317" t="s">
        <v>2</v>
      </c>
      <c r="Q317" t="s">
        <v>3</v>
      </c>
      <c r="AF317" t="s">
        <v>0</v>
      </c>
      <c r="AS317" t="s">
        <v>4</v>
      </c>
      <c r="BF317" t="s">
        <v>5</v>
      </c>
    </row>
    <row r="318" spans="1:64" x14ac:dyDescent="0.3">
      <c r="A318" t="s">
        <v>6</v>
      </c>
      <c r="C318" t="s">
        <v>7</v>
      </c>
      <c r="O318" t="s">
        <v>8</v>
      </c>
      <c r="AF318" t="s">
        <v>9</v>
      </c>
      <c r="AT318" t="s">
        <v>2</v>
      </c>
      <c r="BG318" t="s">
        <v>2</v>
      </c>
    </row>
    <row r="319" spans="1:64" x14ac:dyDescent="0.3">
      <c r="D319" t="s">
        <v>1044</v>
      </c>
      <c r="Q319" t="s">
        <v>1044</v>
      </c>
      <c r="AF319" t="s">
        <v>11</v>
      </c>
      <c r="AR319" t="s">
        <v>12</v>
      </c>
      <c r="BE319" t="s">
        <v>13</v>
      </c>
    </row>
    <row r="320" spans="1:64" x14ac:dyDescent="0.3">
      <c r="I320" s="194" t="s">
        <v>949</v>
      </c>
      <c r="U320" t="s">
        <v>15</v>
      </c>
      <c r="AG320" t="s">
        <v>1044</v>
      </c>
      <c r="AT320" t="s">
        <v>1044</v>
      </c>
      <c r="BG320" t="s">
        <v>1044</v>
      </c>
      <c r="BK320" s="194" t="s">
        <v>950</v>
      </c>
    </row>
    <row r="321" spans="1:64" x14ac:dyDescent="0.3">
      <c r="A321" s="134" t="s">
        <v>17</v>
      </c>
      <c r="B321" s="134" t="s">
        <v>18</v>
      </c>
      <c r="C321" s="136"/>
      <c r="D321" s="135" t="s">
        <v>19</v>
      </c>
      <c r="E321" s="135"/>
      <c r="F321" s="135"/>
      <c r="G321" s="195" t="s">
        <v>20</v>
      </c>
      <c r="H321" s="135" t="s">
        <v>21</v>
      </c>
      <c r="I321" s="135"/>
      <c r="J321" s="136"/>
      <c r="L321" s="134" t="s">
        <v>17</v>
      </c>
      <c r="M321" s="135" t="s">
        <v>22</v>
      </c>
      <c r="N321" s="135"/>
      <c r="O321" s="135" t="s">
        <v>23</v>
      </c>
      <c r="P321" s="135"/>
      <c r="Q321" s="135"/>
      <c r="R321" s="135" t="s">
        <v>24</v>
      </c>
      <c r="S321" s="135"/>
      <c r="T321" s="135" t="s">
        <v>21</v>
      </c>
      <c r="U321" s="136"/>
      <c r="AL321" s="28" t="s">
        <v>25</v>
      </c>
      <c r="AX321" s="194" t="s">
        <v>951</v>
      </c>
      <c r="BB321" s="195" t="s">
        <v>17</v>
      </c>
      <c r="BC321" s="134" t="s">
        <v>27</v>
      </c>
      <c r="BD321" s="136"/>
      <c r="BE321" s="135" t="s">
        <v>28</v>
      </c>
      <c r="BF321" s="135"/>
      <c r="BG321" s="135"/>
      <c r="BH321" s="135" t="s">
        <v>29</v>
      </c>
      <c r="BI321" s="135" t="s">
        <v>30</v>
      </c>
      <c r="BJ321" s="135" t="s">
        <v>31</v>
      </c>
      <c r="BK321" s="135"/>
      <c r="BL321" s="136"/>
    </row>
    <row r="322" spans="1:64" x14ac:dyDescent="0.3">
      <c r="A322" s="138" t="s">
        <v>32</v>
      </c>
      <c r="B322" s="138"/>
      <c r="C322" s="141"/>
      <c r="D322" s="28"/>
      <c r="E322" s="28"/>
      <c r="F322" s="28"/>
      <c r="G322" s="196"/>
      <c r="H322" s="28" t="s">
        <v>33</v>
      </c>
      <c r="I322" s="28"/>
      <c r="J322" s="141"/>
      <c r="L322" s="138"/>
      <c r="M322" s="28"/>
      <c r="N322" s="28"/>
      <c r="O322" s="28"/>
      <c r="P322" s="28"/>
      <c r="Q322" s="28"/>
      <c r="R322" s="28"/>
      <c r="S322" s="28"/>
      <c r="T322" s="28" t="s">
        <v>33</v>
      </c>
      <c r="U322" s="141"/>
      <c r="AB322" s="134" t="s">
        <v>34</v>
      </c>
      <c r="AC322" s="134" t="s">
        <v>35</v>
      </c>
      <c r="AD322" s="136"/>
      <c r="AE322" s="135" t="s">
        <v>36</v>
      </c>
      <c r="AF322" s="135"/>
      <c r="AG322" s="135"/>
      <c r="AH322" s="134" t="s">
        <v>37</v>
      </c>
      <c r="AI322" s="136"/>
      <c r="AJ322" s="135" t="s">
        <v>30</v>
      </c>
      <c r="AK322" s="134" t="s">
        <v>38</v>
      </c>
      <c r="AL322" s="135"/>
      <c r="AM322" s="136"/>
      <c r="AP322" s="134" t="s">
        <v>17</v>
      </c>
      <c r="AQ322" s="134" t="s">
        <v>39</v>
      </c>
      <c r="AR322" s="136"/>
      <c r="AS322" s="134" t="s">
        <v>29</v>
      </c>
      <c r="AT322" s="136" t="s">
        <v>30</v>
      </c>
      <c r="AU322" s="135" t="s">
        <v>40</v>
      </c>
      <c r="AV322" s="135"/>
      <c r="AW322" s="135"/>
      <c r="AX322" s="135"/>
      <c r="AY322" s="136"/>
      <c r="BB322" s="196"/>
      <c r="BC322" s="138"/>
      <c r="BD322" s="141"/>
      <c r="BE322" s="28"/>
      <c r="BF322" s="28"/>
      <c r="BG322" s="28"/>
      <c r="BH322" s="28"/>
      <c r="BI322" s="28" t="s">
        <v>6</v>
      </c>
      <c r="BJ322" s="28" t="s">
        <v>41</v>
      </c>
      <c r="BK322" s="28"/>
      <c r="BL322" s="141"/>
    </row>
    <row r="323" spans="1:64" x14ac:dyDescent="0.3">
      <c r="A323" s="142" t="s">
        <v>42</v>
      </c>
      <c r="B323" s="142" t="s">
        <v>43</v>
      </c>
      <c r="C323" s="143" t="s">
        <v>44</v>
      </c>
      <c r="D323" s="197" t="s">
        <v>45</v>
      </c>
      <c r="E323" s="198" t="s">
        <v>46</v>
      </c>
      <c r="F323" s="198" t="s">
        <v>47</v>
      </c>
      <c r="G323" s="199" t="s">
        <v>48</v>
      </c>
      <c r="H323" s="143" t="s">
        <v>49</v>
      </c>
      <c r="I323" s="143"/>
      <c r="J323" s="146"/>
      <c r="L323" s="142" t="s">
        <v>50</v>
      </c>
      <c r="M323" s="143" t="s">
        <v>43</v>
      </c>
      <c r="N323" s="143" t="s">
        <v>44</v>
      </c>
      <c r="O323" s="143" t="s">
        <v>43</v>
      </c>
      <c r="P323" s="143" t="s">
        <v>51</v>
      </c>
      <c r="Q323" s="143" t="s">
        <v>44</v>
      </c>
      <c r="R323" s="143" t="s">
        <v>43</v>
      </c>
      <c r="S323" s="143" t="s">
        <v>44</v>
      </c>
      <c r="T323" s="143" t="s">
        <v>49</v>
      </c>
      <c r="U323" s="146"/>
      <c r="AB323" s="142" t="s">
        <v>50</v>
      </c>
      <c r="AC323" s="142" t="s">
        <v>43</v>
      </c>
      <c r="AD323" s="146" t="s">
        <v>44</v>
      </c>
      <c r="AE323" s="143" t="s">
        <v>45</v>
      </c>
      <c r="AF323" s="143" t="s">
        <v>46</v>
      </c>
      <c r="AG323" s="143" t="s">
        <v>52</v>
      </c>
      <c r="AH323" s="142" t="s">
        <v>43</v>
      </c>
      <c r="AI323" s="146" t="s">
        <v>44</v>
      </c>
      <c r="AJ323" s="143" t="s">
        <v>43</v>
      </c>
      <c r="AK323" s="142" t="s">
        <v>53</v>
      </c>
      <c r="AL323" s="143"/>
      <c r="AM323" s="146"/>
      <c r="AP323" s="138" t="s">
        <v>42</v>
      </c>
      <c r="AQ323" s="138" t="s">
        <v>43</v>
      </c>
      <c r="AR323" s="141" t="s">
        <v>44</v>
      </c>
      <c r="AS323" s="138" t="s">
        <v>43</v>
      </c>
      <c r="AT323" s="141" t="s">
        <v>44</v>
      </c>
      <c r="AU323" s="28"/>
      <c r="AV323" s="28"/>
      <c r="AW323" s="28"/>
      <c r="AX323" s="28"/>
      <c r="AY323" s="141"/>
      <c r="BB323" s="199" t="s">
        <v>42</v>
      </c>
      <c r="BC323" s="142" t="s">
        <v>43</v>
      </c>
      <c r="BD323" s="146" t="s">
        <v>44</v>
      </c>
      <c r="BE323" s="143" t="s">
        <v>45</v>
      </c>
      <c r="BF323" s="143" t="s">
        <v>46</v>
      </c>
      <c r="BG323" s="143" t="s">
        <v>52</v>
      </c>
      <c r="BH323" s="143" t="s">
        <v>43</v>
      </c>
      <c r="BI323" s="143" t="s">
        <v>44</v>
      </c>
      <c r="BJ323" s="143" t="s">
        <v>54</v>
      </c>
      <c r="BK323" s="143"/>
      <c r="BL323" s="146"/>
    </row>
    <row r="324" spans="1:64" x14ac:dyDescent="0.3">
      <c r="A324" s="134"/>
      <c r="B324" s="134"/>
      <c r="C324" s="135"/>
      <c r="D324" s="134"/>
      <c r="E324" s="135"/>
      <c r="F324" s="135"/>
      <c r="G324" s="195"/>
      <c r="H324" s="135" t="s">
        <v>396</v>
      </c>
      <c r="I324" s="135"/>
      <c r="J324" s="136"/>
      <c r="L324" s="134"/>
      <c r="M324" s="134"/>
      <c r="N324" s="195"/>
      <c r="O324" s="134"/>
      <c r="P324" s="195"/>
      <c r="Q324" s="136"/>
      <c r="R324" s="134"/>
      <c r="S324" s="195"/>
      <c r="T324" s="134" t="s">
        <v>396</v>
      </c>
      <c r="U324" s="136"/>
      <c r="AB324" s="138"/>
      <c r="AC324" s="138"/>
      <c r="AD324" s="141"/>
      <c r="AE324" s="28"/>
      <c r="AF324" s="28"/>
      <c r="AG324" s="28"/>
      <c r="AH324" s="138"/>
      <c r="AI324" s="141"/>
      <c r="AJ324" s="28"/>
      <c r="AK324" s="138" t="s">
        <v>62</v>
      </c>
      <c r="AL324" s="28"/>
      <c r="AM324" s="141"/>
      <c r="AP324" s="134"/>
      <c r="AQ324" s="134"/>
      <c r="AR324" s="136"/>
      <c r="AS324" s="134"/>
      <c r="AT324" s="136"/>
      <c r="AU324" s="135"/>
      <c r="AV324" s="135"/>
      <c r="AW324" s="135"/>
      <c r="AX324" s="135"/>
      <c r="AY324" s="136"/>
      <c r="BB324" s="195" t="s">
        <v>85</v>
      </c>
      <c r="BC324" s="135">
        <v>0</v>
      </c>
      <c r="BD324" s="135">
        <v>0</v>
      </c>
      <c r="BE324" s="134"/>
      <c r="BF324" s="135"/>
      <c r="BG324" s="135"/>
      <c r="BH324" s="134"/>
      <c r="BI324" s="136"/>
      <c r="BJ324" s="135" t="s">
        <v>58</v>
      </c>
      <c r="BK324" s="135"/>
      <c r="BL324" s="136"/>
    </row>
    <row r="325" spans="1:64" x14ac:dyDescent="0.3">
      <c r="A325" s="138" t="s">
        <v>59</v>
      </c>
      <c r="B325" s="138">
        <v>1589</v>
      </c>
      <c r="C325" s="28">
        <v>1575</v>
      </c>
      <c r="D325" s="138"/>
      <c r="E325" s="28" t="s">
        <v>60</v>
      </c>
      <c r="F325" s="28"/>
      <c r="G325" s="196">
        <v>1596</v>
      </c>
      <c r="H325" s="28">
        <v>6</v>
      </c>
      <c r="I325" s="28" t="s">
        <v>61</v>
      </c>
      <c r="J325" s="141"/>
      <c r="L325" s="138" t="s">
        <v>59</v>
      </c>
      <c r="M325" s="138">
        <v>6154</v>
      </c>
      <c r="N325" s="196">
        <v>44242</v>
      </c>
      <c r="O325" s="138">
        <v>0</v>
      </c>
      <c r="P325" s="196">
        <v>0</v>
      </c>
      <c r="Q325" s="141">
        <v>0</v>
      </c>
      <c r="R325" s="138">
        <v>0</v>
      </c>
      <c r="S325" s="196">
        <v>0</v>
      </c>
      <c r="T325" s="138"/>
      <c r="U325" s="141"/>
      <c r="AB325" s="138"/>
      <c r="AC325" s="138"/>
      <c r="AD325" s="141"/>
      <c r="AE325" s="28"/>
      <c r="AF325" s="28"/>
      <c r="AG325" s="28"/>
      <c r="AH325" s="138"/>
      <c r="AI325" s="141"/>
      <c r="AJ325" s="28"/>
      <c r="AK325" s="138">
        <v>3</v>
      </c>
      <c r="AL325" s="28" t="s">
        <v>398</v>
      </c>
      <c r="AM325" s="141"/>
      <c r="AP325" s="138" t="s">
        <v>6</v>
      </c>
      <c r="AQ325" s="138"/>
      <c r="AR325" s="141"/>
      <c r="AS325" s="138"/>
      <c r="AT325" s="141"/>
      <c r="AU325" s="28"/>
      <c r="AV325" s="28" t="s">
        <v>91</v>
      </c>
      <c r="AW325" s="28"/>
      <c r="AX325" s="28"/>
      <c r="AY325" s="141"/>
      <c r="BB325" s="196" t="s">
        <v>64</v>
      </c>
      <c r="BC325" s="28">
        <f>122+14</f>
        <v>136</v>
      </c>
      <c r="BD325" s="28">
        <v>141</v>
      </c>
      <c r="BE325" s="138">
        <v>0</v>
      </c>
      <c r="BF325" s="28">
        <v>0</v>
      </c>
      <c r="BG325" s="28">
        <v>0</v>
      </c>
      <c r="BH325" s="138">
        <v>0</v>
      </c>
      <c r="BI325" s="141">
        <v>0</v>
      </c>
      <c r="BJ325" s="43">
        <v>17</v>
      </c>
      <c r="BK325" s="28" t="s">
        <v>474</v>
      </c>
      <c r="BL325" s="141" t="s">
        <v>6</v>
      </c>
    </row>
    <row r="326" spans="1:64" x14ac:dyDescent="0.3">
      <c r="A326" s="138" t="s">
        <v>6</v>
      </c>
      <c r="B326" s="138"/>
      <c r="C326" s="28"/>
      <c r="D326" s="138"/>
      <c r="E326" s="28"/>
      <c r="F326" s="28"/>
      <c r="G326" s="196"/>
      <c r="H326" s="28"/>
      <c r="I326" s="28" t="s">
        <v>528</v>
      </c>
      <c r="J326" s="141">
        <f>SUM(H325)</f>
        <v>6</v>
      </c>
      <c r="L326" s="142"/>
      <c r="M326" s="142"/>
      <c r="N326" s="199"/>
      <c r="O326" s="142"/>
      <c r="P326" s="199"/>
      <c r="Q326" s="146"/>
      <c r="R326" s="142"/>
      <c r="S326" s="199"/>
      <c r="T326" s="142"/>
      <c r="U326" s="146"/>
      <c r="AB326" s="138" t="s">
        <v>59</v>
      </c>
      <c r="AC326" s="138">
        <v>1451</v>
      </c>
      <c r="AD326" s="141">
        <v>1430</v>
      </c>
      <c r="AE326" s="28">
        <v>0</v>
      </c>
      <c r="AF326" s="28">
        <v>0</v>
      </c>
      <c r="AG326" s="28">
        <v>0</v>
      </c>
      <c r="AH326" s="138">
        <v>255</v>
      </c>
      <c r="AI326" s="141">
        <v>0</v>
      </c>
      <c r="AJ326" s="28">
        <v>0</v>
      </c>
      <c r="AK326" s="138">
        <v>2</v>
      </c>
      <c r="AL326" s="28" t="s">
        <v>66</v>
      </c>
      <c r="AM326" s="141"/>
      <c r="AP326" s="138" t="s">
        <v>56</v>
      </c>
      <c r="AQ326" s="138">
        <v>1796</v>
      </c>
      <c r="AR326" s="141">
        <v>1817</v>
      </c>
      <c r="AS326" s="138"/>
      <c r="AT326" s="141"/>
      <c r="AU326" s="28"/>
      <c r="AV326" s="28">
        <v>36</v>
      </c>
      <c r="AW326" s="28" t="s">
        <v>145</v>
      </c>
      <c r="AX326" s="28"/>
      <c r="AY326" s="141"/>
      <c r="BB326" s="196" t="s">
        <v>108</v>
      </c>
      <c r="BC326">
        <v>10</v>
      </c>
      <c r="BD326">
        <v>15</v>
      </c>
      <c r="BE326" s="138"/>
      <c r="BF326" s="28"/>
      <c r="BG326" s="28"/>
      <c r="BH326" s="138"/>
      <c r="BI326" s="141"/>
      <c r="BJ326" s="28">
        <v>2</v>
      </c>
      <c r="BK326" s="28" t="s">
        <v>1045</v>
      </c>
      <c r="BL326" s="141"/>
    </row>
    <row r="327" spans="1:64" x14ac:dyDescent="0.3">
      <c r="A327" s="134"/>
      <c r="B327" s="134"/>
      <c r="C327" s="135"/>
      <c r="D327" s="134"/>
      <c r="E327" s="135"/>
      <c r="F327" s="135"/>
      <c r="G327" s="195"/>
      <c r="H327" s="135" t="s">
        <v>70</v>
      </c>
      <c r="I327" s="135"/>
      <c r="J327" s="136"/>
      <c r="L327" s="134"/>
      <c r="M327" s="134"/>
      <c r="N327" s="195"/>
      <c r="O327" s="134"/>
      <c r="P327" s="195"/>
      <c r="Q327" s="136"/>
      <c r="R327" s="134"/>
      <c r="S327" s="195"/>
      <c r="T327" s="134"/>
      <c r="U327" s="136"/>
      <c r="AB327" s="142"/>
      <c r="AC327" s="142"/>
      <c r="AD327" s="146"/>
      <c r="AE327" s="143"/>
      <c r="AF327" s="143"/>
      <c r="AG327" s="143"/>
      <c r="AH327" s="142"/>
      <c r="AI327" s="146"/>
      <c r="AJ327" s="143"/>
      <c r="AK327" s="142">
        <v>1</v>
      </c>
      <c r="AL327" s="143" t="s">
        <v>188</v>
      </c>
      <c r="AM327" s="146"/>
      <c r="AP327" s="142" t="s">
        <v>6</v>
      </c>
      <c r="AQ327" s="142"/>
      <c r="AR327" s="146"/>
      <c r="AS327" s="142"/>
      <c r="AT327" s="146"/>
      <c r="AU327" s="143"/>
      <c r="AV327" s="143">
        <v>62</v>
      </c>
      <c r="AW327" s="143" t="s">
        <v>73</v>
      </c>
      <c r="AX327" s="143"/>
      <c r="AY327" s="146">
        <f>SUM(AV327)</f>
        <v>62</v>
      </c>
      <c r="BB327" s="199" t="s">
        <v>84</v>
      </c>
      <c r="BC327" s="143">
        <f>SUM(BC324:BC326)</f>
        <v>146</v>
      </c>
      <c r="BD327" s="143">
        <f>SUM(BD324:BD326)</f>
        <v>156</v>
      </c>
      <c r="BE327" s="142"/>
      <c r="BF327" s="143"/>
      <c r="BG327" s="143"/>
      <c r="BH327" s="142"/>
      <c r="BI327" s="146"/>
      <c r="BJ327" s="143">
        <v>3</v>
      </c>
      <c r="BK327" s="143" t="s">
        <v>69</v>
      </c>
      <c r="BL327" s="146">
        <f>SUM(BJ325:BJ327)</f>
        <v>22</v>
      </c>
    </row>
    <row r="328" spans="1:64" x14ac:dyDescent="0.3">
      <c r="A328" s="138" t="s">
        <v>74</v>
      </c>
      <c r="B328" s="138">
        <v>884</v>
      </c>
      <c r="C328" s="28">
        <v>2340</v>
      </c>
      <c r="D328" s="138"/>
      <c r="E328" s="28" t="s">
        <v>60</v>
      </c>
      <c r="F328" s="28"/>
      <c r="G328" s="196">
        <v>2795</v>
      </c>
      <c r="H328" s="28">
        <v>8</v>
      </c>
      <c r="I328" s="28" t="s">
        <v>1046</v>
      </c>
      <c r="J328" s="141"/>
      <c r="L328" s="138"/>
      <c r="M328" s="138"/>
      <c r="N328" s="196"/>
      <c r="O328" s="138"/>
      <c r="P328" s="196"/>
      <c r="Q328" s="141"/>
      <c r="R328" s="138"/>
      <c r="S328" s="196"/>
      <c r="T328" s="138" t="s">
        <v>80</v>
      </c>
      <c r="U328" s="141"/>
      <c r="AB328" s="134" t="s">
        <v>6</v>
      </c>
      <c r="AC328" s="134"/>
      <c r="AD328" s="136"/>
      <c r="AE328" s="135"/>
      <c r="AF328" s="135"/>
      <c r="AG328" s="135"/>
      <c r="AH328" s="134"/>
      <c r="AI328" s="136"/>
      <c r="AJ328" s="135"/>
      <c r="AK328" s="134" t="s">
        <v>952</v>
      </c>
      <c r="AL328" s="135"/>
      <c r="AM328" s="136"/>
      <c r="AP328" s="134" t="s">
        <v>56</v>
      </c>
      <c r="AQ328" s="134">
        <v>2</v>
      </c>
      <c r="AR328" s="136">
        <v>4</v>
      </c>
      <c r="AS328" s="134"/>
      <c r="AT328" s="136"/>
      <c r="AU328" s="135"/>
      <c r="AV328" s="135"/>
      <c r="AW328" s="135"/>
      <c r="AX328" s="135"/>
      <c r="AY328" s="136"/>
      <c r="BB328" s="195" t="s">
        <v>174</v>
      </c>
      <c r="BC328" s="134"/>
      <c r="BD328" s="136"/>
      <c r="BE328" s="135"/>
      <c r="BF328" s="135">
        <v>0</v>
      </c>
      <c r="BG328" s="135"/>
      <c r="BH328" s="134"/>
      <c r="BI328" s="136"/>
      <c r="BJ328" s="135" t="s">
        <v>82</v>
      </c>
      <c r="BK328" s="135"/>
      <c r="BL328" s="136"/>
    </row>
    <row r="329" spans="1:64" x14ac:dyDescent="0.3">
      <c r="A329" s="138"/>
      <c r="B329" s="138"/>
      <c r="C329" s="28"/>
      <c r="D329" s="138"/>
      <c r="E329" s="28"/>
      <c r="F329" s="28"/>
      <c r="G329" s="196"/>
      <c r="H329" s="28">
        <v>10</v>
      </c>
      <c r="I329" s="28" t="s">
        <v>1047</v>
      </c>
      <c r="J329" s="141">
        <f>SUM(H328:H329)</f>
        <v>18</v>
      </c>
      <c r="L329" s="138" t="s">
        <v>74</v>
      </c>
      <c r="M329" s="138">
        <v>7483</v>
      </c>
      <c r="N329" s="196">
        <v>0</v>
      </c>
      <c r="O329" s="138">
        <v>0</v>
      </c>
      <c r="P329" s="196">
        <v>0</v>
      </c>
      <c r="Q329" s="141">
        <v>0</v>
      </c>
      <c r="R329" s="138">
        <v>10</v>
      </c>
      <c r="S329" s="196">
        <v>0</v>
      </c>
      <c r="T329" s="138"/>
      <c r="U329" s="141"/>
      <c r="AB329" s="142" t="s">
        <v>76</v>
      </c>
      <c r="AC329" s="142">
        <v>82</v>
      </c>
      <c r="AD329" s="146">
        <v>0</v>
      </c>
      <c r="AE329" s="143">
        <v>0</v>
      </c>
      <c r="AF329" s="143">
        <v>0</v>
      </c>
      <c r="AG329" s="143">
        <v>0</v>
      </c>
      <c r="AH329" s="142">
        <v>0</v>
      </c>
      <c r="AI329" s="146">
        <v>0</v>
      </c>
      <c r="AJ329" s="143">
        <v>0</v>
      </c>
      <c r="AK329" s="142">
        <v>1</v>
      </c>
      <c r="AL329" s="143" t="s">
        <v>780</v>
      </c>
      <c r="AM329" s="146"/>
      <c r="AP329" s="138" t="s">
        <v>63</v>
      </c>
      <c r="AQ329" s="138">
        <v>15</v>
      </c>
      <c r="AR329" s="141">
        <v>9</v>
      </c>
      <c r="AS329" s="138"/>
      <c r="AT329" s="141"/>
      <c r="AU329" s="28"/>
      <c r="AV329" s="28" t="s">
        <v>110</v>
      </c>
      <c r="AW329" s="28" t="s">
        <v>111</v>
      </c>
      <c r="AX329" s="28" t="s">
        <v>112</v>
      </c>
      <c r="AY329" s="141"/>
      <c r="BB329" s="199" t="s">
        <v>85</v>
      </c>
      <c r="BC329" s="142">
        <v>0</v>
      </c>
      <c r="BD329" s="146">
        <v>0</v>
      </c>
      <c r="BE329" s="143"/>
      <c r="BF329" s="143">
        <v>0</v>
      </c>
      <c r="BG329" s="143">
        <v>0</v>
      </c>
      <c r="BH329" s="142">
        <v>0</v>
      </c>
      <c r="BI329" s="146">
        <v>0</v>
      </c>
      <c r="BJ329" s="143">
        <v>0</v>
      </c>
      <c r="BK329" s="143" t="s">
        <v>86</v>
      </c>
      <c r="BL329" s="146">
        <f>SUM(BJ329)</f>
        <v>0</v>
      </c>
    </row>
    <row r="330" spans="1:64" x14ac:dyDescent="0.3">
      <c r="A330" s="134"/>
      <c r="B330" s="134"/>
      <c r="C330" s="136"/>
      <c r="D330" s="135"/>
      <c r="E330" s="135"/>
      <c r="F330" s="135"/>
      <c r="G330" s="195"/>
      <c r="H330" s="134" t="s">
        <v>87</v>
      </c>
      <c r="I330" s="135"/>
      <c r="J330" s="136" t="s">
        <v>6</v>
      </c>
      <c r="L330" s="142"/>
      <c r="M330" s="142"/>
      <c r="N330" s="199"/>
      <c r="O330" s="142"/>
      <c r="P330" s="199"/>
      <c r="Q330" s="146"/>
      <c r="R330" s="142"/>
      <c r="S330" s="199"/>
      <c r="T330" s="142"/>
      <c r="U330" s="146"/>
      <c r="AB330" s="134"/>
      <c r="AC330" s="134"/>
      <c r="AD330" s="136"/>
      <c r="AE330" s="135"/>
      <c r="AF330" s="135"/>
      <c r="AG330" s="135"/>
      <c r="AH330" s="134"/>
      <c r="AI330" s="136"/>
      <c r="AJ330" s="135"/>
      <c r="AK330" s="134"/>
      <c r="AL330" s="135" t="s">
        <v>150</v>
      </c>
      <c r="AM330" s="136"/>
      <c r="AP330" s="138" t="s">
        <v>115</v>
      </c>
      <c r="AQ330" s="138">
        <v>66</v>
      </c>
      <c r="AR330" s="141">
        <v>49</v>
      </c>
      <c r="AS330" s="138"/>
      <c r="AT330" s="141"/>
      <c r="AU330" s="28"/>
      <c r="AV330" s="28"/>
      <c r="AW330" s="28"/>
      <c r="AX330" s="28"/>
      <c r="AY330" s="141"/>
      <c r="BB330" s="195" t="s">
        <v>107</v>
      </c>
      <c r="BC330" s="134">
        <v>0</v>
      </c>
      <c r="BD330" s="136">
        <v>0</v>
      </c>
      <c r="BE330" s="135"/>
      <c r="BF330" s="135"/>
      <c r="BG330" s="135"/>
      <c r="BH330" s="134"/>
      <c r="BI330" s="136"/>
      <c r="BJ330" s="135"/>
      <c r="BK330" s="135" t="s">
        <v>92</v>
      </c>
      <c r="BL330" s="136"/>
    </row>
    <row r="331" spans="1:64" x14ac:dyDescent="0.3">
      <c r="A331" s="138"/>
      <c r="B331" s="138"/>
      <c r="C331" s="141"/>
      <c r="D331" s="28"/>
      <c r="E331" s="28"/>
      <c r="F331" s="28"/>
      <c r="G331" s="196"/>
      <c r="H331" s="138">
        <v>18</v>
      </c>
      <c r="I331" s="28" t="s">
        <v>927</v>
      </c>
      <c r="J331" s="141"/>
      <c r="L331" s="134" t="s">
        <v>88</v>
      </c>
      <c r="M331" s="134">
        <v>0</v>
      </c>
      <c r="N331" s="195">
        <v>0</v>
      </c>
      <c r="O331" s="134"/>
      <c r="P331" s="195"/>
      <c r="Q331" s="136"/>
      <c r="R331" s="134"/>
      <c r="S331" s="195"/>
      <c r="T331" s="134" t="s">
        <v>6</v>
      </c>
      <c r="U331" s="136"/>
      <c r="AB331" s="138" t="s">
        <v>89</v>
      </c>
      <c r="AC331" s="138">
        <v>36</v>
      </c>
      <c r="AD331" s="141">
        <v>34</v>
      </c>
      <c r="AE331" s="28"/>
      <c r="AF331" s="28"/>
      <c r="AG331" s="28"/>
      <c r="AH331" s="138"/>
      <c r="AI331" s="141"/>
      <c r="AJ331" s="28"/>
      <c r="AK331" s="138" t="s">
        <v>90</v>
      </c>
      <c r="AL331" s="28"/>
      <c r="AM331" s="141"/>
      <c r="AP331" s="138" t="s">
        <v>72</v>
      </c>
      <c r="AQ331" s="138">
        <v>2</v>
      </c>
      <c r="AR331" s="141">
        <v>30</v>
      </c>
      <c r="AS331" s="138"/>
      <c r="AT331" s="141"/>
      <c r="AU331" s="28"/>
      <c r="AV331" s="28"/>
      <c r="AW331" s="28"/>
      <c r="AX331" s="28"/>
      <c r="AY331" s="141"/>
      <c r="BB331" s="196" t="s">
        <v>99</v>
      </c>
      <c r="BC331" s="138">
        <v>0</v>
      </c>
      <c r="BD331" s="141">
        <v>0</v>
      </c>
      <c r="BE331" s="28">
        <v>0</v>
      </c>
      <c r="BF331" s="28">
        <v>0</v>
      </c>
      <c r="BG331" s="28">
        <v>0</v>
      </c>
      <c r="BH331" s="138">
        <v>66127</v>
      </c>
      <c r="BI331" s="141">
        <v>19998</v>
      </c>
      <c r="BJ331" s="43">
        <v>24</v>
      </c>
      <c r="BK331" s="28" t="s">
        <v>100</v>
      </c>
      <c r="BL331" s="141"/>
    </row>
    <row r="332" spans="1:64" x14ac:dyDescent="0.3">
      <c r="A332" s="138" t="s">
        <v>93</v>
      </c>
      <c r="B332" s="138">
        <v>4048</v>
      </c>
      <c r="C332" s="141">
        <v>4088</v>
      </c>
      <c r="D332" s="28"/>
      <c r="E332" s="28" t="s">
        <v>60</v>
      </c>
      <c r="F332" s="28"/>
      <c r="G332" s="196">
        <v>5121</v>
      </c>
      <c r="H332" s="212">
        <v>7</v>
      </c>
      <c r="I332" s="28" t="s">
        <v>94</v>
      </c>
      <c r="J332" s="141" t="s">
        <v>6</v>
      </c>
      <c r="L332" s="138" t="s">
        <v>95</v>
      </c>
      <c r="M332" s="138">
        <v>0</v>
      </c>
      <c r="N332" s="196">
        <v>0</v>
      </c>
      <c r="O332" s="138"/>
      <c r="P332" s="196"/>
      <c r="Q332" s="141"/>
      <c r="R332" s="138"/>
      <c r="S332" s="196"/>
      <c r="T332" s="138" t="s">
        <v>96</v>
      </c>
      <c r="U332" s="141"/>
      <c r="AB332" s="138" t="s">
        <v>97</v>
      </c>
      <c r="AC332" s="138">
        <v>36</v>
      </c>
      <c r="AD332" s="141">
        <v>34</v>
      </c>
      <c r="AE332" s="28">
        <v>0</v>
      </c>
      <c r="AF332" s="28">
        <v>0</v>
      </c>
      <c r="AG332" s="28">
        <v>0</v>
      </c>
      <c r="AH332" s="138">
        <v>0</v>
      </c>
      <c r="AI332" s="141">
        <v>0</v>
      </c>
      <c r="AJ332" s="28">
        <v>0</v>
      </c>
      <c r="AK332" s="138"/>
      <c r="AL332" s="28" t="s">
        <v>529</v>
      </c>
      <c r="AM332" s="141"/>
      <c r="AP332" s="138" t="s">
        <v>78</v>
      </c>
      <c r="AQ332" s="138">
        <v>26</v>
      </c>
      <c r="AR332" s="141">
        <v>79</v>
      </c>
      <c r="AS332" s="138"/>
      <c r="AT332" s="141"/>
      <c r="AU332" s="28"/>
      <c r="AV332" s="28"/>
      <c r="AW332" s="28"/>
      <c r="AX332" s="28"/>
      <c r="AY332" s="141"/>
      <c r="AZ332" t="s">
        <v>6</v>
      </c>
      <c r="BB332" s="199" t="s">
        <v>84</v>
      </c>
      <c r="BC332" s="138">
        <f>SUM(BC330:BC331)</f>
        <v>0</v>
      </c>
      <c r="BD332" s="141">
        <f>SUM(BD329:BD331)</f>
        <v>0</v>
      </c>
      <c r="BE332" s="143"/>
      <c r="BF332" s="143"/>
      <c r="BG332" s="143"/>
      <c r="BH332" s="142"/>
      <c r="BI332" s="146"/>
      <c r="BJ332" s="143">
        <v>0</v>
      </c>
      <c r="BK332" s="143" t="s">
        <v>506</v>
      </c>
      <c r="BL332" s="146">
        <f>SUM(BJ331:BJ332)</f>
        <v>24</v>
      </c>
    </row>
    <row r="333" spans="1:64" x14ac:dyDescent="0.3">
      <c r="A333" s="142"/>
      <c r="B333" s="142"/>
      <c r="C333" s="146"/>
      <c r="D333" s="143"/>
      <c r="E333" s="143"/>
      <c r="F333" s="143"/>
      <c r="G333" s="199"/>
      <c r="H333" s="142">
        <v>5</v>
      </c>
      <c r="I333" s="143" t="s">
        <v>101</v>
      </c>
      <c r="J333" s="146">
        <f>SUM(H331:H333)</f>
        <v>30</v>
      </c>
      <c r="L333" s="138" t="s">
        <v>102</v>
      </c>
      <c r="M333" s="138">
        <v>0</v>
      </c>
      <c r="N333" s="196">
        <v>0</v>
      </c>
      <c r="O333" s="138"/>
      <c r="P333" s="196"/>
      <c r="Q333" s="141"/>
      <c r="R333" s="138"/>
      <c r="S333" s="196"/>
      <c r="T333" s="138"/>
      <c r="U333" s="141"/>
      <c r="AB333" s="142" t="s">
        <v>84</v>
      </c>
      <c r="AC333" s="142">
        <f>SUM(AC331:AC332)</f>
        <v>72</v>
      </c>
      <c r="AD333" s="146">
        <f>SUM(AD331:AD332)</f>
        <v>68</v>
      </c>
      <c r="AE333" s="143"/>
      <c r="AF333" s="143"/>
      <c r="AG333" s="143"/>
      <c r="AH333" s="142"/>
      <c r="AI333" s="146"/>
      <c r="AJ333" s="143"/>
      <c r="AK333" s="142">
        <v>2</v>
      </c>
      <c r="AL333" s="143" t="s">
        <v>145</v>
      </c>
      <c r="AM333" s="146"/>
      <c r="AP333" s="138" t="s">
        <v>122</v>
      </c>
      <c r="AQ333" s="138">
        <v>12</v>
      </c>
      <c r="AR333" s="141">
        <v>43</v>
      </c>
      <c r="AS333" s="138"/>
      <c r="AT333" s="141"/>
      <c r="AU333" s="28"/>
      <c r="AV333" s="28">
        <v>10</v>
      </c>
      <c r="AW333" s="28" t="s">
        <v>123</v>
      </c>
      <c r="AX333" s="28"/>
      <c r="AY333" s="141"/>
      <c r="BB333" s="138" t="s">
        <v>89</v>
      </c>
      <c r="BC333" s="134">
        <v>540</v>
      </c>
      <c r="BD333" s="136">
        <v>570</v>
      </c>
      <c r="BH333" s="134"/>
      <c r="BI333" s="136"/>
      <c r="BJ333" s="28"/>
      <c r="BK333" s="28" t="s">
        <v>91</v>
      </c>
      <c r="BL333" s="141"/>
    </row>
    <row r="334" spans="1:64" x14ac:dyDescent="0.3">
      <c r="A334" s="138" t="s">
        <v>108</v>
      </c>
      <c r="B334" s="138">
        <v>0</v>
      </c>
      <c r="C334" s="28">
        <v>0</v>
      </c>
      <c r="D334" s="138"/>
      <c r="E334" s="28">
        <v>591</v>
      </c>
      <c r="F334" s="141"/>
      <c r="G334" s="141"/>
      <c r="H334" s="28" t="s">
        <v>104</v>
      </c>
      <c r="I334" s="28"/>
      <c r="J334" s="141"/>
      <c r="L334" s="142" t="s">
        <v>84</v>
      </c>
      <c r="M334" s="142">
        <v>0</v>
      </c>
      <c r="N334" s="199">
        <v>0</v>
      </c>
      <c r="O334" s="142">
        <v>0</v>
      </c>
      <c r="P334" s="199">
        <v>0</v>
      </c>
      <c r="Q334" s="146">
        <v>0</v>
      </c>
      <c r="R334" s="142">
        <v>0</v>
      </c>
      <c r="S334" s="199">
        <v>0</v>
      </c>
      <c r="T334" s="142"/>
      <c r="U334" s="146"/>
      <c r="AB334" s="134"/>
      <c r="AC334" s="134"/>
      <c r="AD334" s="136"/>
      <c r="AE334" s="135"/>
      <c r="AF334" s="135"/>
      <c r="AG334" s="135"/>
      <c r="AH334" s="134"/>
      <c r="AI334" s="136"/>
      <c r="AJ334" s="135"/>
      <c r="AK334" s="138" t="s">
        <v>1048</v>
      </c>
      <c r="AM334" s="136"/>
      <c r="AP334" s="138" t="s">
        <v>125</v>
      </c>
      <c r="AQ334" s="138">
        <v>0</v>
      </c>
      <c r="AR334" s="141">
        <v>0</v>
      </c>
      <c r="AS334" s="138"/>
      <c r="AT334" s="141"/>
      <c r="AU334" s="28"/>
      <c r="AV334" s="28">
        <v>35</v>
      </c>
      <c r="AW334" s="28" t="s">
        <v>126</v>
      </c>
      <c r="AX334" s="28"/>
      <c r="AY334" s="141"/>
      <c r="BA334" t="s">
        <v>6</v>
      </c>
      <c r="BB334" s="138" t="s">
        <v>137</v>
      </c>
      <c r="BC334" s="138">
        <v>139</v>
      </c>
      <c r="BD334" s="141">
        <v>117</v>
      </c>
      <c r="BH334" s="138"/>
      <c r="BI334" s="141"/>
      <c r="BJ334" s="43">
        <v>37</v>
      </c>
      <c r="BK334" s="43" t="s">
        <v>145</v>
      </c>
      <c r="BL334" s="141"/>
    </row>
    <row r="335" spans="1:64" x14ac:dyDescent="0.3">
      <c r="A335" s="138" t="s">
        <v>109</v>
      </c>
      <c r="B335" s="138">
        <v>1406</v>
      </c>
      <c r="C335" s="28">
        <v>963</v>
      </c>
      <c r="D335" s="138"/>
      <c r="E335" s="28">
        <v>0</v>
      </c>
      <c r="F335" s="141"/>
      <c r="G335" s="141"/>
      <c r="H335" s="43">
        <v>7</v>
      </c>
      <c r="I335" s="28" t="s">
        <v>114</v>
      </c>
      <c r="J335" s="141"/>
      <c r="L335" s="134"/>
      <c r="M335" s="134"/>
      <c r="N335" s="195"/>
      <c r="O335" s="134"/>
      <c r="P335" s="195"/>
      <c r="Q335" s="136"/>
      <c r="R335" s="134"/>
      <c r="S335" s="195"/>
      <c r="T335" s="134" t="s">
        <v>104</v>
      </c>
      <c r="U335" s="136"/>
      <c r="AB335" s="138" t="s">
        <v>1049</v>
      </c>
      <c r="AC335" s="138">
        <v>17</v>
      </c>
      <c r="AD335" s="141">
        <v>360</v>
      </c>
      <c r="AE335" s="28">
        <v>0</v>
      </c>
      <c r="AF335" s="28">
        <v>0</v>
      </c>
      <c r="AG335" s="28">
        <v>0</v>
      </c>
      <c r="AH335" s="138"/>
      <c r="AI335" s="141"/>
      <c r="AJ335" s="28">
        <v>0</v>
      </c>
      <c r="AK335" s="138"/>
      <c r="AM335" s="141"/>
      <c r="AP335" s="138" t="s">
        <v>536</v>
      </c>
      <c r="AQ335" s="138">
        <v>0</v>
      </c>
      <c r="AR335" s="141">
        <v>0</v>
      </c>
      <c r="AS335" s="138"/>
      <c r="AT335" s="141"/>
      <c r="AU335" s="28"/>
      <c r="AV335" s="28">
        <v>43</v>
      </c>
      <c r="AW335" s="28" t="s">
        <v>129</v>
      </c>
      <c r="AX335" s="28"/>
      <c r="AY335" s="141"/>
      <c r="BA335" t="s">
        <v>6</v>
      </c>
      <c r="BB335" s="138" t="s">
        <v>113</v>
      </c>
      <c r="BC335" s="138">
        <v>816</v>
      </c>
      <c r="BD335" s="141">
        <v>847</v>
      </c>
      <c r="BH335" s="138"/>
      <c r="BI335" s="141"/>
      <c r="BJ335" s="43">
        <v>51</v>
      </c>
      <c r="BK335" s="28" t="s">
        <v>73</v>
      </c>
      <c r="BL335" s="141"/>
    </row>
    <row r="336" spans="1:64" x14ac:dyDescent="0.3">
      <c r="A336" s="138" t="s">
        <v>84</v>
      </c>
      <c r="B336" s="138">
        <f>SUM(B334:B335)</f>
        <v>1406</v>
      </c>
      <c r="C336" s="28">
        <f>SUM(C334:C335)</f>
        <v>963</v>
      </c>
      <c r="D336" s="138"/>
      <c r="E336" s="28">
        <f>SUM(E334:E335)</f>
        <v>591</v>
      </c>
      <c r="F336" s="141"/>
      <c r="G336" s="141">
        <v>2586</v>
      </c>
      <c r="H336" s="28"/>
      <c r="I336" s="28"/>
      <c r="J336" s="141">
        <f>SUM(H335)</f>
        <v>7</v>
      </c>
      <c r="L336" s="138" t="s">
        <v>109</v>
      </c>
      <c r="M336" s="138">
        <v>2184</v>
      </c>
      <c r="N336" s="196">
        <v>0</v>
      </c>
      <c r="O336" s="138">
        <v>0</v>
      </c>
      <c r="P336" s="196">
        <v>0</v>
      </c>
      <c r="Q336" s="141">
        <v>0</v>
      </c>
      <c r="R336" s="138">
        <v>0</v>
      </c>
      <c r="S336" s="196">
        <v>0</v>
      </c>
      <c r="T336" s="138"/>
      <c r="U336" s="141"/>
      <c r="AB336" s="138"/>
      <c r="AC336" s="138"/>
      <c r="AD336" s="141"/>
      <c r="AE336" s="28">
        <v>0</v>
      </c>
      <c r="AF336" s="28">
        <v>0</v>
      </c>
      <c r="AG336" s="28">
        <v>0</v>
      </c>
      <c r="AH336" s="138"/>
      <c r="AI336" s="141"/>
      <c r="AJ336" s="28"/>
      <c r="AK336" s="138">
        <v>4</v>
      </c>
      <c r="AL336" s="43" t="s">
        <v>359</v>
      </c>
      <c r="AM336" s="141"/>
      <c r="AP336" s="138" t="s">
        <v>132</v>
      </c>
      <c r="AQ336" s="138">
        <v>0</v>
      </c>
      <c r="AR336" s="141">
        <v>0</v>
      </c>
      <c r="AS336" s="138"/>
      <c r="AT336" s="141"/>
      <c r="AU336" s="28"/>
      <c r="AV336" s="28"/>
      <c r="AW336" s="28"/>
      <c r="AX336" s="28"/>
      <c r="AY336" s="141"/>
      <c r="BB336" s="138" t="s">
        <v>84</v>
      </c>
      <c r="BC336" s="138">
        <f>SUM(BC333:BC335)</f>
        <v>1495</v>
      </c>
      <c r="BD336" s="141">
        <f>SUM(BD333:BD335)</f>
        <v>1534</v>
      </c>
      <c r="BE336">
        <v>0</v>
      </c>
      <c r="BF336">
        <v>0</v>
      </c>
      <c r="BG336">
        <v>0</v>
      </c>
      <c r="BH336" s="138">
        <v>0</v>
      </c>
      <c r="BI336" s="141">
        <v>0</v>
      </c>
      <c r="BJ336" s="28"/>
      <c r="BK336" s="28"/>
      <c r="BL336" s="141">
        <f>SUM(BJ335)</f>
        <v>51</v>
      </c>
    </row>
    <row r="337" spans="1:65" x14ac:dyDescent="0.3">
      <c r="A337" s="134" t="s">
        <v>785</v>
      </c>
      <c r="B337" s="134">
        <v>1425</v>
      </c>
      <c r="C337" s="136">
        <v>1478</v>
      </c>
      <c r="D337" s="135"/>
      <c r="E337" s="135"/>
      <c r="F337" s="135"/>
      <c r="G337" s="195">
        <v>1810</v>
      </c>
      <c r="H337" s="135" t="s">
        <v>1050</v>
      </c>
      <c r="I337" s="135"/>
      <c r="J337" s="136"/>
      <c r="L337" s="142"/>
      <c r="M337" s="142"/>
      <c r="N337" s="199"/>
      <c r="O337" s="142"/>
      <c r="P337" s="199"/>
      <c r="Q337" s="146"/>
      <c r="R337" s="142"/>
      <c r="S337" s="199"/>
      <c r="T337" s="142"/>
      <c r="U337" s="146"/>
      <c r="AB337" s="142"/>
      <c r="AC337" s="142"/>
      <c r="AD337" s="146"/>
      <c r="AE337" s="143">
        <v>0</v>
      </c>
      <c r="AF337" s="143">
        <v>0</v>
      </c>
      <c r="AG337" s="143">
        <v>0</v>
      </c>
      <c r="AH337" s="142"/>
      <c r="AI337" s="146"/>
      <c r="AJ337" s="143"/>
      <c r="AK337" s="142"/>
      <c r="AL337" s="143"/>
      <c r="AM337" s="146"/>
      <c r="AP337" s="138" t="s">
        <v>81</v>
      </c>
      <c r="AQ337" s="138">
        <v>24</v>
      </c>
      <c r="AR337" s="141">
        <v>10</v>
      </c>
      <c r="AS337" s="138"/>
      <c r="AT337" s="141"/>
      <c r="AU337" s="28"/>
      <c r="AV337" s="28"/>
      <c r="AW337" s="28"/>
      <c r="AX337" s="28"/>
      <c r="AY337" s="141"/>
      <c r="BA337" t="s">
        <v>6</v>
      </c>
      <c r="BB337" s="134"/>
      <c r="BC337" s="134"/>
      <c r="BD337" s="136"/>
      <c r="BE337" s="135"/>
      <c r="BF337" s="135"/>
      <c r="BG337" s="135"/>
      <c r="BH337" s="134"/>
      <c r="BI337" s="136"/>
      <c r="BJ337" s="135" t="s">
        <v>1025</v>
      </c>
      <c r="BK337" s="135"/>
      <c r="BL337" s="136"/>
    </row>
    <row r="338" spans="1:65" x14ac:dyDescent="0.3">
      <c r="A338" s="138" t="s">
        <v>93</v>
      </c>
      <c r="B338" s="138">
        <v>10942</v>
      </c>
      <c r="C338" s="141">
        <v>10455</v>
      </c>
      <c r="D338" s="28"/>
      <c r="E338" s="28"/>
      <c r="F338" s="28"/>
      <c r="G338" s="196">
        <v>12830</v>
      </c>
      <c r="H338" s="28">
        <v>15</v>
      </c>
      <c r="I338" s="28" t="s">
        <v>75</v>
      </c>
      <c r="J338" s="141"/>
      <c r="L338" s="134" t="s">
        <v>93</v>
      </c>
      <c r="M338" s="134">
        <v>0</v>
      </c>
      <c r="N338" s="195">
        <v>0</v>
      </c>
      <c r="O338" s="134"/>
      <c r="P338" s="195"/>
      <c r="Q338" s="136"/>
      <c r="R338" s="134">
        <v>0</v>
      </c>
      <c r="S338" s="195">
        <v>109</v>
      </c>
      <c r="T338" s="134" t="s">
        <v>116</v>
      </c>
      <c r="U338" s="136"/>
      <c r="AB338" s="138"/>
      <c r="AC338" s="138"/>
      <c r="AD338" s="141"/>
      <c r="AE338" s="28"/>
      <c r="AF338" s="28"/>
      <c r="AG338" s="28"/>
      <c r="AH338" s="138"/>
      <c r="AI338" s="141"/>
      <c r="AJ338" s="28"/>
      <c r="AK338" s="138"/>
      <c r="AL338" s="28" t="s">
        <v>117</v>
      </c>
      <c r="AM338" s="141"/>
      <c r="AP338" s="138" t="s">
        <v>138</v>
      </c>
      <c r="AQ338" s="138">
        <v>0</v>
      </c>
      <c r="AR338" s="141">
        <v>0</v>
      </c>
      <c r="AS338" s="138"/>
      <c r="AT338" s="141"/>
      <c r="AU338" s="28"/>
      <c r="AV338" s="28"/>
      <c r="AW338" s="28"/>
      <c r="AX338" s="28"/>
      <c r="AY338" s="141"/>
      <c r="BB338" s="142" t="s">
        <v>64</v>
      </c>
      <c r="BC338" s="142">
        <v>67</v>
      </c>
      <c r="BD338" s="146">
        <v>41</v>
      </c>
      <c r="BE338" s="143"/>
      <c r="BF338" s="143"/>
      <c r="BG338" s="143"/>
      <c r="BH338" s="142"/>
      <c r="BI338" s="146"/>
      <c r="BJ338" s="143">
        <v>10</v>
      </c>
      <c r="BK338" s="143" t="s">
        <v>1026</v>
      </c>
      <c r="BL338" s="146">
        <f>SUM(BJ338)</f>
        <v>10</v>
      </c>
    </row>
    <row r="339" spans="1:65" x14ac:dyDescent="0.3">
      <c r="A339" s="138" t="s">
        <v>120</v>
      </c>
      <c r="B339" s="138">
        <v>7292</v>
      </c>
      <c r="C339" s="209">
        <v>7663</v>
      </c>
      <c r="D339" s="28"/>
      <c r="E339" s="28" t="s">
        <v>60</v>
      </c>
      <c r="F339" s="28"/>
      <c r="G339" s="196">
        <v>9010</v>
      </c>
      <c r="H339" s="28">
        <v>136</v>
      </c>
      <c r="I339" s="28" t="s">
        <v>101</v>
      </c>
      <c r="J339" s="141"/>
      <c r="L339" s="138" t="s">
        <v>99</v>
      </c>
      <c r="M339" s="138">
        <v>4672</v>
      </c>
      <c r="N339" s="196">
        <v>29909</v>
      </c>
      <c r="O339" s="138"/>
      <c r="P339" s="196"/>
      <c r="Q339" s="141"/>
      <c r="R339" s="138">
        <v>5610</v>
      </c>
      <c r="S339" s="196">
        <v>204</v>
      </c>
      <c r="T339" s="138"/>
      <c r="U339" s="141"/>
      <c r="AB339" s="138"/>
      <c r="AC339" s="138"/>
      <c r="AD339" s="141"/>
      <c r="AE339" s="28"/>
      <c r="AF339" s="28"/>
      <c r="AG339" s="28"/>
      <c r="AH339" s="138"/>
      <c r="AI339" s="141"/>
      <c r="AJ339" s="28"/>
      <c r="AK339" s="138"/>
      <c r="AL339" s="28" t="s">
        <v>558</v>
      </c>
      <c r="AM339" s="141"/>
      <c r="AP339" s="138" t="s">
        <v>230</v>
      </c>
      <c r="AQ339" s="138">
        <v>0</v>
      </c>
      <c r="AR339" s="141">
        <v>0</v>
      </c>
      <c r="AS339" s="138"/>
      <c r="AT339" s="141"/>
      <c r="AU339" s="28"/>
      <c r="AV339" s="28"/>
      <c r="AW339" s="28"/>
      <c r="AX339" s="28"/>
      <c r="AY339" s="141"/>
      <c r="BB339" s="138" t="s">
        <v>113</v>
      </c>
      <c r="BC339" s="138">
        <v>380</v>
      </c>
      <c r="BD339" s="141">
        <v>394</v>
      </c>
      <c r="BE339" s="28"/>
      <c r="BF339" s="28"/>
      <c r="BG339" s="28"/>
      <c r="BH339" s="138"/>
      <c r="BI339" s="141"/>
      <c r="BJ339" s="28" t="s">
        <v>994</v>
      </c>
      <c r="BK339" s="28"/>
      <c r="BL339" s="141"/>
    </row>
    <row r="340" spans="1:65" x14ac:dyDescent="0.3">
      <c r="A340" s="142" t="s">
        <v>84</v>
      </c>
      <c r="B340" s="142">
        <f>SUM(B337:B339)</f>
        <v>19659</v>
      </c>
      <c r="C340" s="146">
        <f>SUM(C337:C339)</f>
        <v>19596</v>
      </c>
      <c r="D340" s="143"/>
      <c r="E340" s="143"/>
      <c r="F340" s="143"/>
      <c r="G340" s="199">
        <f>SUM(G337:G339)</f>
        <v>23650</v>
      </c>
      <c r="H340" s="143" t="s">
        <v>6</v>
      </c>
      <c r="I340" s="143" t="s">
        <v>927</v>
      </c>
      <c r="J340" s="146">
        <f>SUM(H339:H340)</f>
        <v>136</v>
      </c>
      <c r="L340" s="138" t="s">
        <v>120</v>
      </c>
      <c r="M340" s="138">
        <v>0</v>
      </c>
      <c r="N340" s="196">
        <v>14789</v>
      </c>
      <c r="O340" s="138"/>
      <c r="P340" s="196"/>
      <c r="Q340" s="141" t="s">
        <v>6</v>
      </c>
      <c r="R340" s="138">
        <v>0</v>
      </c>
      <c r="S340" s="196">
        <v>0</v>
      </c>
      <c r="T340" s="138"/>
      <c r="U340" s="141"/>
      <c r="AB340" s="138"/>
      <c r="AC340" s="138"/>
      <c r="AD340" s="141"/>
      <c r="AE340" s="28"/>
      <c r="AF340" s="28"/>
      <c r="AG340" s="28"/>
      <c r="AH340" s="138"/>
      <c r="AI340" s="141"/>
      <c r="AJ340" s="28"/>
      <c r="AK340" s="138"/>
      <c r="AL340" s="28" t="s">
        <v>401</v>
      </c>
      <c r="AM340" s="141"/>
      <c r="AP340" s="138" t="s">
        <v>67</v>
      </c>
      <c r="AQ340" s="138">
        <v>74</v>
      </c>
      <c r="AR340" s="141">
        <v>39</v>
      </c>
      <c r="AS340" s="138"/>
      <c r="AT340" s="141"/>
      <c r="AU340" s="28"/>
      <c r="AV340" s="28"/>
      <c r="AW340" s="28"/>
      <c r="AX340" s="28"/>
      <c r="AY340" s="141"/>
      <c r="BB340" s="138" t="s">
        <v>475</v>
      </c>
      <c r="BC340" s="138">
        <v>12</v>
      </c>
      <c r="BD340" s="141">
        <v>13</v>
      </c>
      <c r="BE340" s="28"/>
      <c r="BF340" s="28"/>
      <c r="BG340" s="28"/>
      <c r="BH340" s="138"/>
      <c r="BI340" s="141"/>
      <c r="BJ340" s="28">
        <v>11</v>
      </c>
      <c r="BK340" s="28" t="s">
        <v>100</v>
      </c>
      <c r="BL340" s="141"/>
      <c r="BM340" t="s">
        <v>6</v>
      </c>
    </row>
    <row r="341" spans="1:65" x14ac:dyDescent="0.3">
      <c r="A341" s="196" t="s">
        <v>6</v>
      </c>
      <c r="B341" s="138" t="s">
        <v>6</v>
      </c>
      <c r="C341" s="141" t="s">
        <v>6</v>
      </c>
      <c r="D341" s="138"/>
      <c r="E341" s="28"/>
      <c r="F341" s="28"/>
      <c r="G341" s="196" t="s">
        <v>6</v>
      </c>
      <c r="H341" s="28"/>
      <c r="I341" s="28"/>
      <c r="J341" s="141"/>
      <c r="L341" s="142" t="s">
        <v>84</v>
      </c>
      <c r="M341" s="142">
        <f>SUM(M338:M340)</f>
        <v>4672</v>
      </c>
      <c r="N341" s="199">
        <f>SUM(N338:N340)</f>
        <v>44698</v>
      </c>
      <c r="O341" s="142">
        <v>0</v>
      </c>
      <c r="P341" s="199">
        <v>0</v>
      </c>
      <c r="Q341" s="146">
        <v>0</v>
      </c>
      <c r="R341" s="142">
        <f>SUM(R338:R340)</f>
        <v>5610</v>
      </c>
      <c r="S341" s="199">
        <f>SUM(S338:S340)</f>
        <v>313</v>
      </c>
      <c r="T341" s="142"/>
      <c r="U341" s="146"/>
      <c r="AB341" s="138"/>
      <c r="AC341" s="138"/>
      <c r="AD341" s="141"/>
      <c r="AE341" s="28"/>
      <c r="AF341" s="28"/>
      <c r="AG341" s="28"/>
      <c r="AH341" s="138"/>
      <c r="AI341" s="141"/>
      <c r="AJ341" s="28"/>
      <c r="AK341" s="138">
        <v>6</v>
      </c>
      <c r="AL341" s="28" t="s">
        <v>124</v>
      </c>
      <c r="AM341" s="141"/>
      <c r="AP341" s="142" t="s">
        <v>84</v>
      </c>
      <c r="AQ341" s="142">
        <f>SUM(AQ328:AQ340)</f>
        <v>221</v>
      </c>
      <c r="AR341" s="146">
        <f>SUM(AR328:AR340)</f>
        <v>263</v>
      </c>
      <c r="AS341" s="142"/>
      <c r="AT341" s="146">
        <v>0</v>
      </c>
      <c r="AU341" s="143"/>
      <c r="AV341" s="143"/>
      <c r="AW341" s="143"/>
      <c r="AX341" s="143"/>
      <c r="AY341" s="146">
        <f>SUM(AV333:AV335)</f>
        <v>88</v>
      </c>
      <c r="BB341" s="142" t="s">
        <v>84</v>
      </c>
      <c r="BC341" s="142">
        <f>SUM(BC339:BC340)</f>
        <v>392</v>
      </c>
      <c r="BD341" s="146">
        <f>SUM(BD339:BD340)</f>
        <v>407</v>
      </c>
      <c r="BE341" s="143">
        <v>0</v>
      </c>
      <c r="BF341" s="143">
        <v>0</v>
      </c>
      <c r="BG341" s="143">
        <v>0</v>
      </c>
      <c r="BH341" s="142">
        <v>0</v>
      </c>
      <c r="BI341" s="146">
        <v>0</v>
      </c>
      <c r="BJ341" s="43">
        <v>35</v>
      </c>
      <c r="BK341" s="43" t="s">
        <v>73</v>
      </c>
      <c r="BL341" s="146">
        <f>SUM(BJ341)</f>
        <v>35</v>
      </c>
    </row>
    <row r="342" spans="1:65" x14ac:dyDescent="0.3">
      <c r="A342" s="196" t="s">
        <v>88</v>
      </c>
      <c r="B342" s="138">
        <v>532</v>
      </c>
      <c r="C342" s="141">
        <v>2213</v>
      </c>
      <c r="D342" s="138"/>
      <c r="E342" s="28">
        <v>0</v>
      </c>
      <c r="F342" s="28"/>
      <c r="G342" s="196">
        <v>2717</v>
      </c>
      <c r="H342" s="28" t="s">
        <v>131</v>
      </c>
      <c r="I342" s="28"/>
      <c r="J342" s="141"/>
      <c r="L342" s="134"/>
      <c r="M342" s="134"/>
      <c r="N342" s="195"/>
      <c r="O342" s="134"/>
      <c r="P342" s="195"/>
      <c r="Q342" s="136"/>
      <c r="R342" s="134"/>
      <c r="S342" s="195"/>
      <c r="T342" s="134"/>
      <c r="U342" s="136"/>
      <c r="AB342" s="134"/>
      <c r="AC342" s="134"/>
      <c r="AD342" s="136"/>
      <c r="AE342" s="135"/>
      <c r="AF342" s="135"/>
      <c r="AG342" s="135"/>
      <c r="AH342" s="134"/>
      <c r="AI342" s="136"/>
      <c r="AJ342" s="135"/>
      <c r="AK342" s="134"/>
      <c r="AL342" s="135"/>
      <c r="AM342" s="136"/>
      <c r="AP342" s="134"/>
      <c r="AQ342" s="134"/>
      <c r="AR342" s="136"/>
      <c r="AS342" s="134"/>
      <c r="AT342" s="136"/>
      <c r="AU342" s="135"/>
      <c r="AV342" s="135"/>
      <c r="AW342" s="135"/>
      <c r="AX342" s="135"/>
      <c r="AY342" s="136"/>
      <c r="BB342" s="196" t="s">
        <v>608</v>
      </c>
      <c r="BC342" s="138">
        <v>7</v>
      </c>
      <c r="BD342" s="141">
        <v>5</v>
      </c>
      <c r="BE342" s="134"/>
      <c r="BF342" s="135"/>
      <c r="BG342" s="136"/>
      <c r="BH342" s="138"/>
      <c r="BI342" s="141"/>
      <c r="BJ342" s="134" t="s">
        <v>140</v>
      </c>
      <c r="BK342" s="135"/>
      <c r="BL342" s="136"/>
    </row>
    <row r="343" spans="1:65" x14ac:dyDescent="0.3">
      <c r="A343" s="211" t="s">
        <v>99</v>
      </c>
      <c r="B343" s="212">
        <v>1480</v>
      </c>
      <c r="C343" s="209">
        <v>1290</v>
      </c>
      <c r="D343" s="138"/>
      <c r="E343" s="28">
        <v>0</v>
      </c>
      <c r="F343" s="28"/>
      <c r="G343" s="211">
        <v>3274</v>
      </c>
      <c r="H343" s="28"/>
      <c r="I343" s="28"/>
      <c r="J343" s="141"/>
      <c r="L343" s="138" t="s">
        <v>105</v>
      </c>
      <c r="M343" s="138">
        <v>787</v>
      </c>
      <c r="N343" s="196">
        <v>205</v>
      </c>
      <c r="O343" s="138">
        <v>0</v>
      </c>
      <c r="P343" s="196">
        <v>0</v>
      </c>
      <c r="Q343" s="141">
        <v>0</v>
      </c>
      <c r="R343" s="138">
        <v>0</v>
      </c>
      <c r="S343" s="196">
        <v>0</v>
      </c>
      <c r="T343" s="138"/>
      <c r="U343" s="141"/>
      <c r="AB343" s="138" t="s">
        <v>97</v>
      </c>
      <c r="AC343" s="138">
        <v>126</v>
      </c>
      <c r="AD343" s="141">
        <v>136</v>
      </c>
      <c r="AE343" s="28"/>
      <c r="AF343" s="28"/>
      <c r="AG343" s="28"/>
      <c r="AH343" s="138"/>
      <c r="AI343" s="141"/>
      <c r="AJ343" s="28"/>
      <c r="AK343" s="138"/>
      <c r="AL343" s="28"/>
      <c r="AM343" s="141"/>
      <c r="AP343" s="138" t="s">
        <v>63</v>
      </c>
      <c r="AQ343" s="138">
        <v>0</v>
      </c>
      <c r="AR343" s="141">
        <v>0</v>
      </c>
      <c r="AS343" s="138"/>
      <c r="AT343" s="141"/>
      <c r="AU343" s="28"/>
      <c r="AV343" s="28"/>
      <c r="AW343" s="28"/>
      <c r="AX343" s="28"/>
      <c r="AY343" s="141"/>
      <c r="BB343" s="196" t="s">
        <v>158</v>
      </c>
      <c r="BC343" s="138">
        <v>5</v>
      </c>
      <c r="BD343" s="141">
        <v>0</v>
      </c>
      <c r="BE343" s="138"/>
      <c r="BF343" s="28"/>
      <c r="BG343" s="141"/>
      <c r="BH343" s="138"/>
      <c r="BI343" s="141"/>
      <c r="BJ343" s="138"/>
      <c r="BK343" s="28"/>
      <c r="BL343" s="141"/>
    </row>
    <row r="344" spans="1:65" x14ac:dyDescent="0.3">
      <c r="A344" s="196" t="s">
        <v>102</v>
      </c>
      <c r="B344" s="138">
        <v>313</v>
      </c>
      <c r="C344" s="209">
        <v>582</v>
      </c>
      <c r="D344" s="138"/>
      <c r="E344" s="28">
        <v>0</v>
      </c>
      <c r="F344" s="28"/>
      <c r="G344" s="196">
        <v>1358</v>
      </c>
      <c r="H344" s="43">
        <v>38</v>
      </c>
      <c r="I344" s="28" t="s">
        <v>134</v>
      </c>
      <c r="J344" s="141"/>
      <c r="L344" s="138" t="s">
        <v>99</v>
      </c>
      <c r="M344" s="138">
        <v>700</v>
      </c>
      <c r="N344" s="196">
        <v>0</v>
      </c>
      <c r="O344" s="138">
        <v>0</v>
      </c>
      <c r="P344" s="196">
        <v>0</v>
      </c>
      <c r="Q344" s="141">
        <v>0</v>
      </c>
      <c r="R344" s="138">
        <v>0</v>
      </c>
      <c r="S344" s="196">
        <v>0</v>
      </c>
      <c r="T344" s="138" t="s">
        <v>135</v>
      </c>
      <c r="U344" s="141"/>
      <c r="AB344" s="138" t="s">
        <v>89</v>
      </c>
      <c r="AC344" s="138">
        <v>404</v>
      </c>
      <c r="AD344" s="141">
        <v>334</v>
      </c>
      <c r="AE344" s="28"/>
      <c r="AF344" s="28"/>
      <c r="AG344" s="28"/>
      <c r="AH344" s="138"/>
      <c r="AI344" s="141"/>
      <c r="AJ344" s="28"/>
      <c r="AK344" s="138" t="s">
        <v>953</v>
      </c>
      <c r="AL344" s="28"/>
      <c r="AM344" s="141"/>
      <c r="AP344" s="138" t="s">
        <v>536</v>
      </c>
      <c r="AQ344" s="138">
        <v>0</v>
      </c>
      <c r="AR344" s="141">
        <v>0</v>
      </c>
      <c r="AS344" s="138"/>
      <c r="AT344" s="141"/>
      <c r="AU344" s="28"/>
      <c r="AV344" s="28"/>
      <c r="AW344" s="28"/>
      <c r="AX344" s="28"/>
      <c r="AY344" s="141"/>
      <c r="BB344" s="196" t="s">
        <v>174</v>
      </c>
      <c r="BC344" s="138">
        <v>5</v>
      </c>
      <c r="BD344" s="141">
        <v>5</v>
      </c>
      <c r="BE344" s="138"/>
      <c r="BF344" s="28"/>
      <c r="BG344" s="141"/>
      <c r="BH344" s="138"/>
      <c r="BI344" s="141"/>
      <c r="BJ344" s="138"/>
      <c r="BK344" s="28"/>
      <c r="BL344" s="141"/>
    </row>
    <row r="345" spans="1:65" x14ac:dyDescent="0.3">
      <c r="A345" s="196" t="s">
        <v>84</v>
      </c>
      <c r="B345" s="142">
        <f>SUM(B341:B344)</f>
        <v>2325</v>
      </c>
      <c r="C345" s="146">
        <f>SUM(C341:C344)</f>
        <v>4085</v>
      </c>
      <c r="D345" s="142"/>
      <c r="E345" s="143">
        <v>0</v>
      </c>
      <c r="F345" s="143"/>
      <c r="G345" s="199">
        <f>SUM(G342:G344)</f>
        <v>7349</v>
      </c>
      <c r="H345" s="143">
        <v>5</v>
      </c>
      <c r="I345" s="143" t="s">
        <v>815</v>
      </c>
      <c r="J345" s="146">
        <f>SUM(H344:H345)</f>
        <v>43</v>
      </c>
      <c r="L345" s="138"/>
      <c r="M345" s="138"/>
      <c r="N345" s="196"/>
      <c r="O345" s="138"/>
      <c r="P345" s="196"/>
      <c r="Q345" s="141"/>
      <c r="R345" s="138"/>
      <c r="S345" s="196"/>
      <c r="T345" s="138"/>
      <c r="U345" s="141"/>
      <c r="AB345" s="138" t="s">
        <v>137</v>
      </c>
      <c r="AC345" s="138">
        <v>485</v>
      </c>
      <c r="AD345" s="141">
        <v>566</v>
      </c>
      <c r="AE345" s="28"/>
      <c r="AF345" s="28"/>
      <c r="AG345" s="28"/>
      <c r="AH345" s="138"/>
      <c r="AI345" s="141"/>
      <c r="AJ345" s="28"/>
      <c r="AK345" s="138">
        <v>9</v>
      </c>
      <c r="AL345" s="28" t="s">
        <v>884</v>
      </c>
      <c r="AM345" s="141"/>
      <c r="AP345" s="138" t="s">
        <v>56</v>
      </c>
      <c r="AQ345" s="138">
        <v>0</v>
      </c>
      <c r="AR345" s="141">
        <v>0</v>
      </c>
      <c r="AS345" s="138"/>
      <c r="AT345" s="141"/>
      <c r="AU345" s="28"/>
      <c r="AV345" s="28" t="s">
        <v>173</v>
      </c>
      <c r="AW345" s="28"/>
      <c r="AX345" s="28"/>
      <c r="AY345" s="141"/>
      <c r="BB345" s="196" t="s">
        <v>113</v>
      </c>
      <c r="BC345" s="138">
        <f>3+6</f>
        <v>9</v>
      </c>
      <c r="BD345" s="141">
        <v>5</v>
      </c>
      <c r="BE345" s="138"/>
      <c r="BF345" s="28"/>
      <c r="BG345" s="141"/>
      <c r="BH345" s="138"/>
      <c r="BI345" s="141"/>
      <c r="BJ345" s="138" t="s">
        <v>142</v>
      </c>
      <c r="BK345" s="28"/>
      <c r="BL345" s="141" t="s">
        <v>954</v>
      </c>
    </row>
    <row r="346" spans="1:65" x14ac:dyDescent="0.3">
      <c r="A346" s="195"/>
      <c r="B346" s="28"/>
      <c r="C346" s="28"/>
      <c r="D346" s="138"/>
      <c r="E346" s="28" t="s">
        <v>6</v>
      </c>
      <c r="F346" s="28"/>
      <c r="G346" s="196"/>
      <c r="H346" s="28" t="s">
        <v>116</v>
      </c>
      <c r="I346" s="28"/>
      <c r="J346" s="141"/>
      <c r="L346" s="142" t="s">
        <v>84</v>
      </c>
      <c r="M346" s="142">
        <f>SUM(M343:M345)</f>
        <v>1487</v>
      </c>
      <c r="N346" s="199">
        <f>SUM(N343:N345)</f>
        <v>205</v>
      </c>
      <c r="O346" s="142">
        <v>0</v>
      </c>
      <c r="P346" s="199">
        <v>0</v>
      </c>
      <c r="Q346" s="146">
        <v>0</v>
      </c>
      <c r="R346" s="142">
        <f>SUM(R343:R345)</f>
        <v>0</v>
      </c>
      <c r="S346" s="199">
        <v>0</v>
      </c>
      <c r="T346" s="142"/>
      <c r="U346" s="146"/>
      <c r="AB346" s="138" t="s">
        <v>84</v>
      </c>
      <c r="AC346" s="138">
        <f>SUM(AC343:AC345)</f>
        <v>1015</v>
      </c>
      <c r="AD346" s="141">
        <f>SUM(AD343:AD345)</f>
        <v>1036</v>
      </c>
      <c r="AE346" s="28">
        <v>0</v>
      </c>
      <c r="AF346" s="28">
        <v>0</v>
      </c>
      <c r="AG346" s="28">
        <v>0</v>
      </c>
      <c r="AH346" s="138">
        <v>0</v>
      </c>
      <c r="AI346" s="141">
        <v>0</v>
      </c>
      <c r="AJ346" s="28">
        <v>0</v>
      </c>
      <c r="AK346" s="138">
        <v>9</v>
      </c>
      <c r="AL346" s="28" t="s">
        <v>141</v>
      </c>
      <c r="AM346" s="141"/>
      <c r="AP346" s="138" t="s">
        <v>67</v>
      </c>
      <c r="AQ346" s="138">
        <v>0</v>
      </c>
      <c r="AR346" s="141">
        <v>0</v>
      </c>
      <c r="AS346" s="138"/>
      <c r="AT346" s="141"/>
      <c r="AU346" s="28"/>
      <c r="AV346" s="28"/>
      <c r="AW346" s="28"/>
      <c r="AX346" s="28"/>
      <c r="AY346" s="141"/>
      <c r="BB346" s="196" t="s">
        <v>108</v>
      </c>
      <c r="BC346" s="138">
        <v>0</v>
      </c>
      <c r="BD346" s="141">
        <v>5</v>
      </c>
      <c r="BE346" s="138"/>
      <c r="BF346" s="28"/>
      <c r="BG346" s="141"/>
      <c r="BH346" s="138"/>
      <c r="BI346" s="141"/>
      <c r="BJ346" s="138" t="s">
        <v>146</v>
      </c>
      <c r="BK346" s="28"/>
      <c r="BL346" s="141" t="s">
        <v>1051</v>
      </c>
    </row>
    <row r="347" spans="1:65" x14ac:dyDescent="0.3">
      <c r="A347" s="196" t="s">
        <v>93</v>
      </c>
      <c r="B347" s="43">
        <v>7820</v>
      </c>
      <c r="C347" s="43">
        <v>6672</v>
      </c>
      <c r="D347" s="138"/>
      <c r="E347" s="28" t="s">
        <v>60</v>
      </c>
      <c r="F347" s="28"/>
      <c r="G347" s="196">
        <v>9481</v>
      </c>
      <c r="H347" s="43">
        <v>206</v>
      </c>
      <c r="I347" s="28" t="s">
        <v>144</v>
      </c>
      <c r="J347" s="141"/>
      <c r="L347" s="138"/>
      <c r="M347" s="138"/>
      <c r="N347" s="196"/>
      <c r="O347" s="138"/>
      <c r="P347" s="196"/>
      <c r="Q347" s="141"/>
      <c r="R347" s="138"/>
      <c r="S347" s="196"/>
      <c r="T347" s="138"/>
      <c r="U347" s="141"/>
      <c r="AB347" s="142"/>
      <c r="AC347" s="142"/>
      <c r="AD347" s="146"/>
      <c r="AE347" s="143"/>
      <c r="AF347" s="143"/>
      <c r="AG347" s="143"/>
      <c r="AH347" s="142"/>
      <c r="AI347" s="146"/>
      <c r="AJ347" s="143"/>
      <c r="AK347" s="142">
        <v>3</v>
      </c>
      <c r="AL347" s="143" t="s">
        <v>996</v>
      </c>
      <c r="AM347" s="146"/>
      <c r="AP347" s="138" t="s">
        <v>78</v>
      </c>
      <c r="AQ347" s="138">
        <v>0</v>
      </c>
      <c r="AR347" s="141">
        <v>0</v>
      </c>
      <c r="AS347" s="138"/>
      <c r="AT347" s="141"/>
      <c r="AU347" s="28"/>
      <c r="AV347" s="28">
        <v>0</v>
      </c>
      <c r="AW347" s="28" t="s">
        <v>183</v>
      </c>
      <c r="AX347" s="28"/>
      <c r="AY347" s="141"/>
      <c r="BA347" t="s">
        <v>6</v>
      </c>
      <c r="BB347" s="196" t="s">
        <v>1052</v>
      </c>
      <c r="BC347" s="138">
        <v>0</v>
      </c>
      <c r="BD347" s="141">
        <v>10</v>
      </c>
      <c r="BE347" s="138"/>
      <c r="BF347" s="28"/>
      <c r="BG347" s="141"/>
      <c r="BH347" s="138"/>
      <c r="BI347" s="141"/>
      <c r="BJ347" s="138"/>
      <c r="BK347" s="28"/>
      <c r="BL347" s="141"/>
    </row>
    <row r="348" spans="1:65" x14ac:dyDescent="0.3">
      <c r="A348" s="196" t="s">
        <v>99</v>
      </c>
      <c r="B348" s="43">
        <v>12387</v>
      </c>
      <c r="C348" s="43">
        <v>11496</v>
      </c>
      <c r="D348" s="138"/>
      <c r="E348" s="28" t="s">
        <v>60</v>
      </c>
      <c r="F348" s="28"/>
      <c r="G348" s="196">
        <v>19369</v>
      </c>
      <c r="H348" s="43"/>
      <c r="I348" s="28" t="s">
        <v>148</v>
      </c>
      <c r="J348" s="141"/>
      <c r="L348" s="138"/>
      <c r="M348" s="138"/>
      <c r="N348" s="196"/>
      <c r="O348" s="138"/>
      <c r="P348" s="196"/>
      <c r="Q348" s="141"/>
      <c r="R348" s="138"/>
      <c r="S348" s="196"/>
      <c r="T348" s="138"/>
      <c r="U348" s="141"/>
      <c r="AB348" s="138"/>
      <c r="AC348" s="138"/>
      <c r="AD348" s="141"/>
      <c r="AE348" s="28"/>
      <c r="AF348" s="28"/>
      <c r="AG348" s="28"/>
      <c r="AH348" s="138"/>
      <c r="AI348" s="141"/>
      <c r="AJ348" s="28"/>
      <c r="AK348" s="138" t="s">
        <v>149</v>
      </c>
      <c r="AL348" s="28"/>
      <c r="AM348" s="141"/>
      <c r="AP348" s="138" t="s">
        <v>115</v>
      </c>
      <c r="AQ348" s="138">
        <v>0</v>
      </c>
      <c r="AR348" s="141">
        <v>0</v>
      </c>
      <c r="AS348" s="138"/>
      <c r="AT348" s="141"/>
      <c r="AU348" s="28"/>
      <c r="AV348" s="28" t="s">
        <v>6</v>
      </c>
      <c r="AW348" s="28"/>
      <c r="AX348" s="28"/>
      <c r="AY348" s="141"/>
      <c r="BB348" s="196" t="s">
        <v>99</v>
      </c>
      <c r="BC348" s="138">
        <v>1</v>
      </c>
      <c r="BD348" s="141">
        <v>3</v>
      </c>
      <c r="BE348" s="138" t="s">
        <v>150</v>
      </c>
      <c r="BF348" s="28"/>
      <c r="BG348" s="141"/>
      <c r="BH348" s="138"/>
      <c r="BI348" s="141"/>
      <c r="BJ348" s="138" t="s">
        <v>151</v>
      </c>
      <c r="BK348" s="28"/>
      <c r="BL348" s="141"/>
    </row>
    <row r="349" spans="1:65" x14ac:dyDescent="0.3">
      <c r="A349" s="196" t="s">
        <v>120</v>
      </c>
      <c r="B349" s="43">
        <v>3397</v>
      </c>
      <c r="C349" s="28">
        <v>3772</v>
      </c>
      <c r="D349" s="138"/>
      <c r="E349" s="28" t="s">
        <v>60</v>
      </c>
      <c r="F349" s="28"/>
      <c r="G349" s="196">
        <v>4859</v>
      </c>
      <c r="H349" s="43"/>
      <c r="I349" s="28" t="s">
        <v>152</v>
      </c>
      <c r="J349" s="141"/>
      <c r="L349" s="138"/>
      <c r="M349" s="138"/>
      <c r="N349" s="196"/>
      <c r="O349" s="138"/>
      <c r="P349" s="196"/>
      <c r="Q349" s="141"/>
      <c r="R349" s="138"/>
      <c r="S349" s="196"/>
      <c r="T349" s="138"/>
      <c r="U349" s="141"/>
      <c r="AB349" s="138" t="s">
        <v>99</v>
      </c>
      <c r="AC349" s="138">
        <v>0</v>
      </c>
      <c r="AD349" s="141">
        <v>0</v>
      </c>
      <c r="AE349" s="28">
        <v>0</v>
      </c>
      <c r="AF349" s="28">
        <v>0</v>
      </c>
      <c r="AG349" s="28">
        <v>0</v>
      </c>
      <c r="AH349" s="138">
        <v>34489</v>
      </c>
      <c r="AI349" s="141">
        <v>12440</v>
      </c>
      <c r="AJ349" s="28">
        <v>0</v>
      </c>
      <c r="AK349" s="138">
        <v>3</v>
      </c>
      <c r="AL349" s="28" t="s">
        <v>153</v>
      </c>
      <c r="AM349" s="141"/>
      <c r="AP349" s="138" t="s">
        <v>72</v>
      </c>
      <c r="AQ349" s="138">
        <v>0</v>
      </c>
      <c r="AR349" s="141">
        <v>0</v>
      </c>
      <c r="AS349" s="138"/>
      <c r="AT349" s="141"/>
      <c r="AU349" s="28"/>
      <c r="AV349" s="28"/>
      <c r="AW349" s="28"/>
      <c r="AX349" s="28"/>
      <c r="AY349" s="141"/>
      <c r="BB349" s="196" t="s">
        <v>85</v>
      </c>
      <c r="BC349" s="138">
        <v>2</v>
      </c>
      <c r="BD349" s="141">
        <v>8</v>
      </c>
      <c r="BE349" s="138"/>
      <c r="BF349" s="28"/>
      <c r="BG349" s="141"/>
      <c r="BH349" s="138"/>
      <c r="BI349" s="141"/>
      <c r="BJ349" s="138" t="s">
        <v>1053</v>
      </c>
      <c r="BK349" s="28" t="s">
        <v>318</v>
      </c>
      <c r="BL349" s="141" t="s">
        <v>1054</v>
      </c>
    </row>
    <row r="350" spans="1:65" x14ac:dyDescent="0.3">
      <c r="A350" s="199" t="s">
        <v>84</v>
      </c>
      <c r="B350" s="143">
        <f>SUM(B347:B349)</f>
        <v>23604</v>
      </c>
      <c r="C350" s="143">
        <f>SUM(C347:C349)</f>
        <v>21940</v>
      </c>
      <c r="D350" s="142"/>
      <c r="E350" s="143"/>
      <c r="F350" s="143"/>
      <c r="G350" s="199">
        <f>SUM(G347:G349)</f>
        <v>33709</v>
      </c>
      <c r="H350" s="143"/>
      <c r="I350" s="143" t="s">
        <v>958</v>
      </c>
      <c r="J350" s="146">
        <f>SUM(H347:H350)</f>
        <v>206</v>
      </c>
      <c r="L350" s="138"/>
      <c r="M350" s="138"/>
      <c r="N350" s="196"/>
      <c r="O350" s="138"/>
      <c r="P350" s="196"/>
      <c r="Q350" s="141"/>
      <c r="R350" s="138"/>
      <c r="S350" s="196"/>
      <c r="T350" s="138"/>
      <c r="U350" s="141"/>
      <c r="AB350" s="138"/>
      <c r="AC350" s="138"/>
      <c r="AD350" s="141"/>
      <c r="AE350" s="28"/>
      <c r="AF350" s="28"/>
      <c r="AG350" s="28"/>
      <c r="AH350" s="138"/>
      <c r="AI350" s="141"/>
      <c r="AJ350" s="28"/>
      <c r="AK350" s="138" t="s">
        <v>157</v>
      </c>
      <c r="AL350" s="28"/>
      <c r="AM350" s="141"/>
      <c r="AP350" s="142" t="s">
        <v>84</v>
      </c>
      <c r="AQ350" s="142">
        <f>SUM(AQ343:AQ349)</f>
        <v>0</v>
      </c>
      <c r="AR350" s="146">
        <f>SUM(AR343:AR349)</f>
        <v>0</v>
      </c>
      <c r="AS350" s="142"/>
      <c r="AT350" s="146"/>
      <c r="AU350" s="143"/>
      <c r="AV350" s="143"/>
      <c r="AW350" s="143"/>
      <c r="AX350" s="143"/>
      <c r="AY350" s="146">
        <f>SUM(AV347)</f>
        <v>0</v>
      </c>
      <c r="BB350" s="196" t="s">
        <v>358</v>
      </c>
      <c r="BC350" s="138">
        <v>9</v>
      </c>
      <c r="BD350" s="141">
        <v>9</v>
      </c>
      <c r="BE350" s="138"/>
      <c r="BF350" s="28"/>
      <c r="BG350" s="141"/>
      <c r="BH350" s="138"/>
      <c r="BI350" s="141"/>
      <c r="BJ350" s="138" t="s">
        <v>720</v>
      </c>
      <c r="BK350" s="28" t="s">
        <v>179</v>
      </c>
      <c r="BL350" s="141" t="s">
        <v>1055</v>
      </c>
    </row>
    <row r="351" spans="1:65" x14ac:dyDescent="0.3">
      <c r="A351" s="195"/>
      <c r="B351" s="135"/>
      <c r="C351" s="135"/>
      <c r="D351" s="134"/>
      <c r="E351" s="135"/>
      <c r="F351" s="135"/>
      <c r="G351" s="195"/>
      <c r="H351" s="135" t="s">
        <v>162</v>
      </c>
      <c r="I351" s="135"/>
      <c r="J351" s="136"/>
      <c r="L351" s="138"/>
      <c r="M351" s="138"/>
      <c r="N351" s="196"/>
      <c r="O351" s="138"/>
      <c r="P351" s="196"/>
      <c r="Q351" s="141"/>
      <c r="R351" s="138"/>
      <c r="S351" s="196"/>
      <c r="T351" s="138"/>
      <c r="U351" s="141"/>
      <c r="AB351" s="134" t="s">
        <v>99</v>
      </c>
      <c r="AC351" s="134">
        <v>0</v>
      </c>
      <c r="AD351" s="136">
        <v>0</v>
      </c>
      <c r="AE351" s="135">
        <v>0</v>
      </c>
      <c r="AF351" s="135">
        <v>0</v>
      </c>
      <c r="AG351" s="135">
        <v>0</v>
      </c>
      <c r="AH351" s="134">
        <v>177106</v>
      </c>
      <c r="AI351" s="136">
        <v>223549</v>
      </c>
      <c r="AJ351" s="135">
        <v>0</v>
      </c>
      <c r="AK351" s="134">
        <v>2</v>
      </c>
      <c r="AL351" s="135" t="s">
        <v>163</v>
      </c>
      <c r="AM351" s="136"/>
      <c r="AP351" s="134"/>
      <c r="AQ351" s="134"/>
      <c r="AR351" s="136"/>
      <c r="AS351" s="134"/>
      <c r="AT351" s="136"/>
      <c r="AU351" s="135"/>
      <c r="AV351" s="135"/>
      <c r="AW351" s="135"/>
      <c r="AX351" s="135"/>
      <c r="AY351" s="136"/>
      <c r="BB351" s="196" t="s">
        <v>549</v>
      </c>
      <c r="BC351" s="138">
        <v>0</v>
      </c>
      <c r="BD351" s="141">
        <v>5</v>
      </c>
      <c r="BE351" s="138"/>
      <c r="BF351" s="28"/>
      <c r="BG351" s="141"/>
      <c r="BH351" s="138"/>
      <c r="BI351" s="141"/>
      <c r="BJ351" s="138" t="s">
        <v>651</v>
      </c>
      <c r="BK351" s="28" t="s">
        <v>986</v>
      </c>
      <c r="BL351" s="141" t="s">
        <v>207</v>
      </c>
    </row>
    <row r="352" spans="1:65" x14ac:dyDescent="0.3">
      <c r="A352" s="196" t="s">
        <v>105</v>
      </c>
      <c r="B352" s="43">
        <v>1497</v>
      </c>
      <c r="C352" s="43">
        <v>1535</v>
      </c>
      <c r="D352" s="138"/>
      <c r="E352" s="28">
        <v>967</v>
      </c>
      <c r="F352" s="28"/>
      <c r="G352" s="196"/>
      <c r="H352" s="28"/>
      <c r="I352" s="28"/>
      <c r="J352" s="141"/>
      <c r="L352" s="142" t="s">
        <v>84</v>
      </c>
      <c r="M352" s="142">
        <f t="shared" ref="M352:S352" si="5">SUM(M346+M341+M336+M334+M329+M325)</f>
        <v>21980</v>
      </c>
      <c r="N352" s="199">
        <f t="shared" si="5"/>
        <v>89145</v>
      </c>
      <c r="O352" s="142">
        <f t="shared" si="5"/>
        <v>0</v>
      </c>
      <c r="P352" s="199">
        <f t="shared" si="5"/>
        <v>0</v>
      </c>
      <c r="Q352" s="143">
        <f t="shared" si="5"/>
        <v>0</v>
      </c>
      <c r="R352" s="142">
        <f t="shared" si="5"/>
        <v>5620</v>
      </c>
      <c r="S352" s="199">
        <f t="shared" si="5"/>
        <v>313</v>
      </c>
      <c r="T352" s="142"/>
      <c r="U352" s="146"/>
      <c r="AB352" s="138" t="s">
        <v>6</v>
      </c>
      <c r="AC352" s="138"/>
      <c r="AD352" s="141"/>
      <c r="AE352" s="28"/>
      <c r="AF352" s="28"/>
      <c r="AG352" s="28"/>
      <c r="AH352" s="138"/>
      <c r="AI352" s="141"/>
      <c r="AJ352" s="28"/>
      <c r="AK352" s="138">
        <v>11</v>
      </c>
      <c r="AL352" s="28" t="s">
        <v>153</v>
      </c>
      <c r="AM352" s="141"/>
      <c r="AP352" s="138" t="s">
        <v>63</v>
      </c>
      <c r="AQ352" s="138">
        <f>9+4</f>
        <v>13</v>
      </c>
      <c r="AR352" s="141">
        <v>13</v>
      </c>
      <c r="AS352" s="138"/>
      <c r="AT352" s="141"/>
      <c r="AU352" s="28"/>
      <c r="AV352" s="28" t="s">
        <v>140</v>
      </c>
      <c r="AW352" s="28"/>
      <c r="AX352" s="28"/>
      <c r="AY352" s="141"/>
      <c r="BB352" s="196" t="s">
        <v>169</v>
      </c>
      <c r="BC352" s="138">
        <v>5</v>
      </c>
      <c r="BD352" s="141">
        <v>5</v>
      </c>
      <c r="BE352" s="138"/>
      <c r="BF352" s="28"/>
      <c r="BG352" s="141"/>
      <c r="BH352" s="138"/>
      <c r="BI352" s="141"/>
      <c r="BJ352" s="138" t="s">
        <v>1056</v>
      </c>
      <c r="BK352" s="43" t="s">
        <v>894</v>
      </c>
      <c r="BL352" s="141" t="s">
        <v>1057</v>
      </c>
    </row>
    <row r="353" spans="1:64" ht="15" thickBot="1" x14ac:dyDescent="0.35">
      <c r="A353" s="196" t="s">
        <v>99</v>
      </c>
      <c r="B353" s="43">
        <v>1219</v>
      </c>
      <c r="C353" s="43">
        <v>703</v>
      </c>
      <c r="D353" s="138"/>
      <c r="E353" s="28">
        <v>879</v>
      </c>
      <c r="F353" s="28"/>
      <c r="G353" s="196"/>
      <c r="H353" s="28">
        <v>43</v>
      </c>
      <c r="I353" s="28" t="s">
        <v>101</v>
      </c>
      <c r="J353" s="141"/>
      <c r="AB353" s="138" t="s">
        <v>6</v>
      </c>
      <c r="AC353" s="138"/>
      <c r="AD353" s="141"/>
      <c r="AE353" s="28"/>
      <c r="AF353" s="28"/>
      <c r="AG353" s="28"/>
      <c r="AH353" s="138"/>
      <c r="AI353" s="141"/>
      <c r="AJ353" s="28"/>
      <c r="AK353" s="138"/>
      <c r="AL353" s="28"/>
      <c r="AM353" s="141"/>
      <c r="AP353" s="138" t="s">
        <v>78</v>
      </c>
      <c r="AQ353" s="138">
        <f>2+17+1+11</f>
        <v>31</v>
      </c>
      <c r="AR353" s="141">
        <f>2+17+14+16</f>
        <v>49</v>
      </c>
      <c r="AS353" s="138"/>
      <c r="AT353" s="141"/>
      <c r="AU353" s="28"/>
      <c r="AV353" s="28"/>
      <c r="AW353" s="28" t="s">
        <v>204</v>
      </c>
      <c r="AX353" s="28"/>
      <c r="AY353" s="141"/>
      <c r="BB353" s="196" t="s">
        <v>403</v>
      </c>
      <c r="BC353" s="138">
        <v>2</v>
      </c>
      <c r="BD353" s="141">
        <v>0</v>
      </c>
      <c r="BE353" s="138"/>
      <c r="BF353" s="28"/>
      <c r="BG353" s="141"/>
      <c r="BH353" s="138"/>
      <c r="BI353" s="141"/>
      <c r="BJ353" s="138" t="s">
        <v>693</v>
      </c>
      <c r="BK353" s="43" t="s">
        <v>1058</v>
      </c>
      <c r="BL353" s="141" t="s">
        <v>1059</v>
      </c>
    </row>
    <row r="354" spans="1:64" x14ac:dyDescent="0.3">
      <c r="A354" s="199" t="s">
        <v>84</v>
      </c>
      <c r="B354" s="143">
        <f>SUM(B351:B353)</f>
        <v>2716</v>
      </c>
      <c r="C354" s="143">
        <f>SUM(C351:C353)</f>
        <v>2238</v>
      </c>
      <c r="D354" s="142"/>
      <c r="E354" s="143">
        <f>SUM(E351:E353)</f>
        <v>1846</v>
      </c>
      <c r="F354" s="143"/>
      <c r="G354" s="199">
        <v>7133</v>
      </c>
      <c r="H354" s="143"/>
      <c r="I354" s="143"/>
      <c r="J354" s="146">
        <f>SUM(H353)</f>
        <v>43</v>
      </c>
      <c r="L354" t="s">
        <v>6</v>
      </c>
      <c r="AB354" s="33"/>
      <c r="AC354" s="200"/>
      <c r="AD354" s="201"/>
      <c r="AE354" s="34"/>
      <c r="AF354" s="34"/>
      <c r="AG354" s="34"/>
      <c r="AH354" s="200"/>
      <c r="AI354" s="201"/>
      <c r="AJ354" s="34"/>
      <c r="AK354" s="200"/>
      <c r="AL354" s="34"/>
      <c r="AM354" s="35"/>
      <c r="AP354" s="138" t="s">
        <v>209</v>
      </c>
      <c r="AQ354" s="138">
        <v>0</v>
      </c>
      <c r="AR354" s="141">
        <v>0</v>
      </c>
      <c r="AS354" s="138"/>
      <c r="AT354" s="141"/>
      <c r="AU354" s="28"/>
      <c r="AV354" s="28">
        <v>2</v>
      </c>
      <c r="AW354" s="28" t="s">
        <v>1018</v>
      </c>
      <c r="AX354" s="28" t="s">
        <v>6</v>
      </c>
      <c r="AY354" s="141"/>
      <c r="BB354" s="196" t="s">
        <v>504</v>
      </c>
      <c r="BC354" s="138">
        <v>3</v>
      </c>
      <c r="BD354" s="141">
        <v>0</v>
      </c>
      <c r="BE354" s="138"/>
      <c r="BF354" s="28"/>
      <c r="BG354" s="141"/>
      <c r="BH354" s="138"/>
      <c r="BI354" s="141"/>
      <c r="BJ354" s="214" t="s">
        <v>1060</v>
      </c>
      <c r="BK354" s="43" t="s">
        <v>6</v>
      </c>
      <c r="BL354" s="141" t="s">
        <v>6</v>
      </c>
    </row>
    <row r="355" spans="1:64" x14ac:dyDescent="0.3">
      <c r="A355" s="196" t="s">
        <v>6</v>
      </c>
      <c r="B355" s="135"/>
      <c r="C355" s="135"/>
      <c r="D355" s="134"/>
      <c r="E355" s="135" t="s">
        <v>60</v>
      </c>
      <c r="F355" s="136"/>
      <c r="G355" s="135"/>
      <c r="H355" s="134" t="s">
        <v>182</v>
      </c>
      <c r="I355" s="135"/>
      <c r="J355" s="136"/>
      <c r="AB355" s="42"/>
      <c r="AC355" s="138"/>
      <c r="AD355" s="141"/>
      <c r="AE355" s="28"/>
      <c r="AF355" s="28"/>
      <c r="AG355" s="28"/>
      <c r="AH355" s="138"/>
      <c r="AI355" s="141"/>
      <c r="AJ355" s="28"/>
      <c r="AK355" s="138"/>
      <c r="AL355" s="28"/>
      <c r="AM355" s="40"/>
      <c r="AP355" s="138" t="s">
        <v>168</v>
      </c>
      <c r="AQ355" s="138">
        <v>0</v>
      </c>
      <c r="AR355" s="141">
        <v>0</v>
      </c>
      <c r="AS355" s="138"/>
      <c r="AT355" s="141"/>
      <c r="AU355" s="28"/>
      <c r="AV355" s="28">
        <f>6+12+9+5+6+41</f>
        <v>79</v>
      </c>
      <c r="AW355" s="28" t="s">
        <v>213</v>
      </c>
      <c r="AX355" s="28" t="s">
        <v>6</v>
      </c>
      <c r="AY355" s="141"/>
      <c r="BB355" s="196" t="s">
        <v>658</v>
      </c>
      <c r="BC355" s="138">
        <v>4</v>
      </c>
      <c r="BD355" s="141">
        <v>1</v>
      </c>
      <c r="BE355" s="138"/>
      <c r="BF355" s="28"/>
      <c r="BG355" s="141"/>
      <c r="BH355" s="138"/>
      <c r="BI355" s="141"/>
      <c r="BJ355" s="138" t="s">
        <v>508</v>
      </c>
      <c r="BK355" s="43" t="s">
        <v>1061</v>
      </c>
      <c r="BL355" s="141" t="s">
        <v>6</v>
      </c>
    </row>
    <row r="356" spans="1:64" ht="15" thickBot="1" x14ac:dyDescent="0.35">
      <c r="A356" s="196" t="s">
        <v>181</v>
      </c>
      <c r="B356" s="28">
        <v>4009</v>
      </c>
      <c r="C356" s="28">
        <v>3955</v>
      </c>
      <c r="D356" s="138"/>
      <c r="E356" s="28" t="s">
        <v>60</v>
      </c>
      <c r="F356" s="141"/>
      <c r="G356" s="28"/>
      <c r="H356" s="138">
        <v>1</v>
      </c>
      <c r="I356" s="28" t="s">
        <v>94</v>
      </c>
      <c r="J356" s="141"/>
      <c r="AB356" s="47" t="s">
        <v>84</v>
      </c>
      <c r="AC356" s="202">
        <f>SUM(AC351+AC349+AC346+AC333+AC329+AC326+AC335)</f>
        <v>2637</v>
      </c>
      <c r="AD356" s="203">
        <f>SUM(AD351+AD349+AD346+AD333+AD329+AD326+AD335)</f>
        <v>2894</v>
      </c>
      <c r="AE356" s="48">
        <v>0</v>
      </c>
      <c r="AF356" s="48">
        <v>0</v>
      </c>
      <c r="AG356" s="48">
        <v>0</v>
      </c>
      <c r="AH356" s="202">
        <f>SUM(AH352+AH351+AH349+AH326)</f>
        <v>211850</v>
      </c>
      <c r="AI356" s="203">
        <f>SUM(AI351+AI349+AI326)</f>
        <v>235989</v>
      </c>
      <c r="AJ356" s="48">
        <v>0</v>
      </c>
      <c r="AK356" s="202" t="s">
        <v>189</v>
      </c>
      <c r="AL356" s="48"/>
      <c r="AM356" s="49">
        <f>SUM(AK326:AK352)</f>
        <v>53</v>
      </c>
      <c r="AP356" s="138" t="s">
        <v>81</v>
      </c>
      <c r="AQ356" s="138">
        <v>10</v>
      </c>
      <c r="AR356" s="141">
        <f>2+7+5</f>
        <v>14</v>
      </c>
      <c r="AS356" s="138"/>
      <c r="AT356" s="141"/>
      <c r="AU356" s="28"/>
      <c r="AV356" s="43">
        <v>0</v>
      </c>
      <c r="AW356" s="28" t="s">
        <v>1038</v>
      </c>
      <c r="AX356" s="28"/>
      <c r="AY356" s="141" t="s">
        <v>6</v>
      </c>
      <c r="BB356" s="196" t="s">
        <v>64</v>
      </c>
      <c r="BC356" s="138"/>
      <c r="BD356" s="141"/>
      <c r="BE356" s="138"/>
      <c r="BF356" s="28"/>
      <c r="BG356" s="141"/>
      <c r="BH356" s="138"/>
      <c r="BI356" s="141"/>
      <c r="BJ356" s="138" t="s">
        <v>577</v>
      </c>
      <c r="BK356" s="43" t="s">
        <v>1062</v>
      </c>
      <c r="BL356" s="209" t="s">
        <v>6</v>
      </c>
    </row>
    <row r="357" spans="1:64" x14ac:dyDescent="0.3">
      <c r="A357" s="196" t="s">
        <v>84</v>
      </c>
      <c r="B357" s="28">
        <f>SUM(B355:B356)</f>
        <v>4009</v>
      </c>
      <c r="C357" s="28">
        <f>SUM(C355:C356)</f>
        <v>3955</v>
      </c>
      <c r="D357" s="138"/>
      <c r="E357" s="28" t="s">
        <v>60</v>
      </c>
      <c r="F357" s="141"/>
      <c r="G357" s="28">
        <v>5170</v>
      </c>
      <c r="H357" s="138">
        <v>30</v>
      </c>
      <c r="I357" s="28" t="s">
        <v>101</v>
      </c>
      <c r="J357" s="141"/>
      <c r="AB357" t="s">
        <v>193</v>
      </c>
      <c r="AM357" t="s">
        <v>6</v>
      </c>
      <c r="AP357" s="138" t="s">
        <v>72</v>
      </c>
      <c r="AQ357" s="138">
        <f>2+12+5</f>
        <v>19</v>
      </c>
      <c r="AR357" s="141">
        <v>12</v>
      </c>
      <c r="AS357" s="138"/>
      <c r="AT357" s="141"/>
      <c r="AU357" s="28"/>
      <c r="AV357" s="43">
        <v>1</v>
      </c>
      <c r="AW357" s="28" t="s">
        <v>433</v>
      </c>
      <c r="AX357" s="28"/>
      <c r="AY357" s="141"/>
      <c r="BB357" s="196" t="s">
        <v>196</v>
      </c>
      <c r="BC357" s="138">
        <v>0</v>
      </c>
      <c r="BD357" s="141">
        <v>1</v>
      </c>
      <c r="BE357" s="138"/>
      <c r="BF357" s="28"/>
      <c r="BG357" s="141"/>
      <c r="BH357" s="138"/>
      <c r="BI357" s="141"/>
      <c r="BJ357" s="138" t="s">
        <v>1063</v>
      </c>
      <c r="BK357" s="43"/>
      <c r="BL357" s="213"/>
    </row>
    <row r="358" spans="1:64" ht="15" thickBot="1" x14ac:dyDescent="0.35">
      <c r="A358" s="199"/>
      <c r="B358" s="28"/>
      <c r="C358" s="28"/>
      <c r="D358" s="142"/>
      <c r="E358" s="143"/>
      <c r="F358" s="146"/>
      <c r="G358" s="28"/>
      <c r="H358" s="142"/>
      <c r="I358" s="143" t="s">
        <v>284</v>
      </c>
      <c r="J358" s="146">
        <f>SUM(H356:H357)</f>
        <v>31</v>
      </c>
      <c r="AP358" s="138" t="s">
        <v>115</v>
      </c>
      <c r="AQ358" s="138">
        <v>7</v>
      </c>
      <c r="AR358" s="141">
        <v>12</v>
      </c>
      <c r="AS358" s="138"/>
      <c r="AT358" s="141"/>
      <c r="AU358" s="28"/>
      <c r="AV358" s="43">
        <v>0</v>
      </c>
      <c r="AW358" s="28" t="s">
        <v>217</v>
      </c>
      <c r="AX358" s="28"/>
      <c r="AY358" s="141"/>
      <c r="BB358" s="196" t="s">
        <v>701</v>
      </c>
      <c r="BC358" s="138">
        <v>7</v>
      </c>
      <c r="BD358" s="141">
        <v>0</v>
      </c>
      <c r="BE358" s="138"/>
      <c r="BF358" s="28"/>
      <c r="BG358" s="141"/>
      <c r="BH358" s="138"/>
      <c r="BI358" s="141"/>
      <c r="BJ358" s="138"/>
      <c r="BK358" s="43"/>
      <c r="BL358" s="141"/>
    </row>
    <row r="359" spans="1:64" ht="15" thickBot="1" x14ac:dyDescent="0.35">
      <c r="A359" s="47" t="s">
        <v>84</v>
      </c>
      <c r="B359" s="210">
        <f>SUM(B357,B354,B350+B345+B340+B336+B332+B328+B325)</f>
        <v>60240</v>
      </c>
      <c r="C359" s="170">
        <f>SUM(C357+C354+C350+C345+C340+C336+C332+C328+C325)</f>
        <v>60780</v>
      </c>
      <c r="D359" s="202"/>
      <c r="E359" s="48">
        <f>SUM(E354+E336)</f>
        <v>2437</v>
      </c>
      <c r="F359" s="203"/>
      <c r="G359" s="206">
        <f>SUM(G357+G354+G350+G345+G340+G336+G332+G328+G325)</f>
        <v>89109</v>
      </c>
      <c r="H359" s="48" t="s">
        <v>199</v>
      </c>
      <c r="I359" s="48"/>
      <c r="J359" s="49">
        <f>SUM(J324:J358)</f>
        <v>520</v>
      </c>
      <c r="AP359" s="138" t="s">
        <v>56</v>
      </c>
      <c r="AQ359" s="138">
        <f>10+8+2</f>
        <v>20</v>
      </c>
      <c r="AR359" s="141">
        <f>12+5+7</f>
        <v>24</v>
      </c>
      <c r="AS359" s="138"/>
      <c r="AT359" s="141"/>
      <c r="AU359" s="28"/>
      <c r="AV359" s="43">
        <v>2</v>
      </c>
      <c r="AW359" s="28" t="s">
        <v>1022</v>
      </c>
      <c r="AX359" s="28"/>
      <c r="AY359" s="141"/>
      <c r="BB359" s="196" t="s">
        <v>1064</v>
      </c>
      <c r="BC359" s="138">
        <v>0</v>
      </c>
      <c r="BD359" s="141">
        <v>6</v>
      </c>
      <c r="BE359" s="138"/>
      <c r="BF359" s="28"/>
      <c r="BG359" s="141"/>
      <c r="BH359" s="138"/>
      <c r="BI359" s="141"/>
      <c r="BJ359" s="138"/>
      <c r="BK359" s="43"/>
      <c r="BL359" s="141"/>
    </row>
    <row r="360" spans="1:64" x14ac:dyDescent="0.3">
      <c r="D360" s="28"/>
      <c r="E360" s="28"/>
      <c r="F360" s="28"/>
      <c r="AP360" s="138" t="s">
        <v>138</v>
      </c>
      <c r="AQ360" s="138">
        <v>0</v>
      </c>
      <c r="AR360" s="141">
        <v>0</v>
      </c>
      <c r="AS360" s="138"/>
      <c r="AT360" s="141"/>
      <c r="AU360" s="28"/>
      <c r="AV360" s="43"/>
      <c r="AW360" s="28" t="s">
        <v>221</v>
      </c>
      <c r="AX360" s="28"/>
      <c r="AY360" s="141"/>
      <c r="BB360" s="196" t="s">
        <v>200</v>
      </c>
      <c r="BC360" s="138">
        <v>4</v>
      </c>
      <c r="BD360" s="141">
        <v>0</v>
      </c>
      <c r="BE360" s="138"/>
      <c r="BF360" s="28"/>
      <c r="BG360" s="141"/>
      <c r="BH360" s="138"/>
      <c r="BI360" s="141"/>
      <c r="BJ360" s="138"/>
      <c r="BK360" s="43"/>
      <c r="BL360" s="141"/>
    </row>
    <row r="361" spans="1:64" x14ac:dyDescent="0.3">
      <c r="AP361" s="138" t="s">
        <v>67</v>
      </c>
      <c r="AQ361" s="138">
        <f>6+2+15</f>
        <v>23</v>
      </c>
      <c r="AR361" s="141">
        <f>5+8</f>
        <v>13</v>
      </c>
      <c r="AS361" s="138"/>
      <c r="AT361" s="141"/>
      <c r="AU361" s="28"/>
      <c r="AV361" s="43">
        <v>1</v>
      </c>
      <c r="AW361" s="28" t="s">
        <v>1065</v>
      </c>
      <c r="AX361" s="28"/>
      <c r="AY361" s="141"/>
      <c r="BB361" s="196" t="s">
        <v>801</v>
      </c>
      <c r="BC361" s="138">
        <v>0</v>
      </c>
      <c r="BD361" s="141">
        <v>2</v>
      </c>
      <c r="BE361" s="138"/>
      <c r="BF361" s="28"/>
      <c r="BG361" s="141"/>
      <c r="BH361" s="138"/>
      <c r="BI361" s="141"/>
      <c r="BJ361" s="138"/>
      <c r="BK361" s="28"/>
      <c r="BL361" s="141"/>
    </row>
    <row r="362" spans="1:64" x14ac:dyDescent="0.3">
      <c r="AP362" s="138" t="s">
        <v>122</v>
      </c>
      <c r="AQ362" s="138">
        <v>1</v>
      </c>
      <c r="AR362" s="141">
        <v>8</v>
      </c>
      <c r="AS362" s="138"/>
      <c r="AT362" s="141"/>
      <c r="AU362" s="28"/>
      <c r="AV362" s="43">
        <v>1</v>
      </c>
      <c r="AW362" s="28" t="s">
        <v>618</v>
      </c>
      <c r="AX362" s="28"/>
      <c r="AY362" s="141"/>
      <c r="BB362" s="196" t="s">
        <v>1066</v>
      </c>
      <c r="BC362" s="138">
        <v>2</v>
      </c>
      <c r="BD362" s="141">
        <v>0</v>
      </c>
      <c r="BE362" s="138"/>
      <c r="BF362" s="28"/>
      <c r="BG362" s="141"/>
      <c r="BH362" s="138"/>
      <c r="BI362" s="141"/>
      <c r="BJ362" s="138"/>
      <c r="BK362" s="28"/>
      <c r="BL362" s="141"/>
    </row>
    <row r="363" spans="1:64" x14ac:dyDescent="0.3">
      <c r="AP363" s="138" t="s">
        <v>227</v>
      </c>
      <c r="AQ363" s="138">
        <v>0</v>
      </c>
      <c r="AR363" s="141">
        <v>0</v>
      </c>
      <c r="AS363" s="138"/>
      <c r="AT363" s="141"/>
      <c r="AU363" s="28"/>
      <c r="AV363" s="43">
        <v>2</v>
      </c>
      <c r="AW363" s="28" t="s">
        <v>1067</v>
      </c>
      <c r="AX363" s="28"/>
      <c r="AY363" s="141"/>
      <c r="BB363" s="196" t="s">
        <v>384</v>
      </c>
      <c r="BC363" s="138">
        <v>1</v>
      </c>
      <c r="BD363" s="141">
        <v>1</v>
      </c>
      <c r="BE363" s="138"/>
      <c r="BF363" s="28"/>
      <c r="BG363" s="141"/>
      <c r="BH363" s="138"/>
      <c r="BI363" s="141"/>
      <c r="BJ363" s="138"/>
      <c r="BK363" s="28"/>
      <c r="BL363" s="141"/>
    </row>
    <row r="364" spans="1:64" x14ac:dyDescent="0.3">
      <c r="AP364" s="138" t="s">
        <v>230</v>
      </c>
      <c r="AQ364" s="138">
        <f>5+4+2+12</f>
        <v>23</v>
      </c>
      <c r="AR364" s="141">
        <v>23</v>
      </c>
      <c r="AS364" s="138"/>
      <c r="AT364" s="141"/>
      <c r="AU364" s="28"/>
      <c r="AV364" s="43">
        <v>9</v>
      </c>
      <c r="AW364" s="28" t="s">
        <v>655</v>
      </c>
      <c r="AX364" s="28"/>
      <c r="AY364" s="141"/>
      <c r="BB364" s="196" t="s">
        <v>211</v>
      </c>
      <c r="BC364" s="138">
        <v>22</v>
      </c>
      <c r="BD364" s="141"/>
      <c r="BE364" s="138"/>
      <c r="BF364" s="28"/>
      <c r="BG364" s="141"/>
      <c r="BH364" s="138"/>
      <c r="BI364" s="141"/>
      <c r="BJ364" s="138"/>
      <c r="BK364" s="28"/>
      <c r="BL364" s="141"/>
    </row>
    <row r="365" spans="1:64" x14ac:dyDescent="0.3">
      <c r="AP365" s="138" t="s">
        <v>125</v>
      </c>
      <c r="AQ365" s="138">
        <v>0</v>
      </c>
      <c r="AR365" s="141">
        <v>0</v>
      </c>
      <c r="AS365" s="138"/>
      <c r="AT365" s="141"/>
      <c r="AU365" s="28"/>
      <c r="AV365" s="43">
        <v>1</v>
      </c>
      <c r="AW365" s="28" t="s">
        <v>1068</v>
      </c>
      <c r="AX365" s="28"/>
      <c r="AY365" s="141"/>
      <c r="BB365" s="196" t="s">
        <v>218</v>
      </c>
      <c r="BC365" s="138">
        <v>0</v>
      </c>
      <c r="BD365" s="141">
        <v>33</v>
      </c>
      <c r="BE365" s="138"/>
      <c r="BF365" s="28">
        <v>0</v>
      </c>
      <c r="BG365" s="141"/>
      <c r="BH365" s="138"/>
      <c r="BI365" s="141"/>
      <c r="BJ365" s="138"/>
      <c r="BK365" s="28"/>
      <c r="BL365" s="141"/>
    </row>
    <row r="366" spans="1:64" x14ac:dyDescent="0.3">
      <c r="AM366" t="s">
        <v>6</v>
      </c>
      <c r="AP366" s="138" t="s">
        <v>132</v>
      </c>
      <c r="AQ366" s="138">
        <v>6</v>
      </c>
      <c r="AR366" s="141">
        <v>0</v>
      </c>
      <c r="AS366" s="138"/>
      <c r="AT366" s="141"/>
      <c r="AU366" s="28"/>
      <c r="AV366" s="43">
        <v>3</v>
      </c>
      <c r="AW366" s="28" t="s">
        <v>682</v>
      </c>
      <c r="AX366" s="28"/>
      <c r="AY366" s="141"/>
      <c r="BB366" s="196" t="s">
        <v>93</v>
      </c>
      <c r="BC366" s="138">
        <v>0</v>
      </c>
      <c r="BD366" s="141">
        <v>5</v>
      </c>
      <c r="BE366" s="138"/>
      <c r="BF366" s="28"/>
      <c r="BG366" s="141"/>
      <c r="BH366" s="138"/>
      <c r="BI366" s="141"/>
      <c r="BJ366" s="138"/>
      <c r="BK366" s="28"/>
      <c r="BL366" s="141"/>
    </row>
    <row r="367" spans="1:64" x14ac:dyDescent="0.3">
      <c r="H367" t="s">
        <v>6</v>
      </c>
      <c r="AP367" s="138" t="s">
        <v>992</v>
      </c>
      <c r="AQ367" s="138">
        <v>0</v>
      </c>
      <c r="AR367" s="141">
        <v>0</v>
      </c>
      <c r="AS367" s="138"/>
      <c r="AT367" s="141"/>
      <c r="AU367" s="28"/>
      <c r="AV367" s="43">
        <f>2+35</f>
        <v>37</v>
      </c>
      <c r="AW367" s="28" t="s">
        <v>555</v>
      </c>
      <c r="AX367" s="28"/>
      <c r="AY367" s="141"/>
      <c r="BB367" s="199" t="s">
        <v>84</v>
      </c>
      <c r="BC367" s="142">
        <f>SUM(BC342:BC366)</f>
        <v>88</v>
      </c>
      <c r="BD367" s="146">
        <f>SUM(BD342:BD366)</f>
        <v>109</v>
      </c>
      <c r="BE367" s="142">
        <v>0</v>
      </c>
      <c r="BF367" s="143">
        <f>SUM(BF342:BF366)</f>
        <v>0</v>
      </c>
      <c r="BG367" s="146">
        <v>0</v>
      </c>
      <c r="BH367" s="142">
        <v>0</v>
      </c>
      <c r="BI367" s="146">
        <v>0</v>
      </c>
      <c r="BJ367" s="142"/>
      <c r="BK367" s="143"/>
      <c r="BL367" s="146">
        <f>8+5+5+4+4+3+3+1+4+6+1</f>
        <v>44</v>
      </c>
    </row>
    <row r="368" spans="1:64" ht="15" thickBot="1" x14ac:dyDescent="0.35">
      <c r="H368" t="s">
        <v>6</v>
      </c>
      <c r="AP368" s="138" t="s">
        <v>84</v>
      </c>
      <c r="AQ368" s="138">
        <f>SUM(AQ352:AQ367)</f>
        <v>153</v>
      </c>
      <c r="AR368" s="141">
        <f>SUM(AR352:AR367)</f>
        <v>168</v>
      </c>
      <c r="AS368" s="138"/>
      <c r="AT368" s="141"/>
      <c r="AU368" s="28"/>
      <c r="AV368" s="43"/>
      <c r="AW368" s="28" t="s">
        <v>6</v>
      </c>
      <c r="AX368" s="28"/>
      <c r="AY368" s="141">
        <f>SUM(AV353:AV368)</f>
        <v>138</v>
      </c>
      <c r="BB368" t="s">
        <v>223</v>
      </c>
      <c r="BC368">
        <f>SUM(BC367+BC341+BC336+BC332+BC329+BC327+BC338)</f>
        <v>2188</v>
      </c>
      <c r="BD368">
        <f>SUM(BD367+BD341+BD336+BD332+BD327+BD329+BD338)</f>
        <v>2247</v>
      </c>
      <c r="BE368">
        <v>0</v>
      </c>
      <c r="BF368">
        <f>SUM(BF367+BF341+BF336+BF332+BF329+BF325)</f>
        <v>0</v>
      </c>
      <c r="BG368">
        <v>0</v>
      </c>
      <c r="BH368">
        <f>SUM(BH367+BH341+BH336+BH331+BH329+BH325)</f>
        <v>66127</v>
      </c>
      <c r="BI368">
        <f>SUM(BI367+BI341+BI336+BI331+BI329+BI325)</f>
        <v>19998</v>
      </c>
      <c r="BK368" t="s">
        <v>743</v>
      </c>
      <c r="BL368">
        <f>SUM(+BL341+BL336+BL332+BL329+BL327)</f>
        <v>132</v>
      </c>
    </row>
    <row r="369" spans="1:64" ht="15" thickBot="1" x14ac:dyDescent="0.35">
      <c r="AP369" s="171" t="s">
        <v>84</v>
      </c>
      <c r="AQ369" s="207">
        <f>SUM(AQ368+AQ350+AQ341+AQ326)</f>
        <v>2170</v>
      </c>
      <c r="AR369" s="207">
        <f>SUM(AR368+AR350+AR341+AR326)</f>
        <v>2248</v>
      </c>
      <c r="AS369" s="207"/>
      <c r="AT369" s="208"/>
      <c r="AU369" s="170"/>
      <c r="AV369" s="170" t="s">
        <v>1069</v>
      </c>
      <c r="AW369" s="170"/>
      <c r="AX369" s="170"/>
      <c r="AY369" s="172">
        <f>SUM(AY326:AY368)</f>
        <v>288</v>
      </c>
      <c r="BB369" t="s">
        <v>225</v>
      </c>
      <c r="BD369">
        <f>SUM(BL367)</f>
        <v>44</v>
      </c>
    </row>
    <row r="370" spans="1:64" x14ac:dyDescent="0.3">
      <c r="BB370" t="s">
        <v>229</v>
      </c>
      <c r="BD370">
        <f>9+7+11+12+5</f>
        <v>44</v>
      </c>
    </row>
    <row r="371" spans="1:64" x14ac:dyDescent="0.3">
      <c r="BB371" t="s">
        <v>232</v>
      </c>
      <c r="BD371" t="s">
        <v>233</v>
      </c>
      <c r="BF371">
        <f>SUM(AQ369)</f>
        <v>2170</v>
      </c>
      <c r="BH371" t="s">
        <v>234</v>
      </c>
      <c r="BJ371" t="s">
        <v>233</v>
      </c>
      <c r="BL371">
        <f>SUM(BC368)</f>
        <v>2188</v>
      </c>
    </row>
    <row r="372" spans="1:64" x14ac:dyDescent="0.3">
      <c r="BA372" t="s">
        <v>6</v>
      </c>
      <c r="BD372" t="s">
        <v>236</v>
      </c>
      <c r="BF372">
        <f>SUM(AR369)</f>
        <v>2248</v>
      </c>
      <c r="BJ372" t="s">
        <v>236</v>
      </c>
      <c r="BL372">
        <f>SUM(BD368)</f>
        <v>2247</v>
      </c>
    </row>
    <row r="373" spans="1:64" x14ac:dyDescent="0.3">
      <c r="BB373" t="s">
        <v>238</v>
      </c>
      <c r="BC373" t="s">
        <v>239</v>
      </c>
      <c r="BE373" t="s">
        <v>240</v>
      </c>
      <c r="BF373" t="s">
        <v>241</v>
      </c>
      <c r="BI373" t="s">
        <v>242</v>
      </c>
      <c r="BJ373" t="s">
        <v>243</v>
      </c>
    </row>
    <row r="374" spans="1:64" x14ac:dyDescent="0.3">
      <c r="BB374" t="s">
        <v>233</v>
      </c>
      <c r="BD374">
        <f>SUM(B359)</f>
        <v>60240</v>
      </c>
      <c r="BE374" t="s">
        <v>233</v>
      </c>
      <c r="BG374">
        <f>SUM(AC356)</f>
        <v>2637</v>
      </c>
      <c r="BH374" t="s">
        <v>233</v>
      </c>
      <c r="BJ374">
        <f>SUM(BG374+BC368)</f>
        <v>4825</v>
      </c>
      <c r="BK374" t="s">
        <v>245</v>
      </c>
      <c r="BL374">
        <f>SUM(BD374+BJ374)</f>
        <v>65065</v>
      </c>
    </row>
    <row r="375" spans="1:64" x14ac:dyDescent="0.3">
      <c r="BB375" t="s">
        <v>236</v>
      </c>
      <c r="BD375">
        <f>SUM(C359)</f>
        <v>60780</v>
      </c>
      <c r="BE375" t="s">
        <v>236</v>
      </c>
      <c r="BG375">
        <f>SUM(AD356)</f>
        <v>2894</v>
      </c>
      <c r="BH375" t="s">
        <v>236</v>
      </c>
      <c r="BJ375">
        <f>SUM(BG375+BD368)</f>
        <v>5141</v>
      </c>
      <c r="BL375">
        <f>SUM(BD375+BJ375)</f>
        <v>65921</v>
      </c>
    </row>
    <row r="382" spans="1:64" x14ac:dyDescent="0.3">
      <c r="C382" t="s">
        <v>0</v>
      </c>
      <c r="O382" t="s">
        <v>1</v>
      </c>
    </row>
    <row r="383" spans="1:64" x14ac:dyDescent="0.3">
      <c r="D383" t="s">
        <v>2</v>
      </c>
      <c r="P383" t="s">
        <v>3</v>
      </c>
      <c r="AF383" t="s">
        <v>0</v>
      </c>
      <c r="AS383" t="s">
        <v>4</v>
      </c>
      <c r="BF383" t="s">
        <v>5</v>
      </c>
    </row>
    <row r="384" spans="1:64" x14ac:dyDescent="0.3">
      <c r="A384" t="s">
        <v>6</v>
      </c>
      <c r="C384" t="s">
        <v>7</v>
      </c>
      <c r="N384" t="s">
        <v>8</v>
      </c>
      <c r="AF384" t="s">
        <v>9</v>
      </c>
      <c r="AT384" t="s">
        <v>2</v>
      </c>
      <c r="BG384" t="s">
        <v>2</v>
      </c>
    </row>
    <row r="385" spans="1:64" x14ac:dyDescent="0.3">
      <c r="D385" t="s">
        <v>1070</v>
      </c>
      <c r="P385" t="s">
        <v>1070</v>
      </c>
      <c r="AF385" t="s">
        <v>11</v>
      </c>
      <c r="AR385" t="s">
        <v>12</v>
      </c>
      <c r="BE385" t="s">
        <v>13</v>
      </c>
    </row>
    <row r="386" spans="1:64" x14ac:dyDescent="0.3">
      <c r="I386" s="194" t="s">
        <v>949</v>
      </c>
      <c r="U386" t="s">
        <v>15</v>
      </c>
      <c r="AG386" t="s">
        <v>1070</v>
      </c>
      <c r="AT386" t="s">
        <v>1070</v>
      </c>
      <c r="BG386" t="s">
        <v>1070</v>
      </c>
      <c r="BK386" s="194" t="s">
        <v>950</v>
      </c>
    </row>
    <row r="387" spans="1:64" x14ac:dyDescent="0.3">
      <c r="A387" s="134" t="s">
        <v>17</v>
      </c>
      <c r="B387" s="134" t="s">
        <v>18</v>
      </c>
      <c r="C387" s="136"/>
      <c r="D387" s="135" t="s">
        <v>19</v>
      </c>
      <c r="E387" s="135"/>
      <c r="F387" s="135"/>
      <c r="G387" s="195" t="s">
        <v>20</v>
      </c>
      <c r="H387" s="135" t="s">
        <v>21</v>
      </c>
      <c r="I387" s="135"/>
      <c r="J387" s="136"/>
      <c r="L387" s="134" t="s">
        <v>17</v>
      </c>
      <c r="M387" s="135" t="s">
        <v>22</v>
      </c>
      <c r="N387" s="135"/>
      <c r="O387" s="135" t="s">
        <v>23</v>
      </c>
      <c r="P387" s="135"/>
      <c r="Q387" s="135"/>
      <c r="R387" s="135" t="s">
        <v>24</v>
      </c>
      <c r="S387" s="135"/>
      <c r="T387" s="135" t="s">
        <v>21</v>
      </c>
      <c r="U387" s="136"/>
      <c r="AL387" s="28" t="s">
        <v>25</v>
      </c>
      <c r="AX387" s="194" t="s">
        <v>951</v>
      </c>
      <c r="BB387" s="195" t="s">
        <v>17</v>
      </c>
      <c r="BC387" s="134" t="s">
        <v>27</v>
      </c>
      <c r="BD387" s="136"/>
      <c r="BE387" s="135" t="s">
        <v>28</v>
      </c>
      <c r="BF387" s="135"/>
      <c r="BG387" s="135"/>
      <c r="BH387" s="135" t="s">
        <v>29</v>
      </c>
      <c r="BI387" s="135" t="s">
        <v>30</v>
      </c>
      <c r="BJ387" s="135" t="s">
        <v>31</v>
      </c>
      <c r="BK387" s="135"/>
      <c r="BL387" s="136"/>
    </row>
    <row r="388" spans="1:64" x14ac:dyDescent="0.3">
      <c r="A388" s="138" t="s">
        <v>32</v>
      </c>
      <c r="B388" s="138"/>
      <c r="C388" s="141"/>
      <c r="D388" s="28"/>
      <c r="E388" s="28"/>
      <c r="F388" s="28"/>
      <c r="G388" s="196"/>
      <c r="H388" s="28" t="s">
        <v>33</v>
      </c>
      <c r="I388" s="28"/>
      <c r="J388" s="141"/>
      <c r="L388" s="138"/>
      <c r="M388" s="28"/>
      <c r="N388" s="28"/>
      <c r="O388" s="28"/>
      <c r="P388" s="28"/>
      <c r="Q388" s="28"/>
      <c r="R388" s="28"/>
      <c r="S388" s="28"/>
      <c r="T388" s="28" t="s">
        <v>33</v>
      </c>
      <c r="U388" s="141"/>
      <c r="AB388" s="134" t="s">
        <v>34</v>
      </c>
      <c r="AC388" s="134" t="s">
        <v>35</v>
      </c>
      <c r="AD388" s="136"/>
      <c r="AE388" s="135" t="s">
        <v>36</v>
      </c>
      <c r="AF388" s="135"/>
      <c r="AG388" s="135"/>
      <c r="AH388" s="134" t="s">
        <v>37</v>
      </c>
      <c r="AI388" s="136"/>
      <c r="AJ388" s="135" t="s">
        <v>30</v>
      </c>
      <c r="AK388" s="134" t="s">
        <v>38</v>
      </c>
      <c r="AL388" s="135"/>
      <c r="AM388" s="136"/>
      <c r="AP388" s="134" t="s">
        <v>17</v>
      </c>
      <c r="AQ388" s="134" t="s">
        <v>39</v>
      </c>
      <c r="AR388" s="136"/>
      <c r="AS388" s="134" t="s">
        <v>29</v>
      </c>
      <c r="AT388" s="136" t="s">
        <v>30</v>
      </c>
      <c r="AU388" s="135" t="s">
        <v>40</v>
      </c>
      <c r="AV388" s="135"/>
      <c r="AW388" s="135"/>
      <c r="AX388" s="135"/>
      <c r="AY388" s="136"/>
      <c r="BB388" s="196"/>
      <c r="BC388" s="138"/>
      <c r="BD388" s="141"/>
      <c r="BE388" s="28"/>
      <c r="BF388" s="28"/>
      <c r="BG388" s="28"/>
      <c r="BH388" s="28"/>
      <c r="BI388" s="28" t="s">
        <v>6</v>
      </c>
      <c r="BJ388" s="28" t="s">
        <v>41</v>
      </c>
      <c r="BK388" s="28"/>
      <c r="BL388" s="141"/>
    </row>
    <row r="389" spans="1:64" x14ac:dyDescent="0.3">
      <c r="A389" s="142" t="s">
        <v>42</v>
      </c>
      <c r="B389" s="142" t="s">
        <v>43</v>
      </c>
      <c r="C389" s="143" t="s">
        <v>44</v>
      </c>
      <c r="D389" s="197" t="s">
        <v>45</v>
      </c>
      <c r="E389" s="198" t="s">
        <v>46</v>
      </c>
      <c r="F389" s="198" t="s">
        <v>47</v>
      </c>
      <c r="G389" s="199" t="s">
        <v>48</v>
      </c>
      <c r="H389" s="143" t="s">
        <v>49</v>
      </c>
      <c r="I389" s="143"/>
      <c r="J389" s="146"/>
      <c r="L389" s="142" t="s">
        <v>50</v>
      </c>
      <c r="M389" s="143" t="s">
        <v>43</v>
      </c>
      <c r="N389" s="143" t="s">
        <v>44</v>
      </c>
      <c r="O389" s="143" t="s">
        <v>43</v>
      </c>
      <c r="P389" s="143" t="s">
        <v>51</v>
      </c>
      <c r="Q389" s="143" t="s">
        <v>44</v>
      </c>
      <c r="R389" s="143" t="s">
        <v>43</v>
      </c>
      <c r="S389" s="143" t="s">
        <v>44</v>
      </c>
      <c r="T389" s="143" t="s">
        <v>49</v>
      </c>
      <c r="U389" s="146"/>
      <c r="AB389" s="142" t="s">
        <v>50</v>
      </c>
      <c r="AC389" s="142" t="s">
        <v>43</v>
      </c>
      <c r="AD389" s="146" t="s">
        <v>44</v>
      </c>
      <c r="AE389" s="143" t="s">
        <v>45</v>
      </c>
      <c r="AF389" s="143" t="s">
        <v>46</v>
      </c>
      <c r="AG389" s="143" t="s">
        <v>52</v>
      </c>
      <c r="AH389" s="142" t="s">
        <v>43</v>
      </c>
      <c r="AI389" s="146" t="s">
        <v>44</v>
      </c>
      <c r="AJ389" s="143" t="s">
        <v>43</v>
      </c>
      <c r="AK389" s="142" t="s">
        <v>53</v>
      </c>
      <c r="AL389" s="143"/>
      <c r="AM389" s="146"/>
      <c r="AP389" s="138" t="s">
        <v>42</v>
      </c>
      <c r="AQ389" s="138" t="s">
        <v>43</v>
      </c>
      <c r="AR389" s="141" t="s">
        <v>44</v>
      </c>
      <c r="AS389" s="138" t="s">
        <v>43</v>
      </c>
      <c r="AT389" s="141" t="s">
        <v>44</v>
      </c>
      <c r="AU389" s="28"/>
      <c r="AV389" s="28"/>
      <c r="AW389" s="28"/>
      <c r="AX389" s="28"/>
      <c r="AY389" s="141"/>
      <c r="BB389" s="199" t="s">
        <v>42</v>
      </c>
      <c r="BC389" s="142" t="s">
        <v>43</v>
      </c>
      <c r="BD389" s="146" t="s">
        <v>44</v>
      </c>
      <c r="BE389" s="143" t="s">
        <v>45</v>
      </c>
      <c r="BF389" s="143" t="s">
        <v>46</v>
      </c>
      <c r="BG389" s="143" t="s">
        <v>52</v>
      </c>
      <c r="BH389" s="143" t="s">
        <v>43</v>
      </c>
      <c r="BI389" s="143" t="s">
        <v>44</v>
      </c>
      <c r="BJ389" s="143" t="s">
        <v>54</v>
      </c>
      <c r="BK389" s="143"/>
      <c r="BL389" s="146"/>
    </row>
    <row r="390" spans="1:64" x14ac:dyDescent="0.3">
      <c r="A390" s="134"/>
      <c r="B390" s="134"/>
      <c r="C390" s="135"/>
      <c r="D390" s="134"/>
      <c r="E390" s="135"/>
      <c r="F390" s="135"/>
      <c r="G390" s="195"/>
      <c r="H390" s="135" t="s">
        <v>396</v>
      </c>
      <c r="I390" s="135"/>
      <c r="J390" s="136"/>
      <c r="L390" s="134"/>
      <c r="M390" s="134"/>
      <c r="N390" s="195"/>
      <c r="O390" s="134"/>
      <c r="P390" s="195"/>
      <c r="Q390" s="136"/>
      <c r="R390" s="134"/>
      <c r="S390" s="195"/>
      <c r="T390" s="134" t="s">
        <v>396</v>
      </c>
      <c r="U390" s="136"/>
      <c r="AB390" s="138"/>
      <c r="AC390" s="138"/>
      <c r="AD390" s="141"/>
      <c r="AE390" s="28"/>
      <c r="AF390" s="28"/>
      <c r="AG390" s="28"/>
      <c r="AH390" s="138"/>
      <c r="AI390" s="141"/>
      <c r="AJ390" s="28"/>
      <c r="AK390" s="138" t="s">
        <v>62</v>
      </c>
      <c r="AL390" s="28"/>
      <c r="AM390" s="141"/>
      <c r="AP390" s="138" t="s">
        <v>6</v>
      </c>
      <c r="AQ390" s="138"/>
      <c r="AR390" s="141"/>
      <c r="AS390" s="138"/>
      <c r="AT390" s="141"/>
      <c r="AU390" s="28"/>
      <c r="AV390" s="28" t="s">
        <v>91</v>
      </c>
      <c r="AW390" s="28"/>
      <c r="AX390" s="28"/>
      <c r="AY390" s="141"/>
      <c r="BB390" s="195" t="s">
        <v>1071</v>
      </c>
      <c r="BC390" s="135">
        <v>43</v>
      </c>
      <c r="BD390" s="135">
        <v>29</v>
      </c>
      <c r="BE390" s="134"/>
      <c r="BF390" s="135"/>
      <c r="BG390" s="135"/>
      <c r="BH390" s="134"/>
      <c r="BI390" s="136"/>
      <c r="BJ390" s="135" t="s">
        <v>58</v>
      </c>
      <c r="BK390" s="135"/>
      <c r="BL390" s="136"/>
    </row>
    <row r="391" spans="1:64" x14ac:dyDescent="0.3">
      <c r="A391" s="138" t="s">
        <v>59</v>
      </c>
      <c r="B391" s="138">
        <v>2208</v>
      </c>
      <c r="C391" s="28">
        <v>2004</v>
      </c>
      <c r="D391" s="138"/>
      <c r="E391" s="28" t="s">
        <v>60</v>
      </c>
      <c r="F391" s="28"/>
      <c r="G391" s="196">
        <v>3472</v>
      </c>
      <c r="H391" s="28">
        <v>8</v>
      </c>
      <c r="I391" s="28" t="s">
        <v>61</v>
      </c>
      <c r="J391" s="141"/>
      <c r="L391" s="138" t="s">
        <v>59</v>
      </c>
      <c r="M391" s="138">
        <v>13326</v>
      </c>
      <c r="N391" s="196">
        <v>49726</v>
      </c>
      <c r="O391" s="138">
        <v>0</v>
      </c>
      <c r="P391" s="196">
        <v>0</v>
      </c>
      <c r="Q391" s="141">
        <v>0</v>
      </c>
      <c r="R391" s="138">
        <v>0</v>
      </c>
      <c r="S391" s="196">
        <v>0</v>
      </c>
      <c r="T391" s="138"/>
      <c r="U391" s="141"/>
      <c r="AB391" s="138"/>
      <c r="AC391" s="138"/>
      <c r="AD391" s="141"/>
      <c r="AE391" s="28"/>
      <c r="AF391" s="28"/>
      <c r="AG391" s="28"/>
      <c r="AH391" s="138"/>
      <c r="AI391" s="141"/>
      <c r="AJ391" s="28"/>
      <c r="AK391" s="138">
        <v>0</v>
      </c>
      <c r="AL391" s="28" t="s">
        <v>398</v>
      </c>
      <c r="AM391" s="141"/>
      <c r="AP391" s="138" t="s">
        <v>56</v>
      </c>
      <c r="AQ391" s="138">
        <v>1582</v>
      </c>
      <c r="AR391" s="141">
        <f>1514+13+2</f>
        <v>1529</v>
      </c>
      <c r="AS391" s="138"/>
      <c r="AT391" s="141"/>
      <c r="AU391" s="28"/>
      <c r="AV391" s="28">
        <v>6</v>
      </c>
      <c r="AW391" s="28" t="s">
        <v>145</v>
      </c>
      <c r="AX391" s="28"/>
      <c r="AY391" s="141"/>
      <c r="BB391" s="196" t="s">
        <v>64</v>
      </c>
      <c r="BC391" s="28">
        <v>155</v>
      </c>
      <c r="BD391" s="28">
        <v>148</v>
      </c>
      <c r="BE391" s="138">
        <v>0</v>
      </c>
      <c r="BF391" s="28">
        <v>0</v>
      </c>
      <c r="BG391" s="28">
        <v>0</v>
      </c>
      <c r="BH391" s="138">
        <v>0</v>
      </c>
      <c r="BI391" s="141">
        <v>0</v>
      </c>
      <c r="BJ391" s="43">
        <v>16</v>
      </c>
      <c r="BK391" s="28" t="s">
        <v>474</v>
      </c>
      <c r="BL391" s="141" t="s">
        <v>6</v>
      </c>
    </row>
    <row r="392" spans="1:64" x14ac:dyDescent="0.3">
      <c r="A392" s="138" t="s">
        <v>6</v>
      </c>
      <c r="B392" s="138"/>
      <c r="C392" s="28"/>
      <c r="D392" s="138"/>
      <c r="E392" s="28"/>
      <c r="F392" s="28"/>
      <c r="G392" s="196"/>
      <c r="H392" s="28"/>
      <c r="I392" s="28" t="s">
        <v>528</v>
      </c>
      <c r="J392" s="141">
        <f>SUM(H391)</f>
        <v>8</v>
      </c>
      <c r="L392" s="142"/>
      <c r="M392" s="142"/>
      <c r="N392" s="199"/>
      <c r="O392" s="142"/>
      <c r="P392" s="199"/>
      <c r="Q392" s="146"/>
      <c r="R392" s="142"/>
      <c r="S392" s="199"/>
      <c r="T392" s="142"/>
      <c r="U392" s="146"/>
      <c r="AB392" s="138" t="s">
        <v>59</v>
      </c>
      <c r="AC392" s="138">
        <v>1904</v>
      </c>
      <c r="AD392" s="141">
        <v>1828</v>
      </c>
      <c r="AE392" s="28">
        <v>0</v>
      </c>
      <c r="AF392" s="28">
        <v>0</v>
      </c>
      <c r="AG392" s="28">
        <v>0</v>
      </c>
      <c r="AH392" s="138">
        <v>0</v>
      </c>
      <c r="AI392" s="141">
        <v>0</v>
      </c>
      <c r="AJ392" s="28">
        <v>0</v>
      </c>
      <c r="AK392" s="138">
        <v>4</v>
      </c>
      <c r="AL392" s="28" t="s">
        <v>66</v>
      </c>
      <c r="AM392" s="141"/>
      <c r="AP392" s="142" t="s">
        <v>6</v>
      </c>
      <c r="AQ392" s="142"/>
      <c r="AR392" s="146"/>
      <c r="AS392" s="142"/>
      <c r="AT392" s="146"/>
      <c r="AU392" s="143"/>
      <c r="AV392" s="143">
        <v>98</v>
      </c>
      <c r="AW392" s="143" t="s">
        <v>73</v>
      </c>
      <c r="AX392" s="143"/>
      <c r="AY392" s="146">
        <f>SUM(AV392)</f>
        <v>98</v>
      </c>
      <c r="BB392" s="196" t="s">
        <v>108</v>
      </c>
      <c r="BC392">
        <v>5</v>
      </c>
      <c r="BD392">
        <v>14</v>
      </c>
      <c r="BE392" s="138"/>
      <c r="BF392" s="28"/>
      <c r="BG392" s="28"/>
      <c r="BH392" s="138"/>
      <c r="BI392" s="141"/>
      <c r="BJ392" s="28">
        <v>2</v>
      </c>
      <c r="BK392" s="28" t="s">
        <v>1045</v>
      </c>
      <c r="BL392" s="141"/>
    </row>
    <row r="393" spans="1:64" x14ac:dyDescent="0.3">
      <c r="A393" s="134"/>
      <c r="B393" s="134"/>
      <c r="C393" s="135"/>
      <c r="D393" s="134"/>
      <c r="E393" s="135"/>
      <c r="F393" s="135"/>
      <c r="G393" s="195"/>
      <c r="H393" s="135" t="s">
        <v>70</v>
      </c>
      <c r="I393" s="135"/>
      <c r="J393" s="136"/>
      <c r="L393" s="134"/>
      <c r="M393" s="134"/>
      <c r="N393" s="195"/>
      <c r="O393" s="134"/>
      <c r="P393" s="195"/>
      <c r="Q393" s="136"/>
      <c r="R393" s="134"/>
      <c r="S393" s="195"/>
      <c r="T393" s="134"/>
      <c r="U393" s="136"/>
      <c r="AB393" s="142"/>
      <c r="AC393" s="142"/>
      <c r="AD393" s="146"/>
      <c r="AE393" s="143"/>
      <c r="AF393" s="143"/>
      <c r="AG393" s="143"/>
      <c r="AH393" s="142"/>
      <c r="AI393" s="146"/>
      <c r="AJ393" s="143"/>
      <c r="AK393" s="142">
        <v>4</v>
      </c>
      <c r="AL393" s="143" t="s">
        <v>188</v>
      </c>
      <c r="AM393" s="146"/>
      <c r="AP393" s="134" t="s">
        <v>56</v>
      </c>
      <c r="AQ393" s="134">
        <v>0</v>
      </c>
      <c r="AR393" s="136">
        <v>0</v>
      </c>
      <c r="AS393" s="134"/>
      <c r="AT393" s="136"/>
      <c r="AU393" s="135"/>
      <c r="AV393" s="135"/>
      <c r="AW393" s="135"/>
      <c r="AX393" s="135"/>
      <c r="AY393" s="136"/>
      <c r="BB393" s="199" t="s">
        <v>84</v>
      </c>
      <c r="BC393" s="143">
        <f>SUM(BC390:BC392)</f>
        <v>203</v>
      </c>
      <c r="BD393" s="143">
        <f>SUM(BD390:BD392)</f>
        <v>191</v>
      </c>
      <c r="BE393" s="142"/>
      <c r="BF393" s="143"/>
      <c r="BG393" s="143"/>
      <c r="BH393" s="142"/>
      <c r="BI393" s="146"/>
      <c r="BJ393" s="143">
        <v>6</v>
      </c>
      <c r="BK393" s="143" t="s">
        <v>69</v>
      </c>
      <c r="BL393" s="146">
        <f>SUM(BJ391:BJ393)</f>
        <v>24</v>
      </c>
    </row>
    <row r="394" spans="1:64" x14ac:dyDescent="0.3">
      <c r="A394" s="138" t="s">
        <v>74</v>
      </c>
      <c r="B394" s="138">
        <v>966</v>
      </c>
      <c r="C394" s="28">
        <v>2123</v>
      </c>
      <c r="D394" s="138"/>
      <c r="E394" s="28" t="s">
        <v>60</v>
      </c>
      <c r="F394" s="28"/>
      <c r="G394" s="196">
        <v>2738</v>
      </c>
      <c r="H394" s="28">
        <v>1</v>
      </c>
      <c r="I394" s="28" t="s">
        <v>1046</v>
      </c>
      <c r="J394" s="141"/>
      <c r="L394" s="138"/>
      <c r="M394" s="138"/>
      <c r="N394" s="196"/>
      <c r="O394" s="138"/>
      <c r="P394" s="196"/>
      <c r="Q394" s="141"/>
      <c r="R394" s="138"/>
      <c r="S394" s="196"/>
      <c r="T394" s="138" t="s">
        <v>80</v>
      </c>
      <c r="U394" s="141"/>
      <c r="AB394" s="134" t="s">
        <v>6</v>
      </c>
      <c r="AC394" s="134"/>
      <c r="AD394" s="136"/>
      <c r="AE394" s="135"/>
      <c r="AF394" s="135"/>
      <c r="AG394" s="135"/>
      <c r="AH394" s="134"/>
      <c r="AI394" s="136"/>
      <c r="AJ394" s="135"/>
      <c r="AK394" s="134" t="s">
        <v>952</v>
      </c>
      <c r="AL394" s="135"/>
      <c r="AM394" s="136"/>
      <c r="AP394" s="138" t="s">
        <v>63</v>
      </c>
      <c r="AQ394" s="138">
        <v>48</v>
      </c>
      <c r="AR394" s="141">
        <v>27</v>
      </c>
      <c r="AS394" s="138"/>
      <c r="AT394" s="141"/>
      <c r="AU394" s="28"/>
      <c r="AV394" s="28" t="s">
        <v>110</v>
      </c>
      <c r="AW394" s="28" t="s">
        <v>111</v>
      </c>
      <c r="AX394" s="28" t="s">
        <v>112</v>
      </c>
      <c r="AY394" s="141"/>
      <c r="BB394" s="195" t="s">
        <v>174</v>
      </c>
      <c r="BC394" s="134"/>
      <c r="BD394" s="136"/>
      <c r="BE394" s="135"/>
      <c r="BF394" s="135">
        <v>0</v>
      </c>
      <c r="BG394" s="135"/>
      <c r="BH394" s="134"/>
      <c r="BI394" s="136"/>
      <c r="BJ394" s="135" t="s">
        <v>82</v>
      </c>
      <c r="BK394" s="135"/>
      <c r="BL394" s="136"/>
    </row>
    <row r="395" spans="1:64" x14ac:dyDescent="0.3">
      <c r="A395" s="138"/>
      <c r="B395" s="138"/>
      <c r="C395" s="28"/>
      <c r="D395" s="138"/>
      <c r="E395" s="28"/>
      <c r="F395" s="28"/>
      <c r="G395" s="196"/>
      <c r="H395" s="28">
        <v>15</v>
      </c>
      <c r="I395" s="28" t="s">
        <v>1047</v>
      </c>
      <c r="J395" s="141">
        <f>SUM(H394:H395)</f>
        <v>16</v>
      </c>
      <c r="L395" s="138" t="s">
        <v>74</v>
      </c>
      <c r="M395" s="138">
        <v>9551</v>
      </c>
      <c r="N395" s="196">
        <v>0</v>
      </c>
      <c r="O395" s="138">
        <v>0</v>
      </c>
      <c r="P395" s="196">
        <v>0</v>
      </c>
      <c r="Q395" s="141">
        <v>0</v>
      </c>
      <c r="R395" s="138">
        <v>290</v>
      </c>
      <c r="S395" s="196">
        <v>0</v>
      </c>
      <c r="T395" s="138"/>
      <c r="U395" s="141"/>
      <c r="AB395" s="142" t="s">
        <v>76</v>
      </c>
      <c r="AC395" s="142">
        <v>0</v>
      </c>
      <c r="AD395" s="146">
        <v>0</v>
      </c>
      <c r="AE395" s="143">
        <v>0</v>
      </c>
      <c r="AF395" s="143">
        <v>0</v>
      </c>
      <c r="AG395" s="143">
        <v>0</v>
      </c>
      <c r="AH395" s="142">
        <v>0</v>
      </c>
      <c r="AI395" s="146">
        <v>0</v>
      </c>
      <c r="AJ395" s="143">
        <v>0</v>
      </c>
      <c r="AK395" s="142">
        <v>0</v>
      </c>
      <c r="AL395" s="143" t="s">
        <v>780</v>
      </c>
      <c r="AM395" s="146"/>
      <c r="AP395" s="138" t="s">
        <v>115</v>
      </c>
      <c r="AQ395" s="138">
        <v>42</v>
      </c>
      <c r="AR395" s="141">
        <v>27</v>
      </c>
      <c r="AS395" s="138"/>
      <c r="AT395" s="141"/>
      <c r="AU395" s="28"/>
      <c r="AV395" s="28"/>
      <c r="AW395" s="28"/>
      <c r="AX395" s="28"/>
      <c r="AY395" s="141"/>
      <c r="BB395" s="199" t="s">
        <v>85</v>
      </c>
      <c r="BC395" s="142">
        <v>0</v>
      </c>
      <c r="BD395" s="146">
        <v>0</v>
      </c>
      <c r="BE395" s="143"/>
      <c r="BF395" s="143">
        <v>0</v>
      </c>
      <c r="BG395" s="143">
        <v>0</v>
      </c>
      <c r="BH395" s="142">
        <v>0</v>
      </c>
      <c r="BI395" s="146">
        <v>0</v>
      </c>
      <c r="BJ395" s="143">
        <v>0</v>
      </c>
      <c r="BK395" s="143" t="s">
        <v>86</v>
      </c>
      <c r="BL395" s="146">
        <f>SUM(BJ395)</f>
        <v>0</v>
      </c>
    </row>
    <row r="396" spans="1:64" x14ac:dyDescent="0.3">
      <c r="A396" s="134"/>
      <c r="B396" s="134"/>
      <c r="C396" s="136"/>
      <c r="D396" s="135"/>
      <c r="E396" s="135"/>
      <c r="F396" s="135"/>
      <c r="G396" s="195"/>
      <c r="H396" s="134" t="s">
        <v>87</v>
      </c>
      <c r="I396" s="135"/>
      <c r="J396" s="136" t="s">
        <v>6</v>
      </c>
      <c r="L396" s="142"/>
      <c r="M396" s="142"/>
      <c r="N396" s="199"/>
      <c r="O396" s="142"/>
      <c r="P396" s="199"/>
      <c r="Q396" s="146"/>
      <c r="R396" s="142"/>
      <c r="S396" s="199"/>
      <c r="T396" s="142"/>
      <c r="U396" s="146"/>
      <c r="AB396" s="134"/>
      <c r="AC396" s="134"/>
      <c r="AD396" s="136"/>
      <c r="AE396" s="135"/>
      <c r="AF396" s="135"/>
      <c r="AG396" s="135"/>
      <c r="AH396" s="134"/>
      <c r="AI396" s="136"/>
      <c r="AJ396" s="135"/>
      <c r="AK396" s="134"/>
      <c r="AL396" s="135" t="s">
        <v>150</v>
      </c>
      <c r="AM396" s="136"/>
      <c r="AP396" s="138" t="s">
        <v>72</v>
      </c>
      <c r="AQ396" s="138">
        <v>11</v>
      </c>
      <c r="AR396" s="141">
        <v>16</v>
      </c>
      <c r="AS396" s="138"/>
      <c r="AT396" s="141"/>
      <c r="AU396" s="28"/>
      <c r="AV396" s="28"/>
      <c r="AW396" s="28"/>
      <c r="AX396" s="28"/>
      <c r="AY396" s="141"/>
      <c r="BB396" s="195" t="s">
        <v>107</v>
      </c>
      <c r="BC396" s="134">
        <v>0</v>
      </c>
      <c r="BD396" s="136">
        <v>0</v>
      </c>
      <c r="BE396" s="135"/>
      <c r="BF396" s="135"/>
      <c r="BG396" s="135"/>
      <c r="BH396" s="134"/>
      <c r="BI396" s="136"/>
      <c r="BJ396" s="135"/>
      <c r="BK396" s="135" t="s">
        <v>92</v>
      </c>
      <c r="BL396" s="136"/>
    </row>
    <row r="397" spans="1:64" x14ac:dyDescent="0.3">
      <c r="A397" s="138"/>
      <c r="B397" s="138"/>
      <c r="C397" s="141"/>
      <c r="D397" s="28"/>
      <c r="E397" s="28"/>
      <c r="F397" s="28"/>
      <c r="G397" s="196"/>
      <c r="H397" s="138" t="s">
        <v>6</v>
      </c>
      <c r="I397" s="28" t="s">
        <v>927</v>
      </c>
      <c r="J397" s="141"/>
      <c r="L397" s="134" t="s">
        <v>88</v>
      </c>
      <c r="M397" s="134">
        <v>0</v>
      </c>
      <c r="N397" s="195">
        <v>0</v>
      </c>
      <c r="O397" s="134"/>
      <c r="P397" s="195"/>
      <c r="Q397" s="136"/>
      <c r="R397" s="134"/>
      <c r="S397" s="195"/>
      <c r="T397" s="134" t="s">
        <v>6</v>
      </c>
      <c r="U397" s="136"/>
      <c r="AB397" s="138" t="s">
        <v>89</v>
      </c>
      <c r="AC397" s="138">
        <v>40</v>
      </c>
      <c r="AD397" s="141">
        <v>29</v>
      </c>
      <c r="AE397" s="28"/>
      <c r="AF397" s="28"/>
      <c r="AG397" s="28"/>
      <c r="AH397" s="138"/>
      <c r="AI397" s="141"/>
      <c r="AJ397" s="28"/>
      <c r="AK397" s="138" t="s">
        <v>90</v>
      </c>
      <c r="AL397" s="28"/>
      <c r="AM397" s="141"/>
      <c r="AP397" s="138" t="s">
        <v>78</v>
      </c>
      <c r="AQ397" s="138">
        <v>72</v>
      </c>
      <c r="AR397" s="141">
        <v>65</v>
      </c>
      <c r="AS397" s="138"/>
      <c r="AT397" s="141"/>
      <c r="AU397" s="28"/>
      <c r="AV397" s="28"/>
      <c r="AW397" s="28"/>
      <c r="AX397" s="28"/>
      <c r="AY397" s="141"/>
      <c r="BB397" s="196" t="s">
        <v>99</v>
      </c>
      <c r="BC397" s="138">
        <v>0</v>
      </c>
      <c r="BD397" s="141">
        <v>0</v>
      </c>
      <c r="BE397" s="28">
        <v>0</v>
      </c>
      <c r="BF397" s="28">
        <v>0</v>
      </c>
      <c r="BG397" s="28">
        <v>0</v>
      </c>
      <c r="BH397" s="138">
        <v>66214</v>
      </c>
      <c r="BI397" s="141">
        <v>19089</v>
      </c>
      <c r="BJ397" s="43">
        <v>24</v>
      </c>
      <c r="BK397" s="28" t="s">
        <v>100</v>
      </c>
      <c r="BL397" s="141"/>
    </row>
    <row r="398" spans="1:64" x14ac:dyDescent="0.3">
      <c r="A398" s="138" t="s">
        <v>93</v>
      </c>
      <c r="B398" s="138">
        <v>4954</v>
      </c>
      <c r="C398" s="141">
        <v>5324</v>
      </c>
      <c r="D398" s="28" t="s">
        <v>6</v>
      </c>
      <c r="E398" s="28" t="s">
        <v>60</v>
      </c>
      <c r="F398" s="28"/>
      <c r="G398" s="196">
        <v>5543</v>
      </c>
      <c r="H398" s="212" t="s">
        <v>6</v>
      </c>
      <c r="I398" s="28" t="s">
        <v>94</v>
      </c>
      <c r="J398" s="141" t="s">
        <v>6</v>
      </c>
      <c r="L398" s="138" t="s">
        <v>95</v>
      </c>
      <c r="M398" s="138">
        <v>0</v>
      </c>
      <c r="N398" s="196">
        <v>0</v>
      </c>
      <c r="O398" s="138"/>
      <c r="P398" s="196"/>
      <c r="Q398" s="141"/>
      <c r="R398" s="138"/>
      <c r="S398" s="196"/>
      <c r="T398" s="138" t="s">
        <v>96</v>
      </c>
      <c r="U398" s="141"/>
      <c r="AB398" s="138" t="s">
        <v>97</v>
      </c>
      <c r="AC398" s="138">
        <v>0</v>
      </c>
      <c r="AD398" s="141">
        <v>0</v>
      </c>
      <c r="AE398" s="28">
        <v>0</v>
      </c>
      <c r="AF398" s="28">
        <v>0</v>
      </c>
      <c r="AG398" s="28">
        <v>0</v>
      </c>
      <c r="AH398" s="138">
        <v>0</v>
      </c>
      <c r="AI398" s="141">
        <v>0</v>
      </c>
      <c r="AJ398" s="28">
        <v>0</v>
      </c>
      <c r="AK398" s="138"/>
      <c r="AL398" s="28" t="s">
        <v>529</v>
      </c>
      <c r="AM398" s="141"/>
      <c r="AP398" s="138" t="s">
        <v>122</v>
      </c>
      <c r="AQ398" s="138">
        <v>78</v>
      </c>
      <c r="AR398" s="141">
        <v>24</v>
      </c>
      <c r="AS398" s="138"/>
      <c r="AT398" s="141"/>
      <c r="AU398" s="28"/>
      <c r="AV398" s="28">
        <v>38</v>
      </c>
      <c r="AW398" s="28" t="s">
        <v>123</v>
      </c>
      <c r="AX398" s="28"/>
      <c r="AY398" s="141"/>
      <c r="AZ398" t="s">
        <v>6</v>
      </c>
      <c r="BB398" s="199" t="s">
        <v>84</v>
      </c>
      <c r="BC398" s="138">
        <f>SUM(BC396:BC397)</f>
        <v>0</v>
      </c>
      <c r="BD398" s="141">
        <f>SUM(BD395:BD397)</f>
        <v>0</v>
      </c>
      <c r="BE398" s="143"/>
      <c r="BF398" s="143"/>
      <c r="BG398" s="143"/>
      <c r="BH398" s="142"/>
      <c r="BI398" s="146"/>
      <c r="BJ398" s="143">
        <v>0</v>
      </c>
      <c r="BK398" s="143" t="s">
        <v>506</v>
      </c>
      <c r="BL398" s="146">
        <f>SUM(BJ397:BJ398)</f>
        <v>24</v>
      </c>
    </row>
    <row r="399" spans="1:64" x14ac:dyDescent="0.3">
      <c r="A399" s="142"/>
      <c r="B399" s="142"/>
      <c r="C399" s="146"/>
      <c r="D399" s="143"/>
      <c r="E399" s="143"/>
      <c r="F399" s="143"/>
      <c r="G399" s="199"/>
      <c r="H399" s="142">
        <v>31</v>
      </c>
      <c r="I399" s="143" t="s">
        <v>101</v>
      </c>
      <c r="J399" s="146">
        <f>SUM(H397:H399)</f>
        <v>31</v>
      </c>
      <c r="L399" s="138" t="s">
        <v>102</v>
      </c>
      <c r="M399" s="138">
        <v>0</v>
      </c>
      <c r="N399" s="196">
        <v>0</v>
      </c>
      <c r="O399" s="138"/>
      <c r="P399" s="196"/>
      <c r="Q399" s="141"/>
      <c r="R399" s="138"/>
      <c r="S399" s="196"/>
      <c r="T399" s="138"/>
      <c r="U399" s="141"/>
      <c r="AB399" s="142" t="s">
        <v>84</v>
      </c>
      <c r="AC399" s="142">
        <f>SUM(AC397:AC398)</f>
        <v>40</v>
      </c>
      <c r="AD399" s="146">
        <f>SUM(AD397:AD398)</f>
        <v>29</v>
      </c>
      <c r="AE399" s="143"/>
      <c r="AF399" s="143"/>
      <c r="AG399" s="143"/>
      <c r="AH399" s="142"/>
      <c r="AI399" s="146"/>
      <c r="AJ399" s="143"/>
      <c r="AK399" s="142">
        <v>1</v>
      </c>
      <c r="AL399" s="143" t="s">
        <v>145</v>
      </c>
      <c r="AM399" s="146"/>
      <c r="AP399" s="138" t="s">
        <v>125</v>
      </c>
      <c r="AQ399" s="138">
        <v>10</v>
      </c>
      <c r="AR399" s="141">
        <v>0</v>
      </c>
      <c r="AS399" s="138"/>
      <c r="AT399" s="141"/>
      <c r="AU399" s="28"/>
      <c r="AV399" s="28">
        <v>47</v>
      </c>
      <c r="AW399" s="28" t="s">
        <v>126</v>
      </c>
      <c r="AX399" s="28"/>
      <c r="AY399" s="141"/>
      <c r="BB399" s="138" t="s">
        <v>89</v>
      </c>
      <c r="BC399" s="134">
        <v>664</v>
      </c>
      <c r="BD399" s="136">
        <v>600</v>
      </c>
      <c r="BH399" s="134"/>
      <c r="BI399" s="136"/>
      <c r="BJ399" s="28"/>
      <c r="BK399" s="28" t="s">
        <v>91</v>
      </c>
      <c r="BL399" s="141"/>
    </row>
    <row r="400" spans="1:64" x14ac:dyDescent="0.3">
      <c r="A400" s="138" t="s">
        <v>108</v>
      </c>
      <c r="B400" s="138">
        <v>0</v>
      </c>
      <c r="C400" s="28">
        <v>0</v>
      </c>
      <c r="D400" s="138"/>
      <c r="E400" s="28">
        <v>957</v>
      </c>
      <c r="F400" s="141"/>
      <c r="G400" s="141"/>
      <c r="H400" s="28" t="s">
        <v>104</v>
      </c>
      <c r="I400" s="28"/>
      <c r="J400" s="141"/>
      <c r="L400" s="142" t="s">
        <v>84</v>
      </c>
      <c r="M400" s="142">
        <v>0</v>
      </c>
      <c r="N400" s="199">
        <v>0</v>
      </c>
      <c r="O400" s="142">
        <v>0</v>
      </c>
      <c r="P400" s="199">
        <v>0</v>
      </c>
      <c r="Q400" s="146">
        <v>0</v>
      </c>
      <c r="R400" s="142">
        <v>0</v>
      </c>
      <c r="S400" s="199">
        <v>0</v>
      </c>
      <c r="T400" s="142"/>
      <c r="U400" s="146"/>
      <c r="AB400" s="134"/>
      <c r="AC400" s="134"/>
      <c r="AD400" s="136"/>
      <c r="AE400" s="135"/>
      <c r="AF400" s="135"/>
      <c r="AG400" s="135"/>
      <c r="AH400" s="134"/>
      <c r="AI400" s="136"/>
      <c r="AJ400" s="135"/>
      <c r="AK400" s="138" t="s">
        <v>1048</v>
      </c>
      <c r="AM400" s="136"/>
      <c r="AP400" s="138" t="s">
        <v>536</v>
      </c>
      <c r="AQ400" s="138">
        <v>0</v>
      </c>
      <c r="AR400" s="141">
        <v>0</v>
      </c>
      <c r="AS400" s="138"/>
      <c r="AT400" s="141"/>
      <c r="AU400" s="28"/>
      <c r="AV400" s="28">
        <v>26</v>
      </c>
      <c r="AW400" s="28" t="s">
        <v>129</v>
      </c>
      <c r="AX400" s="28"/>
      <c r="AY400" s="141"/>
      <c r="BA400" t="s">
        <v>6</v>
      </c>
      <c r="BB400" s="138" t="s">
        <v>137</v>
      </c>
      <c r="BC400" s="138">
        <v>131</v>
      </c>
      <c r="BD400" s="141">
        <v>161</v>
      </c>
      <c r="BH400" s="138"/>
      <c r="BI400" s="141"/>
      <c r="BJ400" s="43">
        <v>22</v>
      </c>
      <c r="BK400" s="43" t="s">
        <v>145</v>
      </c>
      <c r="BL400" s="141"/>
    </row>
    <row r="401" spans="1:65" x14ac:dyDescent="0.3">
      <c r="A401" s="138" t="s">
        <v>109</v>
      </c>
      <c r="B401" s="138">
        <v>3661</v>
      </c>
      <c r="C401" s="28">
        <v>2012</v>
      </c>
      <c r="D401" s="138"/>
      <c r="E401" s="28">
        <v>0</v>
      </c>
      <c r="F401" s="141"/>
      <c r="G401" s="141"/>
      <c r="H401" s="43">
        <v>13</v>
      </c>
      <c r="I401" s="28" t="s">
        <v>114</v>
      </c>
      <c r="J401" s="141"/>
      <c r="L401" s="134"/>
      <c r="M401" s="134"/>
      <c r="N401" s="195"/>
      <c r="O401" s="134"/>
      <c r="P401" s="195"/>
      <c r="Q401" s="136"/>
      <c r="R401" s="134"/>
      <c r="S401" s="195"/>
      <c r="T401" s="134" t="s">
        <v>104</v>
      </c>
      <c r="U401" s="136"/>
      <c r="AB401" s="138" t="s">
        <v>817</v>
      </c>
      <c r="AC401" s="138">
        <v>39</v>
      </c>
      <c r="AD401" s="141">
        <v>460</v>
      </c>
      <c r="AE401" s="28">
        <v>0</v>
      </c>
      <c r="AF401" s="28">
        <v>0</v>
      </c>
      <c r="AG401" s="28">
        <v>0</v>
      </c>
      <c r="AH401" s="138">
        <v>0</v>
      </c>
      <c r="AI401" s="141">
        <v>0</v>
      </c>
      <c r="AJ401" s="28">
        <v>0</v>
      </c>
      <c r="AK401" s="138"/>
      <c r="AM401" s="141"/>
      <c r="AP401" s="138" t="s">
        <v>132</v>
      </c>
      <c r="AQ401" s="138">
        <v>0</v>
      </c>
      <c r="AR401" s="141">
        <v>0</v>
      </c>
      <c r="AS401" s="138"/>
      <c r="AT401" s="141"/>
      <c r="AU401" s="28"/>
      <c r="AV401" s="28"/>
      <c r="AW401" s="28"/>
      <c r="AX401" s="28"/>
      <c r="AY401" s="141"/>
      <c r="BA401" t="s">
        <v>6</v>
      </c>
      <c r="BB401" s="138" t="s">
        <v>113</v>
      </c>
      <c r="BC401" s="138">
        <v>824</v>
      </c>
      <c r="BD401" s="141">
        <v>929</v>
      </c>
      <c r="BH401" s="138"/>
      <c r="BI401" s="141"/>
      <c r="BJ401" s="43">
        <v>81</v>
      </c>
      <c r="BK401" s="28" t="s">
        <v>73</v>
      </c>
      <c r="BL401" s="141"/>
    </row>
    <row r="402" spans="1:65" x14ac:dyDescent="0.3">
      <c r="A402" s="138" t="s">
        <v>84</v>
      </c>
      <c r="B402" s="138">
        <f>SUM(B400:B401)</f>
        <v>3661</v>
      </c>
      <c r="C402" s="28">
        <f>SUM(C400:C401)</f>
        <v>2012</v>
      </c>
      <c r="D402" s="138"/>
      <c r="E402" s="28">
        <f>SUM(E400:E401)</f>
        <v>957</v>
      </c>
      <c r="F402" s="141"/>
      <c r="G402" s="141">
        <v>4839</v>
      </c>
      <c r="H402" s="28"/>
      <c r="I402" s="28"/>
      <c r="J402" s="141">
        <f>SUM(H401)</f>
        <v>13</v>
      </c>
      <c r="L402" s="138" t="s">
        <v>109</v>
      </c>
      <c r="M402" s="138">
        <v>1105</v>
      </c>
      <c r="N402" s="196">
        <v>0</v>
      </c>
      <c r="O402" s="138">
        <v>0</v>
      </c>
      <c r="P402" s="196">
        <v>0</v>
      </c>
      <c r="Q402" s="141">
        <v>0</v>
      </c>
      <c r="R402" s="138">
        <v>0</v>
      </c>
      <c r="S402" s="196">
        <v>0</v>
      </c>
      <c r="T402" s="138"/>
      <c r="U402" s="141"/>
      <c r="AB402" s="138"/>
      <c r="AC402" s="138"/>
      <c r="AD402" s="141"/>
      <c r="AE402" s="28">
        <v>0</v>
      </c>
      <c r="AF402" s="28">
        <v>0</v>
      </c>
      <c r="AG402" s="28">
        <v>0</v>
      </c>
      <c r="AH402" s="138"/>
      <c r="AI402" s="141"/>
      <c r="AJ402" s="28"/>
      <c r="AK402" s="138">
        <v>4</v>
      </c>
      <c r="AL402" s="43" t="s">
        <v>359</v>
      </c>
      <c r="AM402" s="141"/>
      <c r="AP402" s="138" t="s">
        <v>81</v>
      </c>
      <c r="AQ402" s="138">
        <v>63</v>
      </c>
      <c r="AR402" s="141">
        <v>26</v>
      </c>
      <c r="AS402" s="138"/>
      <c r="AT402" s="141"/>
      <c r="AU402" s="28"/>
      <c r="AV402" s="28"/>
      <c r="AW402" s="28"/>
      <c r="AX402" s="28"/>
      <c r="AY402" s="141"/>
      <c r="BB402" s="138" t="s">
        <v>84</v>
      </c>
      <c r="BC402" s="138">
        <f>SUM(BC399:BC401)</f>
        <v>1619</v>
      </c>
      <c r="BD402" s="141">
        <f>SUM(BD399:BD401)</f>
        <v>1690</v>
      </c>
      <c r="BE402">
        <v>0</v>
      </c>
      <c r="BF402">
        <v>0</v>
      </c>
      <c r="BG402">
        <v>0</v>
      </c>
      <c r="BH402" s="138">
        <v>0</v>
      </c>
      <c r="BI402" s="141">
        <v>0</v>
      </c>
      <c r="BJ402" s="28"/>
      <c r="BK402" s="28"/>
      <c r="BL402" s="141">
        <f>SUM(BJ400:BJ402)</f>
        <v>103</v>
      </c>
    </row>
    <row r="403" spans="1:65" x14ac:dyDescent="0.3">
      <c r="A403" s="134" t="s">
        <v>785</v>
      </c>
      <c r="B403" s="134">
        <v>1812</v>
      </c>
      <c r="C403" s="136">
        <v>1812</v>
      </c>
      <c r="D403" s="135"/>
      <c r="E403" s="135"/>
      <c r="F403" s="135"/>
      <c r="G403" s="195">
        <f>300+300+900+2486/2</f>
        <v>2743</v>
      </c>
      <c r="H403" s="135" t="s">
        <v>1050</v>
      </c>
      <c r="I403" s="135"/>
      <c r="J403" s="136"/>
      <c r="L403" s="142"/>
      <c r="M403" s="142"/>
      <c r="N403" s="199"/>
      <c r="O403" s="142"/>
      <c r="P403" s="199"/>
      <c r="Q403" s="146"/>
      <c r="R403" s="142"/>
      <c r="S403" s="199"/>
      <c r="T403" s="142"/>
      <c r="U403" s="146"/>
      <c r="AB403" s="142"/>
      <c r="AC403" s="142"/>
      <c r="AD403" s="146"/>
      <c r="AE403" s="143">
        <v>0</v>
      </c>
      <c r="AF403" s="143">
        <v>0</v>
      </c>
      <c r="AG403" s="143">
        <v>0</v>
      </c>
      <c r="AH403" s="142"/>
      <c r="AI403" s="146"/>
      <c r="AJ403" s="143"/>
      <c r="AK403" s="142"/>
      <c r="AL403" s="143"/>
      <c r="AM403" s="146"/>
      <c r="AP403" s="138" t="s">
        <v>138</v>
      </c>
      <c r="AQ403" s="138">
        <v>8</v>
      </c>
      <c r="AR403" s="141">
        <v>0</v>
      </c>
      <c r="AS403" s="138"/>
      <c r="AT403" s="141"/>
      <c r="AU403" s="28"/>
      <c r="AV403" s="28"/>
      <c r="AW403" s="28"/>
      <c r="AX403" s="28"/>
      <c r="AY403" s="141"/>
      <c r="BA403" t="s">
        <v>6</v>
      </c>
      <c r="BB403" s="134"/>
      <c r="BC403" s="134"/>
      <c r="BD403" s="136"/>
      <c r="BE403" s="135"/>
      <c r="BF403" s="135"/>
      <c r="BG403" s="135"/>
      <c r="BH403" s="134"/>
      <c r="BI403" s="136"/>
      <c r="BJ403" s="135" t="s">
        <v>1025</v>
      </c>
      <c r="BK403" s="135"/>
      <c r="BL403" s="136"/>
    </row>
    <row r="404" spans="1:65" x14ac:dyDescent="0.3">
      <c r="A404" s="138" t="s">
        <v>93</v>
      </c>
      <c r="B404" s="138">
        <v>11061</v>
      </c>
      <c r="C404" s="141">
        <v>11228</v>
      </c>
      <c r="D404" s="28"/>
      <c r="E404" s="28"/>
      <c r="F404" s="28"/>
      <c r="G404" s="196">
        <f>600+2400+1200+200+1400+14480+600+4000/2</f>
        <v>22880</v>
      </c>
      <c r="H404" s="28">
        <v>31</v>
      </c>
      <c r="I404" s="28" t="s">
        <v>75</v>
      </c>
      <c r="J404" s="141"/>
      <c r="L404" s="134" t="s">
        <v>93</v>
      </c>
      <c r="M404" s="134">
        <v>0</v>
      </c>
      <c r="N404" s="195">
        <v>0</v>
      </c>
      <c r="O404" s="134"/>
      <c r="P404" s="195"/>
      <c r="Q404" s="136"/>
      <c r="R404" s="134">
        <v>157</v>
      </c>
      <c r="S404" s="195">
        <v>0</v>
      </c>
      <c r="T404" s="134" t="s">
        <v>116</v>
      </c>
      <c r="U404" s="136"/>
      <c r="AB404" s="138"/>
      <c r="AC404" s="138"/>
      <c r="AD404" s="141"/>
      <c r="AE404" s="28"/>
      <c r="AF404" s="28"/>
      <c r="AG404" s="28"/>
      <c r="AH404" s="138"/>
      <c r="AI404" s="141"/>
      <c r="AJ404" s="28"/>
      <c r="AK404" s="138"/>
      <c r="AL404" s="28" t="s">
        <v>117</v>
      </c>
      <c r="AM404" s="141"/>
      <c r="AP404" s="138" t="s">
        <v>230</v>
      </c>
      <c r="AQ404" s="138">
        <v>0</v>
      </c>
      <c r="AR404" s="141">
        <v>0</v>
      </c>
      <c r="AS404" s="138"/>
      <c r="AT404" s="141"/>
      <c r="AU404" s="28"/>
      <c r="AV404" s="28"/>
      <c r="AW404" s="28"/>
      <c r="AX404" s="28"/>
      <c r="AY404" s="141"/>
      <c r="BB404" s="142" t="s">
        <v>64</v>
      </c>
      <c r="BC404" s="142">
        <v>90</v>
      </c>
      <c r="BD404" s="146">
        <v>70</v>
      </c>
      <c r="BE404" s="143"/>
      <c r="BF404" s="143"/>
      <c r="BG404" s="143"/>
      <c r="BH404" s="142"/>
      <c r="BI404" s="146"/>
      <c r="BJ404" s="143">
        <v>9</v>
      </c>
      <c r="BK404" s="143" t="s">
        <v>1026</v>
      </c>
      <c r="BL404" s="146">
        <f>SUM(BJ404)</f>
        <v>9</v>
      </c>
    </row>
    <row r="405" spans="1:65" x14ac:dyDescent="0.3">
      <c r="A405" s="138" t="s">
        <v>120</v>
      </c>
      <c r="B405" s="138">
        <v>8493</v>
      </c>
      <c r="C405" s="209">
        <v>8379</v>
      </c>
      <c r="D405" s="28"/>
      <c r="E405" s="28" t="s">
        <v>60</v>
      </c>
      <c r="F405" s="28"/>
      <c r="G405" s="196">
        <f>900+1200+3900+12950/2</f>
        <v>12475</v>
      </c>
      <c r="H405" s="28">
        <v>136</v>
      </c>
      <c r="I405" s="28" t="s">
        <v>101</v>
      </c>
      <c r="J405" s="141"/>
      <c r="L405" s="138" t="s">
        <v>99</v>
      </c>
      <c r="M405" s="138">
        <v>3436</v>
      </c>
      <c r="N405" s="196">
        <v>12656</v>
      </c>
      <c r="O405" s="138"/>
      <c r="P405" s="196"/>
      <c r="Q405" s="141"/>
      <c r="R405" s="138">
        <v>5394</v>
      </c>
      <c r="S405" s="196">
        <v>257</v>
      </c>
      <c r="T405" s="138"/>
      <c r="U405" s="141"/>
      <c r="AB405" s="138"/>
      <c r="AC405" s="138"/>
      <c r="AD405" s="141"/>
      <c r="AE405" s="28"/>
      <c r="AF405" s="28"/>
      <c r="AG405" s="28"/>
      <c r="AH405" s="138"/>
      <c r="AI405" s="141"/>
      <c r="AJ405" s="28"/>
      <c r="AK405" s="138"/>
      <c r="AL405" s="28" t="s">
        <v>558</v>
      </c>
      <c r="AM405" s="141"/>
      <c r="AP405" s="138" t="s">
        <v>67</v>
      </c>
      <c r="AQ405" s="138">
        <v>65</v>
      </c>
      <c r="AR405" s="141">
        <v>70</v>
      </c>
      <c r="AS405" s="138"/>
      <c r="AT405" s="141"/>
      <c r="AU405" s="28"/>
      <c r="AV405" s="28"/>
      <c r="AW405" s="28"/>
      <c r="AX405" s="28"/>
      <c r="AY405" s="141"/>
      <c r="BB405" s="138" t="s">
        <v>113</v>
      </c>
      <c r="BC405" s="138">
        <v>377</v>
      </c>
      <c r="BD405" s="141">
        <v>390</v>
      </c>
      <c r="BE405" s="28"/>
      <c r="BF405" s="28"/>
      <c r="BG405" s="28"/>
      <c r="BH405" s="138"/>
      <c r="BI405" s="141"/>
      <c r="BJ405" s="28" t="s">
        <v>994</v>
      </c>
      <c r="BK405" s="28"/>
      <c r="BL405" s="141"/>
    </row>
    <row r="406" spans="1:65" x14ac:dyDescent="0.3">
      <c r="A406" s="142" t="s">
        <v>84</v>
      </c>
      <c r="B406" s="142">
        <f>SUM(B403:B405)</f>
        <v>21366</v>
      </c>
      <c r="C406" s="146">
        <f>SUM(C403:C405)</f>
        <v>21419</v>
      </c>
      <c r="D406" s="143"/>
      <c r="E406" s="143"/>
      <c r="F406" s="143"/>
      <c r="G406" s="199">
        <f>SUM(G403:G405)</f>
        <v>38098</v>
      </c>
      <c r="H406" s="143" t="s">
        <v>6</v>
      </c>
      <c r="I406" s="143" t="s">
        <v>927</v>
      </c>
      <c r="J406" s="146">
        <f>SUM(H405:H406)</f>
        <v>136</v>
      </c>
      <c r="L406" s="138" t="s">
        <v>120</v>
      </c>
      <c r="M406" s="138">
        <v>0</v>
      </c>
      <c r="N406" s="196">
        <v>3424</v>
      </c>
      <c r="O406" s="138"/>
      <c r="P406" s="196"/>
      <c r="Q406" s="141" t="s">
        <v>6</v>
      </c>
      <c r="R406" s="138">
        <v>0</v>
      </c>
      <c r="S406" s="196">
        <v>0</v>
      </c>
      <c r="T406" s="138"/>
      <c r="U406" s="141"/>
      <c r="AB406" s="138"/>
      <c r="AC406" s="138"/>
      <c r="AD406" s="141"/>
      <c r="AE406" s="28"/>
      <c r="AF406" s="28"/>
      <c r="AG406" s="28"/>
      <c r="AH406" s="138"/>
      <c r="AI406" s="141"/>
      <c r="AJ406" s="28"/>
      <c r="AK406" s="138"/>
      <c r="AL406" s="28" t="s">
        <v>401</v>
      </c>
      <c r="AM406" s="141"/>
      <c r="AP406" s="142" t="s">
        <v>84</v>
      </c>
      <c r="AQ406" s="142">
        <f>SUM(AQ393:AQ405)</f>
        <v>397</v>
      </c>
      <c r="AR406" s="146">
        <f>SUM(AR393:AR405)</f>
        <v>255</v>
      </c>
      <c r="AS406" s="142"/>
      <c r="AT406" s="146">
        <v>0</v>
      </c>
      <c r="AU406" s="143"/>
      <c r="AV406" s="143"/>
      <c r="AW406" s="143"/>
      <c r="AX406" s="143"/>
      <c r="AY406" s="146">
        <f>SUM(AV398:AV400)</f>
        <v>111</v>
      </c>
      <c r="BB406" s="138" t="s">
        <v>475</v>
      </c>
      <c r="BC406" s="138">
        <v>0</v>
      </c>
      <c r="BD406" s="141">
        <v>0</v>
      </c>
      <c r="BE406" s="28"/>
      <c r="BF406" s="28"/>
      <c r="BG406" s="28"/>
      <c r="BH406" s="138"/>
      <c r="BI406" s="141"/>
      <c r="BJ406" s="28">
        <v>22</v>
      </c>
      <c r="BK406" s="28" t="s">
        <v>100</v>
      </c>
      <c r="BL406" s="141"/>
      <c r="BM406" t="s">
        <v>6</v>
      </c>
    </row>
    <row r="407" spans="1:65" x14ac:dyDescent="0.3">
      <c r="A407" s="196" t="s">
        <v>6</v>
      </c>
      <c r="B407" s="138" t="s">
        <v>6</v>
      </c>
      <c r="C407" s="141" t="s">
        <v>6</v>
      </c>
      <c r="D407" s="138"/>
      <c r="E407" s="28"/>
      <c r="F407" s="28"/>
      <c r="G407" s="196" t="s">
        <v>6</v>
      </c>
      <c r="H407" s="28"/>
      <c r="I407" s="28"/>
      <c r="J407" s="141"/>
      <c r="L407" s="142" t="s">
        <v>84</v>
      </c>
      <c r="M407" s="142">
        <f>SUM(M404:M406)</f>
        <v>3436</v>
      </c>
      <c r="N407" s="199">
        <f>SUM(N404:N406)</f>
        <v>16080</v>
      </c>
      <c r="O407" s="142">
        <v>0</v>
      </c>
      <c r="P407" s="199">
        <v>0</v>
      </c>
      <c r="Q407" s="146">
        <v>0</v>
      </c>
      <c r="R407" s="142">
        <f>SUM(R404:R406)</f>
        <v>5551</v>
      </c>
      <c r="S407" s="199">
        <f>SUM(S404:S406)</f>
        <v>257</v>
      </c>
      <c r="T407" s="142"/>
      <c r="U407" s="146"/>
      <c r="AB407" s="138"/>
      <c r="AC407" s="138"/>
      <c r="AD407" s="141"/>
      <c r="AE407" s="28"/>
      <c r="AF407" s="28"/>
      <c r="AG407" s="28"/>
      <c r="AH407" s="138"/>
      <c r="AI407" s="141"/>
      <c r="AJ407" s="28"/>
      <c r="AK407" s="138">
        <v>3</v>
      </c>
      <c r="AL407" s="28" t="s">
        <v>124</v>
      </c>
      <c r="AM407" s="141"/>
      <c r="AP407" s="134"/>
      <c r="AQ407" s="134"/>
      <c r="AR407" s="136"/>
      <c r="AS407" s="134"/>
      <c r="AT407" s="136"/>
      <c r="AU407" s="135"/>
      <c r="AV407" s="135"/>
      <c r="AW407" s="135"/>
      <c r="AX407" s="135"/>
      <c r="AY407" s="136"/>
      <c r="BB407" s="142" t="s">
        <v>84</v>
      </c>
      <c r="BC407" s="142">
        <f>SUM(BC405:BC406)</f>
        <v>377</v>
      </c>
      <c r="BD407" s="146">
        <f>SUM(BD405:BD406)</f>
        <v>390</v>
      </c>
      <c r="BE407" s="143">
        <v>0</v>
      </c>
      <c r="BF407" s="143">
        <v>0</v>
      </c>
      <c r="BG407" s="143">
        <v>0</v>
      </c>
      <c r="BH407" s="142">
        <v>0</v>
      </c>
      <c r="BI407" s="146">
        <v>0</v>
      </c>
      <c r="BJ407" s="43">
        <v>24</v>
      </c>
      <c r="BK407" s="43" t="s">
        <v>73</v>
      </c>
      <c r="BL407" s="146">
        <f>SUM(BJ406:BJ407)</f>
        <v>46</v>
      </c>
    </row>
    <row r="408" spans="1:65" x14ac:dyDescent="0.3">
      <c r="A408" s="196" t="s">
        <v>88</v>
      </c>
      <c r="B408" s="138">
        <v>907</v>
      </c>
      <c r="C408" s="141">
        <v>3266</v>
      </c>
      <c r="D408" s="138"/>
      <c r="E408" s="28">
        <v>0</v>
      </c>
      <c r="F408" s="28"/>
      <c r="G408" s="196">
        <v>4620</v>
      </c>
      <c r="H408" s="28" t="s">
        <v>131</v>
      </c>
      <c r="I408" s="28"/>
      <c r="J408" s="141"/>
      <c r="L408" s="134"/>
      <c r="M408" s="134"/>
      <c r="N408" s="195"/>
      <c r="O408" s="134"/>
      <c r="P408" s="195"/>
      <c r="Q408" s="136"/>
      <c r="R408" s="134"/>
      <c r="S408" s="195"/>
      <c r="T408" s="134"/>
      <c r="U408" s="136"/>
      <c r="AB408" s="134"/>
      <c r="AC408" s="134"/>
      <c r="AD408" s="136"/>
      <c r="AE408" s="135"/>
      <c r="AF408" s="135"/>
      <c r="AG408" s="135"/>
      <c r="AH408" s="134"/>
      <c r="AI408" s="136"/>
      <c r="AJ408" s="135"/>
      <c r="AK408" s="134"/>
      <c r="AL408" s="135"/>
      <c r="AM408" s="136"/>
      <c r="AP408" s="138" t="s">
        <v>63</v>
      </c>
      <c r="AQ408" s="138">
        <v>0</v>
      </c>
      <c r="AR408" s="141">
        <v>0</v>
      </c>
      <c r="AS408" s="138"/>
      <c r="AT408" s="141"/>
      <c r="AU408" s="28"/>
      <c r="AV408" s="28"/>
      <c r="AW408" s="28"/>
      <c r="AX408" s="28"/>
      <c r="AY408" s="141"/>
      <c r="BB408" s="196" t="s">
        <v>502</v>
      </c>
      <c r="BC408" s="138">
        <v>0</v>
      </c>
      <c r="BD408" s="141">
        <v>66</v>
      </c>
      <c r="BE408" s="134"/>
      <c r="BF408" s="135"/>
      <c r="BG408" s="136"/>
      <c r="BH408" s="138"/>
      <c r="BI408" s="141"/>
      <c r="BJ408" s="134" t="s">
        <v>140</v>
      </c>
      <c r="BK408" s="135"/>
      <c r="BL408" s="136"/>
    </row>
    <row r="409" spans="1:65" x14ac:dyDescent="0.3">
      <c r="A409" s="211" t="s">
        <v>99</v>
      </c>
      <c r="B409" s="212">
        <v>2129</v>
      </c>
      <c r="C409" s="209">
        <v>1830</v>
      </c>
      <c r="D409" s="138"/>
      <c r="E409" s="28">
        <v>0</v>
      </c>
      <c r="F409" s="28"/>
      <c r="G409" s="211">
        <v>3006</v>
      </c>
      <c r="H409" s="28">
        <v>4</v>
      </c>
      <c r="I409" s="215" t="s">
        <v>1072</v>
      </c>
      <c r="J409" s="141"/>
      <c r="L409" s="138" t="s">
        <v>105</v>
      </c>
      <c r="M409" s="138">
        <v>422</v>
      </c>
      <c r="N409" s="196">
        <v>0</v>
      </c>
      <c r="O409" s="138">
        <v>0</v>
      </c>
      <c r="P409" s="196">
        <v>0</v>
      </c>
      <c r="Q409" s="141">
        <v>0</v>
      </c>
      <c r="R409" s="138">
        <v>0</v>
      </c>
      <c r="S409" s="196">
        <v>0</v>
      </c>
      <c r="T409" s="138"/>
      <c r="U409" s="141"/>
      <c r="AB409" s="138" t="s">
        <v>97</v>
      </c>
      <c r="AC409" s="138">
        <v>191</v>
      </c>
      <c r="AD409" s="141">
        <v>194</v>
      </c>
      <c r="AE409" s="28"/>
      <c r="AF409" s="28"/>
      <c r="AG409" s="28"/>
      <c r="AH409" s="138"/>
      <c r="AI409" s="141"/>
      <c r="AJ409" s="28"/>
      <c r="AK409" s="138"/>
      <c r="AL409" s="28"/>
      <c r="AM409" s="141"/>
      <c r="AP409" s="138" t="s">
        <v>536</v>
      </c>
      <c r="AQ409" s="138">
        <v>0</v>
      </c>
      <c r="AR409" s="141">
        <v>0</v>
      </c>
      <c r="AS409" s="138"/>
      <c r="AT409" s="141"/>
      <c r="AU409" s="28"/>
      <c r="AV409" s="28"/>
      <c r="AW409" s="28"/>
      <c r="AX409" s="28"/>
      <c r="AY409" s="141"/>
      <c r="BB409" s="196" t="s">
        <v>475</v>
      </c>
      <c r="BC409" s="138">
        <v>3</v>
      </c>
      <c r="BD409" s="141">
        <v>0</v>
      </c>
      <c r="BE409" s="138"/>
      <c r="BF409" s="28"/>
      <c r="BG409" s="141"/>
      <c r="BH409" s="138"/>
      <c r="BI409" s="141"/>
      <c r="BJ409" s="138"/>
      <c r="BK409" s="28"/>
      <c r="BL409" s="141"/>
    </row>
    <row r="410" spans="1:65" x14ac:dyDescent="0.3">
      <c r="A410" s="196" t="s">
        <v>102</v>
      </c>
      <c r="B410" s="138">
        <v>775</v>
      </c>
      <c r="C410" s="209">
        <v>1157</v>
      </c>
      <c r="D410" s="138"/>
      <c r="E410" s="28">
        <v>0</v>
      </c>
      <c r="F410" s="28"/>
      <c r="G410" s="196">
        <v>1583</v>
      </c>
      <c r="H410" s="43">
        <v>46</v>
      </c>
      <c r="I410" s="28" t="s">
        <v>134</v>
      </c>
      <c r="J410" s="141"/>
      <c r="L410" s="138" t="s">
        <v>99</v>
      </c>
      <c r="M410" s="138">
        <v>83</v>
      </c>
      <c r="N410" s="196">
        <v>0</v>
      </c>
      <c r="O410" s="138">
        <v>0</v>
      </c>
      <c r="P410" s="196">
        <v>0</v>
      </c>
      <c r="Q410" s="141">
        <v>0</v>
      </c>
      <c r="R410" s="138">
        <v>0</v>
      </c>
      <c r="S410" s="196">
        <v>0</v>
      </c>
      <c r="T410" s="138" t="s">
        <v>135</v>
      </c>
      <c r="U410" s="141"/>
      <c r="AB410" s="138" t="s">
        <v>89</v>
      </c>
      <c r="AC410" s="138">
        <v>598</v>
      </c>
      <c r="AD410" s="141">
        <v>524</v>
      </c>
      <c r="AE410" s="28"/>
      <c r="AF410" s="28"/>
      <c r="AG410" s="28"/>
      <c r="AH410" s="138"/>
      <c r="AI410" s="141"/>
      <c r="AJ410" s="28"/>
      <c r="AK410" s="138" t="s">
        <v>953</v>
      </c>
      <c r="AL410" s="28"/>
      <c r="AM410" s="141"/>
      <c r="AP410" s="138" t="s">
        <v>56</v>
      </c>
      <c r="AQ410" s="138">
        <v>0</v>
      </c>
      <c r="AR410" s="141">
        <v>0</v>
      </c>
      <c r="AS410" s="138"/>
      <c r="AT410" s="141"/>
      <c r="AU410" s="28"/>
      <c r="AV410" s="28" t="s">
        <v>173</v>
      </c>
      <c r="AW410" s="28"/>
      <c r="AX410" s="28"/>
      <c r="AY410" s="141"/>
      <c r="BB410" s="196" t="s">
        <v>107</v>
      </c>
      <c r="BC410" s="138">
        <v>1</v>
      </c>
      <c r="BD410" s="141">
        <v>0</v>
      </c>
      <c r="BE410" s="138"/>
      <c r="BF410" s="28"/>
      <c r="BG410" s="141"/>
      <c r="BH410" s="138"/>
      <c r="BI410" s="141"/>
      <c r="BJ410" s="138"/>
      <c r="BK410" s="28"/>
      <c r="BL410" s="141"/>
    </row>
    <row r="411" spans="1:65" x14ac:dyDescent="0.3">
      <c r="A411" s="196" t="s">
        <v>84</v>
      </c>
      <c r="B411" s="142">
        <f>SUM(B407:B410)</f>
        <v>3811</v>
      </c>
      <c r="C411" s="146">
        <f>SUM(C407:C410)</f>
        <v>6253</v>
      </c>
      <c r="D411" s="142"/>
      <c r="E411" s="143">
        <v>0</v>
      </c>
      <c r="F411" s="143"/>
      <c r="G411" s="199">
        <f>SUM(G408:G410)</f>
        <v>9209</v>
      </c>
      <c r="H411" s="143">
        <v>10</v>
      </c>
      <c r="I411" s="216" t="s">
        <v>815</v>
      </c>
      <c r="J411" s="146">
        <f>SUM(H409:H411)</f>
        <v>60</v>
      </c>
      <c r="L411" s="138"/>
      <c r="M411" s="138"/>
      <c r="N411" s="196"/>
      <c r="O411" s="138"/>
      <c r="P411" s="196"/>
      <c r="Q411" s="141"/>
      <c r="R411" s="138"/>
      <c r="S411" s="196"/>
      <c r="T411" s="138"/>
      <c r="U411" s="141"/>
      <c r="AB411" s="138" t="s">
        <v>137</v>
      </c>
      <c r="AC411" s="138">
        <v>311</v>
      </c>
      <c r="AD411" s="141">
        <v>339</v>
      </c>
      <c r="AE411" s="28"/>
      <c r="AF411" s="28"/>
      <c r="AG411" s="28"/>
      <c r="AH411" s="138"/>
      <c r="AI411" s="141"/>
      <c r="AJ411" s="28"/>
      <c r="AK411" s="138">
        <v>6</v>
      </c>
      <c r="AL411" s="28" t="s">
        <v>884</v>
      </c>
      <c r="AM411" s="141"/>
      <c r="AP411" s="138" t="s">
        <v>67</v>
      </c>
      <c r="AQ411" s="138">
        <v>0</v>
      </c>
      <c r="AR411" s="141">
        <v>0</v>
      </c>
      <c r="AS411" s="138"/>
      <c r="AT411" s="141"/>
      <c r="AU411" s="28"/>
      <c r="AV411" s="28"/>
      <c r="AW411" s="28"/>
      <c r="AX411" s="28"/>
      <c r="AY411" s="141"/>
      <c r="BB411" s="196" t="s">
        <v>113</v>
      </c>
      <c r="BC411" s="138">
        <f>2+5+22</f>
        <v>29</v>
      </c>
      <c r="BD411" s="141">
        <v>21</v>
      </c>
      <c r="BE411" s="138"/>
      <c r="BF411" s="28"/>
      <c r="BG411" s="141"/>
      <c r="BH411" s="138"/>
      <c r="BI411" s="141"/>
      <c r="BJ411" s="138" t="s">
        <v>142</v>
      </c>
      <c r="BK411" s="28"/>
      <c r="BL411" s="141" t="s">
        <v>620</v>
      </c>
    </row>
    <row r="412" spans="1:65" x14ac:dyDescent="0.3">
      <c r="A412" s="195"/>
      <c r="B412" s="28"/>
      <c r="C412" s="28"/>
      <c r="D412" s="138"/>
      <c r="E412" s="28" t="s">
        <v>6</v>
      </c>
      <c r="F412" s="28"/>
      <c r="G412" s="196"/>
      <c r="H412" s="28" t="s">
        <v>116</v>
      </c>
      <c r="I412" s="28"/>
      <c r="J412" s="141"/>
      <c r="L412" s="142" t="s">
        <v>84</v>
      </c>
      <c r="M412" s="142">
        <f>SUM(M409:M411)</f>
        <v>505</v>
      </c>
      <c r="N412" s="199">
        <f>SUM(N409:N411)</f>
        <v>0</v>
      </c>
      <c r="O412" s="142">
        <v>0</v>
      </c>
      <c r="P412" s="199">
        <v>0</v>
      </c>
      <c r="Q412" s="146">
        <v>0</v>
      </c>
      <c r="R412" s="142">
        <f>SUM(R409:R411)</f>
        <v>0</v>
      </c>
      <c r="S412" s="199">
        <v>0</v>
      </c>
      <c r="T412" s="142"/>
      <c r="U412" s="146"/>
      <c r="AB412" s="138" t="s">
        <v>84</v>
      </c>
      <c r="AC412" s="138">
        <f>SUM(AC409:AC411)</f>
        <v>1100</v>
      </c>
      <c r="AD412" s="141">
        <f>SUM(AD409:AD411)</f>
        <v>1057</v>
      </c>
      <c r="AE412" s="28">
        <v>0</v>
      </c>
      <c r="AF412" s="28">
        <v>0</v>
      </c>
      <c r="AG412" s="28">
        <v>0</v>
      </c>
      <c r="AH412" s="138">
        <v>0</v>
      </c>
      <c r="AI412" s="141">
        <v>0</v>
      </c>
      <c r="AJ412" s="28">
        <v>0</v>
      </c>
      <c r="AK412" s="138">
        <v>13</v>
      </c>
      <c r="AL412" s="28" t="s">
        <v>141</v>
      </c>
      <c r="AM412" s="141"/>
      <c r="AP412" s="138" t="s">
        <v>78</v>
      </c>
      <c r="AQ412" s="138">
        <v>0</v>
      </c>
      <c r="AR412" s="141">
        <v>0</v>
      </c>
      <c r="AS412" s="138"/>
      <c r="AT412" s="141"/>
      <c r="AU412" s="28"/>
      <c r="AV412" s="28">
        <v>1</v>
      </c>
      <c r="AW412" s="28" t="s">
        <v>183</v>
      </c>
      <c r="AX412" s="28"/>
      <c r="AY412" s="141"/>
      <c r="BB412" s="196" t="s">
        <v>108</v>
      </c>
      <c r="BC412" s="138">
        <v>0</v>
      </c>
      <c r="BD412" s="141">
        <v>0</v>
      </c>
      <c r="BE412" s="138"/>
      <c r="BF412" s="28"/>
      <c r="BG412" s="141"/>
      <c r="BH412" s="138"/>
      <c r="BI412" s="141"/>
      <c r="BJ412" s="138" t="s">
        <v>146</v>
      </c>
      <c r="BK412" s="28"/>
      <c r="BL412" s="141" t="s">
        <v>955</v>
      </c>
    </row>
    <row r="413" spans="1:65" x14ac:dyDescent="0.3">
      <c r="A413" s="196" t="s">
        <v>93</v>
      </c>
      <c r="B413" s="43">
        <v>8783</v>
      </c>
      <c r="C413" s="43">
        <v>8676</v>
      </c>
      <c r="D413" s="138"/>
      <c r="E413" s="28" t="s">
        <v>60</v>
      </c>
      <c r="F413" s="28"/>
      <c r="G413" s="196">
        <v>11423</v>
      </c>
      <c r="H413" s="43">
        <v>217</v>
      </c>
      <c r="I413" s="28" t="s">
        <v>144</v>
      </c>
      <c r="J413" s="141"/>
      <c r="L413" s="138"/>
      <c r="M413" s="138"/>
      <c r="N413" s="196"/>
      <c r="O413" s="138"/>
      <c r="P413" s="196"/>
      <c r="Q413" s="141"/>
      <c r="R413" s="138"/>
      <c r="S413" s="196"/>
      <c r="T413" s="138"/>
      <c r="U413" s="141"/>
      <c r="AB413" s="142"/>
      <c r="AC413" s="142"/>
      <c r="AD413" s="146"/>
      <c r="AE413" s="143"/>
      <c r="AF413" s="143"/>
      <c r="AG413" s="143"/>
      <c r="AH413" s="142"/>
      <c r="AI413" s="146"/>
      <c r="AJ413" s="143"/>
      <c r="AK413" s="142">
        <v>1</v>
      </c>
      <c r="AL413" s="143" t="s">
        <v>996</v>
      </c>
      <c r="AM413" s="146"/>
      <c r="AP413" s="138" t="s">
        <v>115</v>
      </c>
      <c r="AQ413" s="138">
        <v>0</v>
      </c>
      <c r="AR413" s="141">
        <v>0</v>
      </c>
      <c r="AS413" s="138"/>
      <c r="AT413" s="141"/>
      <c r="AU413" s="28"/>
      <c r="AV413" s="28" t="s">
        <v>6</v>
      </c>
      <c r="AW413" s="28"/>
      <c r="AX413" s="28"/>
      <c r="AY413" s="141"/>
      <c r="BA413" t="s">
        <v>6</v>
      </c>
      <c r="BB413" s="196" t="s">
        <v>133</v>
      </c>
      <c r="BC413" s="138">
        <f>3+4</f>
        <v>7</v>
      </c>
      <c r="BD413" s="141">
        <f>3+3+9</f>
        <v>15</v>
      </c>
      <c r="BE413" s="138"/>
      <c r="BF413" s="28"/>
      <c r="BG413" s="141"/>
      <c r="BH413" s="138"/>
      <c r="BI413" s="141"/>
      <c r="BJ413" s="138"/>
      <c r="BK413" s="28"/>
      <c r="BL413" s="141"/>
    </row>
    <row r="414" spans="1:65" x14ac:dyDescent="0.3">
      <c r="A414" s="196" t="s">
        <v>99</v>
      </c>
      <c r="B414" s="43">
        <v>14870</v>
      </c>
      <c r="C414" s="43">
        <v>15097</v>
      </c>
      <c r="D414" s="138"/>
      <c r="E414" s="28" t="s">
        <v>60</v>
      </c>
      <c r="F414" s="28"/>
      <c r="G414" s="196">
        <v>38274</v>
      </c>
      <c r="H414" s="43">
        <v>0</v>
      </c>
      <c r="I414" s="28" t="s">
        <v>148</v>
      </c>
      <c r="J414" s="141"/>
      <c r="L414" s="138"/>
      <c r="M414" s="138"/>
      <c r="N414" s="196"/>
      <c r="O414" s="138"/>
      <c r="P414" s="196"/>
      <c r="Q414" s="141"/>
      <c r="R414" s="138"/>
      <c r="S414" s="196"/>
      <c r="T414" s="138"/>
      <c r="U414" s="141"/>
      <c r="AB414" s="138"/>
      <c r="AC414" s="138"/>
      <c r="AD414" s="141"/>
      <c r="AE414" s="28"/>
      <c r="AF414" s="28"/>
      <c r="AG414" s="28"/>
      <c r="AH414" s="138"/>
      <c r="AI414" s="141"/>
      <c r="AJ414" s="28"/>
      <c r="AK414" s="138" t="s">
        <v>149</v>
      </c>
      <c r="AL414" s="28"/>
      <c r="AM414" s="141"/>
      <c r="AP414" s="138" t="s">
        <v>72</v>
      </c>
      <c r="AQ414" s="138">
        <v>0</v>
      </c>
      <c r="AR414" s="141">
        <v>0</v>
      </c>
      <c r="AS414" s="138"/>
      <c r="AT414" s="141"/>
      <c r="AU414" s="28"/>
      <c r="AV414" s="28"/>
      <c r="AW414" s="28"/>
      <c r="AX414" s="28"/>
      <c r="AY414" s="141"/>
      <c r="BB414" s="196" t="s">
        <v>99</v>
      </c>
      <c r="BC414" s="138">
        <v>0</v>
      </c>
      <c r="BD414" s="141">
        <v>4</v>
      </c>
      <c r="BE414" s="138" t="s">
        <v>150</v>
      </c>
      <c r="BF414" s="28"/>
      <c r="BG414" s="141"/>
      <c r="BH414" s="138"/>
      <c r="BI414" s="141"/>
      <c r="BJ414" s="138" t="s">
        <v>151</v>
      </c>
      <c r="BK414" s="28"/>
      <c r="BL414" s="141"/>
    </row>
    <row r="415" spans="1:65" x14ac:dyDescent="0.3">
      <c r="A415" s="196" t="s">
        <v>120</v>
      </c>
      <c r="B415" s="43">
        <v>4414</v>
      </c>
      <c r="C415" s="28">
        <v>4621</v>
      </c>
      <c r="D415" s="138"/>
      <c r="E415" s="28" t="s">
        <v>60</v>
      </c>
      <c r="F415" s="28"/>
      <c r="G415" s="196">
        <v>5697</v>
      </c>
      <c r="H415" s="43">
        <v>0</v>
      </c>
      <c r="I415" s="28" t="s">
        <v>152</v>
      </c>
      <c r="J415" s="141"/>
      <c r="L415" s="138"/>
      <c r="M415" s="138"/>
      <c r="N415" s="196"/>
      <c r="O415" s="138"/>
      <c r="P415" s="196"/>
      <c r="Q415" s="141"/>
      <c r="R415" s="138"/>
      <c r="S415" s="196"/>
      <c r="T415" s="138"/>
      <c r="U415" s="141"/>
      <c r="AB415" s="138" t="s">
        <v>99</v>
      </c>
      <c r="AC415" s="138">
        <v>0</v>
      </c>
      <c r="AD415" s="141">
        <v>0</v>
      </c>
      <c r="AE415" s="28">
        <v>0</v>
      </c>
      <c r="AF415" s="28">
        <v>0</v>
      </c>
      <c r="AG415" s="28">
        <v>0</v>
      </c>
      <c r="AH415" s="138">
        <v>46290</v>
      </c>
      <c r="AI415" s="141">
        <v>10526</v>
      </c>
      <c r="AJ415" s="28">
        <v>0</v>
      </c>
      <c r="AK415" s="138">
        <v>4</v>
      </c>
      <c r="AL415" s="28" t="s">
        <v>153</v>
      </c>
      <c r="AM415" s="141"/>
      <c r="AP415" s="142" t="s">
        <v>84</v>
      </c>
      <c r="AQ415" s="142">
        <f>SUM(AQ408:AQ414)</f>
        <v>0</v>
      </c>
      <c r="AR415" s="146">
        <f>SUM(AR408:AR414)</f>
        <v>0</v>
      </c>
      <c r="AS415" s="142"/>
      <c r="AT415" s="146"/>
      <c r="AU415" s="143"/>
      <c r="AV415" s="143"/>
      <c r="AW415" s="143"/>
      <c r="AX415" s="143"/>
      <c r="AY415" s="146">
        <f>SUM(AV412)</f>
        <v>1</v>
      </c>
      <c r="BB415" s="196" t="s">
        <v>85</v>
      </c>
      <c r="BC415" s="138">
        <v>3</v>
      </c>
      <c r="BD415" s="141">
        <v>0</v>
      </c>
      <c r="BE415" s="138"/>
      <c r="BF415" s="28"/>
      <c r="BG415" s="141"/>
      <c r="BH415" s="138"/>
      <c r="BI415" s="141"/>
      <c r="BJ415" s="138" t="s">
        <v>1073</v>
      </c>
      <c r="BK415" s="28" t="s">
        <v>1074</v>
      </c>
      <c r="BL415" s="141" t="s">
        <v>546</v>
      </c>
    </row>
    <row r="416" spans="1:65" x14ac:dyDescent="0.3">
      <c r="A416" s="199" t="s">
        <v>84</v>
      </c>
      <c r="B416" s="143">
        <f>SUM(B413:B415)</f>
        <v>28067</v>
      </c>
      <c r="C416" s="143">
        <f>SUM(C413:C415)</f>
        <v>28394</v>
      </c>
      <c r="D416" s="142"/>
      <c r="E416" s="143"/>
      <c r="F416" s="143"/>
      <c r="G416" s="199">
        <f>SUM(G413:G415)</f>
        <v>55394</v>
      </c>
      <c r="H416" s="143">
        <v>0</v>
      </c>
      <c r="I416" s="143" t="s">
        <v>958</v>
      </c>
      <c r="J416" s="146">
        <f>SUM(H413:H416)</f>
        <v>217</v>
      </c>
      <c r="L416" s="138"/>
      <c r="M416" s="138"/>
      <c r="N416" s="196"/>
      <c r="O416" s="138"/>
      <c r="P416" s="196"/>
      <c r="Q416" s="141"/>
      <c r="R416" s="138"/>
      <c r="S416" s="196"/>
      <c r="T416" s="138"/>
      <c r="U416" s="141"/>
      <c r="AB416" s="138"/>
      <c r="AC416" s="138"/>
      <c r="AD416" s="141"/>
      <c r="AE416" s="28"/>
      <c r="AF416" s="28"/>
      <c r="AG416" s="28"/>
      <c r="AH416" s="138"/>
      <c r="AI416" s="141"/>
      <c r="AJ416" s="28"/>
      <c r="AK416" s="138" t="s">
        <v>157</v>
      </c>
      <c r="AL416" s="28"/>
      <c r="AM416" s="141"/>
      <c r="AP416" s="134"/>
      <c r="AQ416" s="134"/>
      <c r="AR416" s="136"/>
      <c r="AS416" s="134"/>
      <c r="AT416" s="136"/>
      <c r="AU416" s="135"/>
      <c r="AV416" s="135"/>
      <c r="AW416" s="135"/>
      <c r="AX416" s="135"/>
      <c r="AY416" s="136"/>
      <c r="BB416" s="196" t="s">
        <v>358</v>
      </c>
      <c r="BC416" s="138">
        <v>9</v>
      </c>
      <c r="BD416" s="141">
        <v>9</v>
      </c>
      <c r="BE416" s="138"/>
      <c r="BF416" s="28"/>
      <c r="BG416" s="141"/>
      <c r="BH416" s="138"/>
      <c r="BI416" s="141"/>
      <c r="BJ416" s="138" t="s">
        <v>521</v>
      </c>
      <c r="BK416" s="28" t="s">
        <v>325</v>
      </c>
      <c r="BL416" s="141" t="s">
        <v>333</v>
      </c>
    </row>
    <row r="417" spans="1:64" x14ac:dyDescent="0.3">
      <c r="A417" s="195"/>
      <c r="B417" s="135"/>
      <c r="C417" s="135"/>
      <c r="D417" s="134"/>
      <c r="E417" s="135"/>
      <c r="F417" s="135"/>
      <c r="G417" s="195"/>
      <c r="H417" s="135" t="s">
        <v>162</v>
      </c>
      <c r="I417" s="135"/>
      <c r="J417" s="136"/>
      <c r="L417" s="138"/>
      <c r="M417" s="138"/>
      <c r="N417" s="196"/>
      <c r="O417" s="138"/>
      <c r="P417" s="196"/>
      <c r="Q417" s="141"/>
      <c r="R417" s="138"/>
      <c r="S417" s="196"/>
      <c r="T417" s="138"/>
      <c r="U417" s="141"/>
      <c r="AB417" s="134" t="s">
        <v>99</v>
      </c>
      <c r="AC417" s="134">
        <v>0</v>
      </c>
      <c r="AD417" s="136">
        <v>0</v>
      </c>
      <c r="AE417" s="135">
        <v>0</v>
      </c>
      <c r="AF417" s="135">
        <v>0</v>
      </c>
      <c r="AG417" s="135">
        <v>0</v>
      </c>
      <c r="AH417" s="134">
        <v>189280</v>
      </c>
      <c r="AI417" s="136">
        <v>146162</v>
      </c>
      <c r="AJ417" s="135">
        <v>0</v>
      </c>
      <c r="AK417" s="134">
        <v>2</v>
      </c>
      <c r="AL417" s="135" t="s">
        <v>163</v>
      </c>
      <c r="AM417" s="136"/>
      <c r="AP417" s="138" t="s">
        <v>63</v>
      </c>
      <c r="AQ417" s="138">
        <f>3+5</f>
        <v>8</v>
      </c>
      <c r="AR417" s="141">
        <f>4+6</f>
        <v>10</v>
      </c>
      <c r="AS417" s="138"/>
      <c r="AT417" s="141"/>
      <c r="AU417" s="28"/>
      <c r="AV417" s="28" t="s">
        <v>140</v>
      </c>
      <c r="AW417" s="28"/>
      <c r="AX417" s="28"/>
      <c r="AY417" s="141"/>
      <c r="BB417" s="196" t="s">
        <v>549</v>
      </c>
      <c r="BC417" s="138">
        <v>2</v>
      </c>
      <c r="BD417" s="141">
        <v>0</v>
      </c>
      <c r="BE417" s="138"/>
      <c r="BF417" s="28"/>
      <c r="BG417" s="141"/>
      <c r="BH417" s="138"/>
      <c r="BI417" s="141"/>
      <c r="BJ417" s="138" t="s">
        <v>522</v>
      </c>
      <c r="BK417" s="28" t="s">
        <v>603</v>
      </c>
      <c r="BL417" s="141" t="s">
        <v>1075</v>
      </c>
    </row>
    <row r="418" spans="1:64" x14ac:dyDescent="0.3">
      <c r="A418" s="196" t="s">
        <v>105</v>
      </c>
      <c r="B418" s="43">
        <v>2784</v>
      </c>
      <c r="C418" s="43">
        <v>1757</v>
      </c>
      <c r="D418" s="138"/>
      <c r="E418" s="28">
        <v>1768</v>
      </c>
      <c r="F418" s="28"/>
      <c r="G418" s="196"/>
      <c r="H418" s="28"/>
      <c r="I418" s="28"/>
      <c r="J418" s="141"/>
      <c r="L418" s="142" t="s">
        <v>84</v>
      </c>
      <c r="M418" s="142">
        <f t="shared" ref="M418:S418" si="6">SUM(M412+M407+M402+M400+M395+M391)</f>
        <v>27923</v>
      </c>
      <c r="N418" s="199">
        <f t="shared" si="6"/>
        <v>65806</v>
      </c>
      <c r="O418" s="142">
        <f t="shared" si="6"/>
        <v>0</v>
      </c>
      <c r="P418" s="199">
        <f t="shared" si="6"/>
        <v>0</v>
      </c>
      <c r="Q418" s="143">
        <f t="shared" si="6"/>
        <v>0</v>
      </c>
      <c r="R418" s="142">
        <f t="shared" si="6"/>
        <v>5841</v>
      </c>
      <c r="S418" s="199">
        <f t="shared" si="6"/>
        <v>257</v>
      </c>
      <c r="T418" s="142"/>
      <c r="U418" s="146"/>
      <c r="AB418" s="138" t="s">
        <v>6</v>
      </c>
      <c r="AC418" s="138"/>
      <c r="AD418" s="141"/>
      <c r="AE418" s="28"/>
      <c r="AF418" s="28"/>
      <c r="AG418" s="28"/>
      <c r="AH418" s="138"/>
      <c r="AI418" s="141"/>
      <c r="AJ418" s="28"/>
      <c r="AK418" s="138">
        <v>12</v>
      </c>
      <c r="AL418" s="28" t="s">
        <v>153</v>
      </c>
      <c r="AM418" s="141"/>
      <c r="AP418" s="138" t="s">
        <v>78</v>
      </c>
      <c r="AQ418" s="138">
        <f>1+25+2+17</f>
        <v>45</v>
      </c>
      <c r="AR418" s="141">
        <f>25+3+16</f>
        <v>44</v>
      </c>
      <c r="AS418" s="138"/>
      <c r="AT418" s="141"/>
      <c r="AU418" s="28"/>
      <c r="AV418" s="28">
        <f>3+13</f>
        <v>16</v>
      </c>
      <c r="AW418" s="28" t="s">
        <v>204</v>
      </c>
      <c r="AX418" s="28"/>
      <c r="AY418" s="141"/>
      <c r="BB418" s="196" t="s">
        <v>169</v>
      </c>
      <c r="BC418" s="138">
        <v>4</v>
      </c>
      <c r="BD418" s="141">
        <v>2</v>
      </c>
      <c r="BE418" s="138"/>
      <c r="BF418" s="28"/>
      <c r="BG418" s="141"/>
      <c r="BH418" s="138"/>
      <c r="BI418" s="141"/>
      <c r="BJ418" s="138" t="s">
        <v>482</v>
      </c>
      <c r="BK418" s="43" t="s">
        <v>1076</v>
      </c>
      <c r="BL418" s="141" t="s">
        <v>894</v>
      </c>
    </row>
    <row r="419" spans="1:64" ht="15" thickBot="1" x14ac:dyDescent="0.35">
      <c r="A419" s="196" t="s">
        <v>99</v>
      </c>
      <c r="B419" s="43">
        <v>2780</v>
      </c>
      <c r="C419" s="43">
        <v>2395</v>
      </c>
      <c r="D419" s="138"/>
      <c r="E419" s="28">
        <v>1603</v>
      </c>
      <c r="F419" s="28"/>
      <c r="G419" s="196"/>
      <c r="H419" s="28">
        <v>60</v>
      </c>
      <c r="I419" s="28" t="s">
        <v>101</v>
      </c>
      <c r="J419" s="141"/>
      <c r="AB419" s="138" t="s">
        <v>6</v>
      </c>
      <c r="AC419" s="138"/>
      <c r="AD419" s="141"/>
      <c r="AE419" s="28"/>
      <c r="AF419" s="28"/>
      <c r="AG419" s="28"/>
      <c r="AH419" s="138"/>
      <c r="AI419" s="141"/>
      <c r="AJ419" s="28"/>
      <c r="AK419" s="138"/>
      <c r="AL419" s="28"/>
      <c r="AM419" s="141"/>
      <c r="AP419" s="138" t="s">
        <v>209</v>
      </c>
      <c r="AQ419" s="138">
        <v>0</v>
      </c>
      <c r="AR419" s="141">
        <v>0</v>
      </c>
      <c r="AS419" s="138"/>
      <c r="AT419" s="141"/>
      <c r="AU419" s="28"/>
      <c r="AV419" s="28">
        <v>0</v>
      </c>
      <c r="AW419" s="28" t="s">
        <v>1018</v>
      </c>
      <c r="AX419" s="28"/>
      <c r="AY419" s="141"/>
      <c r="BB419" s="196" t="s">
        <v>997</v>
      </c>
      <c r="BC419" s="138">
        <v>2</v>
      </c>
      <c r="BD419" s="141">
        <v>0</v>
      </c>
      <c r="BE419" s="138"/>
      <c r="BF419" s="28"/>
      <c r="BG419" s="141"/>
      <c r="BH419" s="138"/>
      <c r="BI419" s="141"/>
      <c r="BJ419" s="138" t="s">
        <v>1077</v>
      </c>
      <c r="BK419" s="43" t="s">
        <v>283</v>
      </c>
      <c r="BL419" s="141" t="s">
        <v>1078</v>
      </c>
    </row>
    <row r="420" spans="1:64" x14ac:dyDescent="0.3">
      <c r="A420" s="199" t="s">
        <v>84</v>
      </c>
      <c r="B420" s="143">
        <f>SUM(B417:B419)</f>
        <v>5564</v>
      </c>
      <c r="C420" s="143">
        <f>SUM(C417:C419)</f>
        <v>4152</v>
      </c>
      <c r="D420" s="142"/>
      <c r="E420" s="143">
        <f>SUM(E417:E419)</f>
        <v>3371</v>
      </c>
      <c r="F420" s="143"/>
      <c r="G420" s="199">
        <v>9933</v>
      </c>
      <c r="H420" s="143"/>
      <c r="I420" s="143"/>
      <c r="J420" s="146">
        <f>SUM(H419)</f>
        <v>60</v>
      </c>
      <c r="L420" t="s">
        <v>6</v>
      </c>
      <c r="AB420" s="33"/>
      <c r="AC420" s="200"/>
      <c r="AD420" s="201"/>
      <c r="AE420" s="34"/>
      <c r="AF420" s="34"/>
      <c r="AG420" s="34"/>
      <c r="AH420" s="200"/>
      <c r="AI420" s="201"/>
      <c r="AJ420" s="34"/>
      <c r="AK420" s="200"/>
      <c r="AL420" s="34"/>
      <c r="AM420" s="35"/>
      <c r="AP420" s="138" t="s">
        <v>168</v>
      </c>
      <c r="AQ420" s="138">
        <v>0</v>
      </c>
      <c r="AR420" s="141">
        <v>0</v>
      </c>
      <c r="AS420" s="138"/>
      <c r="AT420" s="141"/>
      <c r="AU420" s="28"/>
      <c r="AV420" s="28">
        <f>2+4+16+6</f>
        <v>28</v>
      </c>
      <c r="AW420" s="28" t="s">
        <v>213</v>
      </c>
      <c r="AX420" s="28" t="s">
        <v>6</v>
      </c>
      <c r="AY420" s="141"/>
      <c r="BB420" s="196" t="s">
        <v>504</v>
      </c>
      <c r="BC420" s="138">
        <v>0</v>
      </c>
      <c r="BD420" s="141">
        <v>0</v>
      </c>
      <c r="BE420" s="138"/>
      <c r="BF420" s="28"/>
      <c r="BG420" s="141"/>
      <c r="BH420" s="138"/>
      <c r="BI420" s="141"/>
      <c r="BJ420" s="217" t="s">
        <v>1079</v>
      </c>
      <c r="BK420" s="218" t="s">
        <v>1080</v>
      </c>
      <c r="BL420" s="141" t="s">
        <v>447</v>
      </c>
    </row>
    <row r="421" spans="1:64" x14ac:dyDescent="0.3">
      <c r="A421" s="196" t="s">
        <v>6</v>
      </c>
      <c r="B421" s="135"/>
      <c r="C421" s="135"/>
      <c r="D421" s="134"/>
      <c r="E421" s="135" t="s">
        <v>60</v>
      </c>
      <c r="F421" s="136"/>
      <c r="G421" s="135"/>
      <c r="H421" s="134" t="s">
        <v>182</v>
      </c>
      <c r="I421" s="135"/>
      <c r="J421" s="136"/>
      <c r="AB421" s="42"/>
      <c r="AC421" s="138"/>
      <c r="AD421" s="141"/>
      <c r="AE421" s="28"/>
      <c r="AF421" s="28"/>
      <c r="AG421" s="28"/>
      <c r="AH421" s="138"/>
      <c r="AI421" s="141"/>
      <c r="AJ421" s="28"/>
      <c r="AK421" s="138"/>
      <c r="AL421" s="28"/>
      <c r="AM421" s="40"/>
      <c r="AP421" s="138" t="s">
        <v>81</v>
      </c>
      <c r="AQ421" s="138">
        <f>5+1</f>
        <v>6</v>
      </c>
      <c r="AR421" s="141">
        <v>2</v>
      </c>
      <c r="AS421" s="138"/>
      <c r="AT421" s="141"/>
      <c r="AU421" s="28"/>
      <c r="AV421" s="43">
        <v>1</v>
      </c>
      <c r="AW421" s="28" t="s">
        <v>1038</v>
      </c>
      <c r="AX421" s="28"/>
      <c r="AY421" s="141" t="s">
        <v>6</v>
      </c>
      <c r="BB421" s="219" t="s">
        <v>1081</v>
      </c>
      <c r="BC421" s="138">
        <v>8</v>
      </c>
      <c r="BD421" s="141">
        <v>8</v>
      </c>
      <c r="BE421" s="138"/>
      <c r="BF421" s="28"/>
      <c r="BG421" s="141"/>
      <c r="BH421" s="138"/>
      <c r="BI421" s="141"/>
      <c r="BJ421" s="138" t="s">
        <v>1082</v>
      </c>
      <c r="BK421" s="220" t="s">
        <v>1083</v>
      </c>
      <c r="BL421" s="141"/>
    </row>
    <row r="422" spans="1:64" ht="15" thickBot="1" x14ac:dyDescent="0.35">
      <c r="A422" s="196" t="s">
        <v>181</v>
      </c>
      <c r="B422" s="28">
        <v>4359</v>
      </c>
      <c r="C422" s="28">
        <v>4394</v>
      </c>
      <c r="D422" s="138"/>
      <c r="E422" s="28" t="s">
        <v>60</v>
      </c>
      <c r="F422" s="141"/>
      <c r="G422" s="28"/>
      <c r="H422" s="138" t="s">
        <v>6</v>
      </c>
      <c r="I422" s="28" t="s">
        <v>94</v>
      </c>
      <c r="J422" s="141"/>
      <c r="AB422" s="47" t="s">
        <v>84</v>
      </c>
      <c r="AC422" s="202">
        <f>SUM(AC417+AC415+AC412+AC399+AC395+AC392+AC401)</f>
        <v>3083</v>
      </c>
      <c r="AD422" s="203">
        <f>SUM(AD417+AD415+AD412+AD399+AD395+AD392+AD401)</f>
        <v>3374</v>
      </c>
      <c r="AE422" s="48">
        <v>0</v>
      </c>
      <c r="AF422" s="48">
        <v>0</v>
      </c>
      <c r="AG422" s="48">
        <v>0</v>
      </c>
      <c r="AH422" s="202">
        <f>SUM(AH418+AH417+AH415+AH392)</f>
        <v>235570</v>
      </c>
      <c r="AI422" s="203">
        <f>SUM(AI417+AI415+AI392)</f>
        <v>156688</v>
      </c>
      <c r="AJ422" s="48">
        <v>0</v>
      </c>
      <c r="AK422" s="202" t="s">
        <v>189</v>
      </c>
      <c r="AL422" s="48"/>
      <c r="AM422" s="49">
        <f>SUM(AK392:AK418)</f>
        <v>54</v>
      </c>
      <c r="AP422" s="138" t="s">
        <v>72</v>
      </c>
      <c r="AQ422" s="138">
        <f>6+13+4+9+3</f>
        <v>35</v>
      </c>
      <c r="AR422" s="141">
        <f>9+2+3+12+1</f>
        <v>27</v>
      </c>
      <c r="AS422" s="138"/>
      <c r="AT422" s="141"/>
      <c r="AU422" s="28"/>
      <c r="AV422" s="43">
        <v>6</v>
      </c>
      <c r="AW422" s="28" t="s">
        <v>433</v>
      </c>
      <c r="AX422" s="28"/>
      <c r="AY422" s="141"/>
      <c r="BB422" s="196" t="s">
        <v>64</v>
      </c>
      <c r="BC422" s="138">
        <f>3+3</f>
        <v>6</v>
      </c>
      <c r="BD422" s="141">
        <f>3+5</f>
        <v>8</v>
      </c>
      <c r="BE422" s="138"/>
      <c r="BF422" s="28"/>
      <c r="BG422" s="141"/>
      <c r="BH422" s="138"/>
      <c r="BI422" s="141"/>
      <c r="BJ422" s="221" t="s">
        <v>1084</v>
      </c>
      <c r="BK422" s="43" t="s">
        <v>1085</v>
      </c>
      <c r="BL422" s="209" t="s">
        <v>807</v>
      </c>
    </row>
    <row r="423" spans="1:64" x14ac:dyDescent="0.3">
      <c r="A423" s="196" t="s">
        <v>84</v>
      </c>
      <c r="B423" s="28">
        <f>SUM(B421:B422)</f>
        <v>4359</v>
      </c>
      <c r="C423" s="28">
        <f>SUM(C421:C422)</f>
        <v>4394</v>
      </c>
      <c r="D423" s="138"/>
      <c r="E423" s="28" t="s">
        <v>60</v>
      </c>
      <c r="F423" s="141"/>
      <c r="G423" s="28">
        <v>5144</v>
      </c>
      <c r="H423" s="138">
        <v>31</v>
      </c>
      <c r="I423" s="28" t="s">
        <v>101</v>
      </c>
      <c r="J423" s="141"/>
      <c r="AB423" t="s">
        <v>193</v>
      </c>
      <c r="AM423" t="s">
        <v>6</v>
      </c>
      <c r="AP423" s="138" t="s">
        <v>115</v>
      </c>
      <c r="AQ423" s="138">
        <f>4+2</f>
        <v>6</v>
      </c>
      <c r="AR423" s="141">
        <f>4+3</f>
        <v>7</v>
      </c>
      <c r="AS423" s="138"/>
      <c r="AT423" s="141"/>
      <c r="AU423" s="28"/>
      <c r="AV423" s="43">
        <v>0</v>
      </c>
      <c r="AW423" s="28" t="s">
        <v>217</v>
      </c>
      <c r="AX423" s="28"/>
      <c r="AY423" s="141"/>
      <c r="BB423" s="196" t="s">
        <v>196</v>
      </c>
      <c r="BC423" s="138">
        <v>3</v>
      </c>
      <c r="BD423" s="141">
        <v>0</v>
      </c>
      <c r="BE423" s="138"/>
      <c r="BF423" s="28"/>
      <c r="BG423" s="141"/>
      <c r="BH423" s="138"/>
      <c r="BI423" s="141"/>
      <c r="BJ423" s="138" t="s">
        <v>1086</v>
      </c>
      <c r="BK423" s="43" t="s">
        <v>378</v>
      </c>
      <c r="BL423" s="213" t="s">
        <v>1087</v>
      </c>
    </row>
    <row r="424" spans="1:64" ht="15" thickBot="1" x14ac:dyDescent="0.35">
      <c r="A424" s="199"/>
      <c r="B424" s="28"/>
      <c r="C424" s="28"/>
      <c r="D424" s="142"/>
      <c r="E424" s="143"/>
      <c r="F424" s="146"/>
      <c r="G424" s="28"/>
      <c r="H424" s="142"/>
      <c r="I424" s="143" t="s">
        <v>284</v>
      </c>
      <c r="J424" s="146">
        <f>SUM(H422:H423)</f>
        <v>31</v>
      </c>
      <c r="AP424" s="138" t="s">
        <v>56</v>
      </c>
      <c r="AQ424" s="138">
        <f>2+1+1</f>
        <v>4</v>
      </c>
      <c r="AR424" s="141">
        <f>2+15+4+1</f>
        <v>22</v>
      </c>
      <c r="AS424" s="138"/>
      <c r="AT424" s="141"/>
      <c r="AU424" s="28"/>
      <c r="AV424" s="43">
        <v>1</v>
      </c>
      <c r="AW424" s="28" t="s">
        <v>1022</v>
      </c>
      <c r="AX424" s="28"/>
      <c r="AY424" s="141"/>
      <c r="BB424" s="196" t="s">
        <v>88</v>
      </c>
      <c r="BC424" s="138">
        <v>0</v>
      </c>
      <c r="BD424" s="141">
        <v>2</v>
      </c>
      <c r="BE424" s="138"/>
      <c r="BF424" s="28"/>
      <c r="BG424" s="141"/>
      <c r="BH424" s="138"/>
      <c r="BI424" s="141"/>
      <c r="BJ424" s="138" t="s">
        <v>1088</v>
      </c>
      <c r="BK424" s="43" t="s">
        <v>799</v>
      </c>
      <c r="BL424" s="141" t="s">
        <v>1089</v>
      </c>
    </row>
    <row r="425" spans="1:64" ht="15" thickBot="1" x14ac:dyDescent="0.35">
      <c r="A425" s="47" t="s">
        <v>84</v>
      </c>
      <c r="B425" s="210">
        <f>SUM(B423,B420,B416+B411+B406+B402+B398+B394+B391)</f>
        <v>74956</v>
      </c>
      <c r="C425" s="170">
        <f>SUM(C423+C420+C416+C411+C406+C402+C398+C394+C391)</f>
        <v>76075</v>
      </c>
      <c r="D425" s="202"/>
      <c r="E425" s="48">
        <f>SUM(E420+E402)</f>
        <v>4328</v>
      </c>
      <c r="F425" s="203"/>
      <c r="G425" s="206">
        <f>SUM(G423+G420+G416+G411+G406+G402+G398+G394+G391)</f>
        <v>134370</v>
      </c>
      <c r="H425" s="48" t="s">
        <v>844</v>
      </c>
      <c r="I425" s="48"/>
      <c r="J425" s="49">
        <f>SUM(J390:J424)</f>
        <v>572</v>
      </c>
      <c r="AP425" s="138" t="s">
        <v>138</v>
      </c>
      <c r="AQ425" s="138">
        <v>0</v>
      </c>
      <c r="AR425" s="141">
        <v>0</v>
      </c>
      <c r="AS425" s="138"/>
      <c r="AT425" s="141"/>
      <c r="AU425" s="28"/>
      <c r="AV425" s="43">
        <v>4</v>
      </c>
      <c r="AW425" s="28" t="s">
        <v>216</v>
      </c>
      <c r="AX425" s="28"/>
      <c r="AY425" s="141"/>
      <c r="BB425" s="196" t="s">
        <v>1090</v>
      </c>
      <c r="BC425" s="138">
        <v>5</v>
      </c>
      <c r="BD425" s="141">
        <v>6</v>
      </c>
      <c r="BE425" s="138"/>
      <c r="BF425" s="28"/>
      <c r="BG425" s="141"/>
      <c r="BH425" s="138"/>
      <c r="BI425" s="141"/>
      <c r="BJ425" s="138"/>
      <c r="BK425" s="43"/>
      <c r="BL425" s="141"/>
    </row>
    <row r="426" spans="1:64" x14ac:dyDescent="0.3">
      <c r="D426" s="28"/>
      <c r="E426" s="28"/>
      <c r="F426" s="28"/>
      <c r="N426" t="s">
        <v>6</v>
      </c>
      <c r="AP426" s="138" t="s">
        <v>67</v>
      </c>
      <c r="AQ426" s="138">
        <f>24+4+4</f>
        <v>32</v>
      </c>
      <c r="AR426" s="141">
        <f>26+3+2</f>
        <v>31</v>
      </c>
      <c r="AS426" s="138"/>
      <c r="AT426" s="141"/>
      <c r="AU426" s="28"/>
      <c r="AV426" s="43">
        <v>2</v>
      </c>
      <c r="AW426" s="28" t="s">
        <v>352</v>
      </c>
      <c r="AX426" s="28"/>
      <c r="AY426" s="141"/>
      <c r="BB426" s="196" t="s">
        <v>200</v>
      </c>
      <c r="BC426" s="138">
        <v>7</v>
      </c>
      <c r="BD426" s="141">
        <v>0</v>
      </c>
      <c r="BE426" s="138"/>
      <c r="BF426" s="28"/>
      <c r="BG426" s="141"/>
      <c r="BH426" s="138"/>
      <c r="BI426" s="141"/>
      <c r="BJ426" s="138"/>
      <c r="BK426" s="43"/>
      <c r="BL426" s="141"/>
    </row>
    <row r="427" spans="1:64" x14ac:dyDescent="0.3">
      <c r="N427" t="s">
        <v>6</v>
      </c>
      <c r="AP427" s="138" t="s">
        <v>122</v>
      </c>
      <c r="AQ427" s="138">
        <v>13</v>
      </c>
      <c r="AR427" s="141">
        <f>11+4</f>
        <v>15</v>
      </c>
      <c r="AS427" s="138"/>
      <c r="AT427" s="141"/>
      <c r="AU427" s="28"/>
      <c r="AV427" s="43">
        <v>1</v>
      </c>
      <c r="AW427" s="28" t="s">
        <v>618</v>
      </c>
      <c r="AX427" s="28"/>
      <c r="AY427" s="141"/>
      <c r="BB427" s="196" t="s">
        <v>801</v>
      </c>
      <c r="BC427" s="138">
        <v>0</v>
      </c>
      <c r="BD427" s="141">
        <v>0</v>
      </c>
      <c r="BE427" s="138"/>
      <c r="BF427" s="28"/>
      <c r="BG427" s="141"/>
      <c r="BH427" s="138"/>
      <c r="BI427" s="141"/>
      <c r="BJ427" s="138"/>
      <c r="BK427" s="28"/>
      <c r="BL427" s="141"/>
    </row>
    <row r="428" spans="1:64" x14ac:dyDescent="0.3">
      <c r="AP428" s="138" t="s">
        <v>227</v>
      </c>
      <c r="AQ428" s="138">
        <v>0</v>
      </c>
      <c r="AR428" s="141">
        <v>0</v>
      </c>
      <c r="AS428" s="138"/>
      <c r="AT428" s="141"/>
      <c r="AU428" s="28"/>
      <c r="AV428" s="43">
        <v>3</v>
      </c>
      <c r="AW428" s="28" t="s">
        <v>1067</v>
      </c>
      <c r="AX428" s="28"/>
      <c r="AY428" s="141"/>
      <c r="BB428" s="196" t="s">
        <v>862</v>
      </c>
      <c r="BC428" s="138">
        <v>3</v>
      </c>
      <c r="BD428" s="141">
        <v>1</v>
      </c>
      <c r="BE428" s="138"/>
      <c r="BF428" s="28"/>
      <c r="BG428" s="141"/>
      <c r="BH428" s="138"/>
      <c r="BI428" s="141"/>
      <c r="BJ428" s="138"/>
      <c r="BK428" s="28"/>
      <c r="BL428" s="141"/>
    </row>
    <row r="429" spans="1:64" x14ac:dyDescent="0.3">
      <c r="AP429" s="138" t="s">
        <v>230</v>
      </c>
      <c r="AQ429" s="138">
        <v>5</v>
      </c>
      <c r="AR429" s="141">
        <v>5</v>
      </c>
      <c r="AS429" s="138"/>
      <c r="AT429" s="141"/>
      <c r="AU429" s="28"/>
      <c r="AV429" s="43">
        <v>9</v>
      </c>
      <c r="AW429" s="28" t="s">
        <v>655</v>
      </c>
      <c r="AX429" s="28"/>
      <c r="AY429" s="141"/>
      <c r="BB429" s="196" t="s">
        <v>384</v>
      </c>
      <c r="BC429" s="138">
        <v>0</v>
      </c>
      <c r="BD429" s="141">
        <v>0</v>
      </c>
      <c r="BE429" s="138"/>
      <c r="BF429" s="28"/>
      <c r="BG429" s="141"/>
      <c r="BH429" s="138"/>
      <c r="BI429" s="141"/>
      <c r="BJ429" s="138"/>
      <c r="BK429" s="28"/>
      <c r="BL429" s="141"/>
    </row>
    <row r="430" spans="1:64" x14ac:dyDescent="0.3">
      <c r="AP430" s="138" t="s">
        <v>125</v>
      </c>
      <c r="AQ430" s="138">
        <v>0</v>
      </c>
      <c r="AR430" s="141">
        <v>0</v>
      </c>
      <c r="AS430" s="138"/>
      <c r="AT430" s="141"/>
      <c r="AU430" s="28"/>
      <c r="AV430" s="43">
        <v>1</v>
      </c>
      <c r="AW430" s="28" t="s">
        <v>235</v>
      </c>
      <c r="AX430" s="28"/>
      <c r="AY430" s="141"/>
      <c r="BB430" s="196" t="s">
        <v>211</v>
      </c>
      <c r="BC430" s="138">
        <v>43</v>
      </c>
      <c r="BD430" s="141">
        <v>26</v>
      </c>
      <c r="BE430" s="138"/>
      <c r="BF430" s="28"/>
      <c r="BG430" s="141"/>
      <c r="BH430" s="138"/>
      <c r="BI430" s="141"/>
      <c r="BJ430" s="138"/>
      <c r="BK430" s="28"/>
      <c r="BL430" s="141"/>
    </row>
    <row r="431" spans="1:64" x14ac:dyDescent="0.3">
      <c r="AP431" s="138" t="s">
        <v>132</v>
      </c>
      <c r="AQ431" s="138">
        <v>4</v>
      </c>
      <c r="AR431" s="141">
        <f>10+1</f>
        <v>11</v>
      </c>
      <c r="AS431" s="138"/>
      <c r="AT431" s="141"/>
      <c r="AU431" s="28"/>
      <c r="AV431" s="43">
        <v>2</v>
      </c>
      <c r="AW431" s="28" t="s">
        <v>682</v>
      </c>
      <c r="AX431" s="28"/>
      <c r="AY431" s="141"/>
      <c r="BB431" s="196" t="s">
        <v>218</v>
      </c>
      <c r="BC431" s="138">
        <v>3</v>
      </c>
      <c r="BD431" s="141">
        <v>17</v>
      </c>
      <c r="BE431" s="138"/>
      <c r="BF431" s="28">
        <v>0</v>
      </c>
      <c r="BG431" s="141"/>
      <c r="BH431" s="138"/>
      <c r="BI431" s="141"/>
      <c r="BJ431" s="138"/>
      <c r="BK431" s="28"/>
      <c r="BL431" s="141"/>
    </row>
    <row r="432" spans="1:64" x14ac:dyDescent="0.3">
      <c r="AM432" t="s">
        <v>6</v>
      </c>
      <c r="AP432" s="138" t="s">
        <v>992</v>
      </c>
      <c r="AQ432" s="138">
        <v>0</v>
      </c>
      <c r="AR432" s="141">
        <v>0</v>
      </c>
      <c r="AS432" s="138"/>
      <c r="AT432" s="141"/>
      <c r="AU432" s="28"/>
      <c r="AV432" s="43">
        <v>52</v>
      </c>
      <c r="AW432" s="28" t="s">
        <v>555</v>
      </c>
      <c r="AX432" s="28"/>
      <c r="AY432" s="141"/>
      <c r="BB432" s="196" t="s">
        <v>93</v>
      </c>
      <c r="BC432" s="138">
        <v>0</v>
      </c>
      <c r="BD432" s="141">
        <v>0</v>
      </c>
      <c r="BE432" s="138"/>
      <c r="BF432" s="28"/>
      <c r="BG432" s="141"/>
      <c r="BH432" s="138"/>
      <c r="BI432" s="141"/>
      <c r="BJ432" s="138"/>
      <c r="BK432" s="28"/>
      <c r="BL432" s="141"/>
    </row>
    <row r="433" spans="1:64" ht="15" thickBot="1" x14ac:dyDescent="0.35">
      <c r="H433" t="s">
        <v>6</v>
      </c>
      <c r="AP433" s="138" t="s">
        <v>84</v>
      </c>
      <c r="AQ433" s="138">
        <f>SUM(AQ417:AQ432)</f>
        <v>158</v>
      </c>
      <c r="AR433" s="141">
        <f>SUM(AR417:AR432)</f>
        <v>174</v>
      </c>
      <c r="AS433" s="138"/>
      <c r="AT433" s="141"/>
      <c r="AU433" s="28"/>
      <c r="AV433" s="43">
        <v>1</v>
      </c>
      <c r="AW433" s="28" t="s">
        <v>991</v>
      </c>
      <c r="AX433" s="28"/>
      <c r="AY433" s="141">
        <f>SUM(AV418:AV433)</f>
        <v>127</v>
      </c>
      <c r="BB433" s="199" t="s">
        <v>84</v>
      </c>
      <c r="BC433" s="142">
        <f>SUM(BC408:BC432)</f>
        <v>138</v>
      </c>
      <c r="BD433" s="146">
        <f>SUM(BD408:BD432)</f>
        <v>185</v>
      </c>
      <c r="BE433" s="142">
        <v>0</v>
      </c>
      <c r="BF433" s="143">
        <f>SUM(BF408:BF432)</f>
        <v>0</v>
      </c>
      <c r="BG433" s="146">
        <v>0</v>
      </c>
      <c r="BH433" s="142">
        <v>0</v>
      </c>
      <c r="BI433" s="146">
        <v>0</v>
      </c>
      <c r="BJ433" s="142"/>
      <c r="BK433" s="143"/>
      <c r="BL433" s="146">
        <f>9+4+4+4+5+4+4+3+4+3+5</f>
        <v>49</v>
      </c>
    </row>
    <row r="434" spans="1:64" ht="15" thickBot="1" x14ac:dyDescent="0.35">
      <c r="H434" t="s">
        <v>6</v>
      </c>
      <c r="AP434" s="171" t="s">
        <v>84</v>
      </c>
      <c r="AQ434" s="207">
        <f>SUM(AQ433+AQ415+AQ406+AQ391)</f>
        <v>2137</v>
      </c>
      <c r="AR434" s="207">
        <f>SUM(AR433+AR415+AR406+AR391)</f>
        <v>1958</v>
      </c>
      <c r="AS434" s="207"/>
      <c r="AT434" s="208"/>
      <c r="AU434" s="170"/>
      <c r="AV434" s="170"/>
      <c r="AW434" s="170"/>
      <c r="AX434" s="170"/>
      <c r="AY434" s="172">
        <f>SUM(AY391:AY433)</f>
        <v>337</v>
      </c>
      <c r="BB434" t="s">
        <v>223</v>
      </c>
      <c r="BC434">
        <f>SUM(BC433+BC407+BC402+BC398+BC395+BC393+BC404)</f>
        <v>2427</v>
      </c>
      <c r="BD434">
        <f>SUM(BD433+BD407+BD402+BD398+BD393+BD395+BD404)</f>
        <v>2526</v>
      </c>
      <c r="BE434">
        <v>0</v>
      </c>
      <c r="BF434">
        <f>SUM(BF433+BF407+BF402+BF398+BF395+BF391)</f>
        <v>0</v>
      </c>
      <c r="BG434">
        <v>0</v>
      </c>
      <c r="BH434">
        <f>SUM(BH433+BH407+BH402+BH397+BH395+BH391)</f>
        <v>66214</v>
      </c>
      <c r="BI434">
        <f>SUM(BI433+BI407+BI402+BI397+BI395+BI391)</f>
        <v>19089</v>
      </c>
      <c r="BK434" t="s">
        <v>939</v>
      </c>
      <c r="BL434">
        <f>SUM(+BL407+BL402+BL398+BL395+BL393)</f>
        <v>197</v>
      </c>
    </row>
    <row r="435" spans="1:64" x14ac:dyDescent="0.3">
      <c r="BB435" t="s">
        <v>225</v>
      </c>
      <c r="BD435">
        <f>SUM(BL433)</f>
        <v>49</v>
      </c>
    </row>
    <row r="436" spans="1:64" x14ac:dyDescent="0.3">
      <c r="BB436" t="s">
        <v>229</v>
      </c>
      <c r="BD436">
        <v>12</v>
      </c>
    </row>
    <row r="437" spans="1:64" x14ac:dyDescent="0.3">
      <c r="BB437" t="s">
        <v>232</v>
      </c>
      <c r="BD437" t="s">
        <v>233</v>
      </c>
      <c r="BF437">
        <f>SUM(AQ434)</f>
        <v>2137</v>
      </c>
      <c r="BH437" t="s">
        <v>234</v>
      </c>
      <c r="BJ437" t="s">
        <v>233</v>
      </c>
      <c r="BL437">
        <f>SUM(BC434)</f>
        <v>2427</v>
      </c>
    </row>
    <row r="438" spans="1:64" x14ac:dyDescent="0.3">
      <c r="BA438" t="s">
        <v>6</v>
      </c>
      <c r="BD438" t="s">
        <v>236</v>
      </c>
      <c r="BF438">
        <f>SUM(AR434)</f>
        <v>1958</v>
      </c>
      <c r="BJ438" t="s">
        <v>236</v>
      </c>
      <c r="BL438">
        <f>SUM(BD434)</f>
        <v>2526</v>
      </c>
    </row>
    <row r="439" spans="1:64" x14ac:dyDescent="0.3">
      <c r="BB439" t="s">
        <v>238</v>
      </c>
      <c r="BC439" t="s">
        <v>239</v>
      </c>
      <c r="BE439" t="s">
        <v>240</v>
      </c>
      <c r="BF439" t="s">
        <v>241</v>
      </c>
      <c r="BI439" t="s">
        <v>242</v>
      </c>
      <c r="BJ439" t="s">
        <v>243</v>
      </c>
    </row>
    <row r="440" spans="1:64" x14ac:dyDescent="0.3">
      <c r="BB440" t="s">
        <v>233</v>
      </c>
      <c r="BD440">
        <f>SUM(B425)</f>
        <v>74956</v>
      </c>
      <c r="BE440" t="s">
        <v>233</v>
      </c>
      <c r="BG440">
        <f>SUM(AC422)</f>
        <v>3083</v>
      </c>
      <c r="BH440" t="s">
        <v>233</v>
      </c>
      <c r="BJ440">
        <f>SUM(BG440+BC434)</f>
        <v>5510</v>
      </c>
      <c r="BK440" t="s">
        <v>245</v>
      </c>
      <c r="BL440">
        <f>SUM(BD440+BJ440)</f>
        <v>80466</v>
      </c>
    </row>
    <row r="441" spans="1:64" x14ac:dyDescent="0.3">
      <c r="BB441" t="s">
        <v>236</v>
      </c>
      <c r="BD441">
        <f>SUM(C425)</f>
        <v>76075</v>
      </c>
      <c r="BE441" t="s">
        <v>236</v>
      </c>
      <c r="BG441">
        <f>SUM(AD422)</f>
        <v>3374</v>
      </c>
      <c r="BH441" t="s">
        <v>236</v>
      </c>
      <c r="BJ441">
        <f>SUM(BG441+BD434)</f>
        <v>5900</v>
      </c>
      <c r="BL441">
        <f>SUM(BD441+BJ441)</f>
        <v>81975</v>
      </c>
    </row>
    <row r="444" spans="1:64" x14ac:dyDescent="0.3">
      <c r="C444" t="s">
        <v>0</v>
      </c>
      <c r="O444" t="s">
        <v>1</v>
      </c>
    </row>
    <row r="445" spans="1:64" x14ac:dyDescent="0.3">
      <c r="D445" t="s">
        <v>2</v>
      </c>
      <c r="P445" t="s">
        <v>3</v>
      </c>
      <c r="AF445" t="s">
        <v>0</v>
      </c>
      <c r="AS445" t="s">
        <v>4</v>
      </c>
      <c r="BF445" t="s">
        <v>5</v>
      </c>
    </row>
    <row r="446" spans="1:64" x14ac:dyDescent="0.3">
      <c r="A446" t="s">
        <v>6</v>
      </c>
      <c r="C446" t="s">
        <v>7</v>
      </c>
      <c r="N446" t="s">
        <v>8</v>
      </c>
      <c r="AF446" t="s">
        <v>9</v>
      </c>
      <c r="AT446" t="s">
        <v>2</v>
      </c>
      <c r="BG446" t="s">
        <v>2</v>
      </c>
    </row>
    <row r="447" spans="1:64" x14ac:dyDescent="0.3">
      <c r="D447" t="s">
        <v>1091</v>
      </c>
      <c r="P447" t="s">
        <v>1091</v>
      </c>
      <c r="AF447" t="s">
        <v>11</v>
      </c>
      <c r="AR447" t="s">
        <v>12</v>
      </c>
      <c r="BE447" t="s">
        <v>13</v>
      </c>
    </row>
    <row r="448" spans="1:64" x14ac:dyDescent="0.3">
      <c r="I448" s="194" t="s">
        <v>949</v>
      </c>
      <c r="U448" t="s">
        <v>15</v>
      </c>
      <c r="AG448" t="s">
        <v>1091</v>
      </c>
      <c r="AT448" t="s">
        <v>1091</v>
      </c>
      <c r="BG448" t="s">
        <v>1091</v>
      </c>
      <c r="BK448" s="194" t="s">
        <v>950</v>
      </c>
    </row>
    <row r="449" spans="1:64" x14ac:dyDescent="0.3">
      <c r="A449" s="134" t="s">
        <v>17</v>
      </c>
      <c r="B449" s="134" t="s">
        <v>18</v>
      </c>
      <c r="C449" s="136"/>
      <c r="D449" s="135" t="s">
        <v>19</v>
      </c>
      <c r="E449" s="135"/>
      <c r="F449" s="135"/>
      <c r="G449" s="195" t="s">
        <v>20</v>
      </c>
      <c r="H449" s="135" t="s">
        <v>21</v>
      </c>
      <c r="I449" s="135"/>
      <c r="J449" s="136"/>
      <c r="L449" s="134" t="s">
        <v>17</v>
      </c>
      <c r="M449" s="135" t="s">
        <v>22</v>
      </c>
      <c r="N449" s="135"/>
      <c r="O449" s="135" t="s">
        <v>23</v>
      </c>
      <c r="P449" s="135"/>
      <c r="Q449" s="135"/>
      <c r="R449" s="135" t="s">
        <v>24</v>
      </c>
      <c r="S449" s="135"/>
      <c r="T449" s="135" t="s">
        <v>21</v>
      </c>
      <c r="U449" s="136"/>
      <c r="AL449" s="28" t="s">
        <v>25</v>
      </c>
      <c r="AX449" s="194" t="s">
        <v>951</v>
      </c>
      <c r="BB449" s="195" t="s">
        <v>17</v>
      </c>
      <c r="BC449" s="134" t="s">
        <v>27</v>
      </c>
      <c r="BD449" s="136"/>
      <c r="BE449" s="135" t="s">
        <v>28</v>
      </c>
      <c r="BF449" s="135"/>
      <c r="BG449" s="135"/>
      <c r="BH449" s="135" t="s">
        <v>29</v>
      </c>
      <c r="BI449" s="135" t="s">
        <v>30</v>
      </c>
      <c r="BJ449" s="135" t="s">
        <v>31</v>
      </c>
      <c r="BK449" s="135"/>
      <c r="BL449" s="136"/>
    </row>
    <row r="450" spans="1:64" x14ac:dyDescent="0.3">
      <c r="A450" s="138" t="s">
        <v>32</v>
      </c>
      <c r="B450" s="138"/>
      <c r="C450" s="141"/>
      <c r="D450" s="28"/>
      <c r="E450" s="28"/>
      <c r="F450" s="28"/>
      <c r="G450" s="196"/>
      <c r="H450" s="28" t="s">
        <v>33</v>
      </c>
      <c r="I450" s="28"/>
      <c r="J450" s="141"/>
      <c r="L450" s="138"/>
      <c r="M450" s="28"/>
      <c r="N450" s="28"/>
      <c r="O450" s="28"/>
      <c r="P450" s="28"/>
      <c r="Q450" s="28"/>
      <c r="R450" s="28"/>
      <c r="S450" s="28"/>
      <c r="T450" s="28" t="s">
        <v>33</v>
      </c>
      <c r="U450" s="141"/>
      <c r="AB450" s="134" t="s">
        <v>34</v>
      </c>
      <c r="AC450" s="134" t="s">
        <v>35</v>
      </c>
      <c r="AD450" s="136"/>
      <c r="AE450" s="135" t="s">
        <v>36</v>
      </c>
      <c r="AF450" s="135"/>
      <c r="AG450" s="135"/>
      <c r="AH450" s="134" t="s">
        <v>37</v>
      </c>
      <c r="AI450" s="136"/>
      <c r="AJ450" s="135" t="s">
        <v>30</v>
      </c>
      <c r="AK450" s="134" t="s">
        <v>38</v>
      </c>
      <c r="AL450" s="135"/>
      <c r="AM450" s="136"/>
      <c r="AP450" s="134" t="s">
        <v>17</v>
      </c>
      <c r="AQ450" s="134" t="s">
        <v>39</v>
      </c>
      <c r="AR450" s="136"/>
      <c r="AS450" s="134" t="s">
        <v>29</v>
      </c>
      <c r="AT450" s="136" t="s">
        <v>30</v>
      </c>
      <c r="AU450" s="135" t="s">
        <v>40</v>
      </c>
      <c r="AV450" s="135"/>
      <c r="AW450" s="135"/>
      <c r="AX450" s="135"/>
      <c r="AY450" s="136"/>
      <c r="BB450" s="196"/>
      <c r="BC450" s="138"/>
      <c r="BD450" s="141"/>
      <c r="BE450" s="28"/>
      <c r="BF450" s="28"/>
      <c r="BG450" s="28"/>
      <c r="BH450" s="28"/>
      <c r="BI450" s="28" t="s">
        <v>6</v>
      </c>
      <c r="BJ450" s="28" t="s">
        <v>41</v>
      </c>
      <c r="BK450" s="28"/>
      <c r="BL450" s="141"/>
    </row>
    <row r="451" spans="1:64" x14ac:dyDescent="0.3">
      <c r="A451" s="142" t="s">
        <v>42</v>
      </c>
      <c r="B451" s="142" t="s">
        <v>43</v>
      </c>
      <c r="C451" s="143" t="s">
        <v>44</v>
      </c>
      <c r="D451" s="197" t="s">
        <v>45</v>
      </c>
      <c r="E451" s="198" t="s">
        <v>46</v>
      </c>
      <c r="F451" s="198" t="s">
        <v>47</v>
      </c>
      <c r="G451" s="199" t="s">
        <v>48</v>
      </c>
      <c r="H451" s="143" t="s">
        <v>49</v>
      </c>
      <c r="I451" s="143"/>
      <c r="J451" s="146"/>
      <c r="L451" s="142" t="s">
        <v>50</v>
      </c>
      <c r="M451" s="143" t="s">
        <v>43</v>
      </c>
      <c r="N451" s="143" t="s">
        <v>44</v>
      </c>
      <c r="O451" s="143" t="s">
        <v>43</v>
      </c>
      <c r="P451" s="143" t="s">
        <v>51</v>
      </c>
      <c r="Q451" s="143" t="s">
        <v>44</v>
      </c>
      <c r="R451" s="143" t="s">
        <v>43</v>
      </c>
      <c r="S451" s="143" t="s">
        <v>44</v>
      </c>
      <c r="T451" s="143" t="s">
        <v>49</v>
      </c>
      <c r="U451" s="146"/>
      <c r="AB451" s="142" t="s">
        <v>50</v>
      </c>
      <c r="AC451" s="142" t="s">
        <v>43</v>
      </c>
      <c r="AD451" s="146" t="s">
        <v>44</v>
      </c>
      <c r="AE451" s="143" t="s">
        <v>45</v>
      </c>
      <c r="AF451" s="143" t="s">
        <v>46</v>
      </c>
      <c r="AG451" s="143" t="s">
        <v>52</v>
      </c>
      <c r="AH451" s="142" t="s">
        <v>43</v>
      </c>
      <c r="AI451" s="146" t="s">
        <v>44</v>
      </c>
      <c r="AJ451" s="143" t="s">
        <v>43</v>
      </c>
      <c r="AK451" s="142" t="s">
        <v>53</v>
      </c>
      <c r="AL451" s="143"/>
      <c r="AM451" s="146"/>
      <c r="AP451" s="138" t="s">
        <v>42</v>
      </c>
      <c r="AQ451" s="138" t="s">
        <v>43</v>
      </c>
      <c r="AR451" s="141" t="s">
        <v>44</v>
      </c>
      <c r="AS451" s="138" t="s">
        <v>43</v>
      </c>
      <c r="AT451" s="141" t="s">
        <v>44</v>
      </c>
      <c r="AU451" s="28"/>
      <c r="AV451" s="28"/>
      <c r="AW451" s="28"/>
      <c r="AX451" s="28"/>
      <c r="AY451" s="141"/>
      <c r="BB451" s="199" t="s">
        <v>42</v>
      </c>
      <c r="BC451" s="142" t="s">
        <v>43</v>
      </c>
      <c r="BD451" s="146" t="s">
        <v>44</v>
      </c>
      <c r="BE451" s="143" t="s">
        <v>45</v>
      </c>
      <c r="BF451" s="143" t="s">
        <v>46</v>
      </c>
      <c r="BG451" s="143" t="s">
        <v>52</v>
      </c>
      <c r="BH451" s="143" t="s">
        <v>43</v>
      </c>
      <c r="BI451" s="143" t="s">
        <v>44</v>
      </c>
      <c r="BJ451" s="143" t="s">
        <v>54</v>
      </c>
      <c r="BK451" s="143"/>
      <c r="BL451" s="146"/>
    </row>
    <row r="452" spans="1:64" x14ac:dyDescent="0.3">
      <c r="A452" s="134"/>
      <c r="B452" s="134"/>
      <c r="C452" s="135"/>
      <c r="D452" s="134"/>
      <c r="E452" s="135"/>
      <c r="F452" s="135"/>
      <c r="G452" s="195"/>
      <c r="H452" s="135" t="s">
        <v>396</v>
      </c>
      <c r="I452" s="135"/>
      <c r="J452" s="136"/>
      <c r="L452" s="134"/>
      <c r="M452" s="134"/>
      <c r="N452" s="195"/>
      <c r="O452" s="134"/>
      <c r="P452" s="195"/>
      <c r="Q452" s="136"/>
      <c r="R452" s="134"/>
      <c r="S452" s="195"/>
      <c r="T452" s="134" t="s">
        <v>396</v>
      </c>
      <c r="U452" s="136"/>
      <c r="AB452" s="138"/>
      <c r="AC452" s="138"/>
      <c r="AD452" s="141"/>
      <c r="AE452" s="28"/>
      <c r="AF452" s="28"/>
      <c r="AG452" s="28"/>
      <c r="AH452" s="138"/>
      <c r="AI452" s="141"/>
      <c r="AJ452" s="28"/>
      <c r="AK452" s="138" t="s">
        <v>62</v>
      </c>
      <c r="AL452" s="28"/>
      <c r="AM452" s="141"/>
      <c r="AP452" s="138" t="s">
        <v>6</v>
      </c>
      <c r="AQ452" s="138"/>
      <c r="AR452" s="141"/>
      <c r="AS452" s="138"/>
      <c r="AT452" s="141"/>
      <c r="AU452" s="28"/>
      <c r="AV452" s="28" t="s">
        <v>91</v>
      </c>
      <c r="AW452" s="28"/>
      <c r="AX452" s="28"/>
      <c r="AY452" s="141"/>
      <c r="BB452" s="195" t="s">
        <v>6</v>
      </c>
      <c r="BC452" s="135"/>
      <c r="BD452" s="135"/>
      <c r="BE452" s="134"/>
      <c r="BF452" s="135"/>
      <c r="BG452" s="135"/>
      <c r="BH452" s="134"/>
      <c r="BI452" s="136"/>
      <c r="BJ452" s="135" t="s">
        <v>58</v>
      </c>
      <c r="BK452" s="135"/>
      <c r="BL452" s="136"/>
    </row>
    <row r="453" spans="1:64" x14ac:dyDescent="0.3">
      <c r="A453" s="138" t="s">
        <v>59</v>
      </c>
      <c r="B453" s="138">
        <v>2305</v>
      </c>
      <c r="C453" s="28">
        <v>2421</v>
      </c>
      <c r="D453" s="138"/>
      <c r="E453" s="28" t="s">
        <v>60</v>
      </c>
      <c r="F453" s="28"/>
      <c r="G453" s="196">
        <v>2521</v>
      </c>
      <c r="H453" s="28">
        <v>9</v>
      </c>
      <c r="I453" s="28" t="s">
        <v>61</v>
      </c>
      <c r="J453" s="141"/>
      <c r="L453" s="138" t="s">
        <v>59</v>
      </c>
      <c r="M453" s="138">
        <v>14244</v>
      </c>
      <c r="N453" s="196">
        <v>51449</v>
      </c>
      <c r="O453" s="138">
        <v>0</v>
      </c>
      <c r="P453" s="196">
        <v>0</v>
      </c>
      <c r="Q453" s="141">
        <v>0</v>
      </c>
      <c r="R453" s="138">
        <v>0</v>
      </c>
      <c r="S453" s="196">
        <v>0</v>
      </c>
      <c r="T453" s="138"/>
      <c r="U453" s="141"/>
      <c r="AB453" s="138"/>
      <c r="AC453" s="138"/>
      <c r="AD453" s="141"/>
      <c r="AE453" s="28"/>
      <c r="AF453" s="28"/>
      <c r="AG453" s="28"/>
      <c r="AH453" s="138"/>
      <c r="AI453" s="141"/>
      <c r="AJ453" s="28"/>
      <c r="AK453" s="138">
        <v>1</v>
      </c>
      <c r="AL453" s="28" t="s">
        <v>398</v>
      </c>
      <c r="AM453" s="141"/>
      <c r="AP453" s="138" t="s">
        <v>56</v>
      </c>
      <c r="AQ453" s="138">
        <v>1548</v>
      </c>
      <c r="AR453" s="141">
        <v>1491</v>
      </c>
      <c r="AS453" s="138"/>
      <c r="AT453" s="141"/>
      <c r="AU453" s="28"/>
      <c r="AV453" s="28">
        <v>3</v>
      </c>
      <c r="AW453" s="28" t="s">
        <v>145</v>
      </c>
      <c r="AX453" s="28"/>
      <c r="AY453" s="141"/>
      <c r="BB453" s="196" t="s">
        <v>64</v>
      </c>
      <c r="BC453" s="28">
        <v>186</v>
      </c>
      <c r="BD453" s="28">
        <v>197</v>
      </c>
      <c r="BE453" s="138">
        <v>0</v>
      </c>
      <c r="BF453" s="28">
        <v>0</v>
      </c>
      <c r="BG453" s="28">
        <v>0</v>
      </c>
      <c r="BH453" s="138">
        <v>0</v>
      </c>
      <c r="BI453" s="141">
        <v>0</v>
      </c>
      <c r="BJ453" s="43">
        <v>16</v>
      </c>
      <c r="BK453" s="28" t="s">
        <v>474</v>
      </c>
      <c r="BL453" s="141" t="s">
        <v>6</v>
      </c>
    </row>
    <row r="454" spans="1:64" x14ac:dyDescent="0.3">
      <c r="A454" s="138" t="s">
        <v>6</v>
      </c>
      <c r="B454" s="138"/>
      <c r="C454" s="28"/>
      <c r="D454" s="138"/>
      <c r="E454" s="28"/>
      <c r="F454" s="28"/>
      <c r="G454" s="196"/>
      <c r="H454" s="28"/>
      <c r="I454" s="28" t="s">
        <v>528</v>
      </c>
      <c r="J454" s="141">
        <f>SUM(H453)</f>
        <v>9</v>
      </c>
      <c r="L454" s="142"/>
      <c r="M454" s="142"/>
      <c r="N454" s="199"/>
      <c r="O454" s="142"/>
      <c r="P454" s="199"/>
      <c r="Q454" s="146"/>
      <c r="R454" s="142"/>
      <c r="S454" s="199"/>
      <c r="T454" s="142"/>
      <c r="U454" s="146"/>
      <c r="AB454" s="138" t="s">
        <v>59</v>
      </c>
      <c r="AC454" s="138">
        <v>2156</v>
      </c>
      <c r="AD454" s="141">
        <v>2504</v>
      </c>
      <c r="AE454" s="28">
        <v>0</v>
      </c>
      <c r="AF454" s="28">
        <v>0</v>
      </c>
      <c r="AG454" s="28">
        <v>0</v>
      </c>
      <c r="AH454" s="138">
        <v>0</v>
      </c>
      <c r="AI454" s="141">
        <v>0</v>
      </c>
      <c r="AJ454" s="28">
        <v>0</v>
      </c>
      <c r="AK454" s="138">
        <v>5</v>
      </c>
      <c r="AL454" s="28" t="s">
        <v>66</v>
      </c>
      <c r="AM454" s="141"/>
      <c r="AP454" s="142" t="s">
        <v>6</v>
      </c>
      <c r="AQ454" s="142"/>
      <c r="AR454" s="146"/>
      <c r="AS454" s="142"/>
      <c r="AT454" s="146"/>
      <c r="AU454" s="143"/>
      <c r="AV454" s="143">
        <v>101</v>
      </c>
      <c r="AW454" s="143" t="s">
        <v>73</v>
      </c>
      <c r="AX454" s="143"/>
      <c r="AY454" s="146">
        <f>SUM(AV454)</f>
        <v>101</v>
      </c>
      <c r="BB454" s="196" t="s">
        <v>108</v>
      </c>
      <c r="BC454">
        <v>6</v>
      </c>
      <c r="BD454">
        <v>14</v>
      </c>
      <c r="BE454" s="138"/>
      <c r="BF454" s="28"/>
      <c r="BG454" s="28"/>
      <c r="BH454" s="138"/>
      <c r="BI454" s="141"/>
      <c r="BJ454" s="28">
        <v>4</v>
      </c>
      <c r="BK454" s="28" t="s">
        <v>1045</v>
      </c>
      <c r="BL454" s="141"/>
    </row>
    <row r="455" spans="1:64" x14ac:dyDescent="0.3">
      <c r="A455" s="134"/>
      <c r="B455" s="134"/>
      <c r="C455" s="135"/>
      <c r="D455" s="134"/>
      <c r="E455" s="135"/>
      <c r="F455" s="135"/>
      <c r="G455" s="195"/>
      <c r="H455" s="135" t="s">
        <v>70</v>
      </c>
      <c r="I455" s="135"/>
      <c r="J455" s="136"/>
      <c r="L455" s="134"/>
      <c r="M455" s="134"/>
      <c r="N455" s="195"/>
      <c r="O455" s="134"/>
      <c r="P455" s="195"/>
      <c r="Q455" s="136"/>
      <c r="R455" s="134"/>
      <c r="S455" s="195"/>
      <c r="T455" s="134"/>
      <c r="U455" s="136"/>
      <c r="AB455" s="142"/>
      <c r="AC455" s="142"/>
      <c r="AD455" s="146"/>
      <c r="AE455" s="143"/>
      <c r="AF455" s="143"/>
      <c r="AG455" s="143"/>
      <c r="AH455" s="142"/>
      <c r="AI455" s="146"/>
      <c r="AJ455" s="143"/>
      <c r="AK455" s="142">
        <v>4</v>
      </c>
      <c r="AL455" s="143" t="s">
        <v>188</v>
      </c>
      <c r="AM455" s="146"/>
      <c r="AP455" s="134" t="s">
        <v>56</v>
      </c>
      <c r="AQ455" s="134">
        <v>0</v>
      </c>
      <c r="AR455" s="136">
        <v>2</v>
      </c>
      <c r="AS455" s="134"/>
      <c r="AT455" s="136"/>
      <c r="AU455" s="135"/>
      <c r="AV455" s="135"/>
      <c r="AW455" s="135"/>
      <c r="AX455" s="135"/>
      <c r="AY455" s="136"/>
      <c r="BB455" s="199" t="s">
        <v>84</v>
      </c>
      <c r="BC455" s="143">
        <f>SUM(BC452:BC454)</f>
        <v>192</v>
      </c>
      <c r="BD455" s="143">
        <f>SUM(BD452:BD454)</f>
        <v>211</v>
      </c>
      <c r="BE455" s="142"/>
      <c r="BF455" s="143"/>
      <c r="BG455" s="143"/>
      <c r="BH455" s="142"/>
      <c r="BI455" s="146"/>
      <c r="BJ455" s="143">
        <v>2</v>
      </c>
      <c r="BK455" s="143" t="s">
        <v>69</v>
      </c>
      <c r="BL455" s="146">
        <f>SUM(BJ453:BJ455)</f>
        <v>22</v>
      </c>
    </row>
    <row r="456" spans="1:64" x14ac:dyDescent="0.3">
      <c r="A456" s="138" t="s">
        <v>74</v>
      </c>
      <c r="B456" s="138">
        <v>1329</v>
      </c>
      <c r="C456" s="28">
        <v>2139</v>
      </c>
      <c r="D456" s="138"/>
      <c r="E456" s="28" t="s">
        <v>60</v>
      </c>
      <c r="F456" s="28"/>
      <c r="G456" s="196">
        <v>2944</v>
      </c>
      <c r="H456" s="28">
        <v>1</v>
      </c>
      <c r="I456" s="28" t="s">
        <v>1046</v>
      </c>
      <c r="J456" s="141"/>
      <c r="L456" s="138"/>
      <c r="M456" s="138"/>
      <c r="N456" s="196"/>
      <c r="O456" s="138"/>
      <c r="P456" s="196"/>
      <c r="Q456" s="141"/>
      <c r="R456" s="138"/>
      <c r="S456" s="196"/>
      <c r="T456" s="138" t="s">
        <v>80</v>
      </c>
      <c r="U456" s="141"/>
      <c r="AB456" s="134" t="s">
        <v>6</v>
      </c>
      <c r="AC456" s="134"/>
      <c r="AD456" s="136"/>
      <c r="AE456" s="135"/>
      <c r="AF456" s="135"/>
      <c r="AG456" s="135"/>
      <c r="AH456" s="134"/>
      <c r="AI456" s="136"/>
      <c r="AJ456" s="135"/>
      <c r="AK456" s="134" t="s">
        <v>952</v>
      </c>
      <c r="AL456" s="135"/>
      <c r="AM456" s="136"/>
      <c r="AP456" s="138" t="s">
        <v>63</v>
      </c>
      <c r="AQ456" s="138">
        <v>26</v>
      </c>
      <c r="AR456" s="141">
        <v>66</v>
      </c>
      <c r="AS456" s="138"/>
      <c r="AT456" s="141"/>
      <c r="AU456" s="28"/>
      <c r="AV456" s="28" t="s">
        <v>110</v>
      </c>
      <c r="AW456" s="28" t="s">
        <v>111</v>
      </c>
      <c r="AX456" s="28" t="s">
        <v>112</v>
      </c>
      <c r="AY456" s="141"/>
      <c r="BB456" s="195" t="s">
        <v>6</v>
      </c>
      <c r="BC456" s="134" t="s">
        <v>6</v>
      </c>
      <c r="BD456" s="136"/>
      <c r="BE456" s="135"/>
      <c r="BF456" s="135">
        <v>0</v>
      </c>
      <c r="BG456" s="135"/>
      <c r="BH456" s="134"/>
      <c r="BI456" s="136"/>
      <c r="BJ456" s="135" t="s">
        <v>1092</v>
      </c>
      <c r="BK456" s="135"/>
      <c r="BL456" s="136"/>
    </row>
    <row r="457" spans="1:64" x14ac:dyDescent="0.3">
      <c r="A457" s="138"/>
      <c r="B457" s="138"/>
      <c r="C457" s="28"/>
      <c r="D457" s="138"/>
      <c r="E457" s="28"/>
      <c r="F457" s="28"/>
      <c r="G457" s="196"/>
      <c r="H457" s="28">
        <v>17</v>
      </c>
      <c r="I457" s="28" t="s">
        <v>1047</v>
      </c>
      <c r="J457" s="141">
        <f>SUM(H456:H457)</f>
        <v>18</v>
      </c>
      <c r="L457" s="138" t="s">
        <v>74</v>
      </c>
      <c r="M457" s="138">
        <v>14099</v>
      </c>
      <c r="N457" s="196">
        <v>41</v>
      </c>
      <c r="O457" s="138">
        <v>0</v>
      </c>
      <c r="P457" s="196">
        <v>0</v>
      </c>
      <c r="Q457" s="141">
        <v>0</v>
      </c>
      <c r="R457" s="138">
        <v>53</v>
      </c>
      <c r="S457" s="196">
        <v>0</v>
      </c>
      <c r="T457" s="138"/>
      <c r="U457" s="141"/>
      <c r="AB457" s="142" t="s">
        <v>76</v>
      </c>
      <c r="AC457" s="142">
        <v>0</v>
      </c>
      <c r="AD457" s="146">
        <v>0</v>
      </c>
      <c r="AE457" s="143">
        <v>0</v>
      </c>
      <c r="AF457" s="143">
        <v>0</v>
      </c>
      <c r="AG457" s="143">
        <v>0</v>
      </c>
      <c r="AH457" s="142">
        <v>0</v>
      </c>
      <c r="AI457" s="146">
        <v>0</v>
      </c>
      <c r="AJ457" s="143">
        <v>0</v>
      </c>
      <c r="AK457" s="142">
        <v>2</v>
      </c>
      <c r="AL457" s="143" t="s">
        <v>780</v>
      </c>
      <c r="AM457" s="146"/>
      <c r="AP457" s="138" t="s">
        <v>115</v>
      </c>
      <c r="AQ457" s="138">
        <v>30</v>
      </c>
      <c r="AR457" s="141">
        <v>23</v>
      </c>
      <c r="AS457" s="138"/>
      <c r="AT457" s="141"/>
      <c r="AU457" s="28"/>
      <c r="AV457" s="28"/>
      <c r="AW457" s="28"/>
      <c r="AX457" s="28"/>
      <c r="AY457" s="141"/>
      <c r="BB457" s="199" t="s">
        <v>108</v>
      </c>
      <c r="BC457" s="142">
        <v>95</v>
      </c>
      <c r="BD457" s="146">
        <v>67</v>
      </c>
      <c r="BE457" s="143"/>
      <c r="BF457" s="143">
        <v>0</v>
      </c>
      <c r="BG457" s="143">
        <v>0</v>
      </c>
      <c r="BH457" s="142">
        <v>0</v>
      </c>
      <c r="BI457" s="146">
        <v>0</v>
      </c>
      <c r="BJ457" s="143">
        <v>7</v>
      </c>
      <c r="BK457" s="143" t="s">
        <v>780</v>
      </c>
      <c r="BL457" s="146">
        <f>SUM(BJ457)</f>
        <v>7</v>
      </c>
    </row>
    <row r="458" spans="1:64" x14ac:dyDescent="0.3">
      <c r="A458" s="134"/>
      <c r="B458" s="134"/>
      <c r="C458" s="136"/>
      <c r="D458" s="135"/>
      <c r="E458" s="135"/>
      <c r="F458" s="135"/>
      <c r="G458" s="195"/>
      <c r="H458" s="134" t="s">
        <v>87</v>
      </c>
      <c r="I458" s="135"/>
      <c r="J458" s="136" t="s">
        <v>6</v>
      </c>
      <c r="L458" s="142"/>
      <c r="M458" s="142"/>
      <c r="N458" s="199"/>
      <c r="O458" s="142"/>
      <c r="P458" s="199"/>
      <c r="Q458" s="146"/>
      <c r="R458" s="142"/>
      <c r="S458" s="199"/>
      <c r="T458" s="142"/>
      <c r="U458" s="146"/>
      <c r="AB458" s="134"/>
      <c r="AC458" s="134"/>
      <c r="AD458" s="136"/>
      <c r="AE458" s="135"/>
      <c r="AF458" s="135"/>
      <c r="AG458" s="135"/>
      <c r="AH458" s="134"/>
      <c r="AI458" s="136"/>
      <c r="AJ458" s="135"/>
      <c r="AK458" s="134"/>
      <c r="AL458" s="135" t="s">
        <v>150</v>
      </c>
      <c r="AM458" s="136"/>
      <c r="AP458" s="138" t="s">
        <v>72</v>
      </c>
      <c r="AQ458" s="138">
        <v>0</v>
      </c>
      <c r="AR458" s="141">
        <v>0</v>
      </c>
      <c r="AS458" s="138"/>
      <c r="AT458" s="141"/>
      <c r="AU458" s="28"/>
      <c r="AV458" s="28"/>
      <c r="AW458" s="28"/>
      <c r="AX458" s="28"/>
      <c r="AY458" s="141"/>
      <c r="BB458" s="195" t="s">
        <v>107</v>
      </c>
      <c r="BC458" s="134">
        <v>0</v>
      </c>
      <c r="BD458" s="136">
        <v>0</v>
      </c>
      <c r="BE458" s="135"/>
      <c r="BF458" s="135"/>
      <c r="BG458" s="135"/>
      <c r="BH458" s="134"/>
      <c r="BI458" s="136"/>
      <c r="BJ458" s="135"/>
      <c r="BK458" s="135" t="s">
        <v>92</v>
      </c>
      <c r="BL458" s="136"/>
    </row>
    <row r="459" spans="1:64" x14ac:dyDescent="0.3">
      <c r="A459" s="138"/>
      <c r="B459" s="138"/>
      <c r="C459" s="141"/>
      <c r="D459" s="28"/>
      <c r="E459" s="28"/>
      <c r="F459" s="28"/>
      <c r="G459" s="196"/>
      <c r="H459" s="138" t="s">
        <v>6</v>
      </c>
      <c r="I459" s="28" t="s">
        <v>927</v>
      </c>
      <c r="J459" s="141"/>
      <c r="L459" s="134" t="s">
        <v>88</v>
      </c>
      <c r="M459" s="134">
        <v>0</v>
      </c>
      <c r="N459" s="195">
        <v>0</v>
      </c>
      <c r="O459" s="134"/>
      <c r="P459" s="195"/>
      <c r="Q459" s="136"/>
      <c r="R459" s="134"/>
      <c r="S459" s="195"/>
      <c r="T459" s="134" t="s">
        <v>6</v>
      </c>
      <c r="U459" s="136"/>
      <c r="AB459" s="138" t="s">
        <v>89</v>
      </c>
      <c r="AC459" s="138">
        <v>39</v>
      </c>
      <c r="AD459" s="141">
        <v>34</v>
      </c>
      <c r="AE459" s="28"/>
      <c r="AF459" s="28"/>
      <c r="AG459" s="28"/>
      <c r="AH459" s="138"/>
      <c r="AI459" s="141"/>
      <c r="AJ459" s="28"/>
      <c r="AK459" s="138" t="s">
        <v>90</v>
      </c>
      <c r="AL459" s="28"/>
      <c r="AM459" s="141"/>
      <c r="AP459" s="138" t="s">
        <v>78</v>
      </c>
      <c r="AQ459" s="138">
        <v>35</v>
      </c>
      <c r="AR459" s="141">
        <v>19</v>
      </c>
      <c r="AS459" s="138"/>
      <c r="AT459" s="141"/>
      <c r="AU459" s="28"/>
      <c r="AV459" s="28"/>
      <c r="AW459" s="28"/>
      <c r="AX459" s="28"/>
      <c r="AY459" s="141"/>
      <c r="BB459" s="196" t="s">
        <v>99</v>
      </c>
      <c r="BC459" s="138">
        <v>0</v>
      </c>
      <c r="BD459" s="141">
        <v>0</v>
      </c>
      <c r="BE459" s="28">
        <v>0</v>
      </c>
      <c r="BF459" s="28">
        <v>0</v>
      </c>
      <c r="BG459" s="28">
        <v>0</v>
      </c>
      <c r="BH459" s="138">
        <v>81151</v>
      </c>
      <c r="BI459" s="141">
        <v>20907</v>
      </c>
      <c r="BJ459" s="43">
        <v>31</v>
      </c>
      <c r="BK459" s="28" t="s">
        <v>100</v>
      </c>
      <c r="BL459" s="141"/>
    </row>
    <row r="460" spans="1:64" x14ac:dyDescent="0.3">
      <c r="A460" s="138" t="s">
        <v>93</v>
      </c>
      <c r="B460" s="138">
        <v>4675</v>
      </c>
      <c r="C460" s="141">
        <v>5425</v>
      </c>
      <c r="D460" s="28" t="s">
        <v>6</v>
      </c>
      <c r="E460" s="28" t="s">
        <v>60</v>
      </c>
      <c r="F460" s="28"/>
      <c r="G460" s="196">
        <v>5534</v>
      </c>
      <c r="H460" s="212" t="s">
        <v>6</v>
      </c>
      <c r="I460" s="28" t="s">
        <v>94</v>
      </c>
      <c r="J460" s="141" t="s">
        <v>6</v>
      </c>
      <c r="L460" s="138" t="s">
        <v>95</v>
      </c>
      <c r="M460" s="138">
        <v>0</v>
      </c>
      <c r="N460" s="196">
        <v>0</v>
      </c>
      <c r="O460" s="138"/>
      <c r="P460" s="196"/>
      <c r="Q460" s="141"/>
      <c r="R460" s="138"/>
      <c r="S460" s="196"/>
      <c r="T460" s="138" t="s">
        <v>96</v>
      </c>
      <c r="U460" s="141"/>
      <c r="AB460" s="138" t="s">
        <v>97</v>
      </c>
      <c r="AC460" s="138">
        <v>0</v>
      </c>
      <c r="AD460" s="141">
        <v>0</v>
      </c>
      <c r="AE460" s="28">
        <v>0</v>
      </c>
      <c r="AF460" s="28">
        <v>0</v>
      </c>
      <c r="AG460" s="28">
        <v>0</v>
      </c>
      <c r="AH460" s="138">
        <v>0</v>
      </c>
      <c r="AI460" s="141">
        <v>0</v>
      </c>
      <c r="AJ460" s="28">
        <v>0</v>
      </c>
      <c r="AK460" s="138"/>
      <c r="AL460" s="28" t="s">
        <v>529</v>
      </c>
      <c r="AM460" s="141"/>
      <c r="AP460" s="138" t="s">
        <v>122</v>
      </c>
      <c r="AQ460" s="138">
        <v>20</v>
      </c>
      <c r="AR460" s="141">
        <v>16</v>
      </c>
      <c r="AS460" s="138"/>
      <c r="AT460" s="141"/>
      <c r="AU460" s="28"/>
      <c r="AV460" s="28">
        <v>32</v>
      </c>
      <c r="AW460" s="28" t="s">
        <v>123</v>
      </c>
      <c r="AX460" s="28"/>
      <c r="AY460" s="141"/>
      <c r="BB460" s="199" t="s">
        <v>84</v>
      </c>
      <c r="BC460" s="138">
        <f>SUM(BC458:BC459)</f>
        <v>0</v>
      </c>
      <c r="BD460" s="141">
        <f>SUM(BD458:BD459)</f>
        <v>0</v>
      </c>
      <c r="BE460" s="143"/>
      <c r="BF460" s="143"/>
      <c r="BG460" s="143"/>
      <c r="BH460" s="142"/>
      <c r="BI460" s="146"/>
      <c r="BJ460" s="143">
        <v>0</v>
      </c>
      <c r="BK460" s="143" t="s">
        <v>506</v>
      </c>
      <c r="BL460" s="146">
        <f>SUM(BJ459:BJ460)</f>
        <v>31</v>
      </c>
    </row>
    <row r="461" spans="1:64" x14ac:dyDescent="0.3">
      <c r="A461" s="142"/>
      <c r="B461" s="142"/>
      <c r="C461" s="146"/>
      <c r="D461" s="143"/>
      <c r="E461" s="143"/>
      <c r="F461" s="143"/>
      <c r="G461" s="199"/>
      <c r="H461" s="142">
        <v>31</v>
      </c>
      <c r="I461" s="143" t="s">
        <v>101</v>
      </c>
      <c r="J461" s="146">
        <f>SUM(H459:H461)</f>
        <v>31</v>
      </c>
      <c r="L461" s="138" t="s">
        <v>102</v>
      </c>
      <c r="M461" s="138">
        <v>0</v>
      </c>
      <c r="N461" s="196">
        <v>0</v>
      </c>
      <c r="O461" s="138"/>
      <c r="P461" s="196"/>
      <c r="Q461" s="141"/>
      <c r="R461" s="138"/>
      <c r="S461" s="196"/>
      <c r="T461" s="138"/>
      <c r="U461" s="141"/>
      <c r="AB461" s="142" t="s">
        <v>84</v>
      </c>
      <c r="AC461" s="142">
        <f>SUM(AC459:AC460)</f>
        <v>39</v>
      </c>
      <c r="AD461" s="146">
        <f>SUM(AD459:AD460)</f>
        <v>34</v>
      </c>
      <c r="AE461" s="143"/>
      <c r="AF461" s="143"/>
      <c r="AG461" s="143"/>
      <c r="AH461" s="142"/>
      <c r="AI461" s="146"/>
      <c r="AJ461" s="143"/>
      <c r="AK461" s="142">
        <v>1</v>
      </c>
      <c r="AL461" s="143" t="s">
        <v>145</v>
      </c>
      <c r="AM461" s="146"/>
      <c r="AP461" s="138" t="s">
        <v>125</v>
      </c>
      <c r="AQ461" s="138">
        <v>0</v>
      </c>
      <c r="AR461" s="141">
        <v>0</v>
      </c>
      <c r="AS461" s="138"/>
      <c r="AT461" s="141"/>
      <c r="AU461" s="28"/>
      <c r="AV461" s="28">
        <v>5</v>
      </c>
      <c r="AW461" s="28" t="s">
        <v>126</v>
      </c>
      <c r="AX461" s="28"/>
      <c r="AY461" s="141"/>
      <c r="BB461" s="138" t="s">
        <v>89</v>
      </c>
      <c r="BC461" s="134">
        <v>552</v>
      </c>
      <c r="BD461" s="136">
        <v>535</v>
      </c>
      <c r="BH461" s="134"/>
      <c r="BI461" s="136"/>
      <c r="BJ461" s="28"/>
      <c r="BK461" s="28" t="s">
        <v>91</v>
      </c>
      <c r="BL461" s="141"/>
    </row>
    <row r="462" spans="1:64" x14ac:dyDescent="0.3">
      <c r="A462" s="138" t="s">
        <v>108</v>
      </c>
      <c r="B462" s="138">
        <v>0</v>
      </c>
      <c r="C462" s="28">
        <v>0</v>
      </c>
      <c r="D462" s="138"/>
      <c r="E462" s="28">
        <v>801</v>
      </c>
      <c r="F462" s="141"/>
      <c r="G462" s="141"/>
      <c r="H462" s="28" t="s">
        <v>104</v>
      </c>
      <c r="I462" s="28"/>
      <c r="J462" s="141"/>
      <c r="L462" s="142" t="s">
        <v>84</v>
      </c>
      <c r="M462" s="142">
        <v>0</v>
      </c>
      <c r="N462" s="199">
        <v>0</v>
      </c>
      <c r="O462" s="142">
        <v>0</v>
      </c>
      <c r="P462" s="199">
        <v>0</v>
      </c>
      <c r="Q462" s="146">
        <v>0</v>
      </c>
      <c r="R462" s="142">
        <v>0</v>
      </c>
      <c r="S462" s="199">
        <v>0</v>
      </c>
      <c r="T462" s="142"/>
      <c r="U462" s="146"/>
      <c r="AB462" s="134"/>
      <c r="AC462" s="134"/>
      <c r="AD462" s="136"/>
      <c r="AE462" s="135"/>
      <c r="AF462" s="135"/>
      <c r="AG462" s="135"/>
      <c r="AH462" s="134"/>
      <c r="AI462" s="136"/>
      <c r="AJ462" s="135"/>
      <c r="AK462" s="138" t="s">
        <v>1048</v>
      </c>
      <c r="AM462" s="136"/>
      <c r="AP462" s="138" t="s">
        <v>536</v>
      </c>
      <c r="AQ462" s="138">
        <v>0</v>
      </c>
      <c r="AR462" s="141">
        <v>0</v>
      </c>
      <c r="AS462" s="138"/>
      <c r="AT462" s="141"/>
      <c r="AU462" s="28"/>
      <c r="AV462" s="28">
        <v>37</v>
      </c>
      <c r="AW462" s="28" t="s">
        <v>129</v>
      </c>
      <c r="AX462" s="28"/>
      <c r="AY462" s="141"/>
      <c r="BA462" t="s">
        <v>6</v>
      </c>
      <c r="BB462" s="138" t="s">
        <v>137</v>
      </c>
      <c r="BC462" s="138">
        <v>206</v>
      </c>
      <c r="BD462" s="141">
        <v>180</v>
      </c>
      <c r="BH462" s="138"/>
      <c r="BI462" s="141"/>
      <c r="BJ462" s="43">
        <v>15</v>
      </c>
      <c r="BK462" s="43" t="s">
        <v>145</v>
      </c>
      <c r="BL462" s="141"/>
    </row>
    <row r="463" spans="1:64" x14ac:dyDescent="0.3">
      <c r="A463" s="138" t="s">
        <v>109</v>
      </c>
      <c r="B463" s="138">
        <v>2797</v>
      </c>
      <c r="C463" s="28">
        <v>3455</v>
      </c>
      <c r="D463" s="138"/>
      <c r="E463" s="28">
        <v>0</v>
      </c>
      <c r="F463" s="141"/>
      <c r="G463" s="141"/>
      <c r="H463" s="43">
        <v>13</v>
      </c>
      <c r="I463" s="28" t="s">
        <v>114</v>
      </c>
      <c r="J463" s="141"/>
      <c r="L463" s="134"/>
      <c r="M463" s="134"/>
      <c r="N463" s="195"/>
      <c r="O463" s="134"/>
      <c r="P463" s="195"/>
      <c r="Q463" s="136"/>
      <c r="R463" s="134"/>
      <c r="S463" s="195"/>
      <c r="T463" s="134" t="s">
        <v>104</v>
      </c>
      <c r="U463" s="136"/>
      <c r="AB463" s="138" t="s">
        <v>817</v>
      </c>
      <c r="AC463" s="138">
        <v>73</v>
      </c>
      <c r="AD463" s="141">
        <v>540</v>
      </c>
      <c r="AE463" s="28">
        <v>0</v>
      </c>
      <c r="AF463" s="28">
        <v>0</v>
      </c>
      <c r="AG463" s="28">
        <v>0</v>
      </c>
      <c r="AH463" s="138">
        <v>0</v>
      </c>
      <c r="AI463" s="141">
        <v>0</v>
      </c>
      <c r="AJ463" s="28">
        <v>0</v>
      </c>
      <c r="AK463" s="138"/>
      <c r="AM463" s="141"/>
      <c r="AP463" s="138" t="s">
        <v>132</v>
      </c>
      <c r="AQ463" s="138">
        <v>0</v>
      </c>
      <c r="AR463" s="141">
        <v>0</v>
      </c>
      <c r="AS463" s="138"/>
      <c r="AT463" s="141"/>
      <c r="AU463" s="28"/>
      <c r="AV463" s="28"/>
      <c r="AW463" s="28"/>
      <c r="AX463" s="28"/>
      <c r="AY463" s="141"/>
      <c r="BA463" t="s">
        <v>6</v>
      </c>
      <c r="BB463" s="138" t="s">
        <v>113</v>
      </c>
      <c r="BC463" s="138">
        <v>725</v>
      </c>
      <c r="BD463" s="141">
        <f>802+19</f>
        <v>821</v>
      </c>
      <c r="BH463" s="138"/>
      <c r="BI463" s="141"/>
      <c r="BJ463" s="43">
        <v>91</v>
      </c>
      <c r="BK463" s="28" t="s">
        <v>73</v>
      </c>
      <c r="BL463" s="141"/>
    </row>
    <row r="464" spans="1:64" x14ac:dyDescent="0.3">
      <c r="A464" s="138" t="s">
        <v>84</v>
      </c>
      <c r="B464" s="138">
        <f>SUM(B462:B463)</f>
        <v>2797</v>
      </c>
      <c r="C464" s="28">
        <f>SUM(C462:C463)</f>
        <v>3455</v>
      </c>
      <c r="D464" s="138"/>
      <c r="E464" s="28">
        <f>SUM(E462:E463)</f>
        <v>801</v>
      </c>
      <c r="F464" s="141"/>
      <c r="G464" s="141">
        <v>4875</v>
      </c>
      <c r="H464" s="28"/>
      <c r="I464" s="28"/>
      <c r="J464" s="141">
        <f>SUM(H463)</f>
        <v>13</v>
      </c>
      <c r="L464" s="138" t="s">
        <v>109</v>
      </c>
      <c r="M464" s="138">
        <v>1985</v>
      </c>
      <c r="N464" s="196">
        <v>0</v>
      </c>
      <c r="O464" s="138">
        <v>0</v>
      </c>
      <c r="P464" s="196">
        <v>0</v>
      </c>
      <c r="Q464" s="141">
        <v>0</v>
      </c>
      <c r="R464" s="138">
        <v>0</v>
      </c>
      <c r="S464" s="196">
        <v>0</v>
      </c>
      <c r="T464" s="138"/>
      <c r="U464" s="141"/>
      <c r="AB464" s="138" t="s">
        <v>1093</v>
      </c>
      <c r="AC464" s="138"/>
      <c r="AD464" s="141"/>
      <c r="AE464" s="28">
        <v>0</v>
      </c>
      <c r="AF464" s="28">
        <v>0</v>
      </c>
      <c r="AG464" s="28">
        <v>0</v>
      </c>
      <c r="AH464" s="138"/>
      <c r="AI464" s="141"/>
      <c r="AJ464" s="28"/>
      <c r="AK464" s="138">
        <v>4</v>
      </c>
      <c r="AL464" s="43" t="s">
        <v>359</v>
      </c>
      <c r="AM464" s="141"/>
      <c r="AP464" s="138" t="s">
        <v>81</v>
      </c>
      <c r="AQ464" s="138">
        <v>3</v>
      </c>
      <c r="AR464" s="141">
        <v>0</v>
      </c>
      <c r="AS464" s="138"/>
      <c r="AT464" s="141"/>
      <c r="AU464" s="28"/>
      <c r="AV464" s="28"/>
      <c r="AW464" s="28"/>
      <c r="AX464" s="28"/>
      <c r="AY464" s="141"/>
      <c r="BB464" s="138" t="s">
        <v>84</v>
      </c>
      <c r="BC464" s="138">
        <f>SUM(BC461:BC463)</f>
        <v>1483</v>
      </c>
      <c r="BD464" s="141">
        <f>SUM(BD461:BD463)</f>
        <v>1536</v>
      </c>
      <c r="BE464">
        <v>0</v>
      </c>
      <c r="BF464">
        <v>0</v>
      </c>
      <c r="BG464">
        <v>0</v>
      </c>
      <c r="BH464" s="138">
        <v>0</v>
      </c>
      <c r="BI464" s="141">
        <v>0</v>
      </c>
      <c r="BJ464" s="28"/>
      <c r="BK464" s="28"/>
      <c r="BL464" s="141">
        <f>SUM(BJ462:BJ464)</f>
        <v>106</v>
      </c>
    </row>
    <row r="465" spans="1:65" x14ac:dyDescent="0.3">
      <c r="A465" s="134" t="s">
        <v>785</v>
      </c>
      <c r="B465" s="134">
        <v>1891</v>
      </c>
      <c r="C465" s="136">
        <v>2027</v>
      </c>
      <c r="D465" s="135"/>
      <c r="E465" s="135"/>
      <c r="F465" s="135"/>
      <c r="G465" s="195">
        <v>2200</v>
      </c>
      <c r="H465" s="135" t="s">
        <v>1050</v>
      </c>
      <c r="I465" s="135"/>
      <c r="J465" s="136"/>
      <c r="L465" s="142"/>
      <c r="M465" s="142"/>
      <c r="N465" s="199"/>
      <c r="O465" s="142"/>
      <c r="P465" s="199"/>
      <c r="Q465" s="146"/>
      <c r="R465" s="142"/>
      <c r="S465" s="199"/>
      <c r="T465" s="142"/>
      <c r="U465" s="146"/>
      <c r="AB465" s="142"/>
      <c r="AC465" s="142"/>
      <c r="AD465" s="146"/>
      <c r="AE465" s="143">
        <v>0</v>
      </c>
      <c r="AF465" s="143">
        <v>0</v>
      </c>
      <c r="AG465" s="143">
        <v>0</v>
      </c>
      <c r="AH465" s="142"/>
      <c r="AI465" s="146"/>
      <c r="AJ465" s="143"/>
      <c r="AK465" s="142"/>
      <c r="AL465" s="143"/>
      <c r="AM465" s="146"/>
      <c r="AP465" s="138" t="s">
        <v>138</v>
      </c>
      <c r="AQ465" s="138">
        <v>0</v>
      </c>
      <c r="AR465" s="141">
        <v>0</v>
      </c>
      <c r="AS465" s="138"/>
      <c r="AT465" s="141"/>
      <c r="AU465" s="28"/>
      <c r="AV465" s="28"/>
      <c r="AW465" s="28"/>
      <c r="AX465" s="28"/>
      <c r="AY465" s="141"/>
      <c r="BA465" t="s">
        <v>6</v>
      </c>
      <c r="BB465" s="134"/>
      <c r="BC465" s="134"/>
      <c r="BD465" s="136"/>
      <c r="BE465" s="135"/>
      <c r="BF465" s="135"/>
      <c r="BG465" s="135"/>
      <c r="BH465" s="134"/>
      <c r="BI465" s="136"/>
      <c r="BJ465" s="135" t="s">
        <v>1025</v>
      </c>
      <c r="BK465" s="135"/>
      <c r="BL465" s="136"/>
    </row>
    <row r="466" spans="1:65" x14ac:dyDescent="0.3">
      <c r="A466" s="138" t="s">
        <v>93</v>
      </c>
      <c r="B466" s="138">
        <v>10778</v>
      </c>
      <c r="C466" s="141">
        <v>11667</v>
      </c>
      <c r="D466" s="28"/>
      <c r="E466" s="28"/>
      <c r="F466" s="28"/>
      <c r="G466" s="196">
        <v>12500</v>
      </c>
      <c r="H466" s="28">
        <v>10</v>
      </c>
      <c r="I466" s="28" t="s">
        <v>75</v>
      </c>
      <c r="J466" s="141"/>
      <c r="L466" s="134" t="s">
        <v>93</v>
      </c>
      <c r="M466" s="134">
        <v>0</v>
      </c>
      <c r="N466" s="195">
        <v>0</v>
      </c>
      <c r="O466" s="134"/>
      <c r="P466" s="195"/>
      <c r="Q466" s="136"/>
      <c r="R466" s="134">
        <v>0</v>
      </c>
      <c r="S466" s="195">
        <v>0</v>
      </c>
      <c r="T466" s="134" t="s">
        <v>116</v>
      </c>
      <c r="U466" s="136"/>
      <c r="AB466" s="138"/>
      <c r="AC466" s="138"/>
      <c r="AD466" s="141"/>
      <c r="AE466" s="28"/>
      <c r="AF466" s="28"/>
      <c r="AG466" s="28"/>
      <c r="AH466" s="138"/>
      <c r="AI466" s="141"/>
      <c r="AJ466" s="28"/>
      <c r="AK466" s="138"/>
      <c r="AL466" s="28" t="s">
        <v>117</v>
      </c>
      <c r="AM466" s="141"/>
      <c r="AP466" s="138" t="s">
        <v>230</v>
      </c>
      <c r="AQ466" s="138">
        <v>0</v>
      </c>
      <c r="AR466" s="141">
        <v>0</v>
      </c>
      <c r="AS466" s="138"/>
      <c r="AT466" s="141"/>
      <c r="AU466" s="28"/>
      <c r="AV466" s="28"/>
      <c r="AW466" s="28"/>
      <c r="AX466" s="28"/>
      <c r="AY466" s="141"/>
      <c r="BB466" s="142" t="s">
        <v>64</v>
      </c>
      <c r="BC466" s="142">
        <v>90</v>
      </c>
      <c r="BD466" s="146">
        <v>108</v>
      </c>
      <c r="BE466" s="143"/>
      <c r="BF466" s="143"/>
      <c r="BG466" s="143"/>
      <c r="BH466" s="142"/>
      <c r="BI466" s="146"/>
      <c r="BJ466" s="143">
        <v>9</v>
      </c>
      <c r="BK466" s="143" t="s">
        <v>1026</v>
      </c>
      <c r="BL466" s="146">
        <f>SUM(BJ466)</f>
        <v>9</v>
      </c>
    </row>
    <row r="467" spans="1:65" x14ac:dyDescent="0.3">
      <c r="A467" s="138" t="s">
        <v>120</v>
      </c>
      <c r="B467" s="138">
        <v>9286</v>
      </c>
      <c r="C467" s="209">
        <v>10389</v>
      </c>
      <c r="D467" s="28"/>
      <c r="E467" s="28" t="s">
        <v>60</v>
      </c>
      <c r="F467" s="28"/>
      <c r="G467" s="196">
        <v>10917</v>
      </c>
      <c r="H467" s="28">
        <v>169</v>
      </c>
      <c r="I467" s="28" t="s">
        <v>101</v>
      </c>
      <c r="J467" s="141"/>
      <c r="L467" s="138" t="s">
        <v>99</v>
      </c>
      <c r="M467" s="138">
        <v>2909</v>
      </c>
      <c r="N467" s="196">
        <v>10455</v>
      </c>
      <c r="O467" s="138"/>
      <c r="P467" s="196"/>
      <c r="Q467" s="141"/>
      <c r="R467" s="138">
        <v>8046</v>
      </c>
      <c r="S467" s="196">
        <v>271</v>
      </c>
      <c r="T467" s="138"/>
      <c r="U467" s="141"/>
      <c r="AB467" s="138"/>
      <c r="AC467" s="138"/>
      <c r="AD467" s="141"/>
      <c r="AE467" s="28"/>
      <c r="AF467" s="28"/>
      <c r="AG467" s="28"/>
      <c r="AH467" s="138"/>
      <c r="AI467" s="141"/>
      <c r="AJ467" s="28"/>
      <c r="AK467" s="138"/>
      <c r="AL467" s="28" t="s">
        <v>558</v>
      </c>
      <c r="AM467" s="141"/>
      <c r="AP467" s="138" t="s">
        <v>67</v>
      </c>
      <c r="AQ467" s="138">
        <v>45</v>
      </c>
      <c r="AR467" s="141">
        <v>46</v>
      </c>
      <c r="AS467" s="138"/>
      <c r="AT467" s="141"/>
      <c r="AU467" s="28"/>
      <c r="AV467" s="28"/>
      <c r="AW467" s="28"/>
      <c r="AX467" s="28"/>
      <c r="AY467" s="141"/>
      <c r="BB467" s="138" t="s">
        <v>113</v>
      </c>
      <c r="BC467" s="138">
        <v>484</v>
      </c>
      <c r="BD467" s="141">
        <v>433</v>
      </c>
      <c r="BE467" s="28"/>
      <c r="BF467" s="28"/>
      <c r="BG467" s="28"/>
      <c r="BH467" s="138"/>
      <c r="BI467" s="141"/>
      <c r="BJ467" s="28" t="s">
        <v>994</v>
      </c>
      <c r="BK467" s="28"/>
      <c r="BL467" s="141"/>
    </row>
    <row r="468" spans="1:65" x14ac:dyDescent="0.3">
      <c r="A468" s="142" t="s">
        <v>84</v>
      </c>
      <c r="B468" s="142">
        <f>SUM(B465:B467)</f>
        <v>21955</v>
      </c>
      <c r="C468" s="146">
        <f>SUM(C465:C467)</f>
        <v>24083</v>
      </c>
      <c r="D468" s="143"/>
      <c r="E468" s="143"/>
      <c r="F468" s="143"/>
      <c r="G468" s="199">
        <f>SUM(G465:G467)</f>
        <v>25617</v>
      </c>
      <c r="H468" s="143" t="s">
        <v>6</v>
      </c>
      <c r="I468" s="143" t="s">
        <v>927</v>
      </c>
      <c r="J468" s="146">
        <f>SUM(H466:H467)</f>
        <v>179</v>
      </c>
      <c r="L468" s="138" t="s">
        <v>120</v>
      </c>
      <c r="M468" s="138">
        <v>0</v>
      </c>
      <c r="N468" s="196">
        <v>3171</v>
      </c>
      <c r="O468" s="138"/>
      <c r="P468" s="196"/>
      <c r="Q468" s="141" t="s">
        <v>6</v>
      </c>
      <c r="R468" s="138">
        <v>0</v>
      </c>
      <c r="S468" s="196">
        <v>0</v>
      </c>
      <c r="T468" s="138"/>
      <c r="U468" s="141"/>
      <c r="AB468" s="138"/>
      <c r="AC468" s="138"/>
      <c r="AD468" s="141"/>
      <c r="AE468" s="28"/>
      <c r="AF468" s="28"/>
      <c r="AG468" s="28"/>
      <c r="AH468" s="138"/>
      <c r="AI468" s="141"/>
      <c r="AJ468" s="28"/>
      <c r="AK468" s="138"/>
      <c r="AL468" s="28" t="s">
        <v>401</v>
      </c>
      <c r="AM468" s="141"/>
      <c r="AP468" s="142" t="s">
        <v>84</v>
      </c>
      <c r="AQ468" s="142">
        <f>SUM(AQ455:AQ467)</f>
        <v>159</v>
      </c>
      <c r="AR468" s="146">
        <f>SUM(AR455:AR467)</f>
        <v>172</v>
      </c>
      <c r="AS468" s="142"/>
      <c r="AT468" s="146">
        <v>0</v>
      </c>
      <c r="AU468" s="143"/>
      <c r="AV468" s="143"/>
      <c r="AW468" s="143"/>
      <c r="AX468" s="143"/>
      <c r="AY468" s="146">
        <f>SUM(AV460:AV462)</f>
        <v>74</v>
      </c>
      <c r="BB468" s="138" t="s">
        <v>475</v>
      </c>
      <c r="BC468" s="138">
        <v>0</v>
      </c>
      <c r="BD468" s="141">
        <v>0</v>
      </c>
      <c r="BE468" s="28"/>
      <c r="BF468" s="28"/>
      <c r="BG468" s="28"/>
      <c r="BH468" s="138"/>
      <c r="BI468" s="141"/>
      <c r="BJ468" s="28">
        <v>18</v>
      </c>
      <c r="BK468" s="28" t="s">
        <v>100</v>
      </c>
      <c r="BL468" s="141"/>
      <c r="BM468" t="s">
        <v>6</v>
      </c>
    </row>
    <row r="469" spans="1:65" x14ac:dyDescent="0.3">
      <c r="A469" s="196" t="s">
        <v>6</v>
      </c>
      <c r="B469" s="138" t="s">
        <v>6</v>
      </c>
      <c r="C469" s="141" t="s">
        <v>6</v>
      </c>
      <c r="D469" s="138"/>
      <c r="E469" s="28"/>
      <c r="F469" s="28"/>
      <c r="G469" s="196" t="s">
        <v>6</v>
      </c>
      <c r="H469" s="28" t="s">
        <v>131</v>
      </c>
      <c r="I469" s="28"/>
      <c r="J469" s="141"/>
      <c r="L469" s="142" t="s">
        <v>84</v>
      </c>
      <c r="M469" s="142">
        <f>SUM(M466:M468)</f>
        <v>2909</v>
      </c>
      <c r="N469" s="199">
        <f>SUM(N466:N468)</f>
        <v>13626</v>
      </c>
      <c r="O469" s="142">
        <v>0</v>
      </c>
      <c r="P469" s="199">
        <v>0</v>
      </c>
      <c r="Q469" s="146">
        <v>0</v>
      </c>
      <c r="R469" s="142">
        <f>SUM(R466:R468)</f>
        <v>8046</v>
      </c>
      <c r="S469" s="199">
        <f>SUM(S466:S468)</f>
        <v>271</v>
      </c>
      <c r="T469" s="142"/>
      <c r="U469" s="146"/>
      <c r="AB469" s="138"/>
      <c r="AC469" s="138"/>
      <c r="AD469" s="141"/>
      <c r="AE469" s="28"/>
      <c r="AF469" s="28"/>
      <c r="AG469" s="28"/>
      <c r="AH469" s="138"/>
      <c r="AI469" s="141"/>
      <c r="AJ469" s="28"/>
      <c r="AK469" s="138">
        <v>2</v>
      </c>
      <c r="AL469" s="28" t="s">
        <v>124</v>
      </c>
      <c r="AM469" s="141"/>
      <c r="AP469" s="134"/>
      <c r="AQ469" s="134"/>
      <c r="AR469" s="136"/>
      <c r="AS469" s="134"/>
      <c r="AT469" s="136"/>
      <c r="AU469" s="135"/>
      <c r="AV469" s="135"/>
      <c r="AW469" s="135"/>
      <c r="AX469" s="135"/>
      <c r="AY469" s="136"/>
      <c r="BB469" s="142" t="s">
        <v>84</v>
      </c>
      <c r="BC469" s="142">
        <f>SUM(BC467:BC468)</f>
        <v>484</v>
      </c>
      <c r="BD469" s="146">
        <f>SUM(BD467:BD468)</f>
        <v>433</v>
      </c>
      <c r="BE469" s="143">
        <v>0</v>
      </c>
      <c r="BF469" s="143">
        <v>0</v>
      </c>
      <c r="BG469" s="143">
        <v>0</v>
      </c>
      <c r="BH469" s="142">
        <v>0</v>
      </c>
      <c r="BI469" s="146">
        <v>0</v>
      </c>
      <c r="BJ469" s="43">
        <v>26</v>
      </c>
      <c r="BK469" s="43" t="s">
        <v>73</v>
      </c>
      <c r="BL469" s="146">
        <f>SUM(BJ468:BJ469)</f>
        <v>44</v>
      </c>
    </row>
    <row r="470" spans="1:65" x14ac:dyDescent="0.3">
      <c r="A470" s="196" t="s">
        <v>88</v>
      </c>
      <c r="B470" s="138">
        <f>687+5</f>
        <v>692</v>
      </c>
      <c r="C470" s="141">
        <v>3367</v>
      </c>
      <c r="D470" s="138"/>
      <c r="E470" s="28">
        <v>0</v>
      </c>
      <c r="F470" s="28"/>
      <c r="G470" s="196">
        <v>5682</v>
      </c>
      <c r="H470">
        <v>1</v>
      </c>
      <c r="I470" s="43" t="s">
        <v>1094</v>
      </c>
      <c r="J470" s="141"/>
      <c r="L470" s="134"/>
      <c r="M470" s="134"/>
      <c r="N470" s="195"/>
      <c r="O470" s="134"/>
      <c r="P470" s="195"/>
      <c r="Q470" s="136"/>
      <c r="R470" s="134"/>
      <c r="S470" s="195"/>
      <c r="T470" s="134"/>
      <c r="U470" s="136"/>
      <c r="AB470" s="134"/>
      <c r="AC470" s="134"/>
      <c r="AD470" s="136"/>
      <c r="AE470" s="135"/>
      <c r="AF470" s="135"/>
      <c r="AG470" s="135"/>
      <c r="AH470" s="134"/>
      <c r="AI470" s="136"/>
      <c r="AJ470" s="135"/>
      <c r="AK470" s="134"/>
      <c r="AL470" s="135"/>
      <c r="AM470" s="136"/>
      <c r="AP470" s="138" t="s">
        <v>63</v>
      </c>
      <c r="AQ470" s="138">
        <v>0</v>
      </c>
      <c r="AR470" s="141">
        <v>0</v>
      </c>
      <c r="AS470" s="138"/>
      <c r="AT470" s="141"/>
      <c r="AU470" s="28"/>
      <c r="AV470" s="28"/>
      <c r="AW470" s="28"/>
      <c r="AX470" s="28"/>
      <c r="AY470" s="141"/>
      <c r="BB470" s="196" t="s">
        <v>1095</v>
      </c>
      <c r="BC470" s="138">
        <v>1</v>
      </c>
      <c r="BD470" s="141">
        <v>0</v>
      </c>
      <c r="BE470" s="134"/>
      <c r="BF470" s="135"/>
      <c r="BG470" s="136"/>
      <c r="BH470" s="138"/>
      <c r="BI470" s="141"/>
      <c r="BJ470" s="134" t="s">
        <v>140</v>
      </c>
      <c r="BK470" s="135"/>
      <c r="BL470" s="136"/>
    </row>
    <row r="471" spans="1:65" x14ac:dyDescent="0.3">
      <c r="A471" s="211" t="s">
        <v>99</v>
      </c>
      <c r="B471" s="212">
        <v>1705</v>
      </c>
      <c r="C471" s="209">
        <v>2324</v>
      </c>
      <c r="D471" s="138"/>
      <c r="E471" s="28">
        <v>0</v>
      </c>
      <c r="F471" s="28"/>
      <c r="G471" s="211">
        <v>2856</v>
      </c>
      <c r="H471" s="28">
        <v>1</v>
      </c>
      <c r="I471" s="215" t="s">
        <v>1072</v>
      </c>
      <c r="J471" s="141"/>
      <c r="L471" s="138" t="s">
        <v>105</v>
      </c>
      <c r="M471" s="138">
        <v>2109</v>
      </c>
      <c r="N471" s="196">
        <v>534</v>
      </c>
      <c r="O471" s="138">
        <v>0</v>
      </c>
      <c r="P471" s="196">
        <v>0</v>
      </c>
      <c r="Q471" s="141">
        <v>0</v>
      </c>
      <c r="R471" s="138">
        <v>0</v>
      </c>
      <c r="S471" s="196">
        <v>0</v>
      </c>
      <c r="T471" s="138"/>
      <c r="U471" s="141"/>
      <c r="AB471" s="138" t="s">
        <v>97</v>
      </c>
      <c r="AC471" s="138">
        <v>162</v>
      </c>
      <c r="AD471" s="141">
        <v>228</v>
      </c>
      <c r="AE471" s="28"/>
      <c r="AF471" s="28"/>
      <c r="AG471" s="28"/>
      <c r="AH471" s="138"/>
      <c r="AI471" s="141"/>
      <c r="AJ471" s="28"/>
      <c r="AK471" s="138" t="s">
        <v>953</v>
      </c>
      <c r="AL471" s="28"/>
      <c r="AM471" s="141"/>
      <c r="AP471" s="138" t="s">
        <v>536</v>
      </c>
      <c r="AQ471" s="138">
        <v>0</v>
      </c>
      <c r="AR471" s="141">
        <v>0</v>
      </c>
      <c r="AS471" s="138"/>
      <c r="AT471" s="141"/>
      <c r="AU471" s="28"/>
      <c r="AV471" s="28"/>
      <c r="AW471" s="28"/>
      <c r="AX471" s="28"/>
      <c r="AY471" s="141"/>
      <c r="BB471" s="196" t="s">
        <v>139</v>
      </c>
      <c r="BC471" s="138">
        <v>1</v>
      </c>
      <c r="BD471" s="141">
        <v>1</v>
      </c>
      <c r="BE471" s="138"/>
      <c r="BF471" s="28"/>
      <c r="BG471" s="141"/>
      <c r="BH471" s="138"/>
      <c r="BI471" s="141"/>
      <c r="BJ471" s="138"/>
      <c r="BK471" s="28"/>
      <c r="BL471" s="141"/>
    </row>
    <row r="472" spans="1:65" x14ac:dyDescent="0.3">
      <c r="A472" s="196" t="s">
        <v>102</v>
      </c>
      <c r="B472" s="138">
        <v>544</v>
      </c>
      <c r="C472" s="209">
        <v>843</v>
      </c>
      <c r="D472" s="138"/>
      <c r="E472" s="28">
        <v>0</v>
      </c>
      <c r="F472" s="28"/>
      <c r="G472" s="196">
        <v>1445</v>
      </c>
      <c r="H472" s="43">
        <v>42</v>
      </c>
      <c r="I472" s="28" t="s">
        <v>134</v>
      </c>
      <c r="J472" s="141"/>
      <c r="L472" s="138" t="s">
        <v>99</v>
      </c>
      <c r="M472" s="138">
        <v>68</v>
      </c>
      <c r="N472" s="196">
        <v>0</v>
      </c>
      <c r="O472" s="138">
        <v>0</v>
      </c>
      <c r="P472" s="196">
        <v>0</v>
      </c>
      <c r="Q472" s="141">
        <v>0</v>
      </c>
      <c r="R472" s="138">
        <v>0</v>
      </c>
      <c r="S472" s="196">
        <v>0</v>
      </c>
      <c r="T472" s="138" t="s">
        <v>135</v>
      </c>
      <c r="U472" s="141"/>
      <c r="AB472" s="138" t="s">
        <v>89</v>
      </c>
      <c r="AC472" s="138">
        <v>545</v>
      </c>
      <c r="AD472" s="141">
        <v>325</v>
      </c>
      <c r="AE472" s="28"/>
      <c r="AF472" s="28"/>
      <c r="AG472" s="28"/>
      <c r="AH472" s="138"/>
      <c r="AI472" s="141"/>
      <c r="AJ472" s="28"/>
      <c r="AK472" s="138">
        <v>1</v>
      </c>
      <c r="AL472" s="43" t="s">
        <v>145</v>
      </c>
      <c r="AM472" s="141"/>
      <c r="AP472" s="138" t="s">
        <v>56</v>
      </c>
      <c r="AQ472" s="138">
        <v>0</v>
      </c>
      <c r="AR472" s="141">
        <v>0</v>
      </c>
      <c r="AS472" s="138"/>
      <c r="AT472" s="141"/>
      <c r="AU472" s="28"/>
      <c r="AV472" s="28" t="s">
        <v>173</v>
      </c>
      <c r="AW472" s="28"/>
      <c r="AX472" s="28"/>
      <c r="AY472" s="141"/>
      <c r="BB472" s="196" t="s">
        <v>502</v>
      </c>
      <c r="BC472" s="138">
        <v>0</v>
      </c>
      <c r="BD472" s="141">
        <v>66</v>
      </c>
      <c r="BE472" s="138"/>
      <c r="BF472" s="28"/>
      <c r="BG472" s="141"/>
      <c r="BH472" s="138"/>
      <c r="BI472" s="141"/>
      <c r="BJ472" s="138"/>
      <c r="BK472" s="28"/>
      <c r="BL472" s="141"/>
    </row>
    <row r="473" spans="1:65" x14ac:dyDescent="0.3">
      <c r="A473" s="196" t="s">
        <v>84</v>
      </c>
      <c r="B473" s="142">
        <f>SUM(B469:B472)</f>
        <v>2941</v>
      </c>
      <c r="C473" s="146">
        <f>SUM(C469:C472)</f>
        <v>6534</v>
      </c>
      <c r="D473" s="142"/>
      <c r="E473" s="143">
        <v>0</v>
      </c>
      <c r="F473" s="143"/>
      <c r="G473" s="199">
        <f>SUM(G470:G472)</f>
        <v>9983</v>
      </c>
      <c r="H473" s="143">
        <v>13</v>
      </c>
      <c r="I473" s="216" t="s">
        <v>815</v>
      </c>
      <c r="J473" s="146">
        <f>SUM(H470:H473)</f>
        <v>57</v>
      </c>
      <c r="L473" s="138"/>
      <c r="M473" s="138"/>
      <c r="N473" s="196"/>
      <c r="O473" s="138"/>
      <c r="P473" s="196"/>
      <c r="Q473" s="141"/>
      <c r="R473" s="138"/>
      <c r="S473" s="196"/>
      <c r="T473" s="138"/>
      <c r="U473" s="141"/>
      <c r="AB473" s="138" t="s">
        <v>137</v>
      </c>
      <c r="AC473" s="138">
        <v>410</v>
      </c>
      <c r="AD473" s="141">
        <v>602</v>
      </c>
      <c r="AE473" s="28"/>
      <c r="AF473" s="28"/>
      <c r="AG473" s="28"/>
      <c r="AH473" s="138"/>
      <c r="AI473" s="141"/>
      <c r="AJ473" s="28"/>
      <c r="AK473" s="138">
        <v>12</v>
      </c>
      <c r="AL473" s="28" t="s">
        <v>884</v>
      </c>
      <c r="AM473" s="141"/>
      <c r="AP473" s="138" t="s">
        <v>67</v>
      </c>
      <c r="AQ473" s="138">
        <v>0</v>
      </c>
      <c r="AR473" s="141">
        <v>0</v>
      </c>
      <c r="AS473" s="138"/>
      <c r="AT473" s="141"/>
      <c r="AU473" s="28"/>
      <c r="AV473" s="28"/>
      <c r="AW473" s="28"/>
      <c r="AX473" s="28"/>
      <c r="AY473" s="141"/>
      <c r="BB473" s="196" t="s">
        <v>113</v>
      </c>
      <c r="BC473" s="138">
        <v>94</v>
      </c>
      <c r="BD473" s="141">
        <f>2+78+1</f>
        <v>81</v>
      </c>
      <c r="BE473" s="138"/>
      <c r="BF473" s="28"/>
      <c r="BG473" s="141"/>
      <c r="BH473" s="138"/>
      <c r="BI473" s="141"/>
      <c r="BJ473" s="138" t="s">
        <v>142</v>
      </c>
      <c r="BK473" s="28"/>
      <c r="BL473" s="141" t="s">
        <v>438</v>
      </c>
    </row>
    <row r="474" spans="1:65" x14ac:dyDescent="0.3">
      <c r="A474" s="195"/>
      <c r="B474" s="28"/>
      <c r="C474" s="28"/>
      <c r="D474" s="138"/>
      <c r="E474" s="28" t="s">
        <v>6</v>
      </c>
      <c r="F474" s="28"/>
      <c r="G474" s="196"/>
      <c r="H474" s="28" t="s">
        <v>116</v>
      </c>
      <c r="I474" s="28"/>
      <c r="J474" s="141"/>
      <c r="L474" s="142" t="s">
        <v>84</v>
      </c>
      <c r="M474" s="142">
        <f>SUM(M471:M473)</f>
        <v>2177</v>
      </c>
      <c r="N474" s="199">
        <f>SUM(N471:N473)</f>
        <v>534</v>
      </c>
      <c r="O474" s="142">
        <v>0</v>
      </c>
      <c r="P474" s="199">
        <v>0</v>
      </c>
      <c r="Q474" s="146">
        <v>0</v>
      </c>
      <c r="R474" s="142">
        <f>SUM(R471:R473)</f>
        <v>0</v>
      </c>
      <c r="S474" s="199">
        <v>0</v>
      </c>
      <c r="T474" s="142"/>
      <c r="U474" s="146"/>
      <c r="AB474" s="138" t="s">
        <v>84</v>
      </c>
      <c r="AC474" s="138">
        <f>SUM(AC471:AC473)</f>
        <v>1117</v>
      </c>
      <c r="AD474" s="141">
        <f>SUM(AD471:AD473)</f>
        <v>1155</v>
      </c>
      <c r="AE474" s="28">
        <v>0</v>
      </c>
      <c r="AF474" s="28">
        <v>0</v>
      </c>
      <c r="AG474" s="28">
        <v>0</v>
      </c>
      <c r="AH474" s="138">
        <v>0</v>
      </c>
      <c r="AI474" s="141">
        <v>0</v>
      </c>
      <c r="AJ474" s="28">
        <v>0</v>
      </c>
      <c r="AK474" s="138">
        <v>8</v>
      </c>
      <c r="AL474" s="28" t="s">
        <v>141</v>
      </c>
      <c r="AM474" s="141"/>
      <c r="AP474" s="138" t="s">
        <v>78</v>
      </c>
      <c r="AQ474" s="138">
        <v>0</v>
      </c>
      <c r="AR474" s="141">
        <v>0</v>
      </c>
      <c r="AS474" s="138"/>
      <c r="AT474" s="141"/>
      <c r="AU474" s="28"/>
      <c r="AV474" s="28">
        <v>0</v>
      </c>
      <c r="AW474" s="28" t="s">
        <v>183</v>
      </c>
      <c r="AX474" s="28"/>
      <c r="AY474" s="141"/>
      <c r="BB474" s="196" t="s">
        <v>108</v>
      </c>
      <c r="BC474" s="138">
        <v>8</v>
      </c>
      <c r="BD474" s="141">
        <v>0</v>
      </c>
      <c r="BE474" s="138"/>
      <c r="BF474" s="28"/>
      <c r="BG474" s="141"/>
      <c r="BH474" s="138"/>
      <c r="BI474" s="141"/>
      <c r="BJ474" s="138" t="s">
        <v>146</v>
      </c>
      <c r="BK474" s="28"/>
      <c r="BL474" s="141" t="s">
        <v>1096</v>
      </c>
    </row>
    <row r="475" spans="1:65" x14ac:dyDescent="0.3">
      <c r="A475" s="196" t="s">
        <v>93</v>
      </c>
      <c r="B475" s="43">
        <v>8366</v>
      </c>
      <c r="C475" s="43">
        <v>9405</v>
      </c>
      <c r="D475" s="138"/>
      <c r="E475" s="28" t="s">
        <v>60</v>
      </c>
      <c r="F475" s="28"/>
      <c r="G475" s="196">
        <v>11003</v>
      </c>
      <c r="H475" s="43">
        <v>205</v>
      </c>
      <c r="I475" s="28" t="s">
        <v>144</v>
      </c>
      <c r="J475" s="141"/>
      <c r="L475" s="138"/>
      <c r="M475" s="138"/>
      <c r="N475" s="196"/>
      <c r="O475" s="138"/>
      <c r="P475" s="196"/>
      <c r="Q475" s="141"/>
      <c r="R475" s="138"/>
      <c r="S475" s="196"/>
      <c r="T475" s="138"/>
      <c r="U475" s="141"/>
      <c r="AB475" s="142"/>
      <c r="AC475" s="142"/>
      <c r="AD475" s="146"/>
      <c r="AE475" s="143"/>
      <c r="AF475" s="143"/>
      <c r="AG475" s="143"/>
      <c r="AH475" s="142"/>
      <c r="AI475" s="146"/>
      <c r="AJ475" s="143"/>
      <c r="AK475" s="142">
        <v>1</v>
      </c>
      <c r="AL475" s="143" t="s">
        <v>996</v>
      </c>
      <c r="AM475" s="146"/>
      <c r="AP475" s="138" t="s">
        <v>115</v>
      </c>
      <c r="AQ475" s="138">
        <v>0</v>
      </c>
      <c r="AR475" s="141">
        <v>0</v>
      </c>
      <c r="AS475" s="138"/>
      <c r="AT475" s="141"/>
      <c r="AU475" s="28"/>
      <c r="AV475" s="28" t="s">
        <v>6</v>
      </c>
      <c r="AW475" s="28"/>
      <c r="AX475" s="28"/>
      <c r="AY475" s="141"/>
      <c r="BA475" t="s">
        <v>6</v>
      </c>
      <c r="BB475" s="196" t="s">
        <v>133</v>
      </c>
      <c r="BC475" s="138">
        <v>5</v>
      </c>
      <c r="BD475" s="141">
        <v>8</v>
      </c>
      <c r="BE475" s="138"/>
      <c r="BF475" s="28"/>
      <c r="BG475" s="141"/>
      <c r="BH475" s="138"/>
      <c r="BI475" s="141"/>
      <c r="BJ475" s="138"/>
      <c r="BK475" s="28"/>
      <c r="BL475" s="141"/>
    </row>
    <row r="476" spans="1:65" x14ac:dyDescent="0.3">
      <c r="A476" s="196" t="s">
        <v>99</v>
      </c>
      <c r="B476" s="43">
        <v>12524</v>
      </c>
      <c r="C476" s="43">
        <v>15291</v>
      </c>
      <c r="D476" s="138"/>
      <c r="E476" s="28" t="s">
        <v>60</v>
      </c>
      <c r="F476" s="28"/>
      <c r="G476" s="196">
        <v>20050</v>
      </c>
      <c r="H476" s="43">
        <v>0</v>
      </c>
      <c r="I476" s="28" t="s">
        <v>148</v>
      </c>
      <c r="J476" s="141"/>
      <c r="L476" s="138"/>
      <c r="M476" s="138"/>
      <c r="N476" s="196"/>
      <c r="O476" s="138"/>
      <c r="P476" s="196"/>
      <c r="Q476" s="141"/>
      <c r="R476" s="138"/>
      <c r="S476" s="196"/>
      <c r="T476" s="138"/>
      <c r="U476" s="141"/>
      <c r="AB476" s="138"/>
      <c r="AC476" s="138"/>
      <c r="AD476" s="141"/>
      <c r="AE476" s="28"/>
      <c r="AF476" s="28"/>
      <c r="AG476" s="28"/>
      <c r="AH476" s="138"/>
      <c r="AI476" s="141"/>
      <c r="AJ476" s="28"/>
      <c r="AK476" s="134" t="s">
        <v>149</v>
      </c>
      <c r="AL476" s="135"/>
      <c r="AM476" s="136"/>
      <c r="AP476" s="138" t="s">
        <v>72</v>
      </c>
      <c r="AQ476" s="138">
        <v>0</v>
      </c>
      <c r="AR476" s="141">
        <v>0</v>
      </c>
      <c r="AS476" s="138"/>
      <c r="AT476" s="141"/>
      <c r="AU476" s="28"/>
      <c r="AV476" s="28"/>
      <c r="AW476" s="28"/>
      <c r="AX476" s="28"/>
      <c r="AY476" s="141"/>
      <c r="BB476" s="196" t="s">
        <v>99</v>
      </c>
      <c r="BC476" s="138">
        <v>0</v>
      </c>
      <c r="BD476" s="141">
        <v>2</v>
      </c>
      <c r="BE476" s="138" t="s">
        <v>150</v>
      </c>
      <c r="BF476" s="28"/>
      <c r="BG476" s="141"/>
      <c r="BH476" s="138"/>
      <c r="BI476" s="141"/>
      <c r="BJ476" s="138" t="s">
        <v>151</v>
      </c>
      <c r="BK476" s="28"/>
      <c r="BL476" s="141"/>
    </row>
    <row r="477" spans="1:65" x14ac:dyDescent="0.3">
      <c r="A477" s="196" t="s">
        <v>120</v>
      </c>
      <c r="B477" s="43">
        <v>4163</v>
      </c>
      <c r="C477" s="28">
        <v>4813</v>
      </c>
      <c r="D477" s="138"/>
      <c r="E477" s="28" t="s">
        <v>60</v>
      </c>
      <c r="F477" s="28"/>
      <c r="G477" s="196">
        <v>9858</v>
      </c>
      <c r="H477" s="43">
        <v>0</v>
      </c>
      <c r="I477" s="28" t="s">
        <v>152</v>
      </c>
      <c r="J477" s="141"/>
      <c r="L477" s="138"/>
      <c r="M477" s="138"/>
      <c r="N477" s="196"/>
      <c r="O477" s="138"/>
      <c r="P477" s="196"/>
      <c r="Q477" s="141"/>
      <c r="R477" s="138"/>
      <c r="S477" s="196"/>
      <c r="T477" s="138"/>
      <c r="U477" s="141"/>
      <c r="AB477" s="138" t="s">
        <v>99</v>
      </c>
      <c r="AC477" s="138">
        <v>0</v>
      </c>
      <c r="AD477" s="141">
        <v>0</v>
      </c>
      <c r="AE477" s="28">
        <v>0</v>
      </c>
      <c r="AF477" s="28">
        <v>0</v>
      </c>
      <c r="AG477" s="28">
        <v>0</v>
      </c>
      <c r="AH477" s="138">
        <v>28592</v>
      </c>
      <c r="AI477" s="141">
        <v>5652</v>
      </c>
      <c r="AJ477" s="28">
        <v>0</v>
      </c>
      <c r="AK477" s="138">
        <v>3</v>
      </c>
      <c r="AL477" s="28" t="s">
        <v>153</v>
      </c>
      <c r="AM477" s="141"/>
      <c r="AP477" s="142" t="s">
        <v>84</v>
      </c>
      <c r="AQ477" s="142">
        <f>SUM(AQ470:AQ476)</f>
        <v>0</v>
      </c>
      <c r="AR477" s="146">
        <f>SUM(AR470:AR476)</f>
        <v>0</v>
      </c>
      <c r="AS477" s="142"/>
      <c r="AT477" s="146"/>
      <c r="AU477" s="143"/>
      <c r="AV477" s="143"/>
      <c r="AW477" s="143"/>
      <c r="AX477" s="143"/>
      <c r="AY477" s="146">
        <f>SUM(AV474)</f>
        <v>0</v>
      </c>
      <c r="BB477" s="196" t="s">
        <v>85</v>
      </c>
      <c r="BC477" s="138">
        <v>0</v>
      </c>
      <c r="BD477" s="141">
        <v>1</v>
      </c>
      <c r="BE477" s="138"/>
      <c r="BF477" s="28"/>
      <c r="BG477" s="141"/>
      <c r="BH477" s="138"/>
      <c r="BI477" s="141"/>
      <c r="BJ477" s="138" t="s">
        <v>264</v>
      </c>
      <c r="BK477" s="28" t="s">
        <v>820</v>
      </c>
      <c r="BL477" s="141" t="s">
        <v>1097</v>
      </c>
    </row>
    <row r="478" spans="1:65" x14ac:dyDescent="0.3">
      <c r="A478" s="199" t="s">
        <v>84</v>
      </c>
      <c r="B478" s="143">
        <f>SUM(B475:B477)</f>
        <v>25053</v>
      </c>
      <c r="C478" s="143">
        <f>SUM(C475:C477)</f>
        <v>29509</v>
      </c>
      <c r="D478" s="142"/>
      <c r="E478" s="143"/>
      <c r="F478" s="143"/>
      <c r="G478" s="199">
        <f>SUM(G475:G477)</f>
        <v>40911</v>
      </c>
      <c r="H478" s="143">
        <v>1</v>
      </c>
      <c r="I478" s="143" t="s">
        <v>958</v>
      </c>
      <c r="J478" s="146">
        <f>SUM(H475:H478)</f>
        <v>206</v>
      </c>
      <c r="L478" s="138"/>
      <c r="M478" s="138"/>
      <c r="N478" s="196"/>
      <c r="O478" s="138"/>
      <c r="P478" s="196"/>
      <c r="Q478" s="141"/>
      <c r="R478" s="138"/>
      <c r="S478" s="196"/>
      <c r="T478" s="138"/>
      <c r="U478" s="141"/>
      <c r="AB478" s="138"/>
      <c r="AC478" s="138"/>
      <c r="AD478" s="141"/>
      <c r="AE478" s="28"/>
      <c r="AF478" s="28"/>
      <c r="AG478" s="28"/>
      <c r="AH478" s="138"/>
      <c r="AI478" s="141"/>
      <c r="AJ478" s="28"/>
      <c r="AK478" s="142"/>
      <c r="AL478" s="143"/>
      <c r="AM478" s="146"/>
      <c r="AP478" s="134"/>
      <c r="AQ478" s="134"/>
      <c r="AR478" s="136"/>
      <c r="AS478" s="134"/>
      <c r="AT478" s="136"/>
      <c r="AU478" s="135"/>
      <c r="AV478" s="135"/>
      <c r="AW478" s="135"/>
      <c r="AX478" s="135"/>
      <c r="AY478" s="136"/>
      <c r="BB478" s="196" t="s">
        <v>358</v>
      </c>
      <c r="BC478" s="138">
        <v>14</v>
      </c>
      <c r="BD478" s="141">
        <v>12</v>
      </c>
      <c r="BE478" s="138"/>
      <c r="BF478" s="28"/>
      <c r="BG478" s="141"/>
      <c r="BH478" s="138"/>
      <c r="BI478" s="141"/>
      <c r="BJ478" s="138" t="s">
        <v>1098</v>
      </c>
      <c r="BK478" s="28" t="s">
        <v>1099</v>
      </c>
      <c r="BL478" s="141" t="s">
        <v>807</v>
      </c>
    </row>
    <row r="479" spans="1:65" x14ac:dyDescent="0.3">
      <c r="A479" s="195"/>
      <c r="B479" s="135"/>
      <c r="C479" s="135"/>
      <c r="D479" s="134"/>
      <c r="E479" s="135"/>
      <c r="F479" s="135"/>
      <c r="G479" s="195"/>
      <c r="H479" s="135" t="s">
        <v>162</v>
      </c>
      <c r="I479" s="135"/>
      <c r="J479" s="136"/>
      <c r="L479" s="138"/>
      <c r="M479" s="138"/>
      <c r="N479" s="196"/>
      <c r="O479" s="138"/>
      <c r="P479" s="196"/>
      <c r="Q479" s="141"/>
      <c r="R479" s="138"/>
      <c r="S479" s="196"/>
      <c r="T479" s="138"/>
      <c r="U479" s="141"/>
      <c r="AB479" s="134" t="s">
        <v>99</v>
      </c>
      <c r="AC479" s="134">
        <v>0</v>
      </c>
      <c r="AD479" s="136">
        <v>0</v>
      </c>
      <c r="AE479" s="135">
        <v>0</v>
      </c>
      <c r="AF479" s="135">
        <v>0</v>
      </c>
      <c r="AG479" s="135">
        <v>0</v>
      </c>
      <c r="AH479" s="134">
        <v>227775</v>
      </c>
      <c r="AI479" s="136">
        <v>73001</v>
      </c>
      <c r="AJ479" s="135">
        <v>0</v>
      </c>
      <c r="AK479" s="134" t="s">
        <v>157</v>
      </c>
      <c r="AL479" s="135"/>
      <c r="AM479" s="136"/>
      <c r="AP479" s="138" t="s">
        <v>63</v>
      </c>
      <c r="AQ479" s="138">
        <v>10</v>
      </c>
      <c r="AR479" s="141">
        <f>3+8</f>
        <v>11</v>
      </c>
      <c r="AS479" s="138"/>
      <c r="AT479" s="141"/>
      <c r="AU479" s="28"/>
      <c r="AV479" s="28" t="s">
        <v>140</v>
      </c>
      <c r="AW479" s="28"/>
      <c r="AX479" s="28"/>
      <c r="AY479" s="141"/>
      <c r="BB479" s="196" t="s">
        <v>429</v>
      </c>
      <c r="BC479" s="138">
        <v>0</v>
      </c>
      <c r="BD479" s="141">
        <v>2</v>
      </c>
      <c r="BE479" s="138"/>
      <c r="BF479" s="28"/>
      <c r="BG479" s="141"/>
      <c r="BH479" s="138"/>
      <c r="BI479" s="141"/>
      <c r="BJ479" s="138" t="s">
        <v>280</v>
      </c>
      <c r="BK479" s="28" t="s">
        <v>254</v>
      </c>
      <c r="BL479" s="141" t="s">
        <v>360</v>
      </c>
    </row>
    <row r="480" spans="1:65" x14ac:dyDescent="0.3">
      <c r="A480" s="196" t="s">
        <v>105</v>
      </c>
      <c r="B480" s="43">
        <v>1901</v>
      </c>
      <c r="C480" s="43">
        <v>2410</v>
      </c>
      <c r="D480" s="138"/>
      <c r="E480" s="28">
        <v>1927</v>
      </c>
      <c r="F480" s="28"/>
      <c r="G480" s="196"/>
      <c r="H480" s="28"/>
      <c r="I480" s="28"/>
      <c r="J480" s="141"/>
      <c r="L480" s="142" t="s">
        <v>84</v>
      </c>
      <c r="M480" s="142">
        <f t="shared" ref="M480:S480" si="7">SUM(M474+M469+M464+M462+M457+M453)</f>
        <v>35414</v>
      </c>
      <c r="N480" s="199">
        <f t="shared" si="7"/>
        <v>65650</v>
      </c>
      <c r="O480" s="142">
        <f t="shared" si="7"/>
        <v>0</v>
      </c>
      <c r="P480" s="199">
        <f t="shared" si="7"/>
        <v>0</v>
      </c>
      <c r="Q480" s="143">
        <f t="shared" si="7"/>
        <v>0</v>
      </c>
      <c r="R480" s="142">
        <f t="shared" si="7"/>
        <v>8099</v>
      </c>
      <c r="S480" s="199">
        <f t="shared" si="7"/>
        <v>271</v>
      </c>
      <c r="T480" s="142"/>
      <c r="U480" s="146"/>
      <c r="AB480" s="138" t="s">
        <v>6</v>
      </c>
      <c r="AC480" s="138"/>
      <c r="AD480" s="141"/>
      <c r="AE480" s="28"/>
      <c r="AF480" s="28"/>
      <c r="AG480" s="28"/>
      <c r="AH480" s="138"/>
      <c r="AI480" s="141"/>
      <c r="AJ480" s="28"/>
      <c r="AK480" s="138">
        <v>3</v>
      </c>
      <c r="AL480" s="28" t="s">
        <v>163</v>
      </c>
      <c r="AM480" s="141"/>
      <c r="AP480" s="138" t="s">
        <v>78</v>
      </c>
      <c r="AQ480" s="138">
        <f>5+2+27</f>
        <v>34</v>
      </c>
      <c r="AR480" s="141">
        <f>6+9</f>
        <v>15</v>
      </c>
      <c r="AS480" s="138"/>
      <c r="AT480" s="141"/>
      <c r="AU480" s="28"/>
      <c r="AV480" s="28">
        <v>19</v>
      </c>
      <c r="AW480" s="28" t="s">
        <v>204</v>
      </c>
      <c r="AX480" s="28"/>
      <c r="AY480" s="141"/>
      <c r="BB480" s="196" t="s">
        <v>169</v>
      </c>
      <c r="BC480" s="138">
        <v>5</v>
      </c>
      <c r="BD480" s="141">
        <v>3</v>
      </c>
      <c r="BE480" s="138"/>
      <c r="BF480" s="28"/>
      <c r="BG480" s="141"/>
      <c r="BH480" s="138"/>
      <c r="BI480" s="141"/>
      <c r="BJ480" s="138" t="s">
        <v>1100</v>
      </c>
      <c r="BK480" s="43" t="s">
        <v>272</v>
      </c>
      <c r="BL480" s="141" t="s">
        <v>310</v>
      </c>
    </row>
    <row r="481" spans="1:64" ht="15" thickBot="1" x14ac:dyDescent="0.35">
      <c r="A481" s="196" t="s">
        <v>99</v>
      </c>
      <c r="B481" s="43">
        <v>1932</v>
      </c>
      <c r="C481" s="43">
        <v>2458</v>
      </c>
      <c r="D481" s="138"/>
      <c r="E481" s="28">
        <v>2331</v>
      </c>
      <c r="F481" s="28"/>
      <c r="G481" s="196"/>
      <c r="H481" s="28">
        <v>60</v>
      </c>
      <c r="I481" s="28" t="s">
        <v>101</v>
      </c>
      <c r="J481" s="141"/>
      <c r="AB481" s="138" t="s">
        <v>6</v>
      </c>
      <c r="AC481" s="138"/>
      <c r="AD481" s="141"/>
      <c r="AE481" s="28"/>
      <c r="AF481" s="28"/>
      <c r="AG481" s="28"/>
      <c r="AH481" s="138"/>
      <c r="AI481" s="141"/>
      <c r="AJ481" s="28"/>
      <c r="AK481" s="142">
        <v>12</v>
      </c>
      <c r="AL481" s="143" t="s">
        <v>153</v>
      </c>
      <c r="AM481" s="146"/>
      <c r="AP481" s="138" t="s">
        <v>209</v>
      </c>
      <c r="AQ481" s="138">
        <v>0</v>
      </c>
      <c r="AR481" s="141">
        <v>0</v>
      </c>
      <c r="AS481" s="138"/>
      <c r="AT481" s="141"/>
      <c r="AU481" s="28"/>
      <c r="AV481" s="28">
        <v>1</v>
      </c>
      <c r="AW481" s="28" t="s">
        <v>1101</v>
      </c>
      <c r="AX481" s="28"/>
      <c r="AY481" s="141"/>
      <c r="BB481" s="196" t="s">
        <v>1102</v>
      </c>
      <c r="BC481" s="138">
        <v>5</v>
      </c>
      <c r="BD481" s="141">
        <v>0</v>
      </c>
      <c r="BE481" s="138"/>
      <c r="BF481" s="28"/>
      <c r="BG481" s="141"/>
      <c r="BH481" s="138"/>
      <c r="BI481" s="141"/>
      <c r="BJ481" s="138" t="s">
        <v>347</v>
      </c>
      <c r="BK481" s="43" t="s">
        <v>803</v>
      </c>
      <c r="BL481" s="141" t="s">
        <v>1103</v>
      </c>
    </row>
    <row r="482" spans="1:64" x14ac:dyDescent="0.3">
      <c r="A482" s="199" t="s">
        <v>84</v>
      </c>
      <c r="B482" s="143">
        <f>SUM(B479:B481)</f>
        <v>3833</v>
      </c>
      <c r="C482" s="143">
        <f>SUM(C479:C481)</f>
        <v>4868</v>
      </c>
      <c r="D482" s="142"/>
      <c r="E482" s="143">
        <f>SUM(E479:E481)</f>
        <v>4258</v>
      </c>
      <c r="F482" s="143"/>
      <c r="G482" s="199">
        <v>9933</v>
      </c>
      <c r="H482" s="143"/>
      <c r="I482" s="143"/>
      <c r="J482" s="146">
        <f>SUM(H481)</f>
        <v>60</v>
      </c>
      <c r="L482" t="s">
        <v>6</v>
      </c>
      <c r="AB482" s="33" t="s">
        <v>1104</v>
      </c>
      <c r="AC482" s="200">
        <v>0</v>
      </c>
      <c r="AD482" s="201">
        <v>0</v>
      </c>
      <c r="AE482" s="34">
        <v>0</v>
      </c>
      <c r="AF482" s="34">
        <v>0</v>
      </c>
      <c r="AG482" s="34">
        <v>0</v>
      </c>
      <c r="AH482" s="200">
        <v>127305</v>
      </c>
      <c r="AI482" s="201">
        <v>0</v>
      </c>
      <c r="AJ482" s="34"/>
      <c r="AK482" s="138" t="s">
        <v>1105</v>
      </c>
      <c r="AL482" s="28"/>
      <c r="AM482" s="40"/>
      <c r="AP482" s="138" t="s">
        <v>168</v>
      </c>
      <c r="AQ482" s="138">
        <v>0</v>
      </c>
      <c r="AR482" s="141">
        <v>0</v>
      </c>
      <c r="AS482" s="138"/>
      <c r="AT482" s="141"/>
      <c r="AU482" s="28"/>
      <c r="AV482" s="28">
        <f>4+18</f>
        <v>22</v>
      </c>
      <c r="AW482" s="28" t="s">
        <v>213</v>
      </c>
      <c r="AX482" s="28" t="s">
        <v>6</v>
      </c>
      <c r="AY482" s="141"/>
      <c r="BB482" s="196" t="s">
        <v>574</v>
      </c>
      <c r="BC482" s="138">
        <v>3</v>
      </c>
      <c r="BD482" s="141">
        <v>3</v>
      </c>
      <c r="BE482" s="138"/>
      <c r="BF482" s="28"/>
      <c r="BG482" s="141"/>
      <c r="BH482" s="138"/>
      <c r="BI482" s="141"/>
      <c r="BJ482" s="217" t="s">
        <v>428</v>
      </c>
      <c r="BK482" s="218"/>
      <c r="BL482" s="141" t="s">
        <v>325</v>
      </c>
    </row>
    <row r="483" spans="1:64" ht="15" thickBot="1" x14ac:dyDescent="0.35">
      <c r="A483" s="196" t="s">
        <v>6</v>
      </c>
      <c r="B483" s="135"/>
      <c r="C483" s="135"/>
      <c r="D483" s="134"/>
      <c r="E483" s="135" t="s">
        <v>60</v>
      </c>
      <c r="F483" s="136"/>
      <c r="G483" s="135"/>
      <c r="H483" s="134" t="s">
        <v>182</v>
      </c>
      <c r="I483" s="135"/>
      <c r="J483" s="136"/>
      <c r="AB483" s="47"/>
      <c r="AC483" s="202"/>
      <c r="AD483" s="203"/>
      <c r="AE483" s="48"/>
      <c r="AF483" s="48"/>
      <c r="AG483" s="48"/>
      <c r="AH483" s="202"/>
      <c r="AI483" s="203"/>
      <c r="AJ483" s="48"/>
      <c r="AK483" s="202">
        <v>2</v>
      </c>
      <c r="AL483" s="48" t="s">
        <v>1106</v>
      </c>
      <c r="AM483" s="49"/>
      <c r="AP483" s="138" t="s">
        <v>81</v>
      </c>
      <c r="AQ483" s="138">
        <v>3</v>
      </c>
      <c r="AR483" s="141">
        <v>5</v>
      </c>
      <c r="AS483" s="138"/>
      <c r="AT483" s="141"/>
      <c r="AU483" s="28"/>
      <c r="AV483" s="43">
        <v>0</v>
      </c>
      <c r="AW483" s="28" t="s">
        <v>1038</v>
      </c>
      <c r="AX483" s="28"/>
      <c r="AY483" s="141" t="s">
        <v>6</v>
      </c>
      <c r="BB483" s="219" t="s">
        <v>998</v>
      </c>
      <c r="BC483" s="138">
        <v>5</v>
      </c>
      <c r="BD483" s="141">
        <v>0</v>
      </c>
      <c r="BE483" s="138"/>
      <c r="BF483" s="28"/>
      <c r="BG483" s="141"/>
      <c r="BH483" s="138"/>
      <c r="BI483" s="141"/>
      <c r="BJ483" s="138" t="s">
        <v>988</v>
      </c>
      <c r="BK483" s="222" t="s">
        <v>1107</v>
      </c>
      <c r="BL483" s="141" t="s">
        <v>1086</v>
      </c>
    </row>
    <row r="484" spans="1:64" ht="15" thickBot="1" x14ac:dyDescent="0.35">
      <c r="A484" s="196" t="s">
        <v>181</v>
      </c>
      <c r="B484" s="28">
        <v>3593</v>
      </c>
      <c r="C484" s="28">
        <v>4388</v>
      </c>
      <c r="D484" s="138"/>
      <c r="E484" s="28" t="s">
        <v>60</v>
      </c>
      <c r="F484" s="141"/>
      <c r="G484" s="28"/>
      <c r="H484" s="138">
        <v>3</v>
      </c>
      <c r="I484" s="28" t="s">
        <v>94</v>
      </c>
      <c r="J484" s="141"/>
      <c r="AB484" s="47" t="s">
        <v>84</v>
      </c>
      <c r="AC484" s="202">
        <f>SUM(AC479+AC477+AC474+AC461+AC457+AC454+AC463)</f>
        <v>3385</v>
      </c>
      <c r="AD484" s="203">
        <f>SUM(AD479+AD477+AD474+AD461+AD457+AD454+AD463)</f>
        <v>4233</v>
      </c>
      <c r="AE484" s="48">
        <v>0</v>
      </c>
      <c r="AF484" s="48">
        <v>0</v>
      </c>
      <c r="AG484" s="48">
        <v>0</v>
      </c>
      <c r="AH484" s="202">
        <f>SUM(AH482+AH479+AH477+AH454)</f>
        <v>383672</v>
      </c>
      <c r="AI484" s="203">
        <f>SUM(AI479+AI477+AI454)</f>
        <v>78653</v>
      </c>
      <c r="AJ484" s="48">
        <v>0</v>
      </c>
      <c r="AK484" s="202" t="s">
        <v>189</v>
      </c>
      <c r="AL484" s="48"/>
      <c r="AM484" s="49">
        <f>SUM(AK453:AK483)</f>
        <v>61</v>
      </c>
      <c r="AP484" s="138" t="s">
        <v>72</v>
      </c>
      <c r="AQ484" s="138">
        <f>3+10</f>
        <v>13</v>
      </c>
      <c r="AR484" s="141">
        <v>10</v>
      </c>
      <c r="AS484" s="138"/>
      <c r="AT484" s="141"/>
      <c r="AU484" s="28"/>
      <c r="AV484" s="43">
        <v>10</v>
      </c>
      <c r="AW484" s="43" t="s">
        <v>655</v>
      </c>
      <c r="AX484" s="28"/>
      <c r="AY484" s="141"/>
      <c r="BB484" s="196" t="s">
        <v>64</v>
      </c>
      <c r="BC484" s="138">
        <v>0</v>
      </c>
      <c r="BD484" s="141">
        <v>0</v>
      </c>
      <c r="BE484" s="138"/>
      <c r="BF484" s="28"/>
      <c r="BG484" s="141"/>
      <c r="BH484" s="138"/>
      <c r="BI484" s="141"/>
      <c r="BJ484" s="223" t="s">
        <v>1108</v>
      </c>
      <c r="BK484" s="43" t="s">
        <v>1005</v>
      </c>
      <c r="BL484" s="209" t="s">
        <v>1109</v>
      </c>
    </row>
    <row r="485" spans="1:64" x14ac:dyDescent="0.3">
      <c r="A485" s="196" t="s">
        <v>84</v>
      </c>
      <c r="B485" s="28">
        <f>SUM(B483:B484)</f>
        <v>3593</v>
      </c>
      <c r="C485" s="28">
        <f>SUM(C483:C484)</f>
        <v>4388</v>
      </c>
      <c r="D485" s="138"/>
      <c r="E485" s="28" t="s">
        <v>60</v>
      </c>
      <c r="F485" s="141"/>
      <c r="G485" s="28">
        <v>4908</v>
      </c>
      <c r="H485" s="138">
        <v>27</v>
      </c>
      <c r="I485" s="28" t="s">
        <v>101</v>
      </c>
      <c r="J485" s="141"/>
      <c r="AB485" t="s">
        <v>193</v>
      </c>
      <c r="AM485" t="s">
        <v>6</v>
      </c>
      <c r="AP485" s="138" t="s">
        <v>115</v>
      </c>
      <c r="AQ485" s="138">
        <v>6</v>
      </c>
      <c r="AR485" s="141">
        <v>11</v>
      </c>
      <c r="AS485" s="138"/>
      <c r="AT485" s="141"/>
      <c r="AU485" s="28"/>
      <c r="AV485" s="43">
        <v>2</v>
      </c>
      <c r="AW485" s="43" t="s">
        <v>244</v>
      </c>
      <c r="AX485" s="28"/>
      <c r="AY485" s="141"/>
      <c r="BB485" s="196" t="s">
        <v>196</v>
      </c>
      <c r="BC485" s="138">
        <v>0</v>
      </c>
      <c r="BD485" s="141">
        <v>0</v>
      </c>
      <c r="BE485" s="138"/>
      <c r="BF485" s="28"/>
      <c r="BG485" s="141"/>
      <c r="BH485" s="138"/>
      <c r="BI485" s="141"/>
      <c r="BJ485" s="138" t="s">
        <v>1110</v>
      </c>
      <c r="BK485" s="43" t="s">
        <v>1111</v>
      </c>
      <c r="BL485" s="213"/>
    </row>
    <row r="486" spans="1:64" ht="15" thickBot="1" x14ac:dyDescent="0.35">
      <c r="A486" s="199"/>
      <c r="B486" s="28"/>
      <c r="C486" s="28"/>
      <c r="D486" s="142"/>
      <c r="E486" s="143"/>
      <c r="F486" s="146"/>
      <c r="G486" s="28"/>
      <c r="H486" s="142"/>
      <c r="I486" s="143" t="s">
        <v>284</v>
      </c>
      <c r="J486" s="146">
        <f>SUM(H484:H485)</f>
        <v>30</v>
      </c>
      <c r="M486" t="s">
        <v>6</v>
      </c>
      <c r="AP486" s="138" t="s">
        <v>56</v>
      </c>
      <c r="AQ486" s="138">
        <v>9</v>
      </c>
      <c r="AR486" s="141">
        <f>9+3+21</f>
        <v>33</v>
      </c>
      <c r="AS486" s="138"/>
      <c r="AT486" s="141"/>
      <c r="AU486" s="28"/>
      <c r="AV486" s="43">
        <v>5</v>
      </c>
      <c r="AW486" s="43" t="s">
        <v>1112</v>
      </c>
      <c r="AX486" s="28"/>
      <c r="AY486" s="141"/>
      <c r="BB486" s="196" t="s">
        <v>88</v>
      </c>
      <c r="BC486" s="138">
        <v>0</v>
      </c>
      <c r="BD486" s="141">
        <v>0</v>
      </c>
      <c r="BE486" s="138"/>
      <c r="BF486" s="28"/>
      <c r="BG486" s="141"/>
      <c r="BH486" s="138"/>
      <c r="BI486" s="141"/>
      <c r="BJ486" s="138" t="s">
        <v>1113</v>
      </c>
      <c r="BK486" s="43" t="s">
        <v>1114</v>
      </c>
      <c r="BL486" s="141" t="s">
        <v>1115</v>
      </c>
    </row>
    <row r="487" spans="1:64" ht="15" thickBot="1" x14ac:dyDescent="0.35">
      <c r="A487" s="47" t="s">
        <v>84</v>
      </c>
      <c r="B487" s="210">
        <f>SUM(B485,B482,B478+B473+B468+B464+B460+B456+B453)</f>
        <v>68481</v>
      </c>
      <c r="C487" s="170">
        <f>SUM(C485+C482+C478+C473+C468+C464+C460+C456+C453)</f>
        <v>82822</v>
      </c>
      <c r="D487" s="202"/>
      <c r="E487" s="48">
        <f>SUM(E482+E464)</f>
        <v>5059</v>
      </c>
      <c r="F487" s="203"/>
      <c r="G487" s="206">
        <f>SUM(G485+G482+G478+G473+G468+G464+G460+G456+G453)</f>
        <v>107226</v>
      </c>
      <c r="H487" s="48" t="s">
        <v>844</v>
      </c>
      <c r="I487" s="48"/>
      <c r="J487" s="49">
        <f>SUM(J452:J486)</f>
        <v>603</v>
      </c>
      <c r="AH487" t="s">
        <v>6</v>
      </c>
      <c r="AP487" s="138" t="s">
        <v>138</v>
      </c>
      <c r="AQ487" s="138">
        <v>0</v>
      </c>
      <c r="AR487" s="141">
        <v>0</v>
      </c>
      <c r="AS487" s="138"/>
      <c r="AT487" s="141"/>
      <c r="AU487" s="28"/>
      <c r="AV487" s="43">
        <v>2</v>
      </c>
      <c r="AW487" s="43" t="s">
        <v>1116</v>
      </c>
      <c r="AX487" s="28"/>
      <c r="AY487" s="141"/>
      <c r="BB487" s="196" t="s">
        <v>1090</v>
      </c>
      <c r="BC487" s="138">
        <v>0</v>
      </c>
      <c r="BD487" s="141">
        <v>0</v>
      </c>
      <c r="BE487" s="138"/>
      <c r="BF487" s="28"/>
      <c r="BG487" s="141"/>
      <c r="BH487" s="138"/>
      <c r="BI487" s="141"/>
      <c r="BJ487" s="138" t="s">
        <v>180</v>
      </c>
      <c r="BK487" s="43"/>
      <c r="BL487" s="141"/>
    </row>
    <row r="488" spans="1:64" x14ac:dyDescent="0.3">
      <c r="D488" s="28"/>
      <c r="E488" s="28"/>
      <c r="F488" s="28"/>
      <c r="AP488" s="138" t="s">
        <v>67</v>
      </c>
      <c r="AQ488" s="138">
        <f>25+3</f>
        <v>28</v>
      </c>
      <c r="AR488" s="141">
        <f>4+39</f>
        <v>43</v>
      </c>
      <c r="AS488" s="138"/>
      <c r="AT488" s="141"/>
      <c r="AU488" s="28"/>
      <c r="AV488" s="43">
        <v>43</v>
      </c>
      <c r="AW488" s="43" t="s">
        <v>215</v>
      </c>
      <c r="AX488" s="28"/>
      <c r="AY488" s="141"/>
      <c r="BB488" s="196" t="s">
        <v>422</v>
      </c>
      <c r="BC488" s="138">
        <v>0</v>
      </c>
      <c r="BD488" s="141">
        <v>32</v>
      </c>
      <c r="BE488" s="138"/>
      <c r="BF488" s="28"/>
      <c r="BG488" s="141"/>
      <c r="BH488" s="138"/>
      <c r="BI488" s="141"/>
      <c r="BJ488" s="138"/>
      <c r="BK488" s="43"/>
      <c r="BL488" s="141"/>
    </row>
    <row r="489" spans="1:64" x14ac:dyDescent="0.3">
      <c r="AP489" s="138" t="s">
        <v>122</v>
      </c>
      <c r="AQ489" s="138">
        <v>26</v>
      </c>
      <c r="AR489" s="141">
        <v>0</v>
      </c>
      <c r="AS489" s="138"/>
      <c r="AT489" s="141"/>
      <c r="AU489" s="28"/>
      <c r="AV489" s="43">
        <v>3</v>
      </c>
      <c r="AW489" s="28" t="s">
        <v>618</v>
      </c>
      <c r="AX489" s="28"/>
      <c r="AY489" s="141"/>
      <c r="BB489" s="196" t="s">
        <v>301</v>
      </c>
      <c r="BC489" s="138">
        <v>32</v>
      </c>
      <c r="BD489" s="141">
        <v>0</v>
      </c>
      <c r="BE489" s="138"/>
      <c r="BF489" s="28"/>
      <c r="BG489" s="141"/>
      <c r="BH489" s="138"/>
      <c r="BI489" s="141"/>
      <c r="BJ489" s="138"/>
      <c r="BK489" s="28"/>
      <c r="BL489" s="141"/>
    </row>
    <row r="490" spans="1:64" x14ac:dyDescent="0.3">
      <c r="AP490" s="138" t="s">
        <v>227</v>
      </c>
      <c r="AQ490" s="138">
        <v>0</v>
      </c>
      <c r="AR490" s="141">
        <v>0</v>
      </c>
      <c r="AS490" s="138"/>
      <c r="AT490" s="141"/>
      <c r="AU490" s="28"/>
      <c r="AV490" s="43">
        <v>1</v>
      </c>
      <c r="AW490" s="28" t="s">
        <v>1117</v>
      </c>
      <c r="AX490" s="28"/>
      <c r="AY490" s="141"/>
      <c r="BB490" s="196" t="s">
        <v>1118</v>
      </c>
      <c r="BC490" s="138">
        <v>1</v>
      </c>
      <c r="BD490" s="141">
        <v>60</v>
      </c>
      <c r="BE490" s="138"/>
      <c r="BF490" s="28"/>
      <c r="BG490" s="141"/>
      <c r="BH490" s="138"/>
      <c r="BI490" s="141"/>
      <c r="BJ490" s="138"/>
      <c r="BK490" s="28"/>
      <c r="BL490" s="141"/>
    </row>
    <row r="491" spans="1:64" x14ac:dyDescent="0.3">
      <c r="AP491" s="138" t="s">
        <v>230</v>
      </c>
      <c r="AQ491" s="138">
        <v>4</v>
      </c>
      <c r="AR491" s="141">
        <v>4</v>
      </c>
      <c r="AS491" s="138"/>
      <c r="AT491" s="141"/>
      <c r="AU491" s="28"/>
      <c r="AV491" s="43"/>
      <c r="AW491" s="28"/>
      <c r="AX491" s="28"/>
      <c r="AY491" s="141"/>
      <c r="BB491" s="196" t="s">
        <v>564</v>
      </c>
      <c r="BC491" s="138">
        <f>12+4</f>
        <v>16</v>
      </c>
      <c r="BD491" s="141">
        <f>20+113+98</f>
        <v>231</v>
      </c>
      <c r="BE491" s="138"/>
      <c r="BF491" s="28"/>
      <c r="BG491" s="141"/>
      <c r="BH491" s="138"/>
      <c r="BI491" s="141"/>
      <c r="BJ491" s="138"/>
      <c r="BK491" s="28"/>
      <c r="BL491" s="141"/>
    </row>
    <row r="492" spans="1:64" x14ac:dyDescent="0.3">
      <c r="AP492" s="138" t="s">
        <v>125</v>
      </c>
      <c r="AQ492" s="138">
        <v>0</v>
      </c>
      <c r="AR492" s="141">
        <v>0</v>
      </c>
      <c r="AS492" s="138"/>
      <c r="AT492" s="141"/>
      <c r="AU492" s="28"/>
      <c r="AV492" s="43"/>
      <c r="AW492" s="28"/>
      <c r="AX492" s="28"/>
      <c r="AY492" s="141"/>
      <c r="BB492" s="196" t="s">
        <v>211</v>
      </c>
      <c r="BC492" s="138">
        <f>15+3</f>
        <v>18</v>
      </c>
      <c r="BD492" s="141">
        <f>20+4</f>
        <v>24</v>
      </c>
      <c r="BE492" s="138"/>
      <c r="BF492" s="28"/>
      <c r="BG492" s="141"/>
      <c r="BH492" s="138"/>
      <c r="BI492" s="141"/>
      <c r="BJ492" s="138"/>
      <c r="BK492" s="28"/>
      <c r="BL492" s="141"/>
    </row>
    <row r="493" spans="1:64" x14ac:dyDescent="0.3">
      <c r="AP493" s="138" t="s">
        <v>132</v>
      </c>
      <c r="AQ493" s="138">
        <v>0</v>
      </c>
      <c r="AR493" s="141">
        <v>0</v>
      </c>
      <c r="AS493" s="138" t="s">
        <v>6</v>
      </c>
      <c r="AT493" s="141"/>
      <c r="AU493" s="28"/>
      <c r="AV493" s="43"/>
      <c r="AW493" s="28"/>
      <c r="AX493" s="28"/>
      <c r="AY493" s="141"/>
      <c r="BB493" s="196" t="s">
        <v>218</v>
      </c>
      <c r="BC493" s="138">
        <v>0</v>
      </c>
      <c r="BD493" s="141">
        <v>17</v>
      </c>
      <c r="BE493" s="138"/>
      <c r="BF493" s="28">
        <v>0</v>
      </c>
      <c r="BG493" s="141"/>
      <c r="BH493" s="138"/>
      <c r="BI493" s="141"/>
      <c r="BJ493" s="138"/>
      <c r="BK493" s="28"/>
      <c r="BL493" s="141"/>
    </row>
    <row r="494" spans="1:64" x14ac:dyDescent="0.3">
      <c r="AM494" t="s">
        <v>6</v>
      </c>
      <c r="AP494" s="138" t="s">
        <v>992</v>
      </c>
      <c r="AQ494" s="138">
        <v>0</v>
      </c>
      <c r="AR494" s="141">
        <v>0</v>
      </c>
      <c r="AS494" s="138"/>
      <c r="AT494" s="141"/>
      <c r="AU494" s="28"/>
      <c r="AV494" s="43"/>
      <c r="AW494" s="28"/>
      <c r="AX494" s="28"/>
      <c r="AY494" s="141"/>
      <c r="BB494" s="196" t="s">
        <v>93</v>
      </c>
      <c r="BC494" s="138">
        <v>0</v>
      </c>
      <c r="BD494" s="141">
        <v>0</v>
      </c>
      <c r="BE494" s="138"/>
      <c r="BF494" s="28"/>
      <c r="BG494" s="141"/>
      <c r="BH494" s="138"/>
      <c r="BI494" s="141"/>
      <c r="BJ494" s="138"/>
      <c r="BK494" s="28"/>
      <c r="BL494" s="141"/>
    </row>
    <row r="495" spans="1:64" ht="15" thickBot="1" x14ac:dyDescent="0.35">
      <c r="H495" t="s">
        <v>6</v>
      </c>
      <c r="AP495" s="138" t="s">
        <v>84</v>
      </c>
      <c r="AQ495" s="138">
        <f>SUM(AQ479:AQ494)</f>
        <v>133</v>
      </c>
      <c r="AR495" s="141">
        <f>SUM(AR479:AR494)</f>
        <v>132</v>
      </c>
      <c r="AS495" s="138"/>
      <c r="AT495" s="141"/>
      <c r="AU495" s="28"/>
      <c r="AV495" s="43"/>
      <c r="AW495" s="28"/>
      <c r="AX495" s="28"/>
      <c r="AY495" s="141">
        <f>SUM(AV480:AV495)</f>
        <v>108</v>
      </c>
      <c r="BB495" s="199" t="s">
        <v>84</v>
      </c>
      <c r="BC495" s="142">
        <f>SUM(BC470:BC494)</f>
        <v>208</v>
      </c>
      <c r="BD495" s="146">
        <f>SUM(BD470:BD494)</f>
        <v>543</v>
      </c>
      <c r="BE495" s="142">
        <v>0</v>
      </c>
      <c r="BF495" s="143">
        <f>SUM(BF470:BF494)</f>
        <v>0</v>
      </c>
      <c r="BG495" s="146">
        <v>0</v>
      </c>
      <c r="BH495" s="142">
        <v>0</v>
      </c>
      <c r="BI495" s="146">
        <v>0</v>
      </c>
      <c r="BJ495" s="142"/>
      <c r="BK495" s="143"/>
      <c r="BL495" s="146">
        <f>9+3+5+5+5+4+2+5+5+3+5+1</f>
        <v>52</v>
      </c>
    </row>
    <row r="496" spans="1:64" ht="15" thickBot="1" x14ac:dyDescent="0.35">
      <c r="H496" t="s">
        <v>6</v>
      </c>
      <c r="AP496" s="171" t="s">
        <v>84</v>
      </c>
      <c r="AQ496" s="207">
        <f>SUM(AQ495+AQ477+AQ468+AQ453)</f>
        <v>1840</v>
      </c>
      <c r="AR496" s="207">
        <f>SUM(AR495+AR477+AR468+AR453)</f>
        <v>1795</v>
      </c>
      <c r="AS496" s="207"/>
      <c r="AT496" s="208"/>
      <c r="AU496" s="170"/>
      <c r="AV496" s="170"/>
      <c r="AW496" s="170"/>
      <c r="AX496" s="170"/>
      <c r="AY496" s="172">
        <f>SUM(AY453:AY495)</f>
        <v>283</v>
      </c>
      <c r="BB496" t="s">
        <v>223</v>
      </c>
      <c r="BC496">
        <f>SUM(BC495+BC469+BC464+BC460+BC457+BC455+BC466)</f>
        <v>2552</v>
      </c>
      <c r="BD496">
        <f>SUM(BD495+BD469+BD464+BD460+BD455+BD457+BD466)</f>
        <v>2898</v>
      </c>
      <c r="BE496">
        <v>0</v>
      </c>
      <c r="BF496">
        <f>SUM(BF495+BF469+BF464+BF460+BF457+BF453)</f>
        <v>0</v>
      </c>
      <c r="BG496">
        <v>0</v>
      </c>
      <c r="BH496">
        <f>SUM(BH495+BH469+BH464+BH459+BH457+BH453)</f>
        <v>81151</v>
      </c>
      <c r="BI496">
        <f>SUM(BI495+BI469+BI464+BI459+BI457+BI453)</f>
        <v>20907</v>
      </c>
      <c r="BK496" t="s">
        <v>939</v>
      </c>
      <c r="BL496">
        <f>SUM(+BL469+BL464+BL460+BL457+BL455)</f>
        <v>210</v>
      </c>
    </row>
    <row r="497" spans="1:64" x14ac:dyDescent="0.3">
      <c r="BB497" t="s">
        <v>225</v>
      </c>
      <c r="BD497">
        <f>SUM(BL495)</f>
        <v>52</v>
      </c>
    </row>
    <row r="498" spans="1:64" x14ac:dyDescent="0.3">
      <c r="BB498" t="s">
        <v>229</v>
      </c>
      <c r="BD498">
        <f>1+7+3+10+2</f>
        <v>23</v>
      </c>
    </row>
    <row r="499" spans="1:64" x14ac:dyDescent="0.3">
      <c r="BB499" t="s">
        <v>232</v>
      </c>
      <c r="BD499" t="s">
        <v>233</v>
      </c>
      <c r="BF499">
        <f>SUM(AQ496)</f>
        <v>1840</v>
      </c>
      <c r="BH499" t="s">
        <v>234</v>
      </c>
      <c r="BJ499" t="s">
        <v>233</v>
      </c>
      <c r="BL499">
        <f>SUM(BC496)</f>
        <v>2552</v>
      </c>
    </row>
    <row r="500" spans="1:64" x14ac:dyDescent="0.3">
      <c r="BA500" t="s">
        <v>6</v>
      </c>
      <c r="BD500" t="s">
        <v>236</v>
      </c>
      <c r="BF500">
        <f>SUM(AR496)</f>
        <v>1795</v>
      </c>
      <c r="BJ500" t="s">
        <v>236</v>
      </c>
      <c r="BL500">
        <f>SUM(BD496)</f>
        <v>2898</v>
      </c>
    </row>
    <row r="501" spans="1:64" x14ac:dyDescent="0.3">
      <c r="BB501" t="s">
        <v>238</v>
      </c>
      <c r="BC501" t="s">
        <v>239</v>
      </c>
      <c r="BE501" t="s">
        <v>240</v>
      </c>
      <c r="BF501" t="s">
        <v>241</v>
      </c>
      <c r="BI501" t="s">
        <v>242</v>
      </c>
      <c r="BJ501" t="s">
        <v>243</v>
      </c>
    </row>
    <row r="502" spans="1:64" x14ac:dyDescent="0.3">
      <c r="BB502" t="s">
        <v>233</v>
      </c>
      <c r="BD502">
        <f>SUM(B487)</f>
        <v>68481</v>
      </c>
      <c r="BE502" t="s">
        <v>233</v>
      </c>
      <c r="BG502">
        <f>SUM(AC484)</f>
        <v>3385</v>
      </c>
      <c r="BH502" t="s">
        <v>233</v>
      </c>
      <c r="BJ502">
        <f>SUM(BG502+BC496)</f>
        <v>5937</v>
      </c>
      <c r="BK502" t="s">
        <v>245</v>
      </c>
      <c r="BL502">
        <f>SUM(BD502+BJ502)</f>
        <v>74418</v>
      </c>
    </row>
    <row r="503" spans="1:64" x14ac:dyDescent="0.3">
      <c r="BB503" t="s">
        <v>236</v>
      </c>
      <c r="BD503">
        <f>SUM(C487)</f>
        <v>82822</v>
      </c>
      <c r="BE503" t="s">
        <v>236</v>
      </c>
      <c r="BG503">
        <f>SUM(AD484)</f>
        <v>4233</v>
      </c>
      <c r="BH503" t="s">
        <v>236</v>
      </c>
      <c r="BJ503">
        <f>SUM(BG503+BD496)</f>
        <v>7131</v>
      </c>
      <c r="BL503">
        <f>SUM(BD503+BJ503)</f>
        <v>89953</v>
      </c>
    </row>
    <row r="505" spans="1:64" x14ac:dyDescent="0.3">
      <c r="C505" t="s">
        <v>0</v>
      </c>
      <c r="O505" t="s">
        <v>1</v>
      </c>
    </row>
    <row r="506" spans="1:64" x14ac:dyDescent="0.3">
      <c r="D506" t="s">
        <v>2</v>
      </c>
      <c r="P506" t="s">
        <v>3</v>
      </c>
      <c r="AF506" t="s">
        <v>0</v>
      </c>
      <c r="AS506" t="s">
        <v>4</v>
      </c>
      <c r="BF506" t="s">
        <v>5</v>
      </c>
    </row>
    <row r="507" spans="1:64" x14ac:dyDescent="0.3">
      <c r="A507" t="s">
        <v>6</v>
      </c>
      <c r="C507" t="s">
        <v>7</v>
      </c>
      <c r="N507" t="s">
        <v>8</v>
      </c>
      <c r="AF507" t="s">
        <v>9</v>
      </c>
      <c r="AT507" t="s">
        <v>2</v>
      </c>
      <c r="BG507" t="s">
        <v>2</v>
      </c>
    </row>
    <row r="508" spans="1:64" x14ac:dyDescent="0.3">
      <c r="D508" t="s">
        <v>1119</v>
      </c>
      <c r="P508" t="s">
        <v>1119</v>
      </c>
      <c r="AF508" t="s">
        <v>11</v>
      </c>
      <c r="AR508" t="s">
        <v>12</v>
      </c>
      <c r="BE508" t="s">
        <v>13</v>
      </c>
    </row>
    <row r="509" spans="1:64" x14ac:dyDescent="0.3">
      <c r="I509" s="194" t="s">
        <v>949</v>
      </c>
      <c r="U509" t="s">
        <v>15</v>
      </c>
      <c r="AG509" t="s">
        <v>1119</v>
      </c>
      <c r="AT509" t="s">
        <v>1119</v>
      </c>
      <c r="BG509" t="s">
        <v>1119</v>
      </c>
      <c r="BK509" s="194" t="s">
        <v>950</v>
      </c>
    </row>
    <row r="510" spans="1:64" x14ac:dyDescent="0.3">
      <c r="A510" s="134" t="s">
        <v>17</v>
      </c>
      <c r="B510" s="134" t="s">
        <v>18</v>
      </c>
      <c r="C510" s="136"/>
      <c r="D510" s="135" t="s">
        <v>19</v>
      </c>
      <c r="E510" s="135"/>
      <c r="F510" s="135"/>
      <c r="G510" s="195" t="s">
        <v>20</v>
      </c>
      <c r="H510" s="135" t="s">
        <v>21</v>
      </c>
      <c r="I510" s="135"/>
      <c r="J510" s="136"/>
      <c r="L510" s="134" t="s">
        <v>17</v>
      </c>
      <c r="M510" s="135" t="s">
        <v>22</v>
      </c>
      <c r="N510" s="135"/>
      <c r="O510" s="135" t="s">
        <v>23</v>
      </c>
      <c r="P510" s="135"/>
      <c r="Q510" s="135"/>
      <c r="R510" s="135" t="s">
        <v>24</v>
      </c>
      <c r="S510" s="135"/>
      <c r="T510" s="135" t="s">
        <v>21</v>
      </c>
      <c r="U510" s="136"/>
      <c r="AL510" s="28" t="s">
        <v>25</v>
      </c>
      <c r="AX510" s="194" t="s">
        <v>951</v>
      </c>
      <c r="BB510" s="195" t="s">
        <v>17</v>
      </c>
      <c r="BC510" s="134" t="s">
        <v>27</v>
      </c>
      <c r="BD510" s="136"/>
      <c r="BE510" s="135" t="s">
        <v>28</v>
      </c>
      <c r="BF510" s="135"/>
      <c r="BG510" s="135"/>
      <c r="BH510" s="135" t="s">
        <v>29</v>
      </c>
      <c r="BI510" s="135" t="s">
        <v>30</v>
      </c>
      <c r="BJ510" s="135" t="s">
        <v>31</v>
      </c>
      <c r="BK510" s="135"/>
      <c r="BL510" s="136"/>
    </row>
    <row r="511" spans="1:64" x14ac:dyDescent="0.3">
      <c r="A511" s="138" t="s">
        <v>32</v>
      </c>
      <c r="B511" s="138"/>
      <c r="C511" s="141"/>
      <c r="D511" s="28"/>
      <c r="E511" s="28"/>
      <c r="F511" s="28"/>
      <c r="G511" s="196"/>
      <c r="H511" s="28" t="s">
        <v>33</v>
      </c>
      <c r="I511" s="28"/>
      <c r="J511" s="141"/>
      <c r="L511" s="138"/>
      <c r="M511" s="28"/>
      <c r="N511" s="28"/>
      <c r="O511" s="28"/>
      <c r="P511" s="28"/>
      <c r="Q511" s="28"/>
      <c r="R511" s="28"/>
      <c r="S511" s="28"/>
      <c r="T511" s="28" t="s">
        <v>33</v>
      </c>
      <c r="U511" s="141"/>
      <c r="AB511" s="134" t="s">
        <v>34</v>
      </c>
      <c r="AC511" s="134" t="s">
        <v>35</v>
      </c>
      <c r="AD511" s="136"/>
      <c r="AE511" s="135" t="s">
        <v>36</v>
      </c>
      <c r="AF511" s="135"/>
      <c r="AG511" s="135"/>
      <c r="AH511" s="134" t="s">
        <v>37</v>
      </c>
      <c r="AI511" s="136"/>
      <c r="AJ511" s="135" t="s">
        <v>30</v>
      </c>
      <c r="AK511" s="134" t="s">
        <v>38</v>
      </c>
      <c r="AL511" s="135"/>
      <c r="AM511" s="136"/>
      <c r="AP511" s="134" t="s">
        <v>17</v>
      </c>
      <c r="AQ511" s="134" t="s">
        <v>39</v>
      </c>
      <c r="AR511" s="136"/>
      <c r="AS511" s="134" t="s">
        <v>29</v>
      </c>
      <c r="AT511" s="136" t="s">
        <v>30</v>
      </c>
      <c r="AU511" s="135" t="s">
        <v>40</v>
      </c>
      <c r="AV511" s="135"/>
      <c r="AW511" s="135"/>
      <c r="AX511" s="135"/>
      <c r="AY511" s="136"/>
      <c r="BB511" s="196"/>
      <c r="BC511" s="138"/>
      <c r="BD511" s="141"/>
      <c r="BE511" s="28"/>
      <c r="BF511" s="28"/>
      <c r="BG511" s="28"/>
      <c r="BH511" s="28"/>
      <c r="BI511" s="28" t="s">
        <v>6</v>
      </c>
      <c r="BJ511" s="28" t="s">
        <v>41</v>
      </c>
      <c r="BK511" s="28"/>
      <c r="BL511" s="141"/>
    </row>
    <row r="512" spans="1:64" x14ac:dyDescent="0.3">
      <c r="A512" s="142" t="s">
        <v>42</v>
      </c>
      <c r="B512" s="142" t="s">
        <v>43</v>
      </c>
      <c r="C512" s="143" t="s">
        <v>44</v>
      </c>
      <c r="D512" s="197" t="s">
        <v>45</v>
      </c>
      <c r="E512" s="198" t="s">
        <v>46</v>
      </c>
      <c r="F512" s="198" t="s">
        <v>47</v>
      </c>
      <c r="G512" s="199" t="s">
        <v>48</v>
      </c>
      <c r="H512" s="143" t="s">
        <v>49</v>
      </c>
      <c r="I512" s="143"/>
      <c r="J512" s="146"/>
      <c r="L512" s="142" t="s">
        <v>50</v>
      </c>
      <c r="M512" s="143" t="s">
        <v>43</v>
      </c>
      <c r="N512" s="143" t="s">
        <v>44</v>
      </c>
      <c r="O512" s="143" t="s">
        <v>43</v>
      </c>
      <c r="P512" s="143" t="s">
        <v>51</v>
      </c>
      <c r="Q512" s="143" t="s">
        <v>44</v>
      </c>
      <c r="R512" s="143" t="s">
        <v>43</v>
      </c>
      <c r="S512" s="143" t="s">
        <v>44</v>
      </c>
      <c r="T512" s="143" t="s">
        <v>49</v>
      </c>
      <c r="U512" s="146"/>
      <c r="AB512" s="142" t="s">
        <v>50</v>
      </c>
      <c r="AC512" s="142" t="s">
        <v>43</v>
      </c>
      <c r="AD512" s="146" t="s">
        <v>44</v>
      </c>
      <c r="AE512" s="143" t="s">
        <v>45</v>
      </c>
      <c r="AF512" s="143" t="s">
        <v>46</v>
      </c>
      <c r="AG512" s="143" t="s">
        <v>52</v>
      </c>
      <c r="AH512" s="142" t="s">
        <v>43</v>
      </c>
      <c r="AI512" s="146" t="s">
        <v>44</v>
      </c>
      <c r="AJ512" s="143" t="s">
        <v>43</v>
      </c>
      <c r="AK512" s="142" t="s">
        <v>53</v>
      </c>
      <c r="AL512" s="143"/>
      <c r="AM512" s="146"/>
      <c r="AP512" s="138" t="s">
        <v>42</v>
      </c>
      <c r="AQ512" s="138" t="s">
        <v>43</v>
      </c>
      <c r="AR512" s="141" t="s">
        <v>44</v>
      </c>
      <c r="AS512" s="138" t="s">
        <v>43</v>
      </c>
      <c r="AT512" s="141" t="s">
        <v>44</v>
      </c>
      <c r="AU512" s="28"/>
      <c r="AV512" s="28"/>
      <c r="AW512" s="28"/>
      <c r="AX512" s="28"/>
      <c r="AY512" s="141"/>
      <c r="BB512" s="199" t="s">
        <v>42</v>
      </c>
      <c r="BC512" s="142" t="s">
        <v>43</v>
      </c>
      <c r="BD512" s="146" t="s">
        <v>44</v>
      </c>
      <c r="BE512" s="143" t="s">
        <v>45</v>
      </c>
      <c r="BF512" s="143" t="s">
        <v>46</v>
      </c>
      <c r="BG512" s="143" t="s">
        <v>52</v>
      </c>
      <c r="BH512" s="143" t="s">
        <v>43</v>
      </c>
      <c r="BI512" s="143" t="s">
        <v>44</v>
      </c>
      <c r="BJ512" s="143" t="s">
        <v>54</v>
      </c>
      <c r="BK512" s="143"/>
      <c r="BL512" s="146"/>
    </row>
    <row r="513" spans="1:64" x14ac:dyDescent="0.3">
      <c r="A513" s="134"/>
      <c r="B513" s="134"/>
      <c r="C513" s="135"/>
      <c r="D513" s="134"/>
      <c r="E513" s="135"/>
      <c r="F513" s="135"/>
      <c r="G513" s="195"/>
      <c r="H513" s="135" t="s">
        <v>396</v>
      </c>
      <c r="I513" s="135"/>
      <c r="J513" s="136"/>
      <c r="L513" s="134"/>
      <c r="M513" s="134"/>
      <c r="N513" s="195"/>
      <c r="O513" s="134"/>
      <c r="P513" s="195"/>
      <c r="Q513" s="136"/>
      <c r="R513" s="134"/>
      <c r="S513" s="195"/>
      <c r="T513" s="134" t="s">
        <v>396</v>
      </c>
      <c r="U513" s="136"/>
      <c r="AB513" s="138"/>
      <c r="AC513" s="138"/>
      <c r="AD513" s="141"/>
      <c r="AE513" s="28"/>
      <c r="AF513" s="28"/>
      <c r="AG513" s="28"/>
      <c r="AH513" s="138"/>
      <c r="AI513" s="141"/>
      <c r="AJ513" s="28"/>
      <c r="AK513" s="138" t="s">
        <v>62</v>
      </c>
      <c r="AL513" s="28"/>
      <c r="AM513" s="141"/>
      <c r="AP513" s="138" t="s">
        <v>6</v>
      </c>
      <c r="AQ513" s="138"/>
      <c r="AR513" s="141"/>
      <c r="AS513" s="138"/>
      <c r="AT513" s="141"/>
      <c r="AU513" s="28"/>
      <c r="AV513" s="28" t="s">
        <v>91</v>
      </c>
      <c r="AW513" s="28"/>
      <c r="AX513" s="28"/>
      <c r="AY513" s="141"/>
      <c r="BB513" s="195" t="s">
        <v>6</v>
      </c>
      <c r="BC513" s="135"/>
      <c r="BD513" s="135"/>
      <c r="BE513" s="134"/>
      <c r="BF513" s="135"/>
      <c r="BG513" s="135"/>
      <c r="BH513" s="134"/>
      <c r="BI513" s="136"/>
      <c r="BJ513" s="135" t="s">
        <v>58</v>
      </c>
      <c r="BK513" s="135"/>
      <c r="BL513" s="136"/>
    </row>
    <row r="514" spans="1:64" x14ac:dyDescent="0.3">
      <c r="A514" s="138" t="s">
        <v>59</v>
      </c>
      <c r="B514" s="138">
        <v>1345</v>
      </c>
      <c r="C514" s="28">
        <v>1517</v>
      </c>
      <c r="D514" s="138"/>
      <c r="E514" s="28" t="s">
        <v>60</v>
      </c>
      <c r="F514" s="28"/>
      <c r="G514" s="196">
        <v>2521</v>
      </c>
      <c r="H514" s="28">
        <v>6</v>
      </c>
      <c r="I514" s="28" t="s">
        <v>61</v>
      </c>
      <c r="J514" s="141"/>
      <c r="L514" s="138" t="s">
        <v>59</v>
      </c>
      <c r="M514" s="138">
        <v>16179</v>
      </c>
      <c r="N514" s="196">
        <v>33441</v>
      </c>
      <c r="O514" s="138">
        <v>0</v>
      </c>
      <c r="P514" s="196">
        <v>0</v>
      </c>
      <c r="Q514" s="141">
        <v>0</v>
      </c>
      <c r="R514" s="138">
        <v>0</v>
      </c>
      <c r="S514" s="196">
        <v>0</v>
      </c>
      <c r="T514" s="138"/>
      <c r="U514" s="141"/>
      <c r="AB514" s="138"/>
      <c r="AC514" s="138"/>
      <c r="AD514" s="141"/>
      <c r="AE514" s="28"/>
      <c r="AF514" s="28"/>
      <c r="AG514" s="28"/>
      <c r="AH514" s="138"/>
      <c r="AI514" s="141"/>
      <c r="AJ514" s="28"/>
      <c r="AK514" s="138">
        <v>3</v>
      </c>
      <c r="AL514" s="28" t="s">
        <v>398</v>
      </c>
      <c r="AM514" s="141"/>
      <c r="AP514" s="138" t="s">
        <v>56</v>
      </c>
      <c r="AQ514" s="138">
        <v>1345</v>
      </c>
      <c r="AR514" s="141">
        <v>1410</v>
      </c>
      <c r="AS514" s="138"/>
      <c r="AT514" s="141"/>
      <c r="AU514" s="28"/>
      <c r="AV514" s="28">
        <v>1</v>
      </c>
      <c r="AW514" s="28" t="s">
        <v>145</v>
      </c>
      <c r="AX514" s="28"/>
      <c r="AY514" s="141"/>
      <c r="BB514" s="196" t="s">
        <v>64</v>
      </c>
      <c r="BC514" s="28">
        <v>176</v>
      </c>
      <c r="BD514" s="28">
        <v>204</v>
      </c>
      <c r="BE514" s="138">
        <v>0</v>
      </c>
      <c r="BF514" s="28">
        <v>0</v>
      </c>
      <c r="BG514" s="28">
        <v>0</v>
      </c>
      <c r="BH514" s="138">
        <v>0</v>
      </c>
      <c r="BI514" s="141">
        <v>0</v>
      </c>
      <c r="BJ514" s="43">
        <v>18</v>
      </c>
      <c r="BK514" s="28" t="s">
        <v>474</v>
      </c>
      <c r="BL514" s="141" t="s">
        <v>6</v>
      </c>
    </row>
    <row r="515" spans="1:64" x14ac:dyDescent="0.3">
      <c r="A515" s="138" t="s">
        <v>6</v>
      </c>
      <c r="B515" s="138"/>
      <c r="C515" s="28"/>
      <c r="D515" s="138"/>
      <c r="E515" s="28"/>
      <c r="F515" s="28"/>
      <c r="G515" s="196"/>
      <c r="H515" s="28"/>
      <c r="I515" s="28" t="s">
        <v>528</v>
      </c>
      <c r="J515" s="141">
        <f>SUM(H514)</f>
        <v>6</v>
      </c>
      <c r="L515" s="142"/>
      <c r="M515" s="142"/>
      <c r="N515" s="199"/>
      <c r="O515" s="142"/>
      <c r="P515" s="199"/>
      <c r="Q515" s="146"/>
      <c r="R515" s="142"/>
      <c r="S515" s="199"/>
      <c r="T515" s="142"/>
      <c r="U515" s="146"/>
      <c r="AB515" s="138" t="s">
        <v>59</v>
      </c>
      <c r="AC515" s="138">
        <v>879</v>
      </c>
      <c r="AD515" s="141">
        <v>937</v>
      </c>
      <c r="AE515" s="28">
        <v>0</v>
      </c>
      <c r="AF515" s="28">
        <v>0</v>
      </c>
      <c r="AG515" s="28">
        <v>0</v>
      </c>
      <c r="AH515" s="138">
        <v>0</v>
      </c>
      <c r="AI515" s="141">
        <v>0</v>
      </c>
      <c r="AJ515" s="28">
        <v>0</v>
      </c>
      <c r="AK515" s="138">
        <v>1</v>
      </c>
      <c r="AL515" s="28" t="s">
        <v>66</v>
      </c>
      <c r="AM515" s="141"/>
      <c r="AP515" s="142" t="s">
        <v>6</v>
      </c>
      <c r="AQ515" s="142"/>
      <c r="AR515" s="146"/>
      <c r="AS515" s="142"/>
      <c r="AT515" s="146"/>
      <c r="AU515" s="143"/>
      <c r="AV515" s="143">
        <v>115</v>
      </c>
      <c r="AW515" s="143" t="s">
        <v>73</v>
      </c>
      <c r="AX515" s="143"/>
      <c r="AY515" s="146">
        <f>SUM(AV515)</f>
        <v>115</v>
      </c>
      <c r="BB515" s="196" t="s">
        <v>108</v>
      </c>
      <c r="BC515">
        <v>3</v>
      </c>
      <c r="BD515">
        <v>11</v>
      </c>
      <c r="BE515" s="138"/>
      <c r="BF515" s="28"/>
      <c r="BG515" s="28"/>
      <c r="BH515" s="138"/>
      <c r="BI515" s="141"/>
      <c r="BJ515" s="28">
        <v>1</v>
      </c>
      <c r="BK515" s="28" t="s">
        <v>1045</v>
      </c>
      <c r="BL515" s="141"/>
    </row>
    <row r="516" spans="1:64" x14ac:dyDescent="0.3">
      <c r="A516" s="134"/>
      <c r="B516" s="134"/>
      <c r="C516" s="135"/>
      <c r="D516" s="134"/>
      <c r="E516" s="135"/>
      <c r="F516" s="135"/>
      <c r="G516" s="195"/>
      <c r="H516" s="135" t="s">
        <v>70</v>
      </c>
      <c r="I516" s="135"/>
      <c r="J516" s="136"/>
      <c r="L516" s="134"/>
      <c r="M516" s="134"/>
      <c r="N516" s="195"/>
      <c r="O516" s="134"/>
      <c r="P516" s="195"/>
      <c r="Q516" s="136"/>
      <c r="R516" s="134"/>
      <c r="S516" s="195"/>
      <c r="T516" s="134"/>
      <c r="U516" s="136"/>
      <c r="AB516" s="142"/>
      <c r="AC516" s="142"/>
      <c r="AD516" s="146"/>
      <c r="AE516" s="143"/>
      <c r="AF516" s="143"/>
      <c r="AG516" s="143"/>
      <c r="AH516" s="142"/>
      <c r="AI516" s="146"/>
      <c r="AJ516" s="143"/>
      <c r="AK516" s="142"/>
      <c r="AL516" s="143" t="s">
        <v>188</v>
      </c>
      <c r="AM516" s="146"/>
      <c r="AP516" s="134" t="s">
        <v>56</v>
      </c>
      <c r="AQ516" s="134">
        <v>0</v>
      </c>
      <c r="AR516" s="136">
        <v>0</v>
      </c>
      <c r="AS516" s="134"/>
      <c r="AT516" s="136"/>
      <c r="AU516" s="135"/>
      <c r="AV516" s="135"/>
      <c r="AW516" s="135"/>
      <c r="AX516" s="135"/>
      <c r="AY516" s="136"/>
      <c r="BB516" s="199" t="s">
        <v>84</v>
      </c>
      <c r="BC516" s="143">
        <f>SUM(BC513:BC515)</f>
        <v>179</v>
      </c>
      <c r="BD516" s="143">
        <f>SUM(BD513:BD515)</f>
        <v>215</v>
      </c>
      <c r="BE516" s="142"/>
      <c r="BF516" s="143"/>
      <c r="BG516" s="143"/>
      <c r="BH516" s="142"/>
      <c r="BI516" s="146"/>
      <c r="BJ516" s="143"/>
      <c r="BK516" s="143" t="s">
        <v>69</v>
      </c>
      <c r="BL516" s="146">
        <f>SUM(BJ514:BJ516)</f>
        <v>19</v>
      </c>
    </row>
    <row r="517" spans="1:64" x14ac:dyDescent="0.3">
      <c r="A517" s="138" t="s">
        <v>74</v>
      </c>
      <c r="B517" s="138">
        <v>1078</v>
      </c>
      <c r="C517" s="28">
        <v>2105</v>
      </c>
      <c r="D517" s="138"/>
      <c r="E517" s="28" t="s">
        <v>60</v>
      </c>
      <c r="F517" s="28"/>
      <c r="G517" s="196">
        <v>2744</v>
      </c>
      <c r="H517" s="28">
        <v>2</v>
      </c>
      <c r="I517" s="28" t="s">
        <v>1046</v>
      </c>
      <c r="J517" s="141"/>
      <c r="L517" s="138"/>
      <c r="M517" s="138"/>
      <c r="N517" s="196"/>
      <c r="O517" s="138"/>
      <c r="P517" s="196"/>
      <c r="Q517" s="141"/>
      <c r="R517" s="138"/>
      <c r="S517" s="196"/>
      <c r="T517" s="138" t="s">
        <v>80</v>
      </c>
      <c r="U517" s="141"/>
      <c r="AB517" s="134" t="s">
        <v>6</v>
      </c>
      <c r="AC517" s="134"/>
      <c r="AD517" s="136"/>
      <c r="AE517" s="135"/>
      <c r="AF517" s="135"/>
      <c r="AG517" s="135"/>
      <c r="AH517" s="134"/>
      <c r="AI517" s="136"/>
      <c r="AJ517" s="135"/>
      <c r="AK517" s="134" t="s">
        <v>952</v>
      </c>
      <c r="AL517" s="135"/>
      <c r="AM517" s="136"/>
      <c r="AP517" s="138" t="s">
        <v>63</v>
      </c>
      <c r="AQ517" s="138">
        <v>51</v>
      </c>
      <c r="AR517" s="141">
        <v>458</v>
      </c>
      <c r="AS517" s="138"/>
      <c r="AT517" s="141"/>
      <c r="AU517" s="28"/>
      <c r="AV517" s="28" t="s">
        <v>110</v>
      </c>
      <c r="AW517" s="28" t="s">
        <v>111</v>
      </c>
      <c r="AX517" s="28" t="s">
        <v>112</v>
      </c>
      <c r="AY517" s="141"/>
      <c r="BB517" s="195" t="s">
        <v>6</v>
      </c>
      <c r="BC517" s="134" t="s">
        <v>6</v>
      </c>
      <c r="BD517" s="136"/>
      <c r="BE517" s="135"/>
      <c r="BF517" s="135">
        <v>0</v>
      </c>
      <c r="BG517" s="135"/>
      <c r="BH517" s="134"/>
      <c r="BI517" s="136"/>
      <c r="BJ517" s="135" t="s">
        <v>1092</v>
      </c>
      <c r="BK517" s="135"/>
      <c r="BL517" s="136"/>
    </row>
    <row r="518" spans="1:64" x14ac:dyDescent="0.3">
      <c r="A518" s="138"/>
      <c r="B518" s="138"/>
      <c r="C518" s="28"/>
      <c r="D518" s="138"/>
      <c r="E518" s="28"/>
      <c r="F518" s="28"/>
      <c r="G518" s="196"/>
      <c r="H518" s="28">
        <v>15</v>
      </c>
      <c r="I518" s="28" t="s">
        <v>1047</v>
      </c>
      <c r="J518" s="141">
        <f>SUM(H517:H518)</f>
        <v>17</v>
      </c>
      <c r="L518" s="138" t="s">
        <v>74</v>
      </c>
      <c r="M518" s="138">
        <v>5534</v>
      </c>
      <c r="N518" s="196">
        <v>86</v>
      </c>
      <c r="O518" s="138">
        <v>0</v>
      </c>
      <c r="P518" s="196">
        <v>0</v>
      </c>
      <c r="Q518" s="141">
        <v>0</v>
      </c>
      <c r="R518" s="138">
        <v>115</v>
      </c>
      <c r="S518" s="196">
        <v>0</v>
      </c>
      <c r="T518" s="138"/>
      <c r="U518" s="141"/>
      <c r="AB518" s="142" t="s">
        <v>76</v>
      </c>
      <c r="AC518" s="142">
        <v>0</v>
      </c>
      <c r="AD518" s="146">
        <v>0</v>
      </c>
      <c r="AE518" s="143">
        <v>0</v>
      </c>
      <c r="AF518" s="143">
        <v>0</v>
      </c>
      <c r="AG518" s="143">
        <v>0</v>
      </c>
      <c r="AH518" s="142">
        <v>0</v>
      </c>
      <c r="AI518" s="146">
        <v>0</v>
      </c>
      <c r="AJ518" s="143">
        <v>0</v>
      </c>
      <c r="AK518" s="142">
        <v>2</v>
      </c>
      <c r="AL518" s="143" t="s">
        <v>780</v>
      </c>
      <c r="AM518" s="146"/>
      <c r="AP518" s="138" t="s">
        <v>115</v>
      </c>
      <c r="AQ518" s="138">
        <v>37</v>
      </c>
      <c r="AR518" s="141">
        <v>33</v>
      </c>
      <c r="AS518" s="138"/>
      <c r="AT518" s="141"/>
      <c r="AU518" s="28"/>
      <c r="AV518" s="28"/>
      <c r="AW518" s="28"/>
      <c r="AX518" s="28"/>
      <c r="AY518" s="141"/>
      <c r="BB518" s="199" t="s">
        <v>108</v>
      </c>
      <c r="BC518" s="142">
        <v>152</v>
      </c>
      <c r="BD518" s="146">
        <v>194</v>
      </c>
      <c r="BE518" s="143"/>
      <c r="BF518" s="143">
        <v>0</v>
      </c>
      <c r="BG518" s="143">
        <v>0</v>
      </c>
      <c r="BH518" s="142">
        <v>0</v>
      </c>
      <c r="BI518" s="146">
        <v>0</v>
      </c>
      <c r="BJ518" s="143">
        <v>17</v>
      </c>
      <c r="BK518" s="143" t="s">
        <v>780</v>
      </c>
      <c r="BL518" s="146">
        <f>SUM(BJ518)</f>
        <v>17</v>
      </c>
    </row>
    <row r="519" spans="1:64" x14ac:dyDescent="0.3">
      <c r="A519" s="134"/>
      <c r="B519" s="134"/>
      <c r="C519" s="136"/>
      <c r="D519" s="135"/>
      <c r="E519" s="135"/>
      <c r="F519" s="135"/>
      <c r="G519" s="195"/>
      <c r="H519" s="134" t="s">
        <v>87</v>
      </c>
      <c r="I519" s="135"/>
      <c r="J519" s="136" t="s">
        <v>6</v>
      </c>
      <c r="L519" s="142"/>
      <c r="M519" s="142"/>
      <c r="N519" s="199"/>
      <c r="O519" s="142"/>
      <c r="P519" s="199"/>
      <c r="Q519" s="146"/>
      <c r="R519" s="142"/>
      <c r="S519" s="199"/>
      <c r="T519" s="142"/>
      <c r="U519" s="146"/>
      <c r="AB519" s="134"/>
      <c r="AC519" s="134"/>
      <c r="AD519" s="136"/>
      <c r="AE519" s="135"/>
      <c r="AF519" s="135"/>
      <c r="AG519" s="135"/>
      <c r="AH519" s="134"/>
      <c r="AI519" s="136"/>
      <c r="AJ519" s="135"/>
      <c r="AK519" s="134"/>
      <c r="AL519" s="135" t="s">
        <v>150</v>
      </c>
      <c r="AM519" s="136"/>
      <c r="AP519" s="138" t="s">
        <v>72</v>
      </c>
      <c r="AQ519" s="138">
        <v>5</v>
      </c>
      <c r="AR519" s="141">
        <v>11</v>
      </c>
      <c r="AS519" s="138"/>
      <c r="AT519" s="141"/>
      <c r="AU519" s="28"/>
      <c r="AV519" s="28"/>
      <c r="AW519" s="28"/>
      <c r="AX519" s="28"/>
      <c r="AY519" s="141"/>
      <c r="BB519" s="195" t="s">
        <v>107</v>
      </c>
      <c r="BC519" s="134">
        <v>0</v>
      </c>
      <c r="BD519" s="136">
        <v>0</v>
      </c>
      <c r="BE519" s="135"/>
      <c r="BF519" s="135"/>
      <c r="BG519" s="135"/>
      <c r="BH519" s="134"/>
      <c r="BI519" s="136"/>
      <c r="BJ519" s="135"/>
      <c r="BK519" s="135" t="s">
        <v>92</v>
      </c>
      <c r="BL519" s="136"/>
    </row>
    <row r="520" spans="1:64" x14ac:dyDescent="0.3">
      <c r="A520" s="138"/>
      <c r="B520" s="138"/>
      <c r="C520" s="141"/>
      <c r="D520" s="28"/>
      <c r="E520" s="28"/>
      <c r="F520" s="28"/>
      <c r="G520" s="196"/>
      <c r="H520" s="138" t="s">
        <v>6</v>
      </c>
      <c r="I520" s="28" t="s">
        <v>927</v>
      </c>
      <c r="J520" s="141"/>
      <c r="L520" s="134" t="s">
        <v>88</v>
      </c>
      <c r="M520" s="134">
        <v>0</v>
      </c>
      <c r="N520" s="195">
        <v>0</v>
      </c>
      <c r="O520" s="134"/>
      <c r="P520" s="195"/>
      <c r="Q520" s="136"/>
      <c r="R520" s="134"/>
      <c r="S520" s="195"/>
      <c r="T520" s="134" t="s">
        <v>6</v>
      </c>
      <c r="U520" s="136"/>
      <c r="AB520" s="138" t="s">
        <v>89</v>
      </c>
      <c r="AC520" s="138">
        <v>37</v>
      </c>
      <c r="AD520" s="141">
        <v>38</v>
      </c>
      <c r="AE520" s="28"/>
      <c r="AF520" s="28"/>
      <c r="AG520" s="28"/>
      <c r="AH520" s="138"/>
      <c r="AI520" s="141"/>
      <c r="AJ520" s="28"/>
      <c r="AK520" s="138" t="s">
        <v>90</v>
      </c>
      <c r="AL520" s="28"/>
      <c r="AM520" s="141"/>
      <c r="AP520" s="138" t="s">
        <v>78</v>
      </c>
      <c r="AQ520" s="138">
        <v>5</v>
      </c>
      <c r="AR520" s="141">
        <v>22</v>
      </c>
      <c r="AS520" s="138"/>
      <c r="AT520" s="141"/>
      <c r="AU520" s="28"/>
      <c r="AV520" s="28"/>
      <c r="AW520" s="28"/>
      <c r="AX520" s="28"/>
      <c r="AY520" s="141"/>
      <c r="BB520" s="196" t="s">
        <v>99</v>
      </c>
      <c r="BC520" s="138">
        <v>0</v>
      </c>
      <c r="BD520" s="141">
        <v>0</v>
      </c>
      <c r="BE520" s="28">
        <v>0</v>
      </c>
      <c r="BF520" s="28">
        <v>0</v>
      </c>
      <c r="BG520" s="28">
        <v>0</v>
      </c>
      <c r="BH520" s="138">
        <v>71430</v>
      </c>
      <c r="BI520" s="141">
        <v>20904</v>
      </c>
      <c r="BJ520" s="43">
        <v>29</v>
      </c>
      <c r="BK520" s="28" t="s">
        <v>100</v>
      </c>
      <c r="BL520" s="141"/>
    </row>
    <row r="521" spans="1:64" x14ac:dyDescent="0.3">
      <c r="A521" s="138" t="s">
        <v>93</v>
      </c>
      <c r="B521" s="138">
        <v>2901</v>
      </c>
      <c r="C521" s="141">
        <v>3987</v>
      </c>
      <c r="D521" s="28" t="s">
        <v>6</v>
      </c>
      <c r="E521" s="28" t="s">
        <v>60</v>
      </c>
      <c r="F521" s="28"/>
      <c r="G521" s="196">
        <v>4287</v>
      </c>
      <c r="H521" s="212" t="s">
        <v>6</v>
      </c>
      <c r="I521" s="28" t="s">
        <v>94</v>
      </c>
      <c r="J521" s="141" t="s">
        <v>6</v>
      </c>
      <c r="L521" s="138" t="s">
        <v>95</v>
      </c>
      <c r="M521" s="138">
        <v>0</v>
      </c>
      <c r="N521" s="196">
        <v>0</v>
      </c>
      <c r="O521" s="138"/>
      <c r="P521" s="196"/>
      <c r="Q521" s="141"/>
      <c r="R521" s="138"/>
      <c r="S521" s="196"/>
      <c r="T521" s="138" t="s">
        <v>96</v>
      </c>
      <c r="U521" s="141"/>
      <c r="AB521" s="138" t="s">
        <v>97</v>
      </c>
      <c r="AC521" s="138">
        <v>0</v>
      </c>
      <c r="AD521" s="141">
        <v>0</v>
      </c>
      <c r="AE521" s="28">
        <v>0</v>
      </c>
      <c r="AF521" s="28">
        <v>0</v>
      </c>
      <c r="AG521" s="28">
        <v>0</v>
      </c>
      <c r="AH521" s="138">
        <v>0</v>
      </c>
      <c r="AI521" s="141">
        <v>0</v>
      </c>
      <c r="AJ521" s="28">
        <v>0</v>
      </c>
      <c r="AK521" s="138"/>
      <c r="AL521" s="28" t="s">
        <v>529</v>
      </c>
      <c r="AM521" s="141"/>
      <c r="AP521" s="138" t="s">
        <v>122</v>
      </c>
      <c r="AQ521" s="138">
        <v>10</v>
      </c>
      <c r="AR521" s="141">
        <v>17</v>
      </c>
      <c r="AS521" s="138"/>
      <c r="AT521" s="141"/>
      <c r="AU521" s="28"/>
      <c r="AV521" s="28">
        <v>25</v>
      </c>
      <c r="AW521" s="28" t="s">
        <v>123</v>
      </c>
      <c r="AX521" s="28"/>
      <c r="AY521" s="141"/>
      <c r="BB521" s="199" t="s">
        <v>84</v>
      </c>
      <c r="BC521" s="138">
        <f>SUM(BC519:BC520)</f>
        <v>0</v>
      </c>
      <c r="BD521" s="141">
        <f>SUM(BD519:BD520)</f>
        <v>0</v>
      </c>
      <c r="BE521" s="143"/>
      <c r="BF521" s="143"/>
      <c r="BG521" s="143"/>
      <c r="BH521" s="142"/>
      <c r="BI521" s="146"/>
      <c r="BJ521" s="143">
        <v>0</v>
      </c>
      <c r="BK521" s="143" t="s">
        <v>506</v>
      </c>
      <c r="BL521" s="146">
        <f>SUM(BJ520:BJ521)</f>
        <v>29</v>
      </c>
    </row>
    <row r="522" spans="1:64" x14ac:dyDescent="0.3">
      <c r="A522" s="142"/>
      <c r="B522" s="142"/>
      <c r="C522" s="146"/>
      <c r="D522" s="143"/>
      <c r="E522" s="143"/>
      <c r="F522" s="143"/>
      <c r="G522" s="199"/>
      <c r="H522" s="142">
        <v>24</v>
      </c>
      <c r="I522" s="143" t="s">
        <v>101</v>
      </c>
      <c r="J522" s="146">
        <f>SUM(H520:H522)</f>
        <v>24</v>
      </c>
      <c r="L522" s="138" t="s">
        <v>102</v>
      </c>
      <c r="M522" s="138">
        <v>0</v>
      </c>
      <c r="N522" s="196">
        <v>0</v>
      </c>
      <c r="O522" s="138"/>
      <c r="P522" s="196"/>
      <c r="Q522" s="141"/>
      <c r="R522" s="138"/>
      <c r="S522" s="196"/>
      <c r="T522" s="138"/>
      <c r="U522" s="141"/>
      <c r="AB522" s="142" t="s">
        <v>84</v>
      </c>
      <c r="AC522" s="142">
        <f>SUM(AC520:AC521)</f>
        <v>37</v>
      </c>
      <c r="AD522" s="146">
        <f>SUM(AD520:AD521)</f>
        <v>38</v>
      </c>
      <c r="AE522" s="143"/>
      <c r="AF522" s="143"/>
      <c r="AG522" s="143"/>
      <c r="AH522" s="142"/>
      <c r="AI522" s="146"/>
      <c r="AJ522" s="143"/>
      <c r="AK522" s="142">
        <v>1</v>
      </c>
      <c r="AL522" s="143" t="s">
        <v>145</v>
      </c>
      <c r="AM522" s="146"/>
      <c r="AP522" s="138" t="s">
        <v>125</v>
      </c>
      <c r="AQ522" s="138">
        <v>0</v>
      </c>
      <c r="AR522" s="141">
        <v>0</v>
      </c>
      <c r="AS522" s="138"/>
      <c r="AT522" s="141"/>
      <c r="AU522" s="28"/>
      <c r="AV522" s="28">
        <v>22</v>
      </c>
      <c r="AW522" s="28" t="s">
        <v>126</v>
      </c>
      <c r="AX522" s="28"/>
      <c r="AY522" s="141"/>
      <c r="BB522" s="138" t="s">
        <v>89</v>
      </c>
      <c r="BC522" s="134">
        <v>49</v>
      </c>
      <c r="BD522" s="136">
        <v>501</v>
      </c>
      <c r="BH522" s="134"/>
      <c r="BI522" s="136"/>
      <c r="BJ522" s="28"/>
      <c r="BK522" s="28" t="s">
        <v>91</v>
      </c>
      <c r="BL522" s="141"/>
    </row>
    <row r="523" spans="1:64" x14ac:dyDescent="0.3">
      <c r="A523" s="138" t="s">
        <v>108</v>
      </c>
      <c r="B523" s="138">
        <v>0</v>
      </c>
      <c r="C523" s="28">
        <v>0</v>
      </c>
      <c r="D523" s="138"/>
      <c r="E523" s="28">
        <v>372</v>
      </c>
      <c r="F523" s="141"/>
      <c r="G523" s="141"/>
      <c r="H523" s="28" t="s">
        <v>104</v>
      </c>
      <c r="I523" s="28"/>
      <c r="J523" s="141"/>
      <c r="L523" s="142" t="s">
        <v>84</v>
      </c>
      <c r="M523" s="142">
        <v>0</v>
      </c>
      <c r="N523" s="199">
        <v>0</v>
      </c>
      <c r="O523" s="142">
        <v>0</v>
      </c>
      <c r="P523" s="199">
        <v>0</v>
      </c>
      <c r="Q523" s="146">
        <v>0</v>
      </c>
      <c r="R523" s="142">
        <v>0</v>
      </c>
      <c r="S523" s="199">
        <v>0</v>
      </c>
      <c r="T523" s="142"/>
      <c r="U523" s="146"/>
      <c r="AB523" s="134" t="s">
        <v>1120</v>
      </c>
      <c r="AC523" s="134">
        <v>4</v>
      </c>
      <c r="AD523" s="136">
        <v>262</v>
      </c>
      <c r="AE523" s="135"/>
      <c r="AF523" s="135"/>
      <c r="AG523" s="135"/>
      <c r="AH523" s="134"/>
      <c r="AI523" s="136"/>
      <c r="AJ523" s="135"/>
      <c r="AK523" s="138" t="s">
        <v>1048</v>
      </c>
      <c r="AM523" s="136"/>
      <c r="AP523" s="138" t="s">
        <v>536</v>
      </c>
      <c r="AQ523" s="138">
        <v>7</v>
      </c>
      <c r="AR523" s="141">
        <v>6</v>
      </c>
      <c r="AS523" s="138"/>
      <c r="AT523" s="141"/>
      <c r="AU523" s="28"/>
      <c r="AV523" s="28">
        <v>33</v>
      </c>
      <c r="AW523" s="28" t="s">
        <v>129</v>
      </c>
      <c r="AX523" s="28"/>
      <c r="AY523" s="141"/>
      <c r="BA523" t="s">
        <v>6</v>
      </c>
      <c r="BB523" s="138" t="s">
        <v>137</v>
      </c>
      <c r="BC523" s="138">
        <v>224</v>
      </c>
      <c r="BD523" s="141">
        <v>226</v>
      </c>
      <c r="BH523" s="138"/>
      <c r="BI523" s="141"/>
      <c r="BJ523" s="43">
        <v>30</v>
      </c>
      <c r="BK523" s="43" t="s">
        <v>145</v>
      </c>
      <c r="BL523" s="141"/>
    </row>
    <row r="524" spans="1:64" x14ac:dyDescent="0.3">
      <c r="A524" s="138" t="s">
        <v>109</v>
      </c>
      <c r="B524" s="138">
        <v>1105</v>
      </c>
      <c r="C524" s="28">
        <v>2452</v>
      </c>
      <c r="D524" s="138"/>
      <c r="E524" s="28">
        <v>0</v>
      </c>
      <c r="F524" s="141"/>
      <c r="G524" s="141"/>
      <c r="H524" s="43">
        <v>8</v>
      </c>
      <c r="I524" s="28" t="s">
        <v>114</v>
      </c>
      <c r="J524" s="141"/>
      <c r="L524" s="134"/>
      <c r="M524" s="134"/>
      <c r="N524" s="195"/>
      <c r="O524" s="134"/>
      <c r="P524" s="195"/>
      <c r="Q524" s="136"/>
      <c r="R524" s="134"/>
      <c r="S524" s="195"/>
      <c r="T524" s="134" t="s">
        <v>104</v>
      </c>
      <c r="U524" s="136"/>
      <c r="AB524" s="138" t="s">
        <v>817</v>
      </c>
      <c r="AC524" s="138">
        <v>32</v>
      </c>
      <c r="AD524" s="141">
        <v>586</v>
      </c>
      <c r="AE524" s="28">
        <v>0</v>
      </c>
      <c r="AF524" s="28">
        <v>0</v>
      </c>
      <c r="AG524" s="28">
        <v>0</v>
      </c>
      <c r="AH524" s="138">
        <v>0</v>
      </c>
      <c r="AI524" s="141">
        <v>0</v>
      </c>
      <c r="AJ524" s="28">
        <v>0</v>
      </c>
      <c r="AK524" s="138"/>
      <c r="AM524" s="141"/>
      <c r="AP524" s="138" t="s">
        <v>132</v>
      </c>
      <c r="AQ524" s="138">
        <v>0</v>
      </c>
      <c r="AR524" s="141">
        <v>0</v>
      </c>
      <c r="AS524" s="138"/>
      <c r="AT524" s="141"/>
      <c r="AU524" s="28"/>
      <c r="AV524" s="28"/>
      <c r="AW524" s="28"/>
      <c r="AX524" s="28"/>
      <c r="AY524" s="141"/>
      <c r="BA524" t="s">
        <v>6</v>
      </c>
      <c r="BB524" s="138" t="s">
        <v>113</v>
      </c>
      <c r="BC524" s="138">
        <f>734+15</f>
        <v>749</v>
      </c>
      <c r="BD524" s="141">
        <f>753+34+18</f>
        <v>805</v>
      </c>
      <c r="BH524" s="138"/>
      <c r="BI524" s="141"/>
      <c r="BJ524" s="43">
        <v>176</v>
      </c>
      <c r="BK524" s="28" t="s">
        <v>73</v>
      </c>
      <c r="BL524" s="141"/>
    </row>
    <row r="525" spans="1:64" x14ac:dyDescent="0.3">
      <c r="A525" s="138" t="s">
        <v>84</v>
      </c>
      <c r="B525" s="138">
        <f>SUM(B523:B524)</f>
        <v>1105</v>
      </c>
      <c r="C525" s="28">
        <f>SUM(C523:C524)</f>
        <v>2452</v>
      </c>
      <c r="D525" s="138"/>
      <c r="E525" s="28">
        <f>SUM(E523:E524)</f>
        <v>372</v>
      </c>
      <c r="F525" s="141"/>
      <c r="G525" s="141">
        <v>4875</v>
      </c>
      <c r="H525" s="28"/>
      <c r="I525" s="28"/>
      <c r="J525" s="141">
        <f>SUM(H524)</f>
        <v>8</v>
      </c>
      <c r="L525" s="138" t="s">
        <v>109</v>
      </c>
      <c r="M525" s="138">
        <v>1140</v>
      </c>
      <c r="N525" s="196">
        <v>0</v>
      </c>
      <c r="O525" s="138">
        <v>0</v>
      </c>
      <c r="P525" s="196">
        <v>0</v>
      </c>
      <c r="Q525" s="141">
        <v>0</v>
      </c>
      <c r="R525" s="138">
        <v>0</v>
      </c>
      <c r="S525" s="196">
        <v>0</v>
      </c>
      <c r="T525" s="138"/>
      <c r="U525" s="141"/>
      <c r="AB525" s="138" t="s">
        <v>1121</v>
      </c>
      <c r="AC525" s="138">
        <v>1</v>
      </c>
      <c r="AD525" s="141">
        <v>264</v>
      </c>
      <c r="AE525" s="28">
        <v>0</v>
      </c>
      <c r="AF525" s="28">
        <v>0</v>
      </c>
      <c r="AG525" s="28">
        <v>0</v>
      </c>
      <c r="AH525" s="138"/>
      <c r="AI525" s="141"/>
      <c r="AJ525" s="28"/>
      <c r="AK525" s="138">
        <v>9</v>
      </c>
      <c r="AL525" s="43" t="s">
        <v>359</v>
      </c>
      <c r="AM525" s="141"/>
      <c r="AP525" s="138" t="s">
        <v>81</v>
      </c>
      <c r="AQ525" s="138">
        <v>0</v>
      </c>
      <c r="AR525" s="141">
        <v>10</v>
      </c>
      <c r="AS525" s="138"/>
      <c r="AT525" s="141"/>
      <c r="AU525" s="28"/>
      <c r="AV525" s="28"/>
      <c r="AW525" s="28"/>
      <c r="AX525" s="28"/>
      <c r="AY525" s="141"/>
      <c r="BB525" s="138" t="s">
        <v>84</v>
      </c>
      <c r="BC525" s="138">
        <f>SUM(BC522:BC524)</f>
        <v>1022</v>
      </c>
      <c r="BD525" s="141">
        <f>SUM(BD522:BD524)</f>
        <v>1532</v>
      </c>
      <c r="BE525">
        <v>0</v>
      </c>
      <c r="BF525">
        <v>0</v>
      </c>
      <c r="BG525">
        <v>0</v>
      </c>
      <c r="BH525" s="138">
        <v>0</v>
      </c>
      <c r="BI525" s="141">
        <v>0</v>
      </c>
      <c r="BJ525" s="28"/>
      <c r="BK525" s="28"/>
      <c r="BL525" s="141">
        <f>SUM(BJ523:BJ525)</f>
        <v>206</v>
      </c>
    </row>
    <row r="526" spans="1:64" x14ac:dyDescent="0.3">
      <c r="A526" s="134" t="s">
        <v>785</v>
      </c>
      <c r="B526" s="134">
        <v>579</v>
      </c>
      <c r="C526" s="136">
        <v>728</v>
      </c>
      <c r="D526" s="135"/>
      <c r="E526" s="135"/>
      <c r="F526" s="135"/>
      <c r="G526" s="195">
        <v>750</v>
      </c>
      <c r="H526" s="135" t="s">
        <v>1050</v>
      </c>
      <c r="I526" s="135"/>
      <c r="J526" s="136"/>
      <c r="L526" s="142"/>
      <c r="M526" s="142"/>
      <c r="N526" s="199"/>
      <c r="O526" s="142"/>
      <c r="P526" s="199"/>
      <c r="Q526" s="146"/>
      <c r="R526" s="142"/>
      <c r="S526" s="199"/>
      <c r="T526" s="142"/>
      <c r="U526" s="146"/>
      <c r="AB526" s="142" t="s">
        <v>709</v>
      </c>
      <c r="AC526" s="142">
        <f>SUM(AC523:AC525)</f>
        <v>37</v>
      </c>
      <c r="AD526" s="146">
        <f>SUM(AD523:AD525)</f>
        <v>1112</v>
      </c>
      <c r="AE526" s="143">
        <v>0</v>
      </c>
      <c r="AF526" s="143">
        <v>0</v>
      </c>
      <c r="AG526" s="143">
        <v>0</v>
      </c>
      <c r="AH526" s="142"/>
      <c r="AI526" s="146"/>
      <c r="AJ526" s="143"/>
      <c r="AK526" s="142"/>
      <c r="AL526" s="143"/>
      <c r="AM526" s="146"/>
      <c r="AP526" s="138" t="s">
        <v>138</v>
      </c>
      <c r="AQ526" s="138">
        <v>0</v>
      </c>
      <c r="AR526" s="141">
        <v>1</v>
      </c>
      <c r="AS526" s="138"/>
      <c r="AT526" s="141"/>
      <c r="AU526" s="28"/>
      <c r="AV526" s="28"/>
      <c r="AW526" s="28"/>
      <c r="AX526" s="28"/>
      <c r="AY526" s="141"/>
      <c r="BA526" t="s">
        <v>6</v>
      </c>
      <c r="BB526" s="134"/>
      <c r="BC526" s="134"/>
      <c r="BD526" s="136"/>
      <c r="BE526" s="135"/>
      <c r="BF526" s="135"/>
      <c r="BG526" s="135"/>
      <c r="BH526" s="134"/>
      <c r="BI526" s="136"/>
      <c r="BJ526" s="135" t="s">
        <v>1025</v>
      </c>
      <c r="BK526" s="135"/>
      <c r="BL526" s="136"/>
    </row>
    <row r="527" spans="1:64" x14ac:dyDescent="0.3">
      <c r="A527" s="138" t="s">
        <v>93</v>
      </c>
      <c r="B527" s="138">
        <v>7990</v>
      </c>
      <c r="C527" s="141">
        <v>8374</v>
      </c>
      <c r="D527" s="28"/>
      <c r="E527" s="28"/>
      <c r="F527" s="28"/>
      <c r="G527" s="196">
        <v>9200</v>
      </c>
      <c r="H527" s="28"/>
      <c r="I527" s="28" t="s">
        <v>75</v>
      </c>
      <c r="J527" s="141"/>
      <c r="L527" s="134" t="s">
        <v>93</v>
      </c>
      <c r="M527" s="134">
        <v>0</v>
      </c>
      <c r="N527" s="195">
        <v>0</v>
      </c>
      <c r="O527" s="134"/>
      <c r="P527" s="195"/>
      <c r="Q527" s="136"/>
      <c r="R527" s="134">
        <v>0</v>
      </c>
      <c r="S527" s="195">
        <v>0</v>
      </c>
      <c r="T527" s="134" t="s">
        <v>116</v>
      </c>
      <c r="U527" s="136"/>
      <c r="AB527" s="138"/>
      <c r="AC527" s="138"/>
      <c r="AD527" s="141"/>
      <c r="AE527" s="28"/>
      <c r="AF527" s="28"/>
      <c r="AG527" s="28"/>
      <c r="AH527" s="138"/>
      <c r="AI527" s="141"/>
      <c r="AJ527" s="28"/>
      <c r="AK527" s="138"/>
      <c r="AL527" s="28" t="s">
        <v>117</v>
      </c>
      <c r="AM527" s="141"/>
      <c r="AP527" s="138" t="s">
        <v>128</v>
      </c>
      <c r="AQ527" s="138">
        <v>3</v>
      </c>
      <c r="AR527" s="141">
        <v>0</v>
      </c>
      <c r="AS527" s="138"/>
      <c r="AT527" s="141"/>
      <c r="AU527" s="28"/>
      <c r="AV527" s="28"/>
      <c r="AW527" s="28"/>
      <c r="AX527" s="28"/>
      <c r="AY527" s="141"/>
      <c r="BB527" s="142" t="s">
        <v>64</v>
      </c>
      <c r="BC527" s="142">
        <v>59</v>
      </c>
      <c r="BD527" s="146">
        <v>80</v>
      </c>
      <c r="BE527" s="143"/>
      <c r="BF527" s="143"/>
      <c r="BG527" s="143"/>
      <c r="BH527" s="142"/>
      <c r="BI527" s="146"/>
      <c r="BJ527" s="143">
        <v>8</v>
      </c>
      <c r="BK527" s="143" t="s">
        <v>1026</v>
      </c>
      <c r="BL527" s="146">
        <f>SUM(BJ527)</f>
        <v>8</v>
      </c>
    </row>
    <row r="528" spans="1:64" x14ac:dyDescent="0.3">
      <c r="A528" s="138" t="s">
        <v>120</v>
      </c>
      <c r="B528" s="138">
        <v>5853</v>
      </c>
      <c r="C528" s="209">
        <v>6886</v>
      </c>
      <c r="D528" s="28"/>
      <c r="E528" s="28" t="s">
        <v>60</v>
      </c>
      <c r="F528" s="28"/>
      <c r="G528" s="196">
        <v>7410</v>
      </c>
      <c r="H528" s="28">
        <v>94</v>
      </c>
      <c r="I528" s="28" t="s">
        <v>101</v>
      </c>
      <c r="J528" s="141"/>
      <c r="L528" s="138" t="s">
        <v>99</v>
      </c>
      <c r="M528" s="138">
        <v>10242</v>
      </c>
      <c r="N528" s="196">
        <v>8721</v>
      </c>
      <c r="O528" s="138"/>
      <c r="P528" s="196"/>
      <c r="Q528" s="141">
        <v>6715</v>
      </c>
      <c r="R528" s="138">
        <v>402</v>
      </c>
      <c r="S528" s="196"/>
      <c r="T528" s="138"/>
      <c r="U528" s="141"/>
      <c r="AB528" s="138"/>
      <c r="AC528" s="138"/>
      <c r="AD528" s="141"/>
      <c r="AE528" s="28"/>
      <c r="AF528" s="28"/>
      <c r="AG528" s="28"/>
      <c r="AH528" s="138"/>
      <c r="AI528" s="141"/>
      <c r="AJ528" s="28"/>
      <c r="AK528" s="138">
        <v>3</v>
      </c>
      <c r="AL528" s="28" t="s">
        <v>1122</v>
      </c>
      <c r="AM528" s="141"/>
      <c r="AP528" s="138" t="s">
        <v>67</v>
      </c>
      <c r="AQ528" s="138">
        <v>39</v>
      </c>
      <c r="AR528" s="141">
        <v>46</v>
      </c>
      <c r="AS528" s="138"/>
      <c r="AT528" s="141"/>
      <c r="AU528" s="28"/>
      <c r="AV528" s="28"/>
      <c r="AW528" s="28"/>
      <c r="AX528" s="28"/>
      <c r="AY528" s="141"/>
      <c r="BB528" s="138" t="s">
        <v>113</v>
      </c>
      <c r="BC528" s="138">
        <v>463</v>
      </c>
      <c r="BD528" s="141">
        <v>492</v>
      </c>
      <c r="BE528" s="28"/>
      <c r="BF528" s="28"/>
      <c r="BG528" s="28"/>
      <c r="BH528" s="138"/>
      <c r="BI528" s="141"/>
      <c r="BJ528" s="28" t="s">
        <v>994</v>
      </c>
      <c r="BK528" s="28"/>
      <c r="BL528" s="141"/>
    </row>
    <row r="529" spans="1:65" x14ac:dyDescent="0.3">
      <c r="A529" s="142" t="s">
        <v>84</v>
      </c>
      <c r="B529" s="142">
        <f>SUM(B526:B528)</f>
        <v>14422</v>
      </c>
      <c r="C529" s="146">
        <f>SUM(C526:C528)</f>
        <v>15988</v>
      </c>
      <c r="D529" s="143"/>
      <c r="E529" s="143"/>
      <c r="F529" s="143"/>
      <c r="G529" s="199">
        <f>SUM(G526:G528)</f>
        <v>17360</v>
      </c>
      <c r="H529" s="143">
        <v>15</v>
      </c>
      <c r="I529" s="143" t="s">
        <v>927</v>
      </c>
      <c r="J529" s="146">
        <f>SUM(H527:H529)</f>
        <v>109</v>
      </c>
      <c r="L529" s="138" t="s">
        <v>120</v>
      </c>
      <c r="M529" s="138">
        <v>45</v>
      </c>
      <c r="N529" s="196">
        <v>5498</v>
      </c>
      <c r="O529" s="138"/>
      <c r="P529" s="196"/>
      <c r="Q529" s="141">
        <v>0</v>
      </c>
      <c r="R529" s="138">
        <v>0</v>
      </c>
      <c r="S529" s="196">
        <v>0</v>
      </c>
      <c r="T529" s="138"/>
      <c r="U529" s="141"/>
      <c r="AB529" s="138"/>
      <c r="AC529" s="138"/>
      <c r="AD529" s="141"/>
      <c r="AE529" s="28"/>
      <c r="AF529" s="28"/>
      <c r="AG529" s="28"/>
      <c r="AH529" s="138"/>
      <c r="AI529" s="141"/>
      <c r="AJ529" s="28"/>
      <c r="AK529" s="138"/>
      <c r="AL529" s="28" t="s">
        <v>401</v>
      </c>
      <c r="AM529" s="141"/>
      <c r="AP529" s="142" t="s">
        <v>84</v>
      </c>
      <c r="AQ529" s="142">
        <f>SUM(AQ516:AQ528)</f>
        <v>157</v>
      </c>
      <c r="AR529" s="146">
        <f>SUM(AR516:AR528)</f>
        <v>604</v>
      </c>
      <c r="AS529" s="142"/>
      <c r="AT529" s="146">
        <v>0</v>
      </c>
      <c r="AU529" s="143"/>
      <c r="AV529" s="143"/>
      <c r="AW529" s="143"/>
      <c r="AX529" s="143"/>
      <c r="AY529" s="146">
        <f>SUM(AV521:AV523)</f>
        <v>80</v>
      </c>
      <c r="BB529" s="138" t="s">
        <v>475</v>
      </c>
      <c r="BC529" s="138">
        <v>0</v>
      </c>
      <c r="BD529" s="141">
        <v>0</v>
      </c>
      <c r="BE529" s="28"/>
      <c r="BF529" s="28"/>
      <c r="BG529" s="28"/>
      <c r="BH529" s="138"/>
      <c r="BI529" s="141"/>
      <c r="BJ529" s="28">
        <v>24</v>
      </c>
      <c r="BK529" s="28" t="s">
        <v>100</v>
      </c>
      <c r="BL529" s="141"/>
      <c r="BM529" t="s">
        <v>6</v>
      </c>
    </row>
    <row r="530" spans="1:65" x14ac:dyDescent="0.3">
      <c r="A530" s="196" t="s">
        <v>6</v>
      </c>
      <c r="B530" s="138" t="s">
        <v>6</v>
      </c>
      <c r="C530" s="141" t="s">
        <v>6</v>
      </c>
      <c r="D530" s="138"/>
      <c r="E530" s="28"/>
      <c r="F530" s="28"/>
      <c r="G530" s="196" t="s">
        <v>6</v>
      </c>
      <c r="H530" s="28" t="s">
        <v>131</v>
      </c>
      <c r="I530" s="28"/>
      <c r="J530" s="141"/>
      <c r="L530" s="142" t="s">
        <v>84</v>
      </c>
      <c r="M530" s="142">
        <f>SUM(M527:M529)</f>
        <v>10287</v>
      </c>
      <c r="N530" s="199">
        <f>SUM(N527:N529)</f>
        <v>14219</v>
      </c>
      <c r="O530" s="142">
        <v>0</v>
      </c>
      <c r="P530" s="199">
        <v>0</v>
      </c>
      <c r="Q530" s="146">
        <v>0</v>
      </c>
      <c r="R530" s="142">
        <f>SUM(R527:R529)</f>
        <v>402</v>
      </c>
      <c r="S530" s="199">
        <f>SUM(S527:S529)</f>
        <v>0</v>
      </c>
      <c r="T530" s="142"/>
      <c r="U530" s="146"/>
      <c r="AB530" s="138"/>
      <c r="AC530" s="138"/>
      <c r="AD530" s="141"/>
      <c r="AE530" s="28"/>
      <c r="AF530" s="28"/>
      <c r="AG530" s="28"/>
      <c r="AH530" s="138"/>
      <c r="AI530" s="141"/>
      <c r="AJ530" s="28"/>
      <c r="AK530" s="138">
        <v>1</v>
      </c>
      <c r="AL530" s="28" t="s">
        <v>124</v>
      </c>
      <c r="AM530" s="141"/>
      <c r="AP530" s="134"/>
      <c r="AQ530" s="134"/>
      <c r="AR530" s="136"/>
      <c r="AS530" s="134"/>
      <c r="AT530" s="136"/>
      <c r="AU530" s="135"/>
      <c r="AV530" s="135"/>
      <c r="AW530" s="135"/>
      <c r="AX530" s="135"/>
      <c r="AY530" s="136"/>
      <c r="BB530" s="142" t="s">
        <v>84</v>
      </c>
      <c r="BC530" s="142">
        <f>SUM(BC528:BC529)</f>
        <v>463</v>
      </c>
      <c r="BD530" s="146">
        <f>SUM(BD528:BD529)</f>
        <v>492</v>
      </c>
      <c r="BE530" s="143">
        <v>0</v>
      </c>
      <c r="BF530" s="143">
        <v>0</v>
      </c>
      <c r="BG530" s="143">
        <v>0</v>
      </c>
      <c r="BH530" s="142">
        <v>0</v>
      </c>
      <c r="BI530" s="146">
        <v>0</v>
      </c>
      <c r="BJ530" s="43">
        <v>20</v>
      </c>
      <c r="BK530" s="43" t="s">
        <v>73</v>
      </c>
      <c r="BL530" s="146">
        <f>SUM(BJ529:BJ530)</f>
        <v>44</v>
      </c>
    </row>
    <row r="531" spans="1:65" x14ac:dyDescent="0.3">
      <c r="A531" s="196" t="s">
        <v>88</v>
      </c>
      <c r="B531" s="138">
        <v>524</v>
      </c>
      <c r="C531" s="141">
        <v>1681</v>
      </c>
      <c r="D531" s="138"/>
      <c r="E531" s="28">
        <v>0</v>
      </c>
      <c r="F531" s="28"/>
      <c r="G531" s="196"/>
      <c r="H531">
        <v>2</v>
      </c>
      <c r="I531" s="43" t="s">
        <v>436</v>
      </c>
      <c r="J531" s="141"/>
      <c r="L531" s="134"/>
      <c r="M531" s="134"/>
      <c r="N531" s="195"/>
      <c r="O531" s="134"/>
      <c r="P531" s="195"/>
      <c r="Q531" s="136"/>
      <c r="R531" s="134"/>
      <c r="S531" s="195"/>
      <c r="T531" s="134"/>
      <c r="U531" s="136"/>
      <c r="AB531" s="134"/>
      <c r="AC531" s="134"/>
      <c r="AD531" s="136"/>
      <c r="AE531" s="135"/>
      <c r="AF531" s="135"/>
      <c r="AG531" s="135"/>
      <c r="AH531" s="134"/>
      <c r="AI531" s="136"/>
      <c r="AJ531" s="135"/>
      <c r="AK531" s="134"/>
      <c r="AL531" s="135"/>
      <c r="AM531" s="136"/>
      <c r="AP531" s="138"/>
      <c r="AQ531" s="138">
        <v>0</v>
      </c>
      <c r="AR531" s="141">
        <v>0</v>
      </c>
      <c r="AS531" s="138"/>
      <c r="AT531" s="141"/>
      <c r="AU531" s="28"/>
      <c r="AV531" s="28"/>
      <c r="AW531" s="28"/>
      <c r="AX531" s="28"/>
      <c r="AY531" s="141"/>
      <c r="BB531" s="196" t="s">
        <v>1118</v>
      </c>
      <c r="BC531" s="138">
        <v>6</v>
      </c>
      <c r="BD531" s="141">
        <v>207</v>
      </c>
      <c r="BE531" s="134"/>
      <c r="BF531" s="135"/>
      <c r="BG531" s="136"/>
      <c r="BH531" s="138"/>
      <c r="BI531" s="141"/>
      <c r="BJ531" s="134" t="s">
        <v>140</v>
      </c>
      <c r="BK531" s="135"/>
      <c r="BL531" s="136"/>
    </row>
    <row r="532" spans="1:65" x14ac:dyDescent="0.3">
      <c r="A532" s="211" t="s">
        <v>99</v>
      </c>
      <c r="B532" s="212">
        <v>917</v>
      </c>
      <c r="C532" s="209">
        <v>999</v>
      </c>
      <c r="D532" s="138"/>
      <c r="E532" s="28">
        <v>0</v>
      </c>
      <c r="F532" s="28"/>
      <c r="G532" s="211"/>
      <c r="H532" s="28">
        <v>3</v>
      </c>
      <c r="I532" s="215" t="s">
        <v>1072</v>
      </c>
      <c r="J532" s="141"/>
      <c r="L532" s="138" t="s">
        <v>105</v>
      </c>
      <c r="M532" s="138">
        <v>2076</v>
      </c>
      <c r="N532" s="196">
        <v>0</v>
      </c>
      <c r="O532" s="138">
        <v>0</v>
      </c>
      <c r="P532" s="196">
        <v>0</v>
      </c>
      <c r="Q532" s="141">
        <v>0</v>
      </c>
      <c r="R532" s="138">
        <v>0</v>
      </c>
      <c r="S532" s="196">
        <v>0</v>
      </c>
      <c r="T532" s="138"/>
      <c r="U532" s="141"/>
      <c r="AB532" s="138" t="s">
        <v>97</v>
      </c>
      <c r="AC532" s="138">
        <v>87</v>
      </c>
      <c r="AD532" s="141">
        <v>67</v>
      </c>
      <c r="AE532" s="28"/>
      <c r="AF532" s="28"/>
      <c r="AG532" s="28"/>
      <c r="AH532" s="138"/>
      <c r="AI532" s="141"/>
      <c r="AJ532" s="28"/>
      <c r="AK532" s="138" t="s">
        <v>953</v>
      </c>
      <c r="AL532" s="28"/>
      <c r="AM532" s="141"/>
      <c r="AP532" s="138"/>
      <c r="AQ532" s="138">
        <v>0</v>
      </c>
      <c r="AR532" s="141">
        <v>0</v>
      </c>
      <c r="AS532" s="138"/>
      <c r="AT532" s="141"/>
      <c r="AU532" s="28"/>
      <c r="AV532" s="28"/>
      <c r="AW532" s="28"/>
      <c r="AX532" s="28"/>
      <c r="AY532" s="141"/>
      <c r="BB532" s="196" t="s">
        <v>181</v>
      </c>
      <c r="BC532" s="138">
        <v>0</v>
      </c>
      <c r="BD532" s="141">
        <v>4</v>
      </c>
      <c r="BE532" s="138"/>
      <c r="BF532" s="28"/>
      <c r="BG532" s="141"/>
      <c r="BH532" s="138"/>
      <c r="BI532" s="141"/>
      <c r="BJ532" s="138"/>
      <c r="BK532" s="28"/>
      <c r="BL532" s="141"/>
    </row>
    <row r="533" spans="1:65" x14ac:dyDescent="0.3">
      <c r="A533" s="196" t="s">
        <v>102</v>
      </c>
      <c r="B533" s="138">
        <v>509</v>
      </c>
      <c r="C533" s="209">
        <v>1011</v>
      </c>
      <c r="D533" s="138"/>
      <c r="E533" s="28">
        <v>0</v>
      </c>
      <c r="F533" s="28"/>
      <c r="G533" s="196"/>
      <c r="H533" s="43">
        <v>38</v>
      </c>
      <c r="I533" s="28" t="s">
        <v>134</v>
      </c>
      <c r="J533" s="141"/>
      <c r="L533" s="138" t="s">
        <v>99</v>
      </c>
      <c r="M533" s="138">
        <v>0</v>
      </c>
      <c r="N533" s="196">
        <v>220</v>
      </c>
      <c r="O533" s="138">
        <v>0</v>
      </c>
      <c r="P533" s="196">
        <v>0</v>
      </c>
      <c r="Q533" s="141">
        <v>0</v>
      </c>
      <c r="R533" s="138">
        <v>0</v>
      </c>
      <c r="S533" s="196">
        <v>0</v>
      </c>
      <c r="T533" s="138" t="s">
        <v>135</v>
      </c>
      <c r="U533" s="141"/>
      <c r="AB533" s="138" t="s">
        <v>89</v>
      </c>
      <c r="AC533" s="138">
        <v>478</v>
      </c>
      <c r="AD533" s="141">
        <v>406</v>
      </c>
      <c r="AE533" s="28"/>
      <c r="AF533" s="28"/>
      <c r="AG533" s="28"/>
      <c r="AH533" s="138"/>
      <c r="AI533" s="141"/>
      <c r="AJ533" s="28"/>
      <c r="AK533" s="138"/>
      <c r="AL533" s="43"/>
      <c r="AM533" s="141"/>
      <c r="AP533" s="138"/>
      <c r="AQ533" s="138">
        <v>0</v>
      </c>
      <c r="AR533" s="141">
        <v>0</v>
      </c>
      <c r="AS533" s="138"/>
      <c r="AT533" s="141"/>
      <c r="AU533" s="28"/>
      <c r="AV533" s="28" t="s">
        <v>173</v>
      </c>
      <c r="AW533" s="28"/>
      <c r="AX533" s="28"/>
      <c r="AY533" s="141"/>
      <c r="BB533" s="196" t="s">
        <v>107</v>
      </c>
      <c r="BC533" s="138">
        <v>4</v>
      </c>
      <c r="BD533" s="141">
        <v>1</v>
      </c>
      <c r="BE533" s="138"/>
      <c r="BF533" s="28"/>
      <c r="BG533" s="141"/>
      <c r="BH533" s="138"/>
      <c r="BI533" s="141"/>
      <c r="BJ533" s="138"/>
      <c r="BK533" s="28"/>
      <c r="BL533" s="141"/>
    </row>
    <row r="534" spans="1:65" x14ac:dyDescent="0.3">
      <c r="A534" s="196" t="s">
        <v>84</v>
      </c>
      <c r="B534" s="142">
        <f>SUM(B530:B533)</f>
        <v>1950</v>
      </c>
      <c r="C534" s="146">
        <f>SUM(C530:C533)</f>
        <v>3691</v>
      </c>
      <c r="D534" s="142"/>
      <c r="E534" s="143">
        <v>0</v>
      </c>
      <c r="F534" s="143"/>
      <c r="G534" s="199">
        <f>SUM(G531:G533)</f>
        <v>0</v>
      </c>
      <c r="H534" s="143">
        <v>2</v>
      </c>
      <c r="I534" s="216" t="s">
        <v>815</v>
      </c>
      <c r="J534" s="146">
        <f>SUM(H531:H534)</f>
        <v>45</v>
      </c>
      <c r="L534" s="138"/>
      <c r="M534" s="138"/>
      <c r="N534" s="196"/>
      <c r="O534" s="138"/>
      <c r="P534" s="196"/>
      <c r="Q534" s="141"/>
      <c r="R534" s="138"/>
      <c r="S534" s="196"/>
      <c r="T534" s="138"/>
      <c r="U534" s="141"/>
      <c r="AB534" s="138" t="s">
        <v>137</v>
      </c>
      <c r="AC534" s="138">
        <v>382</v>
      </c>
      <c r="AD534" s="141">
        <v>339</v>
      </c>
      <c r="AE534" s="28"/>
      <c r="AF534" s="28"/>
      <c r="AG534" s="28"/>
      <c r="AH534" s="138"/>
      <c r="AI534" s="141"/>
      <c r="AJ534" s="28"/>
      <c r="AK534" s="138">
        <v>7</v>
      </c>
      <c r="AL534" s="28" t="s">
        <v>884</v>
      </c>
      <c r="AM534" s="141"/>
      <c r="AP534" s="138"/>
      <c r="AQ534" s="138">
        <v>0</v>
      </c>
      <c r="AR534" s="141">
        <v>0</v>
      </c>
      <c r="AS534" s="138"/>
      <c r="AT534" s="141"/>
      <c r="AU534" s="28"/>
      <c r="AV534" s="28"/>
      <c r="AW534" s="28"/>
      <c r="AX534" s="28"/>
      <c r="AY534" s="141"/>
      <c r="BB534" s="196" t="s">
        <v>113</v>
      </c>
      <c r="BC534" s="138">
        <f>3+48+3+5</f>
        <v>59</v>
      </c>
      <c r="BD534" s="141">
        <f>42+3+2</f>
        <v>47</v>
      </c>
      <c r="BE534" s="138"/>
      <c r="BF534" s="28"/>
      <c r="BG534" s="141"/>
      <c r="BH534" s="138"/>
      <c r="BI534" s="141"/>
      <c r="BJ534" s="138" t="s">
        <v>142</v>
      </c>
      <c r="BK534" s="28"/>
      <c r="BL534" s="141" t="s">
        <v>620</v>
      </c>
    </row>
    <row r="535" spans="1:65" x14ac:dyDescent="0.3">
      <c r="A535" s="195"/>
      <c r="B535" s="28"/>
      <c r="C535" s="28"/>
      <c r="D535" s="138"/>
      <c r="E535" s="28" t="s">
        <v>6</v>
      </c>
      <c r="F535" s="28"/>
      <c r="G535" s="196"/>
      <c r="H535" s="28" t="s">
        <v>116</v>
      </c>
      <c r="I535" s="28"/>
      <c r="J535" s="141"/>
      <c r="L535" s="142" t="s">
        <v>84</v>
      </c>
      <c r="M535" s="142">
        <f>SUM(M532:M534)</f>
        <v>2076</v>
      </c>
      <c r="N535" s="199">
        <f>SUM(N532:N534)</f>
        <v>220</v>
      </c>
      <c r="O535" s="142">
        <v>0</v>
      </c>
      <c r="P535" s="199">
        <v>0</v>
      </c>
      <c r="Q535" s="146">
        <v>0</v>
      </c>
      <c r="R535" s="142">
        <f>SUM(R532:R534)</f>
        <v>0</v>
      </c>
      <c r="S535" s="199">
        <v>0</v>
      </c>
      <c r="T535" s="142"/>
      <c r="U535" s="146"/>
      <c r="AB535" s="138" t="s">
        <v>84</v>
      </c>
      <c r="AC535" s="138">
        <f>SUM(AC532:AC534)</f>
        <v>947</v>
      </c>
      <c r="AD535" s="141">
        <f>SUM(AD532:AD534)</f>
        <v>812</v>
      </c>
      <c r="AE535" s="28">
        <v>0</v>
      </c>
      <c r="AF535" s="28">
        <v>0</v>
      </c>
      <c r="AG535" s="28">
        <v>0</v>
      </c>
      <c r="AH535" s="138">
        <v>0</v>
      </c>
      <c r="AI535" s="141">
        <v>0</v>
      </c>
      <c r="AJ535" s="28">
        <v>0</v>
      </c>
      <c r="AK535" s="138">
        <v>9</v>
      </c>
      <c r="AL535" s="28" t="s">
        <v>141</v>
      </c>
      <c r="AM535" s="141"/>
      <c r="AP535" s="138"/>
      <c r="AQ535" s="138">
        <v>0</v>
      </c>
      <c r="AR535" s="141">
        <v>0</v>
      </c>
      <c r="AS535" s="138"/>
      <c r="AT535" s="141"/>
      <c r="AU535" s="28"/>
      <c r="AV535" s="28">
        <v>0</v>
      </c>
      <c r="AW535" s="28" t="s">
        <v>183</v>
      </c>
      <c r="AX535" s="28"/>
      <c r="AY535" s="141"/>
      <c r="BB535" s="196" t="s">
        <v>200</v>
      </c>
      <c r="BC535" s="138">
        <v>3</v>
      </c>
      <c r="BD535" s="141">
        <v>0</v>
      </c>
      <c r="BE535" s="138"/>
      <c r="BF535" s="28"/>
      <c r="BG535" s="141"/>
      <c r="BH535" s="138"/>
      <c r="BI535" s="141"/>
      <c r="BJ535" s="138" t="s">
        <v>146</v>
      </c>
      <c r="BK535" s="28"/>
      <c r="BL535" s="141" t="s">
        <v>1051</v>
      </c>
    </row>
    <row r="536" spans="1:65" x14ac:dyDescent="0.3">
      <c r="A536" s="196" t="s">
        <v>93</v>
      </c>
      <c r="B536" s="43">
        <v>6763</v>
      </c>
      <c r="C536" s="43">
        <v>7493</v>
      </c>
      <c r="D536" s="138"/>
      <c r="E536" s="28" t="s">
        <v>60</v>
      </c>
      <c r="F536" s="28"/>
      <c r="G536" s="196">
        <v>9798</v>
      </c>
      <c r="H536" s="43">
        <v>180</v>
      </c>
      <c r="I536" s="28" t="s">
        <v>144</v>
      </c>
      <c r="J536" s="141"/>
      <c r="L536" s="138"/>
      <c r="M536" s="138"/>
      <c r="N536" s="196"/>
      <c r="O536" s="138"/>
      <c r="P536" s="196"/>
      <c r="Q536" s="141"/>
      <c r="R536" s="138"/>
      <c r="S536" s="196"/>
      <c r="T536" s="138"/>
      <c r="U536" s="141"/>
      <c r="AB536" s="142"/>
      <c r="AC536" s="142"/>
      <c r="AD536" s="146"/>
      <c r="AE536" s="143"/>
      <c r="AF536" s="143"/>
      <c r="AG536" s="143"/>
      <c r="AH536" s="142"/>
      <c r="AI536" s="146"/>
      <c r="AJ536" s="143"/>
      <c r="AK536" s="142">
        <v>2</v>
      </c>
      <c r="AL536" s="143" t="s">
        <v>996</v>
      </c>
      <c r="AM536" s="146"/>
      <c r="AP536" s="134"/>
      <c r="AQ536" s="134"/>
      <c r="AR536" s="136"/>
      <c r="AS536" s="135"/>
      <c r="AT536" s="135"/>
      <c r="AU536" s="134"/>
      <c r="AV536" s="135"/>
      <c r="AW536" s="135"/>
      <c r="AX536" s="135"/>
      <c r="AY536" s="136"/>
      <c r="BA536" t="s">
        <v>6</v>
      </c>
      <c r="BB536" s="196" t="s">
        <v>133</v>
      </c>
      <c r="BC536" s="138">
        <f>13+4+3+2</f>
        <v>22</v>
      </c>
      <c r="BD536" s="141">
        <f>13+3+2+2</f>
        <v>20</v>
      </c>
      <c r="BE536" s="138"/>
      <c r="BF536" s="28"/>
      <c r="BG536" s="141"/>
      <c r="BH536" s="138"/>
      <c r="BI536" s="141"/>
      <c r="BJ536" s="138"/>
      <c r="BK536" s="28"/>
      <c r="BL536" s="141"/>
    </row>
    <row r="537" spans="1:65" x14ac:dyDescent="0.3">
      <c r="A537" s="196" t="s">
        <v>99</v>
      </c>
      <c r="B537" s="43">
        <v>9196</v>
      </c>
      <c r="C537" s="43">
        <v>8869</v>
      </c>
      <c r="D537" s="138"/>
      <c r="E537" s="28" t="s">
        <v>60</v>
      </c>
      <c r="F537" s="28"/>
      <c r="G537" s="196">
        <v>14714</v>
      </c>
      <c r="H537" s="43">
        <v>0</v>
      </c>
      <c r="I537" s="28" t="s">
        <v>148</v>
      </c>
      <c r="J537" s="141"/>
      <c r="L537" s="138"/>
      <c r="M537" s="138"/>
      <c r="N537" s="196"/>
      <c r="O537" s="138"/>
      <c r="P537" s="196"/>
      <c r="Q537" s="141"/>
      <c r="R537" s="138"/>
      <c r="S537" s="196"/>
      <c r="T537" s="138"/>
      <c r="U537" s="141"/>
      <c r="AB537" s="138"/>
      <c r="AC537" s="138"/>
      <c r="AD537" s="141"/>
      <c r="AE537" s="28"/>
      <c r="AF537" s="28"/>
      <c r="AG537" s="28"/>
      <c r="AH537" s="138"/>
      <c r="AI537" s="141"/>
      <c r="AJ537" s="28"/>
      <c r="AK537" s="134" t="s">
        <v>149</v>
      </c>
      <c r="AL537" s="135"/>
      <c r="AM537" s="136"/>
      <c r="AP537" s="138"/>
      <c r="AQ537" s="138"/>
      <c r="AR537" s="141"/>
      <c r="AS537" s="28"/>
      <c r="AT537" s="28"/>
      <c r="AU537" s="138"/>
      <c r="AV537" s="28" t="s">
        <v>140</v>
      </c>
      <c r="AW537" s="28"/>
      <c r="AX537" s="28"/>
      <c r="AY537" s="141"/>
      <c r="BB537" s="196" t="s">
        <v>99</v>
      </c>
      <c r="BC537" s="138">
        <v>4</v>
      </c>
      <c r="BD537" s="141">
        <v>0</v>
      </c>
      <c r="BE537" s="138" t="s">
        <v>150</v>
      </c>
      <c r="BF537" s="28"/>
      <c r="BG537" s="141"/>
      <c r="BH537" s="138"/>
      <c r="BI537" s="141"/>
      <c r="BJ537" s="138" t="s">
        <v>151</v>
      </c>
      <c r="BK537" s="28"/>
      <c r="BL537" s="141"/>
    </row>
    <row r="538" spans="1:65" x14ac:dyDescent="0.3">
      <c r="A538" s="196" t="s">
        <v>120</v>
      </c>
      <c r="B538" s="43">
        <v>3346</v>
      </c>
      <c r="C538" s="28">
        <v>3896</v>
      </c>
      <c r="D538" s="138"/>
      <c r="E538" s="28" t="s">
        <v>60</v>
      </c>
      <c r="F538" s="28"/>
      <c r="G538" s="196">
        <v>4556</v>
      </c>
      <c r="H538" s="43">
        <v>0</v>
      </c>
      <c r="I538" s="28" t="s">
        <v>152</v>
      </c>
      <c r="J538" s="141"/>
      <c r="L538" s="138"/>
      <c r="M538" s="138"/>
      <c r="N538" s="196"/>
      <c r="O538" s="138"/>
      <c r="P538" s="196"/>
      <c r="Q538" s="141"/>
      <c r="R538" s="138"/>
      <c r="S538" s="196"/>
      <c r="T538" s="138"/>
      <c r="U538" s="141"/>
      <c r="AB538" s="138" t="s">
        <v>99</v>
      </c>
      <c r="AC538" s="138">
        <v>0</v>
      </c>
      <c r="AD538" s="141">
        <v>0</v>
      </c>
      <c r="AE538" s="28">
        <v>0</v>
      </c>
      <c r="AF538" s="28">
        <v>0</v>
      </c>
      <c r="AG538" s="28">
        <v>0</v>
      </c>
      <c r="AH538" s="138">
        <v>48569</v>
      </c>
      <c r="AI538" s="141">
        <v>7859</v>
      </c>
      <c r="AJ538" s="28">
        <v>0</v>
      </c>
      <c r="AK538" s="138">
        <v>4</v>
      </c>
      <c r="AL538" s="28" t="s">
        <v>153</v>
      </c>
      <c r="AM538" s="141"/>
      <c r="AP538" s="138"/>
      <c r="AQ538" s="138"/>
      <c r="AR538" s="141"/>
      <c r="AS538" s="28"/>
      <c r="AT538" s="28"/>
      <c r="AU538" s="138"/>
      <c r="AV538" s="28"/>
      <c r="AW538" s="28"/>
      <c r="AX538" s="28"/>
      <c r="AY538" s="141"/>
      <c r="BB538" s="196" t="s">
        <v>85</v>
      </c>
      <c r="BC538" s="138">
        <v>3</v>
      </c>
      <c r="BD538" s="141">
        <f>4+9</f>
        <v>13</v>
      </c>
      <c r="BE538" s="138"/>
      <c r="BF538" s="28"/>
      <c r="BG538" s="141"/>
      <c r="BH538" s="138"/>
      <c r="BI538" s="141"/>
      <c r="BJ538" s="138" t="s">
        <v>961</v>
      </c>
      <c r="BK538" s="28" t="s">
        <v>1123</v>
      </c>
      <c r="BL538" s="141" t="s">
        <v>1124</v>
      </c>
    </row>
    <row r="539" spans="1:65" x14ac:dyDescent="0.3">
      <c r="A539" s="199" t="s">
        <v>84</v>
      </c>
      <c r="B539" s="143">
        <f>SUM(B536:B538)</f>
        <v>19305</v>
      </c>
      <c r="C539" s="143">
        <f>SUM(C536:C538)</f>
        <v>20258</v>
      </c>
      <c r="D539" s="142"/>
      <c r="E539" s="143"/>
      <c r="F539" s="143"/>
      <c r="G539" s="199">
        <f>SUM(G536:G538)</f>
        <v>29068</v>
      </c>
      <c r="H539" s="143"/>
      <c r="I539" s="143" t="s">
        <v>958</v>
      </c>
      <c r="J539" s="146">
        <f>SUM(H536:H539)</f>
        <v>180</v>
      </c>
      <c r="L539" s="138"/>
      <c r="M539" s="138"/>
      <c r="N539" s="196"/>
      <c r="O539" s="138"/>
      <c r="P539" s="196"/>
      <c r="Q539" s="141"/>
      <c r="R539" s="138"/>
      <c r="S539" s="196"/>
      <c r="T539" s="138"/>
      <c r="U539" s="141"/>
      <c r="AB539" s="138"/>
      <c r="AC539" s="138"/>
      <c r="AD539" s="141"/>
      <c r="AE539" s="28"/>
      <c r="AF539" s="28"/>
      <c r="AG539" s="28"/>
      <c r="AH539" s="138"/>
      <c r="AI539" s="141"/>
      <c r="AJ539" s="28"/>
      <c r="AK539" s="142"/>
      <c r="AL539" s="143"/>
      <c r="AM539" s="146"/>
      <c r="AP539" s="138"/>
      <c r="AQ539" s="138"/>
      <c r="AR539" s="141"/>
      <c r="AS539" s="28"/>
      <c r="AT539" s="28"/>
      <c r="AU539" s="138"/>
      <c r="AV539" s="28">
        <v>1</v>
      </c>
      <c r="AW539" s="28" t="s">
        <v>773</v>
      </c>
      <c r="AX539" s="28"/>
      <c r="AY539" s="141"/>
      <c r="BB539" s="196" t="s">
        <v>331</v>
      </c>
      <c r="BC539" s="138">
        <v>2</v>
      </c>
      <c r="BD539" s="141">
        <v>3</v>
      </c>
      <c r="BE539" s="138"/>
      <c r="BF539" s="28"/>
      <c r="BG539" s="141"/>
      <c r="BH539" s="138"/>
      <c r="BI539" s="141"/>
      <c r="BJ539" s="138" t="s">
        <v>692</v>
      </c>
      <c r="BK539" s="28" t="s">
        <v>1125</v>
      </c>
      <c r="BL539" s="141"/>
    </row>
    <row r="540" spans="1:65" x14ac:dyDescent="0.3">
      <c r="A540" s="195"/>
      <c r="B540" s="135"/>
      <c r="C540" s="135"/>
      <c r="D540" s="134"/>
      <c r="E540" s="135"/>
      <c r="F540" s="135"/>
      <c r="G540" s="195"/>
      <c r="H540" s="135" t="s">
        <v>162</v>
      </c>
      <c r="I540" s="135"/>
      <c r="J540" s="136"/>
      <c r="L540" s="138"/>
      <c r="M540" s="138"/>
      <c r="N540" s="196"/>
      <c r="O540" s="138"/>
      <c r="P540" s="196"/>
      <c r="Q540" s="141"/>
      <c r="R540" s="138"/>
      <c r="S540" s="196"/>
      <c r="T540" s="138"/>
      <c r="U540" s="141"/>
      <c r="AB540" s="134" t="s">
        <v>99</v>
      </c>
      <c r="AC540" s="134">
        <v>0</v>
      </c>
      <c r="AD540" s="136">
        <v>0</v>
      </c>
      <c r="AE540" s="135">
        <v>0</v>
      </c>
      <c r="AF540" s="135">
        <v>0</v>
      </c>
      <c r="AG540" s="135">
        <v>0</v>
      </c>
      <c r="AH540" s="134">
        <v>157576</v>
      </c>
      <c r="AI540" s="136">
        <v>62299</v>
      </c>
      <c r="AJ540" s="135">
        <v>0</v>
      </c>
      <c r="AK540" s="134" t="s">
        <v>157</v>
      </c>
      <c r="AL540" s="135"/>
      <c r="AM540" s="136"/>
      <c r="AP540" s="138" t="s">
        <v>63</v>
      </c>
      <c r="AQ540" s="138">
        <f>2+2</f>
        <v>4</v>
      </c>
      <c r="AR540" s="141">
        <f>3+2+10</f>
        <v>15</v>
      </c>
      <c r="AS540" s="28"/>
      <c r="AT540" s="28"/>
      <c r="AU540" s="138"/>
      <c r="AV540">
        <v>1</v>
      </c>
      <c r="AW540" s="28" t="s">
        <v>1126</v>
      </c>
      <c r="AX540" s="28"/>
      <c r="AY540" s="141"/>
      <c r="BB540" s="196" t="s">
        <v>977</v>
      </c>
      <c r="BC540" s="138">
        <v>1</v>
      </c>
      <c r="BD540" s="141">
        <v>0</v>
      </c>
      <c r="BE540" s="138"/>
      <c r="BF540" s="28"/>
      <c r="BG540" s="141"/>
      <c r="BH540" s="138"/>
      <c r="BI540" s="141"/>
      <c r="BJ540" s="138" t="s">
        <v>1127</v>
      </c>
      <c r="BK540" s="28" t="s">
        <v>264</v>
      </c>
      <c r="BL540" s="141" t="s">
        <v>638</v>
      </c>
    </row>
    <row r="541" spans="1:65" x14ac:dyDescent="0.3">
      <c r="A541" s="196" t="s">
        <v>105</v>
      </c>
      <c r="B541" s="43">
        <v>1137</v>
      </c>
      <c r="C541" s="43">
        <v>1981</v>
      </c>
      <c r="D541" s="138"/>
      <c r="E541" s="28">
        <v>720</v>
      </c>
      <c r="F541" s="28"/>
      <c r="G541" s="196"/>
      <c r="H541" s="28"/>
      <c r="I541" s="28"/>
      <c r="J541" s="141"/>
      <c r="L541" s="142" t="s">
        <v>84</v>
      </c>
      <c r="M541" s="142">
        <f t="shared" ref="M541:S541" si="8">SUM(M535+M530+M525+M523+M518+M514)</f>
        <v>35216</v>
      </c>
      <c r="N541" s="199">
        <f t="shared" si="8"/>
        <v>47966</v>
      </c>
      <c r="O541" s="142">
        <f t="shared" si="8"/>
        <v>0</v>
      </c>
      <c r="P541" s="199">
        <f t="shared" si="8"/>
        <v>0</v>
      </c>
      <c r="Q541" s="143">
        <f t="shared" si="8"/>
        <v>0</v>
      </c>
      <c r="R541" s="142">
        <f t="shared" si="8"/>
        <v>517</v>
      </c>
      <c r="S541" s="199">
        <f t="shared" si="8"/>
        <v>0</v>
      </c>
      <c r="T541" s="142"/>
      <c r="U541" s="146"/>
      <c r="AB541" s="138" t="s">
        <v>6</v>
      </c>
      <c r="AC541" s="138"/>
      <c r="AD541" s="141"/>
      <c r="AE541" s="28"/>
      <c r="AF541" s="28"/>
      <c r="AG541" s="28"/>
      <c r="AH541" s="138"/>
      <c r="AI541" s="141"/>
      <c r="AJ541" s="28"/>
      <c r="AK541" s="138">
        <v>1</v>
      </c>
      <c r="AL541" s="28" t="s">
        <v>163</v>
      </c>
      <c r="AM541" s="141"/>
      <c r="AP541" s="138" t="s">
        <v>78</v>
      </c>
      <c r="AQ541" s="138">
        <f>1+5</f>
        <v>6</v>
      </c>
      <c r="AR541" s="141">
        <v>8</v>
      </c>
      <c r="AS541" s="28"/>
      <c r="AT541" s="28"/>
      <c r="AU541" s="138"/>
      <c r="AV541" s="28">
        <v>21</v>
      </c>
      <c r="AW541" s="28" t="s">
        <v>204</v>
      </c>
      <c r="AX541" s="28"/>
      <c r="AY541" s="141"/>
      <c r="BB541" s="196" t="s">
        <v>169</v>
      </c>
      <c r="BC541" s="138">
        <v>0</v>
      </c>
      <c r="BD541" s="141">
        <v>0</v>
      </c>
      <c r="BE541" s="138"/>
      <c r="BF541" s="28"/>
      <c r="BG541" s="141"/>
      <c r="BH541" s="138"/>
      <c r="BI541" s="141"/>
      <c r="BJ541" s="138" t="s">
        <v>380</v>
      </c>
      <c r="BK541" s="43" t="s">
        <v>1128</v>
      </c>
      <c r="BL541" s="141" t="s">
        <v>890</v>
      </c>
    </row>
    <row r="542" spans="1:65" ht="15" thickBot="1" x14ac:dyDescent="0.35">
      <c r="A542" s="196" t="s">
        <v>99</v>
      </c>
      <c r="B542" s="43">
        <v>734</v>
      </c>
      <c r="C542" s="43">
        <v>713</v>
      </c>
      <c r="D542" s="138"/>
      <c r="E542" s="28">
        <v>570</v>
      </c>
      <c r="F542" s="28"/>
      <c r="G542" s="196"/>
      <c r="H542" s="28">
        <v>37</v>
      </c>
      <c r="I542" s="28" t="s">
        <v>101</v>
      </c>
      <c r="J542" s="141"/>
      <c r="AB542" s="138" t="s">
        <v>6</v>
      </c>
      <c r="AC542" s="138"/>
      <c r="AD542" s="141"/>
      <c r="AE542" s="28"/>
      <c r="AF542" s="28"/>
      <c r="AG542" s="28"/>
      <c r="AH542" s="138"/>
      <c r="AI542" s="141"/>
      <c r="AJ542" s="28"/>
      <c r="AK542" s="142">
        <v>12</v>
      </c>
      <c r="AL542" s="143" t="s">
        <v>153</v>
      </c>
      <c r="AM542" s="146"/>
      <c r="AP542" s="138" t="s">
        <v>209</v>
      </c>
      <c r="AQ542" s="138">
        <v>0</v>
      </c>
      <c r="AR542" s="141">
        <v>0</v>
      </c>
      <c r="AS542" s="28"/>
      <c r="AT542" s="28"/>
      <c r="AU542" s="138"/>
      <c r="AV542" s="28">
        <v>1</v>
      </c>
      <c r="AW542" s="28" t="s">
        <v>1101</v>
      </c>
      <c r="AX542" s="28"/>
      <c r="AY542" s="141"/>
      <c r="BB542" s="196" t="s">
        <v>1129</v>
      </c>
      <c r="BC542" s="138">
        <v>6</v>
      </c>
      <c r="BD542" s="141">
        <v>6</v>
      </c>
      <c r="BE542" s="138"/>
      <c r="BF542" s="28"/>
      <c r="BG542" s="141"/>
      <c r="BH542" s="138"/>
      <c r="BI542" s="141"/>
      <c r="BJ542" s="138" t="s">
        <v>921</v>
      </c>
      <c r="BK542" s="43" t="s">
        <v>309</v>
      </c>
      <c r="BL542" s="141" t="s">
        <v>1017</v>
      </c>
    </row>
    <row r="543" spans="1:65" x14ac:dyDescent="0.3">
      <c r="A543" s="199" t="s">
        <v>84</v>
      </c>
      <c r="B543" s="143">
        <f>SUM(B540:B542)</f>
        <v>1871</v>
      </c>
      <c r="C543" s="143">
        <f>SUM(C540:C542)</f>
        <v>2694</v>
      </c>
      <c r="D543" s="142"/>
      <c r="E543" s="143">
        <f>SUM(E540:E542)</f>
        <v>1290</v>
      </c>
      <c r="F543" s="143"/>
      <c r="G543" s="199">
        <v>9933</v>
      </c>
      <c r="H543" s="143"/>
      <c r="I543" s="143"/>
      <c r="J543" s="146">
        <f>SUM(H542)</f>
        <v>37</v>
      </c>
      <c r="L543" t="s">
        <v>6</v>
      </c>
      <c r="AB543" s="33" t="s">
        <v>678</v>
      </c>
      <c r="AC543" s="200">
        <v>129</v>
      </c>
      <c r="AD543" s="201">
        <v>129</v>
      </c>
      <c r="AE543" s="34">
        <v>0</v>
      </c>
      <c r="AF543" s="34">
        <v>0</v>
      </c>
      <c r="AG543" s="34">
        <v>0</v>
      </c>
      <c r="AH543" s="200"/>
      <c r="AI543" s="201">
        <v>0</v>
      </c>
      <c r="AJ543" s="34"/>
      <c r="AK543" s="138" t="s">
        <v>1130</v>
      </c>
      <c r="AL543" s="28"/>
      <c r="AM543" s="40"/>
      <c r="AP543" s="138" t="s">
        <v>168</v>
      </c>
      <c r="AQ543" s="138">
        <v>1</v>
      </c>
      <c r="AR543" s="141">
        <v>2</v>
      </c>
      <c r="AS543" s="28"/>
      <c r="AT543" s="28"/>
      <c r="AU543" s="138"/>
      <c r="AV543" s="28">
        <f>4+1+3+1+2</f>
        <v>11</v>
      </c>
      <c r="AW543" s="28" t="s">
        <v>213</v>
      </c>
      <c r="AX543" s="28" t="s">
        <v>6</v>
      </c>
      <c r="AY543" s="141"/>
      <c r="BB543" s="196" t="s">
        <v>108</v>
      </c>
      <c r="BC543" s="138">
        <f>4+9</f>
        <v>13</v>
      </c>
      <c r="BD543" s="141">
        <v>2</v>
      </c>
      <c r="BE543" s="138"/>
      <c r="BF543" s="28"/>
      <c r="BG543" s="141"/>
      <c r="BH543" s="138"/>
      <c r="BI543" s="141"/>
      <c r="BJ543" s="217" t="s">
        <v>1131</v>
      </c>
      <c r="BK543" s="218" t="s">
        <v>1132</v>
      </c>
      <c r="BL543" s="141" t="s">
        <v>1133</v>
      </c>
    </row>
    <row r="544" spans="1:65" ht="15" thickBot="1" x14ac:dyDescent="0.35">
      <c r="A544" s="196" t="s">
        <v>6</v>
      </c>
      <c r="B544" s="135"/>
      <c r="C544" s="135"/>
      <c r="D544" s="134"/>
      <c r="E544" s="135" t="s">
        <v>60</v>
      </c>
      <c r="F544" s="136"/>
      <c r="G544" s="135"/>
      <c r="H544" s="134" t="s">
        <v>182</v>
      </c>
      <c r="I544" s="135"/>
      <c r="J544" s="136"/>
      <c r="AB544" s="47"/>
      <c r="AC544" s="202"/>
      <c r="AD544" s="203"/>
      <c r="AE544" s="48"/>
      <c r="AF544" s="48"/>
      <c r="AG544" s="48"/>
      <c r="AH544" s="202"/>
      <c r="AI544" s="203"/>
      <c r="AJ544" s="48"/>
      <c r="AK544" s="202">
        <v>2</v>
      </c>
      <c r="AL544" s="48" t="s">
        <v>1134</v>
      </c>
      <c r="AM544" s="49"/>
      <c r="AP544" s="138" t="s">
        <v>81</v>
      </c>
      <c r="AQ544" s="138">
        <v>0</v>
      </c>
      <c r="AR544" s="141">
        <v>3</v>
      </c>
      <c r="AS544" s="28"/>
      <c r="AT544" s="28"/>
      <c r="AU544" s="138"/>
      <c r="AV544" s="43">
        <v>2</v>
      </c>
      <c r="AW544" s="28" t="s">
        <v>1038</v>
      </c>
      <c r="AX544" s="28"/>
      <c r="AY544" s="141" t="s">
        <v>6</v>
      </c>
      <c r="BB544" s="219" t="s">
        <v>139</v>
      </c>
      <c r="BC544" s="138">
        <v>1</v>
      </c>
      <c r="BD544" s="141">
        <v>2</v>
      </c>
      <c r="BE544" s="138"/>
      <c r="BF544" s="28"/>
      <c r="BG544" s="141"/>
      <c r="BH544" s="138"/>
      <c r="BI544" s="141"/>
      <c r="BJ544" s="138" t="s">
        <v>1135</v>
      </c>
      <c r="BK544" s="222" t="s">
        <v>1136</v>
      </c>
      <c r="BL544" s="141" t="s">
        <v>370</v>
      </c>
    </row>
    <row r="545" spans="1:64" ht="15" thickBot="1" x14ac:dyDescent="0.35">
      <c r="A545" s="196" t="s">
        <v>181</v>
      </c>
      <c r="B545" s="28">
        <v>2457</v>
      </c>
      <c r="C545" s="28">
        <v>2503</v>
      </c>
      <c r="D545" s="138"/>
      <c r="E545" s="28" t="s">
        <v>60</v>
      </c>
      <c r="F545" s="141"/>
      <c r="G545" s="28"/>
      <c r="H545" s="138">
        <v>26</v>
      </c>
      <c r="I545" s="28" t="s">
        <v>94</v>
      </c>
      <c r="J545" s="141"/>
      <c r="AB545" s="47" t="s">
        <v>84</v>
      </c>
      <c r="AC545" s="202">
        <f>SUM(AC543+AC540+AC538+AC536+AC526+AC522+AC518+AC515)</f>
        <v>1082</v>
      </c>
      <c r="AD545" s="203">
        <f>SUM(AD543+AD540+AD538+AD535+AD526+AD522+AD518+AD515)</f>
        <v>3028</v>
      </c>
      <c r="AE545" s="48">
        <v>0</v>
      </c>
      <c r="AF545" s="48">
        <v>0</v>
      </c>
      <c r="AG545" s="48">
        <v>0</v>
      </c>
      <c r="AH545" s="202">
        <f>SUM(AH543+AH540+AH538+AH515)</f>
        <v>206145</v>
      </c>
      <c r="AI545" s="203">
        <f>SUM(AI540+AI538+AI515)</f>
        <v>70158</v>
      </c>
      <c r="AJ545" s="48">
        <v>0</v>
      </c>
      <c r="AK545" s="202" t="s">
        <v>189</v>
      </c>
      <c r="AL545" s="48"/>
      <c r="AM545" s="49">
        <f>SUM(AK514:AK544)</f>
        <v>57</v>
      </c>
      <c r="AP545" s="138" t="s">
        <v>72</v>
      </c>
      <c r="AQ545" s="138">
        <f>9+1+5</f>
        <v>15</v>
      </c>
      <c r="AR545" s="141">
        <f>9+2+11+6</f>
        <v>28</v>
      </c>
      <c r="AS545" s="28"/>
      <c r="AT545" s="28"/>
      <c r="AU545" s="138"/>
      <c r="AV545" s="43">
        <v>13</v>
      </c>
      <c r="AW545" s="43" t="s">
        <v>655</v>
      </c>
      <c r="AX545" s="28"/>
      <c r="AY545" s="141"/>
      <c r="BB545" s="196" t="s">
        <v>64</v>
      </c>
      <c r="BC545" s="138">
        <v>0</v>
      </c>
      <c r="BD545" s="141">
        <v>0</v>
      </c>
      <c r="BE545" s="138"/>
      <c r="BF545" s="28"/>
      <c r="BG545" s="141"/>
      <c r="BH545" s="138"/>
      <c r="BI545" s="141"/>
      <c r="BJ545" s="223" t="s">
        <v>1137</v>
      </c>
      <c r="BK545" s="43" t="s">
        <v>1138</v>
      </c>
      <c r="BL545" s="209" t="s">
        <v>333</v>
      </c>
    </row>
    <row r="546" spans="1:64" x14ac:dyDescent="0.3">
      <c r="A546" s="196" t="s">
        <v>84</v>
      </c>
      <c r="B546" s="28">
        <f>SUM(B544:B545)</f>
        <v>2457</v>
      </c>
      <c r="C546" s="28">
        <f>SUM(C544:C545)</f>
        <v>2503</v>
      </c>
      <c r="D546" s="138"/>
      <c r="E546" s="28" t="s">
        <v>60</v>
      </c>
      <c r="F546" s="141"/>
      <c r="G546" s="28">
        <v>3800</v>
      </c>
      <c r="H546" s="138"/>
      <c r="I546" s="28" t="s">
        <v>101</v>
      </c>
      <c r="J546" s="141"/>
      <c r="AB546" t="s">
        <v>193</v>
      </c>
      <c r="AM546" t="s">
        <v>6</v>
      </c>
      <c r="AP546" s="138" t="s">
        <v>115</v>
      </c>
      <c r="AQ546" s="138">
        <v>2</v>
      </c>
      <c r="AR546" s="141">
        <v>1</v>
      </c>
      <c r="AS546" s="28"/>
      <c r="AT546" s="28"/>
      <c r="AU546" s="138"/>
      <c r="AV546" s="43"/>
      <c r="AW546" s="43" t="s">
        <v>244</v>
      </c>
      <c r="AX546" s="28"/>
      <c r="AY546" s="141"/>
      <c r="BB546" s="196" t="s">
        <v>196</v>
      </c>
      <c r="BC546" s="138">
        <v>0</v>
      </c>
      <c r="BD546" s="141">
        <v>1</v>
      </c>
      <c r="BE546" s="138"/>
      <c r="BF546" s="28"/>
      <c r="BG546" s="141"/>
      <c r="BH546" s="138"/>
      <c r="BI546" s="141"/>
      <c r="BJ546" s="138" t="s">
        <v>185</v>
      </c>
      <c r="BK546" s="43" t="s">
        <v>1139</v>
      </c>
      <c r="BL546" s="213" t="s">
        <v>580</v>
      </c>
    </row>
    <row r="547" spans="1:64" ht="15" thickBot="1" x14ac:dyDescent="0.35">
      <c r="A547" s="199"/>
      <c r="B547" s="28"/>
      <c r="C547" s="28"/>
      <c r="D547" s="142"/>
      <c r="E547" s="143"/>
      <c r="F547" s="146"/>
      <c r="G547" s="28"/>
      <c r="H547" s="142"/>
      <c r="I547" s="143" t="s">
        <v>284</v>
      </c>
      <c r="J547" s="146">
        <f>SUM(H545:H546)</f>
        <v>26</v>
      </c>
      <c r="AP547" s="138" t="s">
        <v>56</v>
      </c>
      <c r="AQ547" s="138">
        <f>6+4+1+2</f>
        <v>13</v>
      </c>
      <c r="AR547" s="141">
        <f>9+5+2+5</f>
        <v>21</v>
      </c>
      <c r="AS547" s="28"/>
      <c r="AT547" s="28"/>
      <c r="AU547" s="138"/>
      <c r="AV547" s="43">
        <v>1</v>
      </c>
      <c r="AW547" s="43" t="s">
        <v>1112</v>
      </c>
      <c r="AX547" s="28"/>
      <c r="AY547" s="141"/>
      <c r="BB547" s="196" t="s">
        <v>88</v>
      </c>
      <c r="BC547" s="138">
        <v>2</v>
      </c>
      <c r="BD547" s="141">
        <v>0</v>
      </c>
      <c r="BE547" s="138"/>
      <c r="BF547" s="28"/>
      <c r="BG547" s="141"/>
      <c r="BH547" s="138"/>
      <c r="BI547" s="141"/>
      <c r="BJ547" s="138" t="s">
        <v>609</v>
      </c>
      <c r="BK547" s="43" t="s">
        <v>1140</v>
      </c>
      <c r="BL547" s="141" t="s">
        <v>333</v>
      </c>
    </row>
    <row r="548" spans="1:64" ht="15" thickBot="1" x14ac:dyDescent="0.35">
      <c r="A548" s="47" t="s">
        <v>84</v>
      </c>
      <c r="B548" s="210">
        <f>SUM(B546,B543,B539+B534+B529+B525+B521+B517+B514)</f>
        <v>46434</v>
      </c>
      <c r="C548" s="170">
        <f>SUM(C546+C543+C539+C534+C529+C525+C521+C517+C514)</f>
        <v>55195</v>
      </c>
      <c r="D548" s="202"/>
      <c r="E548" s="48">
        <f>SUM(E543+E525)</f>
        <v>1662</v>
      </c>
      <c r="F548" s="203"/>
      <c r="G548" s="206">
        <f>SUM(G546+G543+G539+G534+G529+G525+G521+G517+G514)</f>
        <v>74588</v>
      </c>
      <c r="H548" s="48" t="s">
        <v>844</v>
      </c>
      <c r="I548" s="48"/>
      <c r="J548" s="49">
        <f>SUM(J513:J547)</f>
        <v>452</v>
      </c>
      <c r="AH548" t="s">
        <v>6</v>
      </c>
      <c r="AP548" s="138" t="s">
        <v>138</v>
      </c>
      <c r="AQ548" s="138">
        <v>0</v>
      </c>
      <c r="AR548" s="141">
        <v>2</v>
      </c>
      <c r="AS548" s="28"/>
      <c r="AT548" s="28"/>
      <c r="AU548" s="138"/>
      <c r="AV548" s="43">
        <v>5</v>
      </c>
      <c r="AW548" s="43" t="s">
        <v>1116</v>
      </c>
      <c r="AX548" s="28"/>
      <c r="AY548" s="141"/>
      <c r="BB548" s="196" t="s">
        <v>1090</v>
      </c>
      <c r="BC548" s="138">
        <v>0</v>
      </c>
      <c r="BD548" s="141">
        <v>0</v>
      </c>
      <c r="BE548" s="138"/>
      <c r="BF548" s="28"/>
      <c r="BG548" s="141"/>
      <c r="BH548" s="138"/>
      <c r="BI548" s="141"/>
      <c r="BJ548" s="138" t="s">
        <v>943</v>
      </c>
      <c r="BK548" s="43" t="s">
        <v>206</v>
      </c>
      <c r="BL548" s="141" t="s">
        <v>254</v>
      </c>
    </row>
    <row r="549" spans="1:64" x14ac:dyDescent="0.3">
      <c r="D549" s="28"/>
      <c r="E549" s="28"/>
      <c r="F549" s="28"/>
      <c r="AP549" s="138" t="s">
        <v>67</v>
      </c>
      <c r="AQ549" s="138">
        <f>5+7</f>
        <v>12</v>
      </c>
      <c r="AR549" s="141">
        <f>8+8</f>
        <v>16</v>
      </c>
      <c r="AS549" s="28"/>
      <c r="AT549" s="28"/>
      <c r="AU549" s="138"/>
      <c r="AV549" s="43">
        <f>2+17</f>
        <v>19</v>
      </c>
      <c r="AW549" s="43" t="s">
        <v>215</v>
      </c>
      <c r="AX549" s="28"/>
      <c r="AY549" s="141"/>
      <c r="BB549" s="196" t="s">
        <v>422</v>
      </c>
      <c r="BC549" s="138">
        <v>0</v>
      </c>
      <c r="BD549" s="141">
        <v>0</v>
      </c>
      <c r="BE549" s="138"/>
      <c r="BF549" s="28"/>
      <c r="BG549" s="141"/>
      <c r="BH549" s="138"/>
      <c r="BI549" s="141"/>
      <c r="BJ549" s="138" t="s">
        <v>479</v>
      </c>
      <c r="BK549" s="43" t="s">
        <v>455</v>
      </c>
      <c r="BL549" s="141" t="s">
        <v>860</v>
      </c>
    </row>
    <row r="550" spans="1:64" x14ac:dyDescent="0.3">
      <c r="AP550" s="138" t="s">
        <v>122</v>
      </c>
      <c r="AQ550" s="138">
        <f>8+2</f>
        <v>10</v>
      </c>
      <c r="AR550" s="141">
        <v>8</v>
      </c>
      <c r="AS550" s="28"/>
      <c r="AT550" s="28"/>
      <c r="AU550" s="138"/>
      <c r="AV550" s="43">
        <v>1</v>
      </c>
      <c r="AW550" s="28" t="s">
        <v>618</v>
      </c>
      <c r="AX550" s="28"/>
      <c r="AY550" s="141"/>
      <c r="BB550" s="196" t="s">
        <v>1043</v>
      </c>
      <c r="BC550" s="138">
        <v>0</v>
      </c>
      <c r="BD550" s="141">
        <v>2</v>
      </c>
      <c r="BE550" s="138"/>
      <c r="BF550" s="28"/>
      <c r="BG550" s="141"/>
      <c r="BH550" s="138"/>
      <c r="BI550" s="141"/>
      <c r="BJ550" s="138"/>
      <c r="BK550" s="28"/>
      <c r="BL550" s="141"/>
    </row>
    <row r="551" spans="1:64" x14ac:dyDescent="0.3">
      <c r="AP551" s="138" t="s">
        <v>227</v>
      </c>
      <c r="AQ551" s="138">
        <v>0</v>
      </c>
      <c r="AR551" s="141">
        <v>0</v>
      </c>
      <c r="AS551" s="28"/>
      <c r="AT551" s="28"/>
      <c r="AU551" s="138"/>
      <c r="AV551" s="43">
        <v>2</v>
      </c>
      <c r="AW551" s="28" t="s">
        <v>1117</v>
      </c>
      <c r="AX551" s="28"/>
      <c r="AY551" s="141"/>
      <c r="BB551" s="196" t="s">
        <v>1141</v>
      </c>
      <c r="BC551" s="138">
        <v>0</v>
      </c>
      <c r="BD551" s="141">
        <v>50</v>
      </c>
      <c r="BE551" s="138"/>
      <c r="BF551" s="28"/>
      <c r="BG551" s="141"/>
      <c r="BH551" s="138"/>
      <c r="BI551" s="141"/>
      <c r="BJ551" s="138"/>
      <c r="BK551" s="28"/>
      <c r="BL551" s="141"/>
    </row>
    <row r="552" spans="1:64" x14ac:dyDescent="0.3">
      <c r="AP552" s="138" t="s">
        <v>230</v>
      </c>
      <c r="AQ552" s="138">
        <v>2</v>
      </c>
      <c r="AR552" s="141">
        <v>2</v>
      </c>
      <c r="AS552" s="28"/>
      <c r="AT552" s="28"/>
      <c r="AU552" s="138"/>
      <c r="AV552" s="43">
        <v>2</v>
      </c>
      <c r="AW552" s="43" t="s">
        <v>1142</v>
      </c>
      <c r="AX552" s="28"/>
      <c r="AY552" s="141"/>
      <c r="BB552" s="196" t="s">
        <v>564</v>
      </c>
      <c r="BC552" s="138">
        <v>0</v>
      </c>
      <c r="BD552" s="141">
        <v>0</v>
      </c>
      <c r="BE552" s="138"/>
      <c r="BF552" s="28"/>
      <c r="BG552" s="141"/>
      <c r="BH552" s="138"/>
      <c r="BI552" s="141"/>
      <c r="BJ552" s="138"/>
      <c r="BK552" s="28"/>
      <c r="BL552" s="141"/>
    </row>
    <row r="553" spans="1:64" x14ac:dyDescent="0.3">
      <c r="AP553" s="138" t="s">
        <v>125</v>
      </c>
      <c r="AQ553" s="138">
        <v>0</v>
      </c>
      <c r="AR553" s="141">
        <v>0</v>
      </c>
      <c r="AS553" s="28"/>
      <c r="AT553" s="28"/>
      <c r="AU553" s="138"/>
      <c r="AV553" s="43">
        <v>1</v>
      </c>
      <c r="AW553" s="43" t="s">
        <v>1143</v>
      </c>
      <c r="AX553" s="28"/>
      <c r="AY553" s="141"/>
      <c r="BB553" s="196" t="s">
        <v>211</v>
      </c>
      <c r="BC553" s="138">
        <f>5+3</f>
        <v>8</v>
      </c>
      <c r="BD553" s="141">
        <v>0</v>
      </c>
      <c r="BE553" s="138"/>
      <c r="BF553" s="28"/>
      <c r="BG553" s="141"/>
      <c r="BH553" s="138"/>
      <c r="BI553" s="141"/>
      <c r="BJ553" s="138"/>
      <c r="BK553" s="28"/>
      <c r="BL553" s="141"/>
    </row>
    <row r="554" spans="1:64" x14ac:dyDescent="0.3">
      <c r="AP554" s="138" t="s">
        <v>132</v>
      </c>
      <c r="AQ554" s="138">
        <v>4</v>
      </c>
      <c r="AR554" s="141">
        <v>8</v>
      </c>
      <c r="AS554" s="28" t="s">
        <v>6</v>
      </c>
      <c r="AT554" s="28"/>
      <c r="AU554" s="138"/>
      <c r="AV554" s="43">
        <f>1+4</f>
        <v>5</v>
      </c>
      <c r="AW554" s="43" t="s">
        <v>1144</v>
      </c>
      <c r="AX554" s="28"/>
      <c r="AY554" s="141"/>
      <c r="BB554" s="196" t="s">
        <v>218</v>
      </c>
      <c r="BC554" s="138">
        <v>2</v>
      </c>
      <c r="BD554" s="141">
        <f>12+4</f>
        <v>16</v>
      </c>
      <c r="BE554" s="138"/>
      <c r="BF554" s="28">
        <v>0</v>
      </c>
      <c r="BG554" s="141"/>
      <c r="BH554" s="138"/>
      <c r="BI554" s="141"/>
      <c r="BJ554" s="138"/>
      <c r="BK554" s="28"/>
      <c r="BL554" s="141"/>
    </row>
    <row r="555" spans="1:64" x14ac:dyDescent="0.3">
      <c r="AM555" t="s">
        <v>6</v>
      </c>
      <c r="AP555" s="138" t="s">
        <v>992</v>
      </c>
      <c r="AQ555" s="138">
        <v>0</v>
      </c>
      <c r="AR555" s="141">
        <v>0</v>
      </c>
      <c r="AS555" s="28"/>
      <c r="AT555" s="28"/>
      <c r="AU555" s="138"/>
      <c r="AV555" s="43">
        <v>1</v>
      </c>
      <c r="AW555" s="28" t="s">
        <v>1145</v>
      </c>
      <c r="AX555" s="28"/>
      <c r="AY555" s="141"/>
      <c r="BB555" s="196" t="s">
        <v>93</v>
      </c>
      <c r="BC555" s="138">
        <v>0</v>
      </c>
      <c r="BD555" s="141">
        <v>0</v>
      </c>
      <c r="BE555" s="138"/>
      <c r="BF555" s="28"/>
      <c r="BG555" s="141"/>
      <c r="BH555" s="138"/>
      <c r="BI555" s="141"/>
      <c r="BJ555" s="138"/>
      <c r="BK555" s="28"/>
      <c r="BL555" s="141"/>
    </row>
    <row r="556" spans="1:64" x14ac:dyDescent="0.3">
      <c r="H556" t="s">
        <v>6</v>
      </c>
      <c r="AP556" s="142" t="s">
        <v>84</v>
      </c>
      <c r="AQ556" s="142">
        <f>SUM(AQ540:AQ555)</f>
        <v>69</v>
      </c>
      <c r="AR556" s="146">
        <f>SUM(AR540:AR555)</f>
        <v>114</v>
      </c>
      <c r="AS556" s="143"/>
      <c r="AT556" s="143"/>
      <c r="AU556" s="142"/>
      <c r="AV556" s="224">
        <v>2</v>
      </c>
      <c r="AW556" s="143" t="s">
        <v>352</v>
      </c>
      <c r="AX556" s="143"/>
      <c r="AY556" s="146">
        <f>SUM(AV541:AV556)</f>
        <v>87</v>
      </c>
      <c r="BB556" s="199" t="s">
        <v>84</v>
      </c>
      <c r="BC556" s="142">
        <f>SUM(BC531:BC555)</f>
        <v>136</v>
      </c>
      <c r="BD556" s="146">
        <f>SUM(BD531:BD555)</f>
        <v>374</v>
      </c>
      <c r="BE556" s="142">
        <v>0</v>
      </c>
      <c r="BF556" s="143">
        <f>SUM(BF531:BF555)</f>
        <v>0</v>
      </c>
      <c r="BG556" s="146">
        <v>0</v>
      </c>
      <c r="BH556" s="142">
        <v>0</v>
      </c>
      <c r="BI556" s="146">
        <v>0</v>
      </c>
      <c r="BJ556" s="142"/>
      <c r="BK556" s="143"/>
      <c r="BL556" s="146">
        <f>10+10+4+6+4+7+7+11+3+4+5+3+3</f>
        <v>77</v>
      </c>
    </row>
    <row r="557" spans="1:64" ht="15" thickBot="1" x14ac:dyDescent="0.35">
      <c r="H557" t="s">
        <v>6</v>
      </c>
      <c r="AP557" s="47" t="s">
        <v>84</v>
      </c>
      <c r="AQ557" s="142">
        <f>SUM(AQ556+AQ538+AQ529+AQ514)</f>
        <v>1571</v>
      </c>
      <c r="AR557" s="142">
        <f>SUM(AR556+AR538+AR529+AR514)</f>
        <v>2128</v>
      </c>
      <c r="AS557" s="142"/>
      <c r="AT557" s="146"/>
      <c r="AU557" s="48"/>
      <c r="AV557" s="48"/>
      <c r="AW557" s="48"/>
      <c r="AX557" s="48"/>
      <c r="AY557" s="49">
        <f>SUM(AY514:AY556)</f>
        <v>282</v>
      </c>
      <c r="BB557" t="s">
        <v>223</v>
      </c>
      <c r="BC557">
        <f>SUM(BC556+BC530+BC525+BC521+BC518+BC516+BC527)</f>
        <v>2011</v>
      </c>
      <c r="BD557">
        <f>SUM(BD556+BD530+BD525+BD521+BD516+BD518+BD527)</f>
        <v>2887</v>
      </c>
      <c r="BE557">
        <v>0</v>
      </c>
      <c r="BF557">
        <f>SUM(BF556+BF530+BF525+BF521+BF518+BF514)</f>
        <v>0</v>
      </c>
      <c r="BG557">
        <v>0</v>
      </c>
      <c r="BH557">
        <f>SUM(BH556+BH530+BH525+BH520+BH518+BH514)</f>
        <v>71430</v>
      </c>
      <c r="BI557">
        <f>SUM(BI556+BI530+BI525+BI520+BI518+BI514)</f>
        <v>20904</v>
      </c>
      <c r="BK557" t="s">
        <v>939</v>
      </c>
      <c r="BL557">
        <f>SUM(+BL530+BL525+BL521+BL518+BL516)</f>
        <v>315</v>
      </c>
    </row>
    <row r="558" spans="1:64" x14ac:dyDescent="0.3">
      <c r="BB558" t="s">
        <v>225</v>
      </c>
      <c r="BD558">
        <f>SUM(BL556)</f>
        <v>77</v>
      </c>
    </row>
    <row r="559" spans="1:64" x14ac:dyDescent="0.3">
      <c r="BB559" t="s">
        <v>229</v>
      </c>
      <c r="BD559">
        <f>1+2+1+6+1</f>
        <v>11</v>
      </c>
    </row>
    <row r="560" spans="1:64" x14ac:dyDescent="0.3">
      <c r="BB560" t="s">
        <v>232</v>
      </c>
      <c r="BD560" t="s">
        <v>233</v>
      </c>
      <c r="BF560">
        <f>SUM(AQ557)</f>
        <v>1571</v>
      </c>
      <c r="BH560" t="s">
        <v>234</v>
      </c>
      <c r="BJ560" t="s">
        <v>233</v>
      </c>
      <c r="BL560">
        <f>SUM(BC557)</f>
        <v>2011</v>
      </c>
    </row>
    <row r="561" spans="1:64" x14ac:dyDescent="0.3">
      <c r="BA561" t="s">
        <v>6</v>
      </c>
      <c r="BD561" t="s">
        <v>236</v>
      </c>
      <c r="BF561">
        <f>SUM(AR557)</f>
        <v>2128</v>
      </c>
      <c r="BJ561" t="s">
        <v>236</v>
      </c>
      <c r="BL561">
        <f>SUM(BD557)</f>
        <v>2887</v>
      </c>
    </row>
    <row r="562" spans="1:64" x14ac:dyDescent="0.3">
      <c r="BB562" t="s">
        <v>238</v>
      </c>
      <c r="BC562" t="s">
        <v>239</v>
      </c>
      <c r="BE562" t="s">
        <v>240</v>
      </c>
      <c r="BF562" t="s">
        <v>241</v>
      </c>
      <c r="BI562" t="s">
        <v>242</v>
      </c>
      <c r="BJ562" t="s">
        <v>243</v>
      </c>
    </row>
    <row r="563" spans="1:64" x14ac:dyDescent="0.3">
      <c r="BB563" t="s">
        <v>233</v>
      </c>
      <c r="BD563">
        <f>SUM(B548)</f>
        <v>46434</v>
      </c>
      <c r="BE563" t="s">
        <v>233</v>
      </c>
      <c r="BG563">
        <f>SUM(AC545)</f>
        <v>1082</v>
      </c>
      <c r="BH563" t="s">
        <v>233</v>
      </c>
      <c r="BJ563">
        <f>SUM(BG563+BC557)</f>
        <v>3093</v>
      </c>
      <c r="BK563" t="s">
        <v>245</v>
      </c>
      <c r="BL563">
        <f>SUM(BD563+BJ563)</f>
        <v>49527</v>
      </c>
    </row>
    <row r="564" spans="1:64" x14ac:dyDescent="0.3">
      <c r="BB564" t="s">
        <v>236</v>
      </c>
      <c r="BD564">
        <f>SUM(C548)</f>
        <v>55195</v>
      </c>
      <c r="BE564" t="s">
        <v>236</v>
      </c>
      <c r="BG564">
        <f>SUM(AD545)</f>
        <v>3028</v>
      </c>
      <c r="BH564" t="s">
        <v>236</v>
      </c>
      <c r="BJ564">
        <f>SUM(BG564+BD557)</f>
        <v>5915</v>
      </c>
      <c r="BL564">
        <f>SUM(BD564+BJ564)</f>
        <v>61110</v>
      </c>
    </row>
    <row r="569" spans="1:64" x14ac:dyDescent="0.3">
      <c r="C569" t="s">
        <v>0</v>
      </c>
      <c r="O569" t="s">
        <v>1</v>
      </c>
    </row>
    <row r="570" spans="1:64" x14ac:dyDescent="0.3">
      <c r="D570" t="s">
        <v>2</v>
      </c>
      <c r="P570" t="s">
        <v>3</v>
      </c>
      <c r="AF570" t="s">
        <v>0</v>
      </c>
      <c r="AS570" t="s">
        <v>4</v>
      </c>
      <c r="BF570" t="s">
        <v>5</v>
      </c>
    </row>
    <row r="571" spans="1:64" x14ac:dyDescent="0.3">
      <c r="A571" t="s">
        <v>6</v>
      </c>
      <c r="C571" t="s">
        <v>7</v>
      </c>
      <c r="N571" t="s">
        <v>8</v>
      </c>
      <c r="AF571" t="s">
        <v>9</v>
      </c>
      <c r="AT571" t="s">
        <v>2</v>
      </c>
      <c r="BG571" t="s">
        <v>2</v>
      </c>
    </row>
    <row r="572" spans="1:64" x14ac:dyDescent="0.3">
      <c r="D572" t="s">
        <v>1146</v>
      </c>
      <c r="P572" t="s">
        <v>1146</v>
      </c>
      <c r="AF572" t="s">
        <v>11</v>
      </c>
      <c r="AR572" t="s">
        <v>12</v>
      </c>
      <c r="BE572" t="s">
        <v>13</v>
      </c>
    </row>
    <row r="573" spans="1:64" x14ac:dyDescent="0.3">
      <c r="I573" s="194" t="s">
        <v>949</v>
      </c>
      <c r="U573" t="s">
        <v>15</v>
      </c>
      <c r="AG573" t="s">
        <v>1146</v>
      </c>
      <c r="AT573" t="s">
        <v>1146</v>
      </c>
      <c r="BG573" t="s">
        <v>1146</v>
      </c>
      <c r="BK573" s="194" t="s">
        <v>950</v>
      </c>
    </row>
    <row r="574" spans="1:64" x14ac:dyDescent="0.3">
      <c r="A574" s="134" t="s">
        <v>17</v>
      </c>
      <c r="B574" s="134" t="s">
        <v>18</v>
      </c>
      <c r="C574" s="136"/>
      <c r="D574" s="135" t="s">
        <v>19</v>
      </c>
      <c r="E574" s="135"/>
      <c r="F574" s="135"/>
      <c r="G574" s="195" t="s">
        <v>20</v>
      </c>
      <c r="H574" s="135" t="s">
        <v>21</v>
      </c>
      <c r="I574" s="135"/>
      <c r="J574" s="136"/>
      <c r="L574" s="134" t="s">
        <v>17</v>
      </c>
      <c r="M574" s="135" t="s">
        <v>22</v>
      </c>
      <c r="N574" s="135"/>
      <c r="O574" s="135" t="s">
        <v>23</v>
      </c>
      <c r="P574" s="135"/>
      <c r="Q574" s="135"/>
      <c r="R574" s="135" t="s">
        <v>24</v>
      </c>
      <c r="S574" s="135"/>
      <c r="T574" s="135" t="s">
        <v>21</v>
      </c>
      <c r="U574" s="136"/>
      <c r="AL574" s="28" t="s">
        <v>25</v>
      </c>
      <c r="AX574" s="194" t="s">
        <v>951</v>
      </c>
      <c r="BB574" s="195" t="s">
        <v>17</v>
      </c>
      <c r="BC574" s="134" t="s">
        <v>27</v>
      </c>
      <c r="BD574" s="136"/>
      <c r="BE574" s="135" t="s">
        <v>28</v>
      </c>
      <c r="BF574" s="135"/>
      <c r="BG574" s="135"/>
      <c r="BH574" s="135" t="s">
        <v>29</v>
      </c>
      <c r="BI574" s="135" t="s">
        <v>30</v>
      </c>
      <c r="BJ574" s="134" t="s">
        <v>1147</v>
      </c>
      <c r="BK574" s="135"/>
      <c r="BL574" s="225"/>
    </row>
    <row r="575" spans="1:64" x14ac:dyDescent="0.3">
      <c r="A575" s="138" t="s">
        <v>32</v>
      </c>
      <c r="B575" s="138"/>
      <c r="C575" s="141"/>
      <c r="D575" s="28"/>
      <c r="E575" s="28"/>
      <c r="F575" s="28"/>
      <c r="G575" s="196"/>
      <c r="H575" s="28" t="s">
        <v>33</v>
      </c>
      <c r="I575" s="28"/>
      <c r="J575" s="141"/>
      <c r="L575" s="138"/>
      <c r="M575" s="28"/>
      <c r="N575" s="28"/>
      <c r="O575" s="28"/>
      <c r="P575" s="28"/>
      <c r="Q575" s="28"/>
      <c r="R575" s="28"/>
      <c r="S575" s="28"/>
      <c r="T575" s="28" t="s">
        <v>33</v>
      </c>
      <c r="U575" s="141"/>
      <c r="AB575" s="134" t="s">
        <v>34</v>
      </c>
      <c r="AC575" s="134" t="s">
        <v>35</v>
      </c>
      <c r="AD575" s="136"/>
      <c r="AE575" s="135" t="s">
        <v>36</v>
      </c>
      <c r="AF575" s="135"/>
      <c r="AG575" s="135"/>
      <c r="AH575" s="134" t="s">
        <v>37</v>
      </c>
      <c r="AI575" s="136"/>
      <c r="AJ575" s="135" t="s">
        <v>30</v>
      </c>
      <c r="AK575" s="134" t="s">
        <v>38</v>
      </c>
      <c r="AL575" s="135"/>
      <c r="AM575" s="136"/>
      <c r="AP575" s="134" t="s">
        <v>17</v>
      </c>
      <c r="AQ575" s="134" t="s">
        <v>39</v>
      </c>
      <c r="AR575" s="136"/>
      <c r="AS575" s="134" t="s">
        <v>29</v>
      </c>
      <c r="AT575" s="136" t="s">
        <v>30</v>
      </c>
      <c r="AU575" s="135" t="s">
        <v>40</v>
      </c>
      <c r="AV575" s="135"/>
      <c r="AW575" s="135"/>
      <c r="AX575" s="135"/>
      <c r="AY575" s="136"/>
      <c r="BB575" s="199" t="s">
        <v>42</v>
      </c>
      <c r="BC575" s="142" t="s">
        <v>43</v>
      </c>
      <c r="BD575" s="146" t="s">
        <v>44</v>
      </c>
      <c r="BE575" s="143" t="s">
        <v>45</v>
      </c>
      <c r="BF575" s="143" t="s">
        <v>46</v>
      </c>
      <c r="BG575" s="143" t="s">
        <v>52</v>
      </c>
      <c r="BH575" s="143" t="s">
        <v>43</v>
      </c>
      <c r="BI575" s="143" t="s">
        <v>44</v>
      </c>
      <c r="BJ575" s="142" t="s">
        <v>1148</v>
      </c>
      <c r="BK575" s="143"/>
      <c r="BL575" s="146"/>
    </row>
    <row r="576" spans="1:64" x14ac:dyDescent="0.3">
      <c r="A576" s="142" t="s">
        <v>42</v>
      </c>
      <c r="B576" s="142" t="s">
        <v>43</v>
      </c>
      <c r="C576" s="143" t="s">
        <v>44</v>
      </c>
      <c r="D576" s="197" t="s">
        <v>45</v>
      </c>
      <c r="E576" s="198" t="s">
        <v>46</v>
      </c>
      <c r="F576" s="198" t="s">
        <v>47</v>
      </c>
      <c r="G576" s="199" t="s">
        <v>48</v>
      </c>
      <c r="H576" s="143" t="s">
        <v>49</v>
      </c>
      <c r="I576" s="143"/>
      <c r="J576" s="146"/>
      <c r="L576" s="142" t="s">
        <v>50</v>
      </c>
      <c r="M576" s="143" t="s">
        <v>43</v>
      </c>
      <c r="N576" s="143" t="s">
        <v>44</v>
      </c>
      <c r="O576" s="143" t="s">
        <v>43</v>
      </c>
      <c r="P576" s="143" t="s">
        <v>51</v>
      </c>
      <c r="Q576" s="143" t="s">
        <v>44</v>
      </c>
      <c r="R576" s="143" t="s">
        <v>43</v>
      </c>
      <c r="S576" s="143" t="s">
        <v>44</v>
      </c>
      <c r="T576" s="143" t="s">
        <v>49</v>
      </c>
      <c r="U576" s="146"/>
      <c r="AB576" s="142" t="s">
        <v>50</v>
      </c>
      <c r="AC576" s="142" t="s">
        <v>43</v>
      </c>
      <c r="AD576" s="146" t="s">
        <v>44</v>
      </c>
      <c r="AE576" s="143" t="s">
        <v>45</v>
      </c>
      <c r="AF576" s="143" t="s">
        <v>46</v>
      </c>
      <c r="AG576" s="143" t="s">
        <v>52</v>
      </c>
      <c r="AH576" s="142" t="s">
        <v>43</v>
      </c>
      <c r="AI576" s="146" t="s">
        <v>44</v>
      </c>
      <c r="AJ576" s="143" t="s">
        <v>43</v>
      </c>
      <c r="AK576" s="142" t="s">
        <v>53</v>
      </c>
      <c r="AL576" s="143"/>
      <c r="AM576" s="146"/>
      <c r="AP576" s="138" t="s">
        <v>42</v>
      </c>
      <c r="AQ576" s="138" t="s">
        <v>43</v>
      </c>
      <c r="AR576" s="141" t="s">
        <v>44</v>
      </c>
      <c r="AS576" s="138" t="s">
        <v>43</v>
      </c>
      <c r="AT576" s="141" t="s">
        <v>44</v>
      </c>
      <c r="AU576" s="28"/>
      <c r="AV576" s="28"/>
      <c r="AW576" s="28"/>
      <c r="AX576" s="28"/>
      <c r="AY576" s="141"/>
      <c r="BB576" s="195" t="s">
        <v>6</v>
      </c>
      <c r="BC576" s="135"/>
      <c r="BD576" s="135"/>
      <c r="BE576" s="134"/>
      <c r="BF576" s="135"/>
      <c r="BG576" s="135"/>
      <c r="BH576" s="134"/>
      <c r="BI576" s="136"/>
      <c r="BJ576" s="135" t="s">
        <v>58</v>
      </c>
      <c r="BK576" s="135"/>
      <c r="BL576" s="136"/>
    </row>
    <row r="577" spans="1:64" x14ac:dyDescent="0.3">
      <c r="A577" s="134"/>
      <c r="B577" s="134"/>
      <c r="C577" s="135"/>
      <c r="D577" s="134"/>
      <c r="E577" s="135"/>
      <c r="F577" s="135"/>
      <c r="G577" s="195"/>
      <c r="H577" s="135" t="s">
        <v>396</v>
      </c>
      <c r="I577" s="135"/>
      <c r="J577" s="136"/>
      <c r="L577" s="134"/>
      <c r="M577" s="134"/>
      <c r="N577" s="195"/>
      <c r="O577" s="134"/>
      <c r="P577" s="195"/>
      <c r="Q577" s="136"/>
      <c r="R577" s="134"/>
      <c r="S577" s="195"/>
      <c r="T577" s="134" t="s">
        <v>396</v>
      </c>
      <c r="U577" s="136"/>
      <c r="AB577" s="138"/>
      <c r="AC577" s="138"/>
      <c r="AD577" s="141"/>
      <c r="AE577" s="28"/>
      <c r="AF577" s="28"/>
      <c r="AG577" s="28"/>
      <c r="AH577" s="138"/>
      <c r="AI577" s="141"/>
      <c r="AJ577" s="28"/>
      <c r="AK577" s="138" t="s">
        <v>62</v>
      </c>
      <c r="AL577" s="28"/>
      <c r="AM577" s="141"/>
      <c r="AP577" s="138" t="s">
        <v>6</v>
      </c>
      <c r="AQ577" s="138"/>
      <c r="AR577" s="141"/>
      <c r="AS577" s="138"/>
      <c r="AT577" s="141"/>
      <c r="AU577" s="28"/>
      <c r="AV577" s="28" t="s">
        <v>91</v>
      </c>
      <c r="AW577" s="28"/>
      <c r="AX577" s="28"/>
      <c r="AY577" s="141"/>
      <c r="BB577" s="196" t="s">
        <v>64</v>
      </c>
      <c r="BC577" s="28">
        <v>118</v>
      </c>
      <c r="BD577" s="28">
        <v>142</v>
      </c>
      <c r="BE577" s="138">
        <v>0</v>
      </c>
      <c r="BF577" s="28">
        <v>0</v>
      </c>
      <c r="BG577" s="28">
        <v>0</v>
      </c>
      <c r="BH577" s="138">
        <v>0</v>
      </c>
      <c r="BI577" s="141">
        <v>0</v>
      </c>
      <c r="BJ577" s="43">
        <v>16</v>
      </c>
      <c r="BK577" s="28" t="s">
        <v>474</v>
      </c>
      <c r="BL577" s="141" t="s">
        <v>6</v>
      </c>
    </row>
    <row r="578" spans="1:64" x14ac:dyDescent="0.3">
      <c r="A578" s="138" t="s">
        <v>59</v>
      </c>
      <c r="B578" s="138">
        <v>874</v>
      </c>
      <c r="C578" s="28">
        <v>947</v>
      </c>
      <c r="D578" s="138"/>
      <c r="E578" s="28" t="s">
        <v>60</v>
      </c>
      <c r="F578" s="28"/>
      <c r="G578" s="196">
        <v>1122</v>
      </c>
      <c r="H578" s="28">
        <v>4</v>
      </c>
      <c r="I578" s="28" t="s">
        <v>61</v>
      </c>
      <c r="J578" s="141"/>
      <c r="L578" s="138" t="s">
        <v>59</v>
      </c>
      <c r="M578" s="138">
        <v>21285</v>
      </c>
      <c r="N578" s="196">
        <v>32849</v>
      </c>
      <c r="O578" s="138">
        <v>0</v>
      </c>
      <c r="P578" s="196">
        <v>0</v>
      </c>
      <c r="Q578" s="141">
        <v>0</v>
      </c>
      <c r="R578" s="138">
        <v>0</v>
      </c>
      <c r="S578" s="196">
        <v>0</v>
      </c>
      <c r="T578" s="138"/>
      <c r="U578" s="141"/>
      <c r="AB578" s="138"/>
      <c r="AC578" s="138"/>
      <c r="AD578" s="141"/>
      <c r="AE578" s="28"/>
      <c r="AF578" s="28"/>
      <c r="AG578" s="28"/>
      <c r="AH578" s="138"/>
      <c r="AI578" s="141"/>
      <c r="AJ578" s="28"/>
      <c r="AK578" s="138">
        <v>4</v>
      </c>
      <c r="AL578" s="28" t="s">
        <v>398</v>
      </c>
      <c r="AM578" s="141"/>
      <c r="AP578" s="138" t="s">
        <v>56</v>
      </c>
      <c r="AQ578" s="138">
        <v>1024</v>
      </c>
      <c r="AR578" s="141">
        <v>1090</v>
      </c>
      <c r="AS578" s="138"/>
      <c r="AT578" s="141"/>
      <c r="AU578" s="28"/>
      <c r="AV578" s="28"/>
      <c r="AW578" s="28" t="s">
        <v>145</v>
      </c>
      <c r="AX578" s="28"/>
      <c r="AY578" s="141"/>
      <c r="BB578" s="196" t="s">
        <v>108</v>
      </c>
      <c r="BC578">
        <v>7</v>
      </c>
      <c r="BD578">
        <v>10</v>
      </c>
      <c r="BE578" s="138"/>
      <c r="BF578" s="28"/>
      <c r="BG578" s="28"/>
      <c r="BH578" s="138"/>
      <c r="BI578" s="141"/>
      <c r="BJ578" s="28">
        <v>1</v>
      </c>
      <c r="BK578" s="28" t="s">
        <v>1149</v>
      </c>
      <c r="BL578" s="141"/>
    </row>
    <row r="579" spans="1:64" x14ac:dyDescent="0.3">
      <c r="A579" s="138" t="s">
        <v>6</v>
      </c>
      <c r="B579" s="138"/>
      <c r="C579" s="28"/>
      <c r="D579" s="138"/>
      <c r="E579" s="28"/>
      <c r="F579" s="28"/>
      <c r="G579" s="196"/>
      <c r="H579" s="28"/>
      <c r="I579" s="28" t="s">
        <v>528</v>
      </c>
      <c r="J579" s="141">
        <f>SUM(H578)</f>
        <v>4</v>
      </c>
      <c r="L579" s="142"/>
      <c r="M579" s="142"/>
      <c r="N579" s="199"/>
      <c r="O579" s="142"/>
      <c r="P579" s="199"/>
      <c r="Q579" s="146"/>
      <c r="R579" s="142"/>
      <c r="S579" s="199"/>
      <c r="T579" s="142"/>
      <c r="U579" s="146"/>
      <c r="AB579" s="138" t="s">
        <v>59</v>
      </c>
      <c r="AC579" s="138">
        <v>799</v>
      </c>
      <c r="AD579" s="141">
        <v>885</v>
      </c>
      <c r="AE579" s="28">
        <v>0</v>
      </c>
      <c r="AF579" s="28">
        <v>0</v>
      </c>
      <c r="AG579" s="28">
        <v>0</v>
      </c>
      <c r="AH579" s="138">
        <v>340</v>
      </c>
      <c r="AI579" s="141">
        <v>0</v>
      </c>
      <c r="AJ579" s="28">
        <v>0</v>
      </c>
      <c r="AK579" s="138"/>
      <c r="AL579" s="28" t="s">
        <v>66</v>
      </c>
      <c r="AM579" s="141"/>
      <c r="AP579" s="142" t="s">
        <v>6</v>
      </c>
      <c r="AQ579" s="142"/>
      <c r="AR579" s="146"/>
      <c r="AS579" s="142"/>
      <c r="AT579" s="146"/>
      <c r="AU579" s="143"/>
      <c r="AV579" s="143">
        <v>85</v>
      </c>
      <c r="AW579" s="143" t="s">
        <v>73</v>
      </c>
      <c r="AX579" s="143"/>
      <c r="AY579" s="146">
        <f>SUM(AV579)</f>
        <v>85</v>
      </c>
      <c r="BB579" s="199" t="s">
        <v>84</v>
      </c>
      <c r="BC579" s="143">
        <f>SUM(BC576:BC578)</f>
        <v>125</v>
      </c>
      <c r="BD579" s="143">
        <f>SUM(BD576:BD578)</f>
        <v>152</v>
      </c>
      <c r="BE579" s="142"/>
      <c r="BF579" s="143"/>
      <c r="BG579" s="143"/>
      <c r="BH579" s="142"/>
      <c r="BI579" s="146"/>
      <c r="BJ579" s="143">
        <v>2</v>
      </c>
      <c r="BK579" s="143" t="s">
        <v>69</v>
      </c>
      <c r="BL579" s="146">
        <f>SUM(BJ577:BJ579)</f>
        <v>19</v>
      </c>
    </row>
    <row r="580" spans="1:64" x14ac:dyDescent="0.3">
      <c r="A580" s="134"/>
      <c r="B580" s="134"/>
      <c r="C580" s="135"/>
      <c r="D580" s="134"/>
      <c r="E580" s="135"/>
      <c r="F580" s="135"/>
      <c r="G580" s="195"/>
      <c r="H580" s="135" t="s">
        <v>70</v>
      </c>
      <c r="I580" s="135"/>
      <c r="J580" s="136"/>
      <c r="L580" s="134"/>
      <c r="M580" s="134"/>
      <c r="N580" s="195"/>
      <c r="O580" s="134"/>
      <c r="P580" s="195"/>
      <c r="Q580" s="136"/>
      <c r="R580" s="134"/>
      <c r="S580" s="195"/>
      <c r="T580" s="134"/>
      <c r="U580" s="136"/>
      <c r="AB580" s="142"/>
      <c r="AC580" s="142"/>
      <c r="AD580" s="146"/>
      <c r="AE580" s="143"/>
      <c r="AF580" s="143"/>
      <c r="AG580" s="143"/>
      <c r="AH580" s="142"/>
      <c r="AI580" s="146"/>
      <c r="AJ580" s="143"/>
      <c r="AK580" s="142"/>
      <c r="AL580" s="143" t="s">
        <v>188</v>
      </c>
      <c r="AM580" s="146"/>
      <c r="AP580" s="134" t="s">
        <v>56</v>
      </c>
      <c r="AQ580" s="134"/>
      <c r="AR580" s="136"/>
      <c r="AS580" s="134"/>
      <c r="AT580" s="136"/>
      <c r="AU580" s="135"/>
      <c r="AV580" s="135"/>
      <c r="AW580" s="135"/>
      <c r="AX580" s="135"/>
      <c r="AY580" s="136"/>
      <c r="BB580" s="195" t="s">
        <v>6</v>
      </c>
      <c r="BC580" s="134" t="s">
        <v>6</v>
      </c>
      <c r="BD580" s="136"/>
      <c r="BE580" s="135"/>
      <c r="BF580" s="135">
        <v>0</v>
      </c>
      <c r="BG580" s="135"/>
      <c r="BH580" s="134"/>
      <c r="BI580" s="136"/>
      <c r="BJ580" s="135" t="s">
        <v>1092</v>
      </c>
      <c r="BK580" s="135"/>
      <c r="BL580" s="136"/>
    </row>
    <row r="581" spans="1:64" x14ac:dyDescent="0.3">
      <c r="A581" s="138" t="s">
        <v>74</v>
      </c>
      <c r="B581" s="138">
        <v>1094</v>
      </c>
      <c r="C581" s="28">
        <v>1916</v>
      </c>
      <c r="D581" s="138"/>
      <c r="E581" s="28" t="s">
        <v>60</v>
      </c>
      <c r="F581" s="28"/>
      <c r="G581" s="196">
        <v>2635</v>
      </c>
      <c r="H581" s="28">
        <v>2</v>
      </c>
      <c r="I581" s="28" t="s">
        <v>1046</v>
      </c>
      <c r="J581" s="141"/>
      <c r="L581" s="138"/>
      <c r="M581" s="138"/>
      <c r="N581" s="196"/>
      <c r="O581" s="138"/>
      <c r="P581" s="196"/>
      <c r="Q581" s="141"/>
      <c r="R581" s="138"/>
      <c r="S581" s="196"/>
      <c r="T581" s="138" t="s">
        <v>80</v>
      </c>
      <c r="U581" s="141"/>
      <c r="W581" t="s">
        <v>6</v>
      </c>
      <c r="AB581" s="134" t="s">
        <v>6</v>
      </c>
      <c r="AC581" s="134"/>
      <c r="AD581" s="136"/>
      <c r="AE581" s="135"/>
      <c r="AF581" s="135"/>
      <c r="AG581" s="135"/>
      <c r="AH581" s="134"/>
      <c r="AI581" s="136"/>
      <c r="AJ581" s="135"/>
      <c r="AK581" s="134" t="s">
        <v>952</v>
      </c>
      <c r="AL581" s="135"/>
      <c r="AM581" s="136"/>
      <c r="AP581" s="138" t="s">
        <v>63</v>
      </c>
      <c r="AQ581" s="138">
        <v>81</v>
      </c>
      <c r="AR581" s="141">
        <v>98</v>
      </c>
      <c r="AS581" s="138"/>
      <c r="AT581" s="141"/>
      <c r="AU581" s="28"/>
      <c r="AV581" s="28" t="s">
        <v>110</v>
      </c>
      <c r="AW581" s="28" t="s">
        <v>111</v>
      </c>
      <c r="AX581" s="28" t="s">
        <v>112</v>
      </c>
      <c r="AY581" s="141"/>
      <c r="BB581" s="199" t="s">
        <v>108</v>
      </c>
      <c r="BC581" s="142">
        <v>259</v>
      </c>
      <c r="BD581" s="146">
        <v>344</v>
      </c>
      <c r="BE581" s="143"/>
      <c r="BF581" s="143">
        <v>0</v>
      </c>
      <c r="BG581" s="143">
        <v>0</v>
      </c>
      <c r="BH581" s="142">
        <v>0</v>
      </c>
      <c r="BI581" s="146">
        <v>0</v>
      </c>
      <c r="BJ581" s="143">
        <v>16</v>
      </c>
      <c r="BK581" s="143" t="s">
        <v>780</v>
      </c>
      <c r="BL581" s="146">
        <f>SUM(BJ581)</f>
        <v>16</v>
      </c>
    </row>
    <row r="582" spans="1:64" x14ac:dyDescent="0.3">
      <c r="A582" s="138"/>
      <c r="B582" s="138"/>
      <c r="C582" s="28"/>
      <c r="D582" s="138"/>
      <c r="E582" s="28"/>
      <c r="F582" s="28"/>
      <c r="G582" s="196"/>
      <c r="H582" s="28">
        <v>14</v>
      </c>
      <c r="I582" s="28" t="s">
        <v>1047</v>
      </c>
      <c r="J582" s="141">
        <f>SUM(H581:H582)</f>
        <v>16</v>
      </c>
      <c r="L582" s="138" t="s">
        <v>74</v>
      </c>
      <c r="M582" s="138">
        <v>5941</v>
      </c>
      <c r="N582" s="196">
        <v>174</v>
      </c>
      <c r="O582" s="138">
        <v>0</v>
      </c>
      <c r="P582" s="196">
        <v>0</v>
      </c>
      <c r="Q582" s="141">
        <v>0</v>
      </c>
      <c r="R582" s="138">
        <v>331</v>
      </c>
      <c r="S582" s="196">
        <v>0</v>
      </c>
      <c r="T582" s="138"/>
      <c r="U582" s="141"/>
      <c r="AB582" s="142" t="s">
        <v>76</v>
      </c>
      <c r="AC582" s="142">
        <v>0</v>
      </c>
      <c r="AD582" s="146">
        <v>0</v>
      </c>
      <c r="AE582" s="143">
        <v>0</v>
      </c>
      <c r="AF582" s="143">
        <v>0</v>
      </c>
      <c r="AG582" s="143">
        <v>0</v>
      </c>
      <c r="AH582" s="142">
        <v>0</v>
      </c>
      <c r="AI582" s="146">
        <v>0</v>
      </c>
      <c r="AJ582" s="143">
        <v>0</v>
      </c>
      <c r="AK582" s="142">
        <v>1</v>
      </c>
      <c r="AL582" s="143" t="s">
        <v>780</v>
      </c>
      <c r="AM582" s="146"/>
      <c r="AP582" s="138" t="s">
        <v>115</v>
      </c>
      <c r="AQ582" s="138">
        <v>25</v>
      </c>
      <c r="AR582" s="141">
        <v>18</v>
      </c>
      <c r="AS582" s="138"/>
      <c r="AT582" s="141"/>
      <c r="AU582" s="28"/>
      <c r="AV582" s="28"/>
      <c r="AW582" s="28"/>
      <c r="AX582" s="28"/>
      <c r="AY582" s="141"/>
      <c r="BB582" s="195" t="s">
        <v>107</v>
      </c>
      <c r="BC582" s="134">
        <v>0</v>
      </c>
      <c r="BD582" s="136">
        <v>0</v>
      </c>
      <c r="BE582" s="135"/>
      <c r="BF582" s="135"/>
      <c r="BG582" s="135"/>
      <c r="BH582" s="134"/>
      <c r="BI582" s="136"/>
      <c r="BJ582" s="135"/>
      <c r="BK582" s="135" t="s">
        <v>92</v>
      </c>
      <c r="BL582" s="136"/>
    </row>
    <row r="583" spans="1:64" x14ac:dyDescent="0.3">
      <c r="A583" s="134"/>
      <c r="B583" s="134"/>
      <c r="C583" s="136"/>
      <c r="D583" s="135"/>
      <c r="E583" s="135"/>
      <c r="F583" s="135"/>
      <c r="G583" s="195"/>
      <c r="H583" s="134" t="s">
        <v>87</v>
      </c>
      <c r="I583" s="135"/>
      <c r="J583" s="136" t="s">
        <v>6</v>
      </c>
      <c r="L583" s="142"/>
      <c r="M583" s="142"/>
      <c r="N583" s="199"/>
      <c r="O583" s="142"/>
      <c r="P583" s="199"/>
      <c r="Q583" s="146"/>
      <c r="R583" s="142"/>
      <c r="S583" s="199"/>
      <c r="T583" s="142"/>
      <c r="U583" s="146"/>
      <c r="AB583" s="134"/>
      <c r="AC583" s="134"/>
      <c r="AD583" s="136"/>
      <c r="AE583" s="135"/>
      <c r="AF583" s="135"/>
      <c r="AG583" s="135"/>
      <c r="AH583" s="134"/>
      <c r="AI583" s="136"/>
      <c r="AJ583" s="135"/>
      <c r="AK583" s="134"/>
      <c r="AL583" s="135" t="s">
        <v>150</v>
      </c>
      <c r="AM583" s="136"/>
      <c r="AP583" s="138" t="s">
        <v>72</v>
      </c>
      <c r="AQ583" s="138">
        <v>47</v>
      </c>
      <c r="AR583" s="141">
        <v>68</v>
      </c>
      <c r="AS583" s="138"/>
      <c r="AT583" s="141"/>
      <c r="AU583" s="28"/>
      <c r="AV583" s="28"/>
      <c r="AW583" s="28"/>
      <c r="AX583" s="28"/>
      <c r="AY583" s="141"/>
      <c r="BB583" s="196" t="s">
        <v>99</v>
      </c>
      <c r="BC583" s="138">
        <v>16</v>
      </c>
      <c r="BD583" s="141">
        <v>0</v>
      </c>
      <c r="BE583" s="28">
        <v>0</v>
      </c>
      <c r="BF583" s="28">
        <v>0</v>
      </c>
      <c r="BG583" s="28">
        <v>0</v>
      </c>
      <c r="BH583" s="138">
        <v>58088</v>
      </c>
      <c r="BI583" s="141">
        <v>14544</v>
      </c>
      <c r="BJ583" s="43">
        <f>42/2</f>
        <v>21</v>
      </c>
      <c r="BK583" s="28" t="s">
        <v>100</v>
      </c>
      <c r="BL583" s="141"/>
    </row>
    <row r="584" spans="1:64" x14ac:dyDescent="0.3">
      <c r="A584" s="138"/>
      <c r="B584" s="138"/>
      <c r="C584" s="141"/>
      <c r="D584" s="28"/>
      <c r="E584" s="28"/>
      <c r="F584" s="28"/>
      <c r="G584" s="196"/>
      <c r="H584" s="138" t="s">
        <v>6</v>
      </c>
      <c r="I584" s="28" t="s">
        <v>927</v>
      </c>
      <c r="J584" s="141"/>
      <c r="L584" s="134" t="s">
        <v>88</v>
      </c>
      <c r="M584" s="134">
        <v>0</v>
      </c>
      <c r="N584" s="195">
        <v>0</v>
      </c>
      <c r="O584" s="134"/>
      <c r="P584" s="195"/>
      <c r="Q584" s="136"/>
      <c r="R584" s="134"/>
      <c r="S584" s="195"/>
      <c r="T584" s="134" t="s">
        <v>6</v>
      </c>
      <c r="U584" s="136"/>
      <c r="AB584" s="138" t="s">
        <v>89</v>
      </c>
      <c r="AC584" s="138">
        <v>35</v>
      </c>
      <c r="AD584" s="141">
        <v>37</v>
      </c>
      <c r="AE584" s="28"/>
      <c r="AF584" s="28"/>
      <c r="AG584" s="28"/>
      <c r="AH584" s="138"/>
      <c r="AI584" s="141"/>
      <c r="AJ584" s="28"/>
      <c r="AK584" s="138" t="s">
        <v>90</v>
      </c>
      <c r="AL584" s="28"/>
      <c r="AM584" s="141"/>
      <c r="AP584" s="138" t="s">
        <v>78</v>
      </c>
      <c r="AQ584" s="138">
        <v>37</v>
      </c>
      <c r="AR584" s="141">
        <v>37</v>
      </c>
      <c r="AS584" s="138"/>
      <c r="AT584" s="141"/>
      <c r="AU584" s="28"/>
      <c r="AV584" s="28"/>
      <c r="AW584" s="28"/>
      <c r="AX584" s="28"/>
      <c r="AY584" s="141"/>
      <c r="BB584" s="199" t="s">
        <v>84</v>
      </c>
      <c r="BC584" s="138">
        <f>SUM(BC582:BC583)</f>
        <v>16</v>
      </c>
      <c r="BD584" s="141">
        <f>SUM(BD582:BD583)</f>
        <v>0</v>
      </c>
      <c r="BE584" s="143"/>
      <c r="BF584" s="143"/>
      <c r="BG584" s="143"/>
      <c r="BH584" s="142"/>
      <c r="BI584" s="146"/>
      <c r="BJ584" s="143">
        <v>2</v>
      </c>
      <c r="BK584" s="143" t="s">
        <v>506</v>
      </c>
      <c r="BL584" s="146">
        <f>SUM(BJ583:BJ584)</f>
        <v>23</v>
      </c>
    </row>
    <row r="585" spans="1:64" x14ac:dyDescent="0.3">
      <c r="A585" s="138" t="s">
        <v>93</v>
      </c>
      <c r="B585" s="138">
        <v>2245</v>
      </c>
      <c r="C585" s="141">
        <v>3406</v>
      </c>
      <c r="D585" s="28" t="s">
        <v>6</v>
      </c>
      <c r="E585" s="28" t="s">
        <v>60</v>
      </c>
      <c r="F585" s="28"/>
      <c r="G585" s="196">
        <v>3530</v>
      </c>
      <c r="H585" s="212">
        <v>1</v>
      </c>
      <c r="I585" s="28" t="s">
        <v>94</v>
      </c>
      <c r="J585" s="141" t="s">
        <v>6</v>
      </c>
      <c r="L585" s="138" t="s">
        <v>95</v>
      </c>
      <c r="M585" s="138">
        <v>0</v>
      </c>
      <c r="N585" s="196">
        <v>0</v>
      </c>
      <c r="O585" s="138"/>
      <c r="P585" s="196"/>
      <c r="Q585" s="141"/>
      <c r="R585" s="138"/>
      <c r="S585" s="196"/>
      <c r="T585" s="138" t="s">
        <v>96</v>
      </c>
      <c r="U585" s="141"/>
      <c r="AB585" s="138" t="s">
        <v>97</v>
      </c>
      <c r="AC585" s="138">
        <v>0</v>
      </c>
      <c r="AD585" s="141">
        <v>0</v>
      </c>
      <c r="AE585" s="28">
        <v>0</v>
      </c>
      <c r="AF585" s="28">
        <v>0</v>
      </c>
      <c r="AG585" s="28">
        <v>0</v>
      </c>
      <c r="AH585" s="138">
        <v>0</v>
      </c>
      <c r="AI585" s="141">
        <v>0</v>
      </c>
      <c r="AJ585" s="28">
        <v>0</v>
      </c>
      <c r="AK585" s="138"/>
      <c r="AL585" s="28" t="s">
        <v>529</v>
      </c>
      <c r="AM585" s="141"/>
      <c r="AP585" s="138" t="s">
        <v>122</v>
      </c>
      <c r="AQ585" s="138">
        <v>31</v>
      </c>
      <c r="AR585" s="141">
        <v>27</v>
      </c>
      <c r="AS585" s="138"/>
      <c r="AT585" s="141"/>
      <c r="AU585" s="28"/>
      <c r="AV585" s="28">
        <v>40</v>
      </c>
      <c r="AW585" s="28" t="s">
        <v>123</v>
      </c>
      <c r="AX585" s="28"/>
      <c r="AY585" s="141"/>
      <c r="BB585" s="138" t="s">
        <v>89</v>
      </c>
      <c r="BC585" s="134">
        <v>242</v>
      </c>
      <c r="BD585" s="136">
        <v>256</v>
      </c>
      <c r="BH585" s="134"/>
      <c r="BI585" s="136"/>
      <c r="BJ585" s="28"/>
      <c r="BK585" s="28" t="s">
        <v>91</v>
      </c>
      <c r="BL585" s="141"/>
    </row>
    <row r="586" spans="1:64" x14ac:dyDescent="0.3">
      <c r="A586" s="142"/>
      <c r="B586" s="142"/>
      <c r="C586" s="146"/>
      <c r="D586" s="143"/>
      <c r="E586" s="143"/>
      <c r="F586" s="143"/>
      <c r="G586" s="199"/>
      <c r="H586" s="142">
        <v>19</v>
      </c>
      <c r="I586" s="143" t="s">
        <v>101</v>
      </c>
      <c r="J586" s="146">
        <f>SUM(H584:H586)</f>
        <v>20</v>
      </c>
      <c r="L586" s="138" t="s">
        <v>102</v>
      </c>
      <c r="M586" s="138">
        <v>0</v>
      </c>
      <c r="N586" s="196">
        <v>0</v>
      </c>
      <c r="O586" s="138"/>
      <c r="P586" s="196"/>
      <c r="Q586" s="141"/>
      <c r="R586" s="138"/>
      <c r="S586" s="196"/>
      <c r="T586" s="138"/>
      <c r="U586" s="141"/>
      <c r="AB586" s="142" t="s">
        <v>84</v>
      </c>
      <c r="AC586" s="142">
        <f>SUM(AC584:AC585)</f>
        <v>35</v>
      </c>
      <c r="AD586" s="146">
        <f>SUM(AD584:AD585)</f>
        <v>37</v>
      </c>
      <c r="AE586" s="143"/>
      <c r="AF586" s="143"/>
      <c r="AG586" s="143"/>
      <c r="AH586" s="142"/>
      <c r="AI586" s="146"/>
      <c r="AJ586" s="143"/>
      <c r="AK586" s="142">
        <v>1</v>
      </c>
      <c r="AL586" s="143" t="s">
        <v>145</v>
      </c>
      <c r="AM586" s="146"/>
      <c r="AP586" s="138" t="s">
        <v>125</v>
      </c>
      <c r="AQ586" s="138">
        <v>8</v>
      </c>
      <c r="AR586" s="141">
        <v>2</v>
      </c>
      <c r="AS586" s="138"/>
      <c r="AT586" s="141"/>
      <c r="AU586" s="28"/>
      <c r="AV586" s="28">
        <v>67</v>
      </c>
      <c r="AW586" s="28" t="s">
        <v>126</v>
      </c>
      <c r="AX586" s="28"/>
      <c r="AY586" s="141"/>
      <c r="BB586" s="212" t="s">
        <v>1150</v>
      </c>
      <c r="BC586" s="212">
        <v>31</v>
      </c>
      <c r="BD586" s="209">
        <v>13</v>
      </c>
    </row>
    <row r="587" spans="1:64" x14ac:dyDescent="0.3">
      <c r="A587" s="138" t="s">
        <v>108</v>
      </c>
      <c r="B587" s="138">
        <v>0</v>
      </c>
      <c r="C587" s="28">
        <v>0</v>
      </c>
      <c r="D587" s="138"/>
      <c r="E587" s="28">
        <v>1005</v>
      </c>
      <c r="F587" s="141"/>
      <c r="G587" s="141"/>
      <c r="H587" s="28" t="s">
        <v>104</v>
      </c>
      <c r="I587" s="28"/>
      <c r="J587" s="141"/>
      <c r="L587" s="142" t="s">
        <v>84</v>
      </c>
      <c r="M587" s="142">
        <v>0</v>
      </c>
      <c r="N587" s="199">
        <v>0</v>
      </c>
      <c r="O587" s="142">
        <v>0</v>
      </c>
      <c r="P587" s="199">
        <v>0</v>
      </c>
      <c r="Q587" s="146">
        <v>0</v>
      </c>
      <c r="R587" s="142">
        <v>0</v>
      </c>
      <c r="S587" s="199">
        <v>0</v>
      </c>
      <c r="T587" s="142"/>
      <c r="U587" s="146"/>
      <c r="AB587" s="134"/>
      <c r="AC587" s="134"/>
      <c r="AD587" s="136"/>
      <c r="AE587" s="135"/>
      <c r="AF587" s="135"/>
      <c r="AG587" s="135"/>
      <c r="AH587" s="134"/>
      <c r="AI587" s="136"/>
      <c r="AJ587" s="135"/>
      <c r="AK587" s="138" t="s">
        <v>1048</v>
      </c>
      <c r="AM587" s="136"/>
      <c r="AP587" s="138" t="s">
        <v>536</v>
      </c>
      <c r="AQ587" s="138">
        <v>29</v>
      </c>
      <c r="AR587" s="141">
        <v>20</v>
      </c>
      <c r="AS587" s="138"/>
      <c r="AT587" s="141"/>
      <c r="AU587" s="28"/>
      <c r="AV587" s="28">
        <v>48</v>
      </c>
      <c r="AW587" s="28" t="s">
        <v>129</v>
      </c>
      <c r="AX587" s="28"/>
      <c r="AY587" s="141"/>
      <c r="BA587" t="s">
        <v>6</v>
      </c>
      <c r="BB587" s="138" t="s">
        <v>137</v>
      </c>
      <c r="BC587" s="138">
        <v>106</v>
      </c>
      <c r="BD587" s="141">
        <v>199</v>
      </c>
      <c r="BH587" s="138"/>
      <c r="BI587" s="141"/>
      <c r="BJ587" s="43">
        <v>2</v>
      </c>
      <c r="BK587" s="43" t="s">
        <v>145</v>
      </c>
      <c r="BL587" s="141"/>
    </row>
    <row r="588" spans="1:64" x14ac:dyDescent="0.3">
      <c r="A588" s="138" t="s">
        <v>109</v>
      </c>
      <c r="B588" s="138">
        <v>1393</v>
      </c>
      <c r="C588" s="28">
        <v>1243</v>
      </c>
      <c r="D588" s="138"/>
      <c r="E588" s="28">
        <v>0</v>
      </c>
      <c r="F588" s="141"/>
      <c r="G588" s="141"/>
      <c r="H588" s="43">
        <v>9</v>
      </c>
      <c r="I588" s="28" t="s">
        <v>114</v>
      </c>
      <c r="J588" s="141"/>
      <c r="L588" s="134"/>
      <c r="M588" s="134"/>
      <c r="N588" s="195"/>
      <c r="O588" s="134"/>
      <c r="P588" s="195"/>
      <c r="Q588" s="136"/>
      <c r="R588" s="134"/>
      <c r="S588" s="195"/>
      <c r="T588" s="134" t="s">
        <v>104</v>
      </c>
      <c r="U588" s="136"/>
      <c r="AB588" s="138" t="s">
        <v>817</v>
      </c>
      <c r="AC588" s="138">
        <v>0</v>
      </c>
      <c r="AD588" s="141">
        <v>973</v>
      </c>
      <c r="AE588" s="28">
        <v>0</v>
      </c>
      <c r="AF588" s="28">
        <v>0</v>
      </c>
      <c r="AG588" s="28">
        <v>0</v>
      </c>
      <c r="AH588" s="138">
        <v>0</v>
      </c>
      <c r="AI588" s="141">
        <v>0</v>
      </c>
      <c r="AJ588" s="28">
        <v>0</v>
      </c>
      <c r="AK588" s="138"/>
      <c r="AM588" s="141"/>
      <c r="AP588" s="138" t="s">
        <v>128</v>
      </c>
      <c r="AQ588" s="138">
        <v>3</v>
      </c>
      <c r="AR588" s="141">
        <v>2</v>
      </c>
      <c r="AS588" s="138"/>
      <c r="AT588" s="141"/>
      <c r="AU588" s="28"/>
      <c r="AV588" s="28"/>
      <c r="AW588" s="28"/>
      <c r="AX588" s="28"/>
      <c r="AY588" s="141"/>
      <c r="BA588" t="s">
        <v>6</v>
      </c>
      <c r="BB588" s="138" t="s">
        <v>113</v>
      </c>
      <c r="BC588" s="138">
        <v>584</v>
      </c>
      <c r="BD588" s="141">
        <v>675</v>
      </c>
      <c r="BH588" s="138"/>
      <c r="BI588" s="141"/>
      <c r="BJ588" s="43">
        <v>64</v>
      </c>
      <c r="BK588" s="28" t="s">
        <v>73</v>
      </c>
      <c r="BL588" s="141"/>
    </row>
    <row r="589" spans="1:64" x14ac:dyDescent="0.3">
      <c r="A589" s="138" t="s">
        <v>84</v>
      </c>
      <c r="B589" s="138">
        <f>SUM(B587:B588)</f>
        <v>1393</v>
      </c>
      <c r="C589" s="28">
        <f>SUM(C587:C588)</f>
        <v>1243</v>
      </c>
      <c r="D589" s="138"/>
      <c r="E589" s="28">
        <f>SUM(E587:E588)</f>
        <v>1005</v>
      </c>
      <c r="F589" s="141"/>
      <c r="G589" s="141">
        <v>3375</v>
      </c>
      <c r="H589" s="28"/>
      <c r="I589" s="28"/>
      <c r="J589" s="141">
        <f>SUM(H588)</f>
        <v>9</v>
      </c>
      <c r="L589" s="138" t="s">
        <v>109</v>
      </c>
      <c r="M589" s="138">
        <v>9044</v>
      </c>
      <c r="N589" s="196">
        <v>0</v>
      </c>
      <c r="O589" s="138">
        <v>0</v>
      </c>
      <c r="P589" s="196">
        <v>0</v>
      </c>
      <c r="Q589" s="141">
        <v>0</v>
      </c>
      <c r="R589" s="138">
        <v>0</v>
      </c>
      <c r="S589" s="196">
        <v>0</v>
      </c>
      <c r="T589" s="138"/>
      <c r="U589" s="141"/>
      <c r="AB589" s="138" t="s">
        <v>1093</v>
      </c>
      <c r="AC589" s="138">
        <v>58</v>
      </c>
      <c r="AD589" s="141">
        <v>89</v>
      </c>
      <c r="AE589" s="28">
        <v>0</v>
      </c>
      <c r="AF589" s="28">
        <v>0</v>
      </c>
      <c r="AG589" s="28">
        <v>0</v>
      </c>
      <c r="AH589" s="138"/>
      <c r="AI589" s="141"/>
      <c r="AJ589" s="28"/>
      <c r="AK589" s="138">
        <v>9</v>
      </c>
      <c r="AL589" s="43" t="s">
        <v>359</v>
      </c>
      <c r="AM589" s="141"/>
      <c r="AP589" s="138" t="s">
        <v>81</v>
      </c>
      <c r="AQ589" s="138">
        <v>2</v>
      </c>
      <c r="AR589" s="141">
        <v>9</v>
      </c>
      <c r="AS589" s="138"/>
      <c r="AT589" s="141"/>
      <c r="AU589" s="28"/>
      <c r="AV589" s="28"/>
      <c r="AW589" s="28"/>
      <c r="AX589" s="28"/>
      <c r="AY589" s="141"/>
      <c r="BB589" s="138" t="s">
        <v>84</v>
      </c>
      <c r="BC589" s="138">
        <f>SUM(BC585:BC588)</f>
        <v>963</v>
      </c>
      <c r="BD589" s="141">
        <f>SUM(BD585:BD588)</f>
        <v>1143</v>
      </c>
      <c r="BE589">
        <v>0</v>
      </c>
      <c r="BF589">
        <v>0</v>
      </c>
      <c r="BG589">
        <v>0</v>
      </c>
      <c r="BH589" s="138">
        <v>0</v>
      </c>
      <c r="BI589" s="141">
        <v>0</v>
      </c>
      <c r="BJ589" s="43">
        <v>10</v>
      </c>
      <c r="BK589" s="43" t="s">
        <v>1134</v>
      </c>
      <c r="BL589" s="141">
        <f>SUM(BJ587:BJ589)</f>
        <v>76</v>
      </c>
    </row>
    <row r="590" spans="1:64" x14ac:dyDescent="0.3">
      <c r="A590" s="134" t="s">
        <v>785</v>
      </c>
      <c r="B590" s="134">
        <v>386</v>
      </c>
      <c r="C590" s="136">
        <v>421</v>
      </c>
      <c r="D590" s="135"/>
      <c r="E590" s="135"/>
      <c r="F590" s="135"/>
      <c r="G590" s="195">
        <v>450</v>
      </c>
      <c r="H590" s="135" t="s">
        <v>1050</v>
      </c>
      <c r="I590" s="135"/>
      <c r="J590" s="136"/>
      <c r="L590" s="142"/>
      <c r="M590" s="142"/>
      <c r="N590" s="199"/>
      <c r="O590" s="142"/>
      <c r="P590" s="199"/>
      <c r="Q590" s="146"/>
      <c r="R590" s="142"/>
      <c r="S590" s="199"/>
      <c r="T590" s="142"/>
      <c r="U590" s="146"/>
      <c r="AB590" s="142" t="s">
        <v>1151</v>
      </c>
      <c r="AC590" s="142">
        <f>SUM(AC588:AC589)</f>
        <v>58</v>
      </c>
      <c r="AD590" s="146">
        <f>SUM(AD588:AD589)</f>
        <v>1062</v>
      </c>
      <c r="AE590" s="143">
        <v>0</v>
      </c>
      <c r="AF590" s="143">
        <v>0</v>
      </c>
      <c r="AG590" s="143">
        <v>0</v>
      </c>
      <c r="AH590" s="142"/>
      <c r="AI590" s="146"/>
      <c r="AJ590" s="143"/>
      <c r="AK590" s="142"/>
      <c r="AL590" s="143"/>
      <c r="AM590" s="146"/>
      <c r="AP590" s="138" t="s">
        <v>138</v>
      </c>
      <c r="AQ590" s="138">
        <v>0</v>
      </c>
      <c r="AR590" s="141">
        <v>9</v>
      </c>
      <c r="AS590" s="138"/>
      <c r="AT590" s="141"/>
      <c r="AU590" s="28"/>
      <c r="AV590" s="28"/>
      <c r="AW590" s="28"/>
      <c r="AX590" s="28"/>
      <c r="AY590" s="141"/>
      <c r="BA590" t="s">
        <v>6</v>
      </c>
      <c r="BB590" s="134"/>
      <c r="BC590" s="134"/>
      <c r="BD590" s="136"/>
      <c r="BE590" s="135"/>
      <c r="BF590" s="135"/>
      <c r="BG590" s="135"/>
      <c r="BH590" s="134"/>
      <c r="BI590" s="136"/>
      <c r="BJ590" s="135" t="s">
        <v>1025</v>
      </c>
      <c r="BK590" s="135"/>
      <c r="BL590" s="136"/>
    </row>
    <row r="591" spans="1:64" x14ac:dyDescent="0.3">
      <c r="A591" s="138" t="s">
        <v>93</v>
      </c>
      <c r="B591" s="138">
        <v>7131</v>
      </c>
      <c r="C591" s="141">
        <v>7701</v>
      </c>
      <c r="D591" s="28"/>
      <c r="E591" s="28"/>
      <c r="F591" s="28"/>
      <c r="G591" s="196">
        <v>8400</v>
      </c>
      <c r="H591" s="28"/>
      <c r="I591" s="28" t="s">
        <v>75</v>
      </c>
      <c r="J591" s="141"/>
      <c r="L591" s="134" t="s">
        <v>93</v>
      </c>
      <c r="M591" s="134">
        <v>0</v>
      </c>
      <c r="N591" s="195">
        <v>0</v>
      </c>
      <c r="O591" s="134"/>
      <c r="P591" s="195"/>
      <c r="Q591" s="136"/>
      <c r="R591" s="134">
        <v>0</v>
      </c>
      <c r="S591" s="195">
        <v>0</v>
      </c>
      <c r="T591" s="134" t="s">
        <v>116</v>
      </c>
      <c r="U591" s="136"/>
      <c r="AB591" s="138"/>
      <c r="AC591" s="138"/>
      <c r="AD591" s="141"/>
      <c r="AE591" s="28"/>
      <c r="AF591" s="28"/>
      <c r="AG591" s="28"/>
      <c r="AH591" s="138"/>
      <c r="AI591" s="141"/>
      <c r="AJ591" s="28"/>
      <c r="AK591" s="138"/>
      <c r="AL591" s="28" t="s">
        <v>117</v>
      </c>
      <c r="AM591" s="141"/>
      <c r="AP591" s="138" t="s">
        <v>230</v>
      </c>
      <c r="AQ591" s="138">
        <v>0</v>
      </c>
      <c r="AR591" s="141">
        <v>0</v>
      </c>
      <c r="AS591" s="138"/>
      <c r="AT591" s="141"/>
      <c r="AU591" s="28"/>
      <c r="AV591" s="28"/>
      <c r="AW591" s="28"/>
      <c r="AX591" s="28"/>
      <c r="AY591" s="141"/>
      <c r="BB591" s="142" t="s">
        <v>64</v>
      </c>
      <c r="BC591" s="142">
        <v>58</v>
      </c>
      <c r="BD591" s="146">
        <v>62</v>
      </c>
      <c r="BE591" s="143"/>
      <c r="BF591" s="143"/>
      <c r="BG591" s="143"/>
      <c r="BH591" s="142"/>
      <c r="BI591" s="146"/>
      <c r="BJ591" s="143">
        <v>7</v>
      </c>
      <c r="BK591" s="143" t="s">
        <v>1026</v>
      </c>
      <c r="BL591" s="146">
        <f>SUM(BJ591)</f>
        <v>7</v>
      </c>
    </row>
    <row r="592" spans="1:64" x14ac:dyDescent="0.3">
      <c r="A592" s="138" t="s">
        <v>120</v>
      </c>
      <c r="B592" s="138">
        <v>4108</v>
      </c>
      <c r="C592" s="209">
        <v>4964</v>
      </c>
      <c r="D592" s="28"/>
      <c r="E592" s="28" t="s">
        <v>60</v>
      </c>
      <c r="F592" s="28"/>
      <c r="G592" s="196">
        <v>5420</v>
      </c>
      <c r="H592" s="28">
        <v>65</v>
      </c>
      <c r="I592" s="28" t="s">
        <v>101</v>
      </c>
      <c r="J592" s="141"/>
      <c r="L592" s="138" t="s">
        <v>99</v>
      </c>
      <c r="M592" s="138">
        <v>17870</v>
      </c>
      <c r="N592" s="196">
        <v>11073</v>
      </c>
      <c r="O592" s="138"/>
      <c r="P592" s="196"/>
      <c r="Q592" s="141">
        <v>0</v>
      </c>
      <c r="R592" s="138">
        <v>6245</v>
      </c>
      <c r="S592" s="196">
        <v>712</v>
      </c>
      <c r="T592" s="138"/>
      <c r="U592" s="141"/>
      <c r="AB592" s="138"/>
      <c r="AC592" s="138"/>
      <c r="AD592" s="141"/>
      <c r="AE592" s="28"/>
      <c r="AF592" s="28"/>
      <c r="AG592" s="28"/>
      <c r="AH592" s="138"/>
      <c r="AI592" s="141"/>
      <c r="AJ592" s="28"/>
      <c r="AK592" s="138"/>
      <c r="AL592" s="28" t="s">
        <v>558</v>
      </c>
      <c r="AM592" s="141"/>
      <c r="AP592" s="138" t="s">
        <v>67</v>
      </c>
      <c r="AQ592" s="138">
        <v>121</v>
      </c>
      <c r="AR592" s="141">
        <v>146</v>
      </c>
      <c r="AS592" s="138"/>
      <c r="AT592" s="141"/>
      <c r="AU592" s="28"/>
      <c r="AV592" s="28"/>
      <c r="AW592" s="28"/>
      <c r="AX592" s="28"/>
      <c r="AY592" s="141"/>
      <c r="BB592" s="138" t="s">
        <v>113</v>
      </c>
      <c r="BC592" s="138">
        <v>394</v>
      </c>
      <c r="BD592" s="141">
        <v>430</v>
      </c>
      <c r="BE592" s="28"/>
      <c r="BF592" s="28"/>
      <c r="BG592" s="28"/>
      <c r="BH592" s="138"/>
      <c r="BI592" s="141"/>
      <c r="BJ592" s="28" t="s">
        <v>994</v>
      </c>
      <c r="BK592" s="28"/>
      <c r="BL592" s="141"/>
    </row>
    <row r="593" spans="1:65" x14ac:dyDescent="0.3">
      <c r="A593" s="142" t="s">
        <v>84</v>
      </c>
      <c r="B593" s="142">
        <f>SUM(B590:B592)</f>
        <v>11625</v>
      </c>
      <c r="C593" s="146">
        <f>SUM(C590:C592)</f>
        <v>13086</v>
      </c>
      <c r="D593" s="143"/>
      <c r="E593" s="143"/>
      <c r="F593" s="143"/>
      <c r="G593" s="199">
        <f>SUM(G590:G592)</f>
        <v>14270</v>
      </c>
      <c r="H593" s="143">
        <v>23</v>
      </c>
      <c r="I593" s="143" t="s">
        <v>927</v>
      </c>
      <c r="J593" s="146">
        <f>SUM(H591:H593)</f>
        <v>88</v>
      </c>
      <c r="L593" s="138" t="s">
        <v>120</v>
      </c>
      <c r="M593" s="138">
        <v>1337</v>
      </c>
      <c r="N593" s="196">
        <v>17544</v>
      </c>
      <c r="O593" s="138"/>
      <c r="P593" s="196"/>
      <c r="Q593" s="141" t="s">
        <v>6</v>
      </c>
      <c r="R593" s="138">
        <v>0</v>
      </c>
      <c r="S593" s="196">
        <v>0</v>
      </c>
      <c r="T593" s="138"/>
      <c r="U593" s="141"/>
      <c r="AB593" s="138"/>
      <c r="AC593" s="138"/>
      <c r="AD593" s="141"/>
      <c r="AE593" s="28"/>
      <c r="AF593" s="28"/>
      <c r="AG593" s="28"/>
      <c r="AH593" s="138"/>
      <c r="AI593" s="141"/>
      <c r="AJ593" s="28"/>
      <c r="AK593" s="138"/>
      <c r="AL593" s="28" t="s">
        <v>401</v>
      </c>
      <c r="AM593" s="141"/>
      <c r="AP593" s="142" t="s">
        <v>84</v>
      </c>
      <c r="AQ593" s="142">
        <f>SUM(AQ580:AQ592)</f>
        <v>384</v>
      </c>
      <c r="AR593" s="146">
        <f>SUM(AR580:AR592)</f>
        <v>436</v>
      </c>
      <c r="AS593" s="142"/>
      <c r="AT593" s="146">
        <v>0</v>
      </c>
      <c r="AU593" s="143"/>
      <c r="AV593" s="143"/>
      <c r="AW593" s="143"/>
      <c r="AX593" s="143"/>
      <c r="AY593" s="146">
        <f>SUM(AV585:AV587)</f>
        <v>155</v>
      </c>
      <c r="BB593" s="138" t="s">
        <v>475</v>
      </c>
      <c r="BC593" s="138">
        <v>0</v>
      </c>
      <c r="BD593" s="141">
        <v>0</v>
      </c>
      <c r="BE593" s="28"/>
      <c r="BF593" s="28"/>
      <c r="BG593" s="28"/>
      <c r="BH593" s="138"/>
      <c r="BI593" s="141"/>
      <c r="BJ593" s="28">
        <v>16</v>
      </c>
      <c r="BK593" s="28" t="s">
        <v>100</v>
      </c>
      <c r="BL593" s="141"/>
      <c r="BM593" t="s">
        <v>6</v>
      </c>
    </row>
    <row r="594" spans="1:65" x14ac:dyDescent="0.3">
      <c r="A594" s="196" t="s">
        <v>6</v>
      </c>
      <c r="B594" s="138" t="s">
        <v>6</v>
      </c>
      <c r="C594" s="141" t="s">
        <v>6</v>
      </c>
      <c r="D594" s="138"/>
      <c r="E594" s="28"/>
      <c r="F594" s="28"/>
      <c r="G594" s="196" t="s">
        <v>6</v>
      </c>
      <c r="H594" s="28" t="s">
        <v>131</v>
      </c>
      <c r="I594" s="28"/>
      <c r="J594" s="141"/>
      <c r="L594" s="142" t="s">
        <v>84</v>
      </c>
      <c r="M594" s="142">
        <f>SUM(M591:M593)</f>
        <v>19207</v>
      </c>
      <c r="N594" s="199">
        <f>SUM(N591:N593)</f>
        <v>28617</v>
      </c>
      <c r="O594" s="142">
        <v>0</v>
      </c>
      <c r="P594" s="199">
        <v>0</v>
      </c>
      <c r="Q594" s="146">
        <v>0</v>
      </c>
      <c r="R594" s="142">
        <f>SUM(R591:R593)</f>
        <v>6245</v>
      </c>
      <c r="S594" s="199">
        <f>SUM(S591:S593)</f>
        <v>712</v>
      </c>
      <c r="T594" s="142"/>
      <c r="U594" s="146"/>
      <c r="AB594" s="138"/>
      <c r="AC594" s="138"/>
      <c r="AD594" s="141"/>
      <c r="AE594" s="28"/>
      <c r="AF594" s="28"/>
      <c r="AG594" s="28"/>
      <c r="AH594" s="138"/>
      <c r="AI594" s="141"/>
      <c r="AJ594" s="28"/>
      <c r="AK594" s="138"/>
      <c r="AL594" s="28" t="s">
        <v>124</v>
      </c>
      <c r="AM594" s="141"/>
      <c r="AP594" s="134"/>
      <c r="AQ594" s="134"/>
      <c r="AR594" s="136"/>
      <c r="AS594" s="134"/>
      <c r="AT594" s="136"/>
      <c r="AU594" s="135"/>
      <c r="AV594" s="135"/>
      <c r="AW594" s="135"/>
      <c r="AX594" s="135"/>
      <c r="AY594" s="136"/>
      <c r="BB594" s="142" t="s">
        <v>84</v>
      </c>
      <c r="BC594" s="142">
        <f>SUM(BC592:BC593)</f>
        <v>394</v>
      </c>
      <c r="BD594" s="146">
        <f>SUM(BD592:BD593)</f>
        <v>430</v>
      </c>
      <c r="BE594" s="143">
        <v>0</v>
      </c>
      <c r="BF594" s="143">
        <v>0</v>
      </c>
      <c r="BG594" s="143">
        <v>0</v>
      </c>
      <c r="BH594" s="142">
        <v>0</v>
      </c>
      <c r="BI594" s="146">
        <v>0</v>
      </c>
      <c r="BJ594" s="43">
        <v>24</v>
      </c>
      <c r="BK594" s="43" t="s">
        <v>73</v>
      </c>
      <c r="BL594" s="146">
        <f>SUM(BJ593:BJ594)</f>
        <v>40</v>
      </c>
    </row>
    <row r="595" spans="1:65" x14ac:dyDescent="0.3">
      <c r="A595" s="196" t="s">
        <v>88</v>
      </c>
      <c r="B595" s="138">
        <v>434</v>
      </c>
      <c r="C595" s="141">
        <v>1232</v>
      </c>
      <c r="D595" s="138"/>
      <c r="E595" s="28">
        <v>0</v>
      </c>
      <c r="F595" s="28"/>
      <c r="G595" s="196">
        <v>2376</v>
      </c>
      <c r="H595" s="43">
        <v>2</v>
      </c>
      <c r="I595" s="43" t="s">
        <v>1094</v>
      </c>
      <c r="J595" s="141"/>
      <c r="L595" s="134"/>
      <c r="M595" s="134"/>
      <c r="N595" s="195"/>
      <c r="O595" s="134"/>
      <c r="P595" s="195"/>
      <c r="Q595" s="136"/>
      <c r="R595" s="134"/>
      <c r="S595" s="195"/>
      <c r="T595" s="134"/>
      <c r="U595" s="136"/>
      <c r="AB595" s="134"/>
      <c r="AC595" s="134"/>
      <c r="AD595" s="136"/>
      <c r="AE595" s="135"/>
      <c r="AF595" s="135"/>
      <c r="AG595" s="135"/>
      <c r="AH595" s="134"/>
      <c r="AI595" s="136"/>
      <c r="AJ595" s="135"/>
      <c r="AK595" s="134"/>
      <c r="AL595" s="135"/>
      <c r="AM595" s="136"/>
      <c r="AP595" s="138" t="s">
        <v>63</v>
      </c>
      <c r="AQ595" s="138">
        <v>0</v>
      </c>
      <c r="AR595" s="141">
        <v>0</v>
      </c>
      <c r="AS595" s="138"/>
      <c r="AT595" s="141"/>
      <c r="AU595" s="28"/>
      <c r="AV595" s="28"/>
      <c r="AW595" s="28"/>
      <c r="AX595" s="28"/>
      <c r="AY595" s="141"/>
      <c r="BB595" s="196" t="s">
        <v>1152</v>
      </c>
      <c r="BC595" s="138">
        <v>3</v>
      </c>
      <c r="BD595" s="141">
        <f>8+3</f>
        <v>11</v>
      </c>
      <c r="BE595" s="134"/>
      <c r="BF595" s="135"/>
      <c r="BG595" s="136"/>
      <c r="BH595" s="138"/>
      <c r="BI595" s="141"/>
      <c r="BJ595" s="134" t="s">
        <v>140</v>
      </c>
      <c r="BK595" s="135"/>
      <c r="BL595" s="136"/>
    </row>
    <row r="596" spans="1:65" x14ac:dyDescent="0.3">
      <c r="A596" s="211" t="s">
        <v>99</v>
      </c>
      <c r="B596" s="212">
        <v>430</v>
      </c>
      <c r="C596" s="209">
        <v>1012</v>
      </c>
      <c r="D596" s="138"/>
      <c r="E596" s="28">
        <v>0</v>
      </c>
      <c r="F596" s="28"/>
      <c r="G596" s="211">
        <v>2344</v>
      </c>
      <c r="H596" s="43">
        <v>2</v>
      </c>
      <c r="I596" s="215" t="s">
        <v>1072</v>
      </c>
      <c r="J596" s="141"/>
      <c r="L596" s="138" t="s">
        <v>105</v>
      </c>
      <c r="M596" s="138">
        <v>1341</v>
      </c>
      <c r="N596" s="196">
        <v>0</v>
      </c>
      <c r="O596" s="138">
        <v>0</v>
      </c>
      <c r="P596" s="196">
        <v>0</v>
      </c>
      <c r="Q596" s="141">
        <v>0</v>
      </c>
      <c r="R596" s="138">
        <v>0</v>
      </c>
      <c r="S596" s="196">
        <v>0</v>
      </c>
      <c r="T596" s="138"/>
      <c r="U596" s="141"/>
      <c r="AB596" s="138" t="s">
        <v>97</v>
      </c>
      <c r="AC596" s="138">
        <v>84</v>
      </c>
      <c r="AD596" s="141">
        <v>0</v>
      </c>
      <c r="AE596" s="28"/>
      <c r="AF596" s="28"/>
      <c r="AG596" s="28"/>
      <c r="AH596" s="138"/>
      <c r="AI596" s="141"/>
      <c r="AJ596" s="28"/>
      <c r="AK596" s="138" t="s">
        <v>953</v>
      </c>
      <c r="AL596" s="28"/>
      <c r="AM596" s="141"/>
      <c r="AP596" s="138" t="s">
        <v>536</v>
      </c>
      <c r="AQ596" s="138">
        <v>0</v>
      </c>
      <c r="AR596" s="141">
        <v>0</v>
      </c>
      <c r="AS596" s="138"/>
      <c r="AT596" s="141"/>
      <c r="AU596" s="28"/>
      <c r="AV596" s="28"/>
      <c r="AW596" s="28"/>
      <c r="AX596" s="28"/>
      <c r="AY596" s="141"/>
      <c r="BB596" s="196" t="s">
        <v>1153</v>
      </c>
      <c r="BC596" s="138">
        <v>10</v>
      </c>
      <c r="BD596" s="141">
        <v>6</v>
      </c>
      <c r="BE596" s="138"/>
      <c r="BF596" s="28"/>
      <c r="BG596" s="141"/>
      <c r="BH596" s="138"/>
      <c r="BI596" s="141"/>
      <c r="BJ596" s="138"/>
      <c r="BK596" s="28"/>
      <c r="BL596" s="141"/>
    </row>
    <row r="597" spans="1:65" x14ac:dyDescent="0.3">
      <c r="A597" s="196" t="s">
        <v>102</v>
      </c>
      <c r="B597" s="138">
        <v>380</v>
      </c>
      <c r="C597" s="209">
        <v>619</v>
      </c>
      <c r="D597" s="138"/>
      <c r="E597" s="28">
        <v>0</v>
      </c>
      <c r="F597" s="28"/>
      <c r="G597" s="196">
        <v>1161</v>
      </c>
      <c r="H597" s="43">
        <v>32</v>
      </c>
      <c r="I597" s="28" t="s">
        <v>134</v>
      </c>
      <c r="J597" s="141"/>
      <c r="L597" s="138" t="s">
        <v>99</v>
      </c>
      <c r="M597" s="138">
        <v>0</v>
      </c>
      <c r="N597" s="196">
        <v>0</v>
      </c>
      <c r="O597" s="138">
        <v>0</v>
      </c>
      <c r="P597" s="196">
        <v>0</v>
      </c>
      <c r="Q597" s="141">
        <v>0</v>
      </c>
      <c r="R597" s="138">
        <v>0</v>
      </c>
      <c r="S597" s="196">
        <v>0</v>
      </c>
      <c r="T597" s="138" t="s">
        <v>135</v>
      </c>
      <c r="U597" s="141"/>
      <c r="AB597" s="138" t="s">
        <v>89</v>
      </c>
      <c r="AC597" s="138">
        <v>813</v>
      </c>
      <c r="AD597" s="141">
        <v>610</v>
      </c>
      <c r="AE597" s="28"/>
      <c r="AF597" s="28"/>
      <c r="AG597" s="28"/>
      <c r="AH597" s="138"/>
      <c r="AI597" s="141"/>
      <c r="AJ597" s="28"/>
      <c r="AK597" s="138">
        <v>1</v>
      </c>
      <c r="AL597" s="43" t="s">
        <v>145</v>
      </c>
      <c r="AM597" s="141"/>
      <c r="AP597" s="138" t="s">
        <v>56</v>
      </c>
      <c r="AQ597" s="138">
        <v>0</v>
      </c>
      <c r="AR597" s="141">
        <v>0</v>
      </c>
      <c r="AS597" s="138"/>
      <c r="AT597" s="141"/>
      <c r="AU597" s="28"/>
      <c r="AV597" s="28" t="s">
        <v>173</v>
      </c>
      <c r="AW597" s="28"/>
      <c r="AX597" s="28"/>
      <c r="AY597" s="141"/>
      <c r="BB597" s="196" t="s">
        <v>1154</v>
      </c>
      <c r="BC597" s="138">
        <v>0</v>
      </c>
      <c r="BD597" s="141">
        <v>7</v>
      </c>
      <c r="BE597" s="138"/>
      <c r="BF597" s="28"/>
      <c r="BG597" s="141"/>
      <c r="BH597" s="138"/>
      <c r="BI597" s="141"/>
      <c r="BJ597" s="138"/>
      <c r="BK597" s="28"/>
      <c r="BL597" s="141"/>
    </row>
    <row r="598" spans="1:65" x14ac:dyDescent="0.3">
      <c r="A598" s="196" t="s">
        <v>84</v>
      </c>
      <c r="B598" s="142">
        <f>SUM(B594:B597)</f>
        <v>1244</v>
      </c>
      <c r="C598" s="146">
        <f>SUM(C594:C597)</f>
        <v>2863</v>
      </c>
      <c r="D598" s="142"/>
      <c r="E598" s="143">
        <v>0</v>
      </c>
      <c r="F598" s="143"/>
      <c r="G598" s="199">
        <f>SUM(G595:G597)</f>
        <v>5881</v>
      </c>
      <c r="H598" s="143">
        <v>2</v>
      </c>
      <c r="I598" s="216" t="s">
        <v>815</v>
      </c>
      <c r="J598" s="146">
        <f>SUM(H595:H598)</f>
        <v>38</v>
      </c>
      <c r="L598" s="138"/>
      <c r="M598" s="138"/>
      <c r="N598" s="196"/>
      <c r="O598" s="138"/>
      <c r="P598" s="196"/>
      <c r="Q598" s="141"/>
      <c r="R598" s="138"/>
      <c r="S598" s="196"/>
      <c r="T598" s="138"/>
      <c r="U598" s="141"/>
      <c r="AB598" s="138" t="s">
        <v>137</v>
      </c>
      <c r="AC598" s="138">
        <v>237</v>
      </c>
      <c r="AD598" s="141">
        <v>236</v>
      </c>
      <c r="AE598" s="28"/>
      <c r="AF598" s="28"/>
      <c r="AG598" s="28"/>
      <c r="AH598" s="138"/>
      <c r="AI598" s="141"/>
      <c r="AJ598" s="28"/>
      <c r="AK598" s="138">
        <v>10</v>
      </c>
      <c r="AL598" s="28" t="s">
        <v>884</v>
      </c>
      <c r="AM598" s="141"/>
      <c r="AP598" s="138" t="s">
        <v>67</v>
      </c>
      <c r="AQ598" s="138">
        <v>0</v>
      </c>
      <c r="AR598" s="141">
        <v>9</v>
      </c>
      <c r="AS598" s="138"/>
      <c r="AT598" s="141"/>
      <c r="AU598" s="28"/>
      <c r="AV598" s="28"/>
      <c r="AW598" s="28"/>
      <c r="AX598" s="28"/>
      <c r="AY598" s="141"/>
      <c r="BB598" s="196" t="s">
        <v>113</v>
      </c>
      <c r="BC598" s="138">
        <f>4+0+13+6+74</f>
        <v>97</v>
      </c>
      <c r="BD598" s="141">
        <f>3+9+8+2+5+58+1</f>
        <v>86</v>
      </c>
      <c r="BE598" s="138"/>
      <c r="BF598" s="28"/>
      <c r="BG598" s="141"/>
      <c r="BH598" s="138"/>
      <c r="BI598" s="141"/>
      <c r="BJ598" s="138" t="s">
        <v>142</v>
      </c>
      <c r="BK598" s="28"/>
      <c r="BL598" s="141" t="s">
        <v>1155</v>
      </c>
    </row>
    <row r="599" spans="1:65" x14ac:dyDescent="0.3">
      <c r="A599" s="195"/>
      <c r="B599" s="28"/>
      <c r="C599" s="28"/>
      <c r="D599" s="138"/>
      <c r="E599" s="28" t="s">
        <v>6</v>
      </c>
      <c r="F599" s="28"/>
      <c r="G599" s="196"/>
      <c r="H599" s="28" t="s">
        <v>116</v>
      </c>
      <c r="I599" s="28"/>
      <c r="J599" s="141"/>
      <c r="L599" s="142" t="s">
        <v>84</v>
      </c>
      <c r="M599" s="142">
        <f>SUM(M596:M598)</f>
        <v>1341</v>
      </c>
      <c r="N599" s="199">
        <f>SUM(N596:N598)</f>
        <v>0</v>
      </c>
      <c r="O599" s="142">
        <v>0</v>
      </c>
      <c r="P599" s="199">
        <v>0</v>
      </c>
      <c r="Q599" s="146">
        <v>0</v>
      </c>
      <c r="R599" s="142">
        <f>SUM(R596:R598)</f>
        <v>0</v>
      </c>
      <c r="S599" s="199">
        <v>0</v>
      </c>
      <c r="T599" s="142"/>
      <c r="U599" s="146"/>
      <c r="AB599" s="138" t="s">
        <v>84</v>
      </c>
      <c r="AC599" s="138">
        <f>SUM(AC596:AC598)</f>
        <v>1134</v>
      </c>
      <c r="AD599" s="141">
        <f>SUM(AD596:AD598)</f>
        <v>846</v>
      </c>
      <c r="AE599" s="28">
        <v>0</v>
      </c>
      <c r="AF599" s="28">
        <v>0</v>
      </c>
      <c r="AG599" s="28">
        <v>0</v>
      </c>
      <c r="AH599" s="138">
        <v>0</v>
      </c>
      <c r="AI599" s="141">
        <v>0</v>
      </c>
      <c r="AJ599" s="28">
        <v>0</v>
      </c>
      <c r="AK599" s="138">
        <v>0</v>
      </c>
      <c r="AL599" s="28" t="s">
        <v>141</v>
      </c>
      <c r="AM599" s="141"/>
      <c r="AP599" s="138" t="s">
        <v>78</v>
      </c>
      <c r="AQ599" s="138">
        <v>0</v>
      </c>
      <c r="AR599" s="141">
        <v>0</v>
      </c>
      <c r="AS599" s="138"/>
      <c r="AT599" s="141"/>
      <c r="AU599" s="28"/>
      <c r="AV599" s="28">
        <v>2</v>
      </c>
      <c r="AW599" s="28" t="s">
        <v>183</v>
      </c>
      <c r="AX599" s="28"/>
      <c r="AY599" s="141"/>
      <c r="BB599" s="196" t="s">
        <v>1156</v>
      </c>
      <c r="BC599" s="138">
        <v>0</v>
      </c>
      <c r="BD599" s="141">
        <v>2</v>
      </c>
      <c r="BE599" s="138"/>
      <c r="BF599" s="28"/>
      <c r="BG599" s="141"/>
      <c r="BH599" s="138"/>
      <c r="BI599" s="141"/>
      <c r="BJ599" s="138" t="s">
        <v>146</v>
      </c>
      <c r="BK599" s="28"/>
      <c r="BL599" s="141" t="s">
        <v>1096</v>
      </c>
    </row>
    <row r="600" spans="1:65" x14ac:dyDescent="0.3">
      <c r="A600" s="196" t="s">
        <v>93</v>
      </c>
      <c r="B600" s="43">
        <v>5290</v>
      </c>
      <c r="C600" s="43">
        <v>6611</v>
      </c>
      <c r="D600" s="138"/>
      <c r="E600" s="28" t="s">
        <v>60</v>
      </c>
      <c r="F600" s="28"/>
      <c r="G600" s="196">
        <v>8362</v>
      </c>
      <c r="H600" s="43">
        <v>129</v>
      </c>
      <c r="I600" s="28" t="s">
        <v>144</v>
      </c>
      <c r="J600" s="141"/>
      <c r="L600" s="138"/>
      <c r="M600" s="138"/>
      <c r="N600" s="196"/>
      <c r="O600" s="138"/>
      <c r="P600" s="196"/>
      <c r="Q600" s="141"/>
      <c r="R600" s="138"/>
      <c r="S600" s="196"/>
      <c r="T600" s="138"/>
      <c r="U600" s="141"/>
      <c r="AB600" s="142"/>
      <c r="AC600" s="142"/>
      <c r="AD600" s="146"/>
      <c r="AE600" s="143"/>
      <c r="AF600" s="143"/>
      <c r="AG600" s="143"/>
      <c r="AH600" s="142"/>
      <c r="AI600" s="146"/>
      <c r="AJ600" s="143"/>
      <c r="AK600" s="142">
        <v>7</v>
      </c>
      <c r="AL600" s="143" t="s">
        <v>996</v>
      </c>
      <c r="AM600" s="146"/>
      <c r="AP600" s="138" t="s">
        <v>115</v>
      </c>
      <c r="AQ600" s="138">
        <v>0</v>
      </c>
      <c r="AR600" s="141">
        <v>0</v>
      </c>
      <c r="AS600" s="138"/>
      <c r="AT600" s="141"/>
      <c r="AU600" s="28"/>
      <c r="AV600" s="28" t="s">
        <v>6</v>
      </c>
      <c r="AW600" s="28"/>
      <c r="AX600" s="28"/>
      <c r="AY600" s="141"/>
      <c r="BA600" t="s">
        <v>6</v>
      </c>
      <c r="BB600" s="196" t="s">
        <v>133</v>
      </c>
      <c r="BC600" s="138">
        <f>4+2+2</f>
        <v>8</v>
      </c>
      <c r="BD600" s="141">
        <f>18+4</f>
        <v>22</v>
      </c>
      <c r="BE600" s="138"/>
      <c r="BF600" s="28"/>
      <c r="BG600" s="141"/>
      <c r="BH600" s="138"/>
      <c r="BI600" s="141"/>
      <c r="BJ600" s="138"/>
      <c r="BK600" s="28"/>
      <c r="BL600" s="141"/>
    </row>
    <row r="601" spans="1:65" x14ac:dyDescent="0.3">
      <c r="A601" s="196" t="s">
        <v>99</v>
      </c>
      <c r="B601" s="43">
        <v>6902</v>
      </c>
      <c r="C601" s="43">
        <v>7641</v>
      </c>
      <c r="D601" s="138"/>
      <c r="E601" s="28" t="s">
        <v>60</v>
      </c>
      <c r="F601" s="28"/>
      <c r="G601" s="196">
        <v>8686</v>
      </c>
      <c r="H601" s="43">
        <v>0</v>
      </c>
      <c r="I601" s="28" t="s">
        <v>148</v>
      </c>
      <c r="J601" s="141"/>
      <c r="L601" s="138"/>
      <c r="M601" s="138"/>
      <c r="N601" s="196"/>
      <c r="O601" s="138"/>
      <c r="P601" s="196"/>
      <c r="Q601" s="141"/>
      <c r="R601" s="138"/>
      <c r="S601" s="196"/>
      <c r="T601" s="138"/>
      <c r="U601" s="141"/>
      <c r="AB601" s="138"/>
      <c r="AC601" s="138"/>
      <c r="AD601" s="141"/>
      <c r="AE601" s="28"/>
      <c r="AF601" s="28"/>
      <c r="AG601" s="28"/>
      <c r="AH601" s="138"/>
      <c r="AI601" s="141"/>
      <c r="AJ601" s="28"/>
      <c r="AK601" s="134" t="s">
        <v>149</v>
      </c>
      <c r="AL601" s="135"/>
      <c r="AM601" s="136"/>
      <c r="AP601" s="138" t="s">
        <v>72</v>
      </c>
      <c r="AQ601" s="138">
        <v>0</v>
      </c>
      <c r="AR601" s="141">
        <v>0</v>
      </c>
      <c r="AS601" s="138"/>
      <c r="AT601" s="141"/>
      <c r="AU601" s="28"/>
      <c r="AV601" s="28"/>
      <c r="AW601" s="28"/>
      <c r="AX601" s="28"/>
      <c r="AY601" s="141"/>
      <c r="BB601" s="196" t="s">
        <v>468</v>
      </c>
      <c r="BC601" s="138">
        <v>3</v>
      </c>
      <c r="BD601" s="141">
        <v>3</v>
      </c>
      <c r="BE601" s="138" t="s">
        <v>150</v>
      </c>
      <c r="BF601" s="28"/>
      <c r="BG601" s="141"/>
      <c r="BH601" s="138"/>
      <c r="BI601" s="141"/>
      <c r="BJ601" s="138" t="s">
        <v>151</v>
      </c>
      <c r="BK601" s="28"/>
      <c r="BL601" s="141"/>
    </row>
    <row r="602" spans="1:65" x14ac:dyDescent="0.3">
      <c r="A602" s="196" t="s">
        <v>120</v>
      </c>
      <c r="B602" s="43">
        <v>3246</v>
      </c>
      <c r="C602" s="28">
        <v>3921</v>
      </c>
      <c r="D602" s="138"/>
      <c r="E602" s="28" t="s">
        <v>60</v>
      </c>
      <c r="F602" s="28"/>
      <c r="G602" s="196">
        <v>4573</v>
      </c>
      <c r="H602" s="43">
        <v>0</v>
      </c>
      <c r="I602" s="28" t="s">
        <v>152</v>
      </c>
      <c r="J602" s="141"/>
      <c r="L602" s="138"/>
      <c r="M602" s="138"/>
      <c r="N602" s="196"/>
      <c r="O602" s="138"/>
      <c r="P602" s="196"/>
      <c r="Q602" s="141"/>
      <c r="R602" s="138"/>
      <c r="S602" s="196"/>
      <c r="T602" s="138"/>
      <c r="U602" s="141"/>
      <c r="AB602" s="138" t="s">
        <v>99</v>
      </c>
      <c r="AC602" s="138">
        <v>0</v>
      </c>
      <c r="AD602" s="141">
        <v>0</v>
      </c>
      <c r="AE602" s="28">
        <v>0</v>
      </c>
      <c r="AF602" s="28">
        <v>0</v>
      </c>
      <c r="AG602" s="28">
        <v>0</v>
      </c>
      <c r="AH602" s="138">
        <v>89562</v>
      </c>
      <c r="AI602" s="141">
        <v>11417</v>
      </c>
      <c r="AJ602" s="28">
        <v>0</v>
      </c>
      <c r="AK602" s="138">
        <v>5</v>
      </c>
      <c r="AL602" s="28" t="s">
        <v>153</v>
      </c>
      <c r="AM602" s="141"/>
      <c r="AP602" s="142" t="s">
        <v>84</v>
      </c>
      <c r="AQ602" s="142">
        <f>SUM(AQ595:AQ601)</f>
        <v>0</v>
      </c>
      <c r="AR602" s="146">
        <f>SUM(AR595:AR601)</f>
        <v>9</v>
      </c>
      <c r="AS602" s="142"/>
      <c r="AT602" s="146"/>
      <c r="AU602" s="143"/>
      <c r="AV602" s="143"/>
      <c r="AW602" s="143"/>
      <c r="AX602" s="143"/>
      <c r="AY602" s="146">
        <f>SUM(AV599)</f>
        <v>2</v>
      </c>
      <c r="BB602" s="196" t="s">
        <v>85</v>
      </c>
      <c r="BC602" s="138">
        <f>3+20</f>
        <v>23</v>
      </c>
      <c r="BD602" s="141">
        <v>11</v>
      </c>
      <c r="BE602" s="138"/>
      <c r="BF602" s="28"/>
      <c r="BG602" s="141"/>
      <c r="BH602" s="138"/>
      <c r="BI602" s="141"/>
      <c r="BJ602" s="138" t="s">
        <v>311</v>
      </c>
      <c r="BK602" s="28" t="s">
        <v>532</v>
      </c>
      <c r="BL602" s="141" t="s">
        <v>1157</v>
      </c>
    </row>
    <row r="603" spans="1:65" x14ac:dyDescent="0.3">
      <c r="A603" s="199" t="s">
        <v>84</v>
      </c>
      <c r="B603" s="143">
        <f>SUM(B600:B602)</f>
        <v>15438</v>
      </c>
      <c r="C603" s="143">
        <f>SUM(C600:C602)</f>
        <v>18173</v>
      </c>
      <c r="D603" s="142"/>
      <c r="E603" s="143"/>
      <c r="F603" s="143"/>
      <c r="G603" s="199">
        <f>SUM(G600:G602)</f>
        <v>21621</v>
      </c>
      <c r="H603" s="143"/>
      <c r="I603" s="143" t="s">
        <v>958</v>
      </c>
      <c r="J603" s="146">
        <f>SUM(H600:H603)</f>
        <v>129</v>
      </c>
      <c r="L603" s="138"/>
      <c r="M603" s="138"/>
      <c r="N603" s="196"/>
      <c r="O603" s="138"/>
      <c r="P603" s="196"/>
      <c r="Q603" s="141"/>
      <c r="R603" s="138"/>
      <c r="S603" s="196"/>
      <c r="T603" s="138"/>
      <c r="U603" s="141"/>
      <c r="AB603" s="138"/>
      <c r="AC603" s="138"/>
      <c r="AD603" s="141"/>
      <c r="AE603" s="28"/>
      <c r="AF603" s="28"/>
      <c r="AG603" s="28"/>
      <c r="AH603" s="138"/>
      <c r="AI603" s="141"/>
      <c r="AJ603" s="28"/>
      <c r="AK603" s="142"/>
      <c r="AL603" s="143"/>
      <c r="AM603" s="146"/>
      <c r="AN603" t="s">
        <v>6</v>
      </c>
      <c r="AP603" s="134"/>
      <c r="AQ603" s="134"/>
      <c r="AR603" s="136"/>
      <c r="AS603" s="134"/>
      <c r="AT603" s="136"/>
      <c r="AU603" s="135"/>
      <c r="AV603" s="28" t="s">
        <v>140</v>
      </c>
      <c r="AW603" s="135"/>
      <c r="AX603" s="135"/>
      <c r="AY603" s="136"/>
      <c r="BB603" s="196" t="s">
        <v>358</v>
      </c>
      <c r="BC603" s="138">
        <v>0</v>
      </c>
      <c r="BD603" s="141">
        <v>8</v>
      </c>
      <c r="BE603" s="138"/>
      <c r="BF603" s="28"/>
      <c r="BG603" s="141"/>
      <c r="BH603" s="138"/>
      <c r="BI603" s="141"/>
      <c r="BJ603" s="138" t="s">
        <v>1158</v>
      </c>
      <c r="BK603" s="28" t="s">
        <v>577</v>
      </c>
      <c r="BL603" s="141" t="s">
        <v>455</v>
      </c>
    </row>
    <row r="604" spans="1:65" x14ac:dyDescent="0.3">
      <c r="A604" s="195"/>
      <c r="B604" s="135"/>
      <c r="C604" s="135"/>
      <c r="D604" s="134"/>
      <c r="E604" s="135"/>
      <c r="F604" s="135"/>
      <c r="G604" s="195"/>
      <c r="H604" s="135" t="s">
        <v>162</v>
      </c>
      <c r="I604" s="135"/>
      <c r="J604" s="136"/>
      <c r="L604" s="138"/>
      <c r="M604" s="138"/>
      <c r="N604" s="196"/>
      <c r="O604" s="138"/>
      <c r="P604" s="196"/>
      <c r="Q604" s="141"/>
      <c r="R604" s="138"/>
      <c r="S604" s="196"/>
      <c r="T604" s="138"/>
      <c r="U604" s="141"/>
      <c r="AB604" s="134" t="s">
        <v>99</v>
      </c>
      <c r="AC604" s="134">
        <v>0</v>
      </c>
      <c r="AD604" s="136">
        <v>0</v>
      </c>
      <c r="AE604" s="135">
        <v>0</v>
      </c>
      <c r="AF604" s="135">
        <v>0</v>
      </c>
      <c r="AG604" s="135">
        <v>0</v>
      </c>
      <c r="AH604" s="134">
        <v>572852</v>
      </c>
      <c r="AI604" s="136">
        <v>68090</v>
      </c>
      <c r="AJ604" s="135">
        <v>0</v>
      </c>
      <c r="AK604" s="134" t="s">
        <v>157</v>
      </c>
      <c r="AL604" s="135"/>
      <c r="AM604" s="136"/>
      <c r="AP604" s="138" t="s">
        <v>63</v>
      </c>
      <c r="AQ604" s="138">
        <f>10+2+2</f>
        <v>14</v>
      </c>
      <c r="AR604" s="141">
        <f>12+3+2</f>
        <v>17</v>
      </c>
      <c r="AS604" s="138"/>
      <c r="AT604" s="141"/>
      <c r="AU604" s="28"/>
      <c r="AV604">
        <v>18</v>
      </c>
      <c r="AW604" s="28" t="s">
        <v>1159</v>
      </c>
      <c r="AX604" s="28">
        <v>25</v>
      </c>
      <c r="AY604" s="141" t="s">
        <v>1067</v>
      </c>
      <c r="BB604" s="196" t="s">
        <v>331</v>
      </c>
      <c r="BC604" s="138">
        <v>0</v>
      </c>
      <c r="BD604" s="141">
        <v>3</v>
      </c>
      <c r="BE604" s="138"/>
      <c r="BF604" s="28"/>
      <c r="BG604" s="141"/>
      <c r="BH604" s="138"/>
      <c r="BI604" s="141"/>
      <c r="BJ604" s="138" t="s">
        <v>540</v>
      </c>
      <c r="BK604" s="28" t="s">
        <v>371</v>
      </c>
      <c r="BL604" s="141" t="s">
        <v>1160</v>
      </c>
    </row>
    <row r="605" spans="1:65" x14ac:dyDescent="0.3">
      <c r="A605" s="196" t="s">
        <v>105</v>
      </c>
      <c r="B605" s="43">
        <v>1415</v>
      </c>
      <c r="C605" s="43">
        <v>1356</v>
      </c>
      <c r="D605" s="138"/>
      <c r="E605" s="28">
        <v>1411</v>
      </c>
      <c r="F605" s="28"/>
      <c r="G605" s="196"/>
      <c r="H605" s="28"/>
      <c r="I605" s="28"/>
      <c r="J605" s="141"/>
      <c r="L605" s="142" t="s">
        <v>84</v>
      </c>
      <c r="M605" s="142">
        <f t="shared" ref="M605:S605" si="9">SUM(M599+M594+M589+M587+M582+M578)</f>
        <v>56818</v>
      </c>
      <c r="N605" s="199">
        <f t="shared" si="9"/>
        <v>61640</v>
      </c>
      <c r="O605" s="142">
        <f t="shared" si="9"/>
        <v>0</v>
      </c>
      <c r="P605" s="199">
        <f t="shared" si="9"/>
        <v>0</v>
      </c>
      <c r="Q605" s="143">
        <f t="shared" si="9"/>
        <v>0</v>
      </c>
      <c r="R605" s="142">
        <f t="shared" si="9"/>
        <v>6576</v>
      </c>
      <c r="S605" s="199">
        <f t="shared" si="9"/>
        <v>712</v>
      </c>
      <c r="T605" s="142"/>
      <c r="U605" s="146"/>
      <c r="AB605" s="138" t="s">
        <v>6</v>
      </c>
      <c r="AC605" s="138"/>
      <c r="AD605" s="141"/>
      <c r="AE605" s="28"/>
      <c r="AF605" s="28"/>
      <c r="AG605" s="28"/>
      <c r="AH605" s="138"/>
      <c r="AI605" s="141"/>
      <c r="AJ605" s="28"/>
      <c r="AK605" s="138"/>
      <c r="AL605" s="28" t="s">
        <v>163</v>
      </c>
      <c r="AM605" s="141"/>
      <c r="AP605" s="138" t="s">
        <v>78</v>
      </c>
      <c r="AQ605" s="138">
        <f>3+2+4</f>
        <v>9</v>
      </c>
      <c r="AR605" s="141">
        <f>5+3+2</f>
        <v>10</v>
      </c>
      <c r="AS605" s="138"/>
      <c r="AT605" s="141"/>
      <c r="AU605" s="28"/>
      <c r="AV605" s="28">
        <v>26</v>
      </c>
      <c r="AW605" s="28" t="s">
        <v>204</v>
      </c>
      <c r="AX605" s="28">
        <v>12</v>
      </c>
      <c r="AY605" s="141" t="s">
        <v>1161</v>
      </c>
      <c r="BB605" s="196" t="s">
        <v>169</v>
      </c>
      <c r="BC605" s="138">
        <f>2+26</f>
        <v>28</v>
      </c>
      <c r="BD605" s="141">
        <f>1+2+18</f>
        <v>21</v>
      </c>
      <c r="BE605" s="138"/>
      <c r="BF605" s="28"/>
      <c r="BG605" s="141"/>
      <c r="BH605" s="138"/>
      <c r="BI605" s="141"/>
      <c r="BJ605" s="138" t="s">
        <v>497</v>
      </c>
      <c r="BK605" s="43" t="s">
        <v>1162</v>
      </c>
      <c r="BL605" s="141" t="s">
        <v>1163</v>
      </c>
    </row>
    <row r="606" spans="1:65" ht="15" thickBot="1" x14ac:dyDescent="0.35">
      <c r="A606" s="196" t="s">
        <v>99</v>
      </c>
      <c r="B606" s="43">
        <v>557</v>
      </c>
      <c r="C606" s="43">
        <v>828</v>
      </c>
      <c r="D606" s="138"/>
      <c r="E606" s="28">
        <v>999</v>
      </c>
      <c r="F606" s="28"/>
      <c r="G606" s="196"/>
      <c r="H606" s="43">
        <v>38</v>
      </c>
      <c r="I606" s="28" t="s">
        <v>101</v>
      </c>
      <c r="J606" s="141"/>
      <c r="AB606" s="138" t="s">
        <v>6</v>
      </c>
      <c r="AC606" s="138"/>
      <c r="AD606" s="141"/>
      <c r="AE606" s="28"/>
      <c r="AF606" s="28"/>
      <c r="AG606" s="28"/>
      <c r="AH606" s="138"/>
      <c r="AI606" s="141"/>
      <c r="AJ606" s="28"/>
      <c r="AK606" s="142">
        <v>24</v>
      </c>
      <c r="AL606" s="143" t="s">
        <v>153</v>
      </c>
      <c r="AM606" s="146"/>
      <c r="AP606" s="138" t="s">
        <v>209</v>
      </c>
      <c r="AQ606" s="138">
        <v>0</v>
      </c>
      <c r="AR606" s="141">
        <v>0</v>
      </c>
      <c r="AS606" s="138"/>
      <c r="AT606" s="141"/>
      <c r="AU606" s="28"/>
      <c r="AV606" s="28">
        <v>2</v>
      </c>
      <c r="AW606" s="28" t="s">
        <v>1164</v>
      </c>
      <c r="AX606" s="28"/>
      <c r="AY606" s="141"/>
      <c r="BB606" s="196" t="s">
        <v>484</v>
      </c>
      <c r="BC606" s="138">
        <v>6</v>
      </c>
      <c r="BD606" s="141">
        <v>0</v>
      </c>
      <c r="BE606" s="138"/>
      <c r="BF606" s="28"/>
      <c r="BG606" s="141"/>
      <c r="BH606" s="138"/>
      <c r="BI606" s="141"/>
      <c r="BJ606" s="138" t="s">
        <v>1165</v>
      </c>
      <c r="BK606" s="43" t="s">
        <v>896</v>
      </c>
      <c r="BL606" s="141" t="s">
        <v>1166</v>
      </c>
    </row>
    <row r="607" spans="1:65" x14ac:dyDescent="0.3">
      <c r="A607" s="199" t="s">
        <v>84</v>
      </c>
      <c r="B607" s="143">
        <f>SUM(B604:B606)</f>
        <v>1972</v>
      </c>
      <c r="C607" s="143">
        <f>SUM(C604:C606)</f>
        <v>2184</v>
      </c>
      <c r="D607" s="142"/>
      <c r="E607" s="143">
        <f>SUM(E604:E606)</f>
        <v>2410</v>
      </c>
      <c r="F607" s="143"/>
      <c r="G607" s="199">
        <f>38*158</f>
        <v>6004</v>
      </c>
      <c r="H607" s="143"/>
      <c r="I607" s="143"/>
      <c r="J607" s="146">
        <f>SUM(H606)</f>
        <v>38</v>
      </c>
      <c r="L607" t="s">
        <v>6</v>
      </c>
      <c r="AB607" s="33"/>
      <c r="AC607" s="200">
        <v>0</v>
      </c>
      <c r="AD607" s="201">
        <v>0</v>
      </c>
      <c r="AE607" s="34">
        <v>0</v>
      </c>
      <c r="AF607" s="34">
        <v>0</v>
      </c>
      <c r="AG607" s="34">
        <v>0</v>
      </c>
      <c r="AH607" s="200"/>
      <c r="AI607" s="201">
        <v>0</v>
      </c>
      <c r="AJ607" s="34"/>
      <c r="AK607" s="138" t="s">
        <v>1167</v>
      </c>
      <c r="AL607" s="28"/>
      <c r="AM607" s="40"/>
      <c r="AP607" s="138" t="s">
        <v>168</v>
      </c>
      <c r="AQ607" s="138">
        <v>0</v>
      </c>
      <c r="AR607" s="141">
        <v>0</v>
      </c>
      <c r="AS607" s="138"/>
      <c r="AT607" s="141"/>
      <c r="AU607" s="28"/>
      <c r="AV607" s="28">
        <v>46</v>
      </c>
      <c r="AW607" s="28" t="s">
        <v>213</v>
      </c>
      <c r="AX607" s="28" t="s">
        <v>6</v>
      </c>
      <c r="AY607" s="141"/>
      <c r="BB607" s="226" t="s">
        <v>184</v>
      </c>
      <c r="BC607" s="138">
        <f>1+4+1+2+2</f>
        <v>10</v>
      </c>
      <c r="BD607" s="141">
        <f>1+2+3</f>
        <v>6</v>
      </c>
      <c r="BE607" s="138"/>
      <c r="BF607" s="28"/>
      <c r="BG607" s="141"/>
      <c r="BH607" s="138"/>
      <c r="BI607" s="141"/>
      <c r="BJ607" s="217" t="s">
        <v>1168</v>
      </c>
      <c r="BK607" s="218" t="s">
        <v>1169</v>
      </c>
      <c r="BL607" s="141" t="s">
        <v>482</v>
      </c>
    </row>
    <row r="608" spans="1:65" ht="15" thickBot="1" x14ac:dyDescent="0.35">
      <c r="A608" s="196" t="s">
        <v>6</v>
      </c>
      <c r="B608" s="135"/>
      <c r="C608" s="135"/>
      <c r="D608" s="134"/>
      <c r="E608" s="135" t="s">
        <v>60</v>
      </c>
      <c r="F608" s="136"/>
      <c r="G608" s="135"/>
      <c r="H608" s="134" t="s">
        <v>182</v>
      </c>
      <c r="I608" s="135"/>
      <c r="J608" s="136"/>
      <c r="AB608" s="47" t="s">
        <v>1170</v>
      </c>
      <c r="AC608" s="202"/>
      <c r="AD608" s="203"/>
      <c r="AE608" s="48"/>
      <c r="AF608" s="48"/>
      <c r="AG608" s="48"/>
      <c r="AH608" s="202"/>
      <c r="AI608" s="203"/>
      <c r="AJ608" s="48"/>
      <c r="AK608" s="202">
        <v>1</v>
      </c>
      <c r="AL608" s="48" t="s">
        <v>1134</v>
      </c>
      <c r="AM608" s="49" t="s">
        <v>1171</v>
      </c>
      <c r="AP608" s="138" t="s">
        <v>81</v>
      </c>
      <c r="AQ608" s="138">
        <v>5</v>
      </c>
      <c r="AR608" s="141">
        <f>7+9+3</f>
        <v>19</v>
      </c>
      <c r="AS608" s="138"/>
      <c r="AT608" s="141"/>
      <c r="AU608" s="28"/>
      <c r="AV608" s="43">
        <v>3</v>
      </c>
      <c r="AW608" s="28" t="s">
        <v>1038</v>
      </c>
      <c r="AX608" s="28"/>
      <c r="AY608" s="141" t="s">
        <v>6</v>
      </c>
      <c r="BB608" s="219" t="s">
        <v>107</v>
      </c>
      <c r="BC608" s="138">
        <v>0</v>
      </c>
      <c r="BD608" s="141">
        <v>7</v>
      </c>
      <c r="BE608" s="138"/>
      <c r="BF608" s="28"/>
      <c r="BG608" s="141"/>
      <c r="BH608" s="138"/>
      <c r="BI608" s="141"/>
      <c r="BJ608" s="138" t="s">
        <v>287</v>
      </c>
      <c r="BK608" s="222" t="s">
        <v>385</v>
      </c>
      <c r="BL608" s="141" t="s">
        <v>1079</v>
      </c>
    </row>
    <row r="609" spans="1:64" x14ac:dyDescent="0.3">
      <c r="A609" s="196" t="s">
        <v>181</v>
      </c>
      <c r="B609" s="28">
        <f>2633+116</f>
        <v>2749</v>
      </c>
      <c r="C609" s="28">
        <v>2818</v>
      </c>
      <c r="D609" s="138"/>
      <c r="E609" s="28" t="s">
        <v>60</v>
      </c>
      <c r="F609" s="141"/>
      <c r="G609" s="28"/>
      <c r="H609" s="138">
        <v>17</v>
      </c>
      <c r="I609" s="28" t="s">
        <v>94</v>
      </c>
      <c r="J609" s="141"/>
      <c r="AB609" s="33" t="s">
        <v>1172</v>
      </c>
      <c r="AC609" s="200">
        <v>0</v>
      </c>
      <c r="AD609" s="201">
        <v>0</v>
      </c>
      <c r="AE609" s="34">
        <v>0</v>
      </c>
      <c r="AF609" s="34">
        <v>0</v>
      </c>
      <c r="AG609" s="34">
        <v>0</v>
      </c>
      <c r="AH609" s="200"/>
      <c r="AI609" s="201">
        <v>0</v>
      </c>
      <c r="AJ609" s="34"/>
      <c r="AK609" s="138">
        <v>1</v>
      </c>
      <c r="AL609" s="43" t="s">
        <v>1173</v>
      </c>
      <c r="AM609" s="40" t="s">
        <v>1174</v>
      </c>
      <c r="AP609" s="138" t="s">
        <v>72</v>
      </c>
      <c r="AQ609" s="138">
        <f>13+14+25+3+30</f>
        <v>85</v>
      </c>
      <c r="AR609" s="141">
        <f>25+51+4+7+1+41</f>
        <v>129</v>
      </c>
      <c r="AS609" s="138"/>
      <c r="AT609" s="141"/>
      <c r="AU609" s="28"/>
      <c r="AV609" s="43">
        <f>28+27</f>
        <v>55</v>
      </c>
      <c r="AW609" s="43" t="s">
        <v>655</v>
      </c>
      <c r="AX609" s="28"/>
      <c r="AY609" s="141"/>
      <c r="BB609" s="196" t="s">
        <v>523</v>
      </c>
      <c r="BC609" s="138">
        <v>0</v>
      </c>
      <c r="BD609" s="141">
        <v>2</v>
      </c>
      <c r="BE609" s="138"/>
      <c r="BF609" s="28"/>
      <c r="BG609" s="141"/>
      <c r="BH609" s="138"/>
      <c r="BI609" s="141"/>
      <c r="BJ609" s="223" t="s">
        <v>1175</v>
      </c>
      <c r="BK609" s="43" t="s">
        <v>1176</v>
      </c>
      <c r="BL609" s="209" t="s">
        <v>514</v>
      </c>
    </row>
    <row r="610" spans="1:64" ht="15" thickBot="1" x14ac:dyDescent="0.35">
      <c r="A610" s="196" t="s">
        <v>84</v>
      </c>
      <c r="B610" s="28">
        <f>SUM(B608:B609)</f>
        <v>2749</v>
      </c>
      <c r="C610" s="28">
        <f>SUM(C608:C609)</f>
        <v>2818</v>
      </c>
      <c r="D610" s="138"/>
      <c r="E610" s="28" t="s">
        <v>60</v>
      </c>
      <c r="F610" s="141"/>
      <c r="G610" s="28">
        <v>3904</v>
      </c>
      <c r="H610" s="138">
        <v>9</v>
      </c>
      <c r="I610" s="28" t="s">
        <v>101</v>
      </c>
      <c r="J610" s="141"/>
      <c r="AB610" s="47" t="s">
        <v>1177</v>
      </c>
      <c r="AC610" s="202"/>
      <c r="AD610" s="203"/>
      <c r="AE610" s="48"/>
      <c r="AF610" s="48"/>
      <c r="AG610" s="48"/>
      <c r="AH610" s="202"/>
      <c r="AI610" s="203"/>
      <c r="AJ610" s="48"/>
      <c r="AK610" s="202">
        <v>5</v>
      </c>
      <c r="AL610" s="48" t="s">
        <v>1173</v>
      </c>
      <c r="AM610" s="49" t="s">
        <v>1178</v>
      </c>
      <c r="AP610" s="138" t="s">
        <v>115</v>
      </c>
      <c r="AQ610" s="138">
        <f>10+2</f>
        <v>12</v>
      </c>
      <c r="AR610" s="141">
        <f>10+7+9</f>
        <v>26</v>
      </c>
      <c r="AS610" s="138"/>
      <c r="AT610" s="141"/>
      <c r="AU610" s="28"/>
      <c r="AV610" s="43">
        <v>1</v>
      </c>
      <c r="AW610" s="43" t="s">
        <v>244</v>
      </c>
      <c r="AX610" s="28"/>
      <c r="AY610" s="141"/>
      <c r="BB610" s="196" t="s">
        <v>1179</v>
      </c>
      <c r="BC610" s="138">
        <v>8</v>
      </c>
      <c r="BD610" s="141">
        <v>2</v>
      </c>
      <c r="BE610" s="138"/>
      <c r="BF610" s="28"/>
      <c r="BG610" s="141"/>
      <c r="BH610" s="138"/>
      <c r="BI610" s="141"/>
      <c r="BJ610" s="221" t="s">
        <v>940</v>
      </c>
      <c r="BK610" s="220" t="s">
        <v>1180</v>
      </c>
      <c r="BL610" s="213" t="s">
        <v>1181</v>
      </c>
    </row>
    <row r="611" spans="1:64" ht="15" thickBot="1" x14ac:dyDescent="0.35">
      <c r="A611" s="199"/>
      <c r="B611" s="28"/>
      <c r="C611" s="28"/>
      <c r="D611" s="142"/>
      <c r="E611" s="143"/>
      <c r="F611" s="146"/>
      <c r="G611" s="28"/>
      <c r="H611" s="142"/>
      <c r="I611" s="143" t="s">
        <v>284</v>
      </c>
      <c r="J611" s="146">
        <f>SUM(H609:H610)</f>
        <v>26</v>
      </c>
      <c r="AB611" s="33" t="s">
        <v>1182</v>
      </c>
      <c r="AC611" s="200">
        <v>0</v>
      </c>
      <c r="AD611" s="201">
        <v>0</v>
      </c>
      <c r="AE611" s="34">
        <v>0</v>
      </c>
      <c r="AF611" s="34">
        <v>0</v>
      </c>
      <c r="AG611" s="34">
        <v>0</v>
      </c>
      <c r="AH611" s="200"/>
      <c r="AI611" s="201">
        <v>0</v>
      </c>
      <c r="AJ611" s="34"/>
      <c r="AK611" s="138">
        <v>3</v>
      </c>
      <c r="AL611" s="43" t="s">
        <v>1183</v>
      </c>
      <c r="AM611" s="40" t="s">
        <v>1184</v>
      </c>
      <c r="AP611" s="138" t="s">
        <v>56</v>
      </c>
      <c r="AQ611" s="138">
        <f>4+1</f>
        <v>5</v>
      </c>
      <c r="AR611" s="141">
        <f>1+1</f>
        <v>2</v>
      </c>
      <c r="AS611" s="138"/>
      <c r="AT611" s="141"/>
      <c r="AU611" s="28"/>
      <c r="AV611" s="43">
        <v>5</v>
      </c>
      <c r="AW611" s="43" t="s">
        <v>1112</v>
      </c>
      <c r="AX611" s="28"/>
      <c r="AY611" s="141"/>
      <c r="BB611" s="196" t="s">
        <v>504</v>
      </c>
      <c r="BC611" s="138">
        <v>0</v>
      </c>
      <c r="BD611" s="141">
        <v>10</v>
      </c>
      <c r="BE611" s="138"/>
      <c r="BF611" s="28"/>
      <c r="BG611" s="141"/>
      <c r="BH611" s="138"/>
      <c r="BI611" s="141"/>
      <c r="BJ611" s="138" t="s">
        <v>1185</v>
      </c>
      <c r="BK611" s="43" t="s">
        <v>325</v>
      </c>
      <c r="BL611" s="141" t="s">
        <v>1186</v>
      </c>
    </row>
    <row r="612" spans="1:64" ht="15" thickBot="1" x14ac:dyDescent="0.35">
      <c r="A612" s="47" t="s">
        <v>84</v>
      </c>
      <c r="B612" s="210">
        <f>SUM(B610,B607,B603+B598+B593+B589+B585+B581+B578)</f>
        <v>38634</v>
      </c>
      <c r="C612" s="170">
        <f>SUM(C610+C607+C603+C598+C593+C589+C585+C581+C578)</f>
        <v>46636</v>
      </c>
      <c r="D612" s="202"/>
      <c r="E612" s="48">
        <f>SUM(E607+E589)</f>
        <v>3415</v>
      </c>
      <c r="F612" s="203"/>
      <c r="G612" s="206">
        <f>SUM(G610+G607+G603+G598+G593+G589+G585+G581+G578)</f>
        <v>62342</v>
      </c>
      <c r="H612" s="48" t="s">
        <v>844</v>
      </c>
      <c r="I612" s="48"/>
      <c r="J612" s="49">
        <f>SUM(J577:J611)</f>
        <v>368</v>
      </c>
      <c r="AB612" s="47" t="s">
        <v>1187</v>
      </c>
      <c r="AC612" s="202"/>
      <c r="AD612" s="203"/>
      <c r="AE612" s="48"/>
      <c r="AF612" s="48"/>
      <c r="AG612" s="48"/>
      <c r="AH612" s="202"/>
      <c r="AI612" s="203"/>
      <c r="AJ612" s="48"/>
      <c r="AK612" s="202">
        <v>1</v>
      </c>
      <c r="AL612" s="48" t="s">
        <v>153</v>
      </c>
      <c r="AM612" s="49" t="s">
        <v>1188</v>
      </c>
      <c r="AP612" s="138" t="s">
        <v>138</v>
      </c>
      <c r="AQ612" s="138">
        <v>0</v>
      </c>
      <c r="AR612" s="141">
        <v>0</v>
      </c>
      <c r="AS612" s="138"/>
      <c r="AT612" s="141"/>
      <c r="AU612" s="28"/>
      <c r="AV612" s="43">
        <v>2</v>
      </c>
      <c r="AW612" s="43" t="s">
        <v>1116</v>
      </c>
      <c r="AX612" s="28"/>
      <c r="AY612" s="141"/>
      <c r="BB612" s="196" t="s">
        <v>1189</v>
      </c>
      <c r="BC612" s="138">
        <v>7</v>
      </c>
      <c r="BD612" s="141">
        <v>6</v>
      </c>
      <c r="BE612" s="138"/>
      <c r="BF612" s="28"/>
      <c r="BG612" s="141"/>
      <c r="BH612" s="138"/>
      <c r="BI612" s="141"/>
      <c r="BJ612" s="138" t="s">
        <v>890</v>
      </c>
      <c r="BK612" s="43" t="s">
        <v>771</v>
      </c>
      <c r="BL612" s="141" t="s">
        <v>1190</v>
      </c>
    </row>
    <row r="613" spans="1:64" x14ac:dyDescent="0.3">
      <c r="D613" s="28"/>
      <c r="E613" s="28"/>
      <c r="F613" s="28"/>
      <c r="AB613" s="33" t="s">
        <v>99</v>
      </c>
      <c r="AC613" s="200">
        <v>0</v>
      </c>
      <c r="AD613" s="201">
        <v>0</v>
      </c>
      <c r="AE613" s="34">
        <v>0</v>
      </c>
      <c r="AF613" s="34">
        <v>0</v>
      </c>
      <c r="AG613" s="34">
        <v>0</v>
      </c>
      <c r="AH613" s="200"/>
      <c r="AI613" s="201">
        <v>0</v>
      </c>
      <c r="AJ613" s="34"/>
      <c r="AK613" s="138">
        <v>1</v>
      </c>
      <c r="AL613" s="43" t="s">
        <v>1183</v>
      </c>
      <c r="AM613" s="40" t="s">
        <v>1191</v>
      </c>
      <c r="AP613" s="138" t="s">
        <v>67</v>
      </c>
      <c r="AQ613" s="138">
        <f>48+5+2+131</f>
        <v>186</v>
      </c>
      <c r="AR613" s="141">
        <f>56+36+4+207</f>
        <v>303</v>
      </c>
      <c r="AS613" s="138"/>
      <c r="AT613" s="141"/>
      <c r="AU613" s="28" t="s">
        <v>6</v>
      </c>
      <c r="AV613" s="43">
        <f>60+55</f>
        <v>115</v>
      </c>
      <c r="AW613" s="43" t="s">
        <v>215</v>
      </c>
      <c r="AX613" s="28"/>
      <c r="AY613" s="141"/>
      <c r="BB613" s="196" t="s">
        <v>190</v>
      </c>
      <c r="BC613" s="138">
        <v>4</v>
      </c>
      <c r="BD613" s="141">
        <v>2</v>
      </c>
      <c r="BE613" s="138"/>
      <c r="BF613" s="28"/>
      <c r="BG613" s="141"/>
      <c r="BH613" s="138"/>
      <c r="BI613" s="141"/>
      <c r="BJ613" s="138" t="s">
        <v>516</v>
      </c>
      <c r="BK613" s="43" t="s">
        <v>740</v>
      </c>
      <c r="BL613" s="141" t="s">
        <v>1192</v>
      </c>
    </row>
    <row r="614" spans="1:64" ht="15" thickBot="1" x14ac:dyDescent="0.35">
      <c r="AB614" s="47" t="s">
        <v>1193</v>
      </c>
      <c r="AC614" s="202"/>
      <c r="AD614" s="203"/>
      <c r="AE614" s="48"/>
      <c r="AF614" s="48"/>
      <c r="AG614" s="48"/>
      <c r="AH614" s="202"/>
      <c r="AI614" s="203"/>
      <c r="AJ614" s="48"/>
      <c r="AK614" s="202">
        <v>1</v>
      </c>
      <c r="AL614" s="48" t="s">
        <v>1194</v>
      </c>
      <c r="AM614" s="49" t="s">
        <v>1195</v>
      </c>
      <c r="AP614" s="138" t="s">
        <v>122</v>
      </c>
      <c r="AQ614" s="138">
        <v>0</v>
      </c>
      <c r="AR614" s="141">
        <v>0</v>
      </c>
      <c r="AS614" s="138"/>
      <c r="AT614" s="141"/>
      <c r="AU614" s="28"/>
      <c r="AV614" s="43">
        <v>11</v>
      </c>
      <c r="AW614" s="28" t="s">
        <v>618</v>
      </c>
      <c r="AX614" s="28"/>
      <c r="AY614" s="141"/>
      <c r="BB614" s="196" t="s">
        <v>470</v>
      </c>
      <c r="BC614" s="138">
        <v>2</v>
      </c>
      <c r="BD614" s="141">
        <v>3</v>
      </c>
      <c r="BE614" s="138"/>
      <c r="BF614" s="28"/>
      <c r="BG614" s="141"/>
      <c r="BH614" s="138"/>
      <c r="BI614" s="141"/>
      <c r="BJ614" s="138" t="s">
        <v>379</v>
      </c>
      <c r="BK614" s="43" t="s">
        <v>1196</v>
      </c>
      <c r="BL614" s="141" t="s">
        <v>180</v>
      </c>
    </row>
    <row r="615" spans="1:64" x14ac:dyDescent="0.3">
      <c r="AB615" s="33" t="s">
        <v>1197</v>
      </c>
      <c r="AC615" s="200">
        <v>0</v>
      </c>
      <c r="AD615" s="201">
        <v>0</v>
      </c>
      <c r="AE615" s="34">
        <v>0</v>
      </c>
      <c r="AF615" s="34">
        <v>0</v>
      </c>
      <c r="AG615" s="34">
        <v>0</v>
      </c>
      <c r="AH615" s="200"/>
      <c r="AI615" s="201">
        <v>0</v>
      </c>
      <c r="AJ615" s="34"/>
      <c r="AK615" s="138">
        <v>3</v>
      </c>
      <c r="AL615" s="43" t="s">
        <v>1194</v>
      </c>
      <c r="AM615" s="40" t="s">
        <v>1198</v>
      </c>
      <c r="AP615" s="138" t="s">
        <v>227</v>
      </c>
      <c r="AQ615" s="138">
        <v>0</v>
      </c>
      <c r="AR615" s="141">
        <v>0</v>
      </c>
      <c r="AS615" s="138"/>
      <c r="AT615" s="141"/>
      <c r="AU615" s="28"/>
      <c r="AV615" s="43">
        <f>27+5</f>
        <v>32</v>
      </c>
      <c r="AW615" s="28" t="s">
        <v>1117</v>
      </c>
      <c r="AX615" s="28"/>
      <c r="AY615" s="141"/>
      <c r="BB615" s="196" t="s">
        <v>200</v>
      </c>
      <c r="BC615" s="138">
        <v>21</v>
      </c>
      <c r="BD615" s="141">
        <f>2+8</f>
        <v>10</v>
      </c>
      <c r="BE615" s="138"/>
      <c r="BF615" s="28"/>
      <c r="BG615" s="141"/>
      <c r="BH615" s="138"/>
      <c r="BI615" s="141"/>
      <c r="BJ615" s="138"/>
      <c r="BK615" s="28"/>
      <c r="BL615" s="141"/>
    </row>
    <row r="616" spans="1:64" ht="15" thickBot="1" x14ac:dyDescent="0.35">
      <c r="AB616" s="47"/>
      <c r="AC616" s="202"/>
      <c r="AD616" s="203"/>
      <c r="AE616" s="48"/>
      <c r="AF616" s="48"/>
      <c r="AG616" s="48"/>
      <c r="AH616" s="202"/>
      <c r="AI616" s="203"/>
      <c r="AJ616" s="48"/>
      <c r="AK616" s="202">
        <v>2</v>
      </c>
      <c r="AL616" s="48" t="s">
        <v>1199</v>
      </c>
      <c r="AM616" s="227" t="s">
        <v>1200</v>
      </c>
      <c r="AP616" s="138" t="s">
        <v>230</v>
      </c>
      <c r="AQ616" s="138">
        <v>20</v>
      </c>
      <c r="AR616" s="141">
        <v>47</v>
      </c>
      <c r="AS616" s="138"/>
      <c r="AT616" s="141"/>
      <c r="AU616" s="28"/>
      <c r="AV616" s="43">
        <v>8</v>
      </c>
      <c r="AW616" s="43" t="s">
        <v>878</v>
      </c>
      <c r="AX616" s="28"/>
      <c r="AY616" s="141"/>
      <c r="BB616" s="196" t="s">
        <v>564</v>
      </c>
      <c r="BC616" s="138">
        <v>11</v>
      </c>
      <c r="BD616" s="141">
        <v>5</v>
      </c>
      <c r="BE616" s="138"/>
      <c r="BF616" s="28"/>
      <c r="BG616" s="141"/>
      <c r="BH616" s="138"/>
      <c r="BI616" s="141"/>
      <c r="BJ616" s="138"/>
      <c r="BK616" s="28"/>
      <c r="BL616" s="141"/>
    </row>
    <row r="617" spans="1:64" x14ac:dyDescent="0.3">
      <c r="AB617" s="33" t="s">
        <v>1201</v>
      </c>
      <c r="AC617" s="200">
        <v>8</v>
      </c>
      <c r="AD617" s="201">
        <v>8</v>
      </c>
      <c r="AE617" s="34">
        <v>0</v>
      </c>
      <c r="AF617" s="34">
        <v>0</v>
      </c>
      <c r="AG617" s="34">
        <v>0</v>
      </c>
      <c r="AH617" s="200"/>
      <c r="AI617" s="201">
        <v>0</v>
      </c>
      <c r="AJ617" s="34"/>
      <c r="AK617" s="138">
        <v>1</v>
      </c>
      <c r="AL617" s="43" t="s">
        <v>558</v>
      </c>
      <c r="AM617" s="40" t="s">
        <v>1202</v>
      </c>
      <c r="AP617" s="138" t="s">
        <v>125</v>
      </c>
      <c r="AQ617" s="138">
        <v>0</v>
      </c>
      <c r="AR617" s="141">
        <v>0</v>
      </c>
      <c r="AS617" s="138"/>
      <c r="AT617" s="141"/>
      <c r="AU617" s="28"/>
      <c r="AV617" s="43">
        <f>36/2</f>
        <v>18</v>
      </c>
      <c r="AW617" s="43" t="s">
        <v>217</v>
      </c>
      <c r="AX617" s="28"/>
      <c r="AY617" s="141"/>
      <c r="BB617" s="196" t="s">
        <v>211</v>
      </c>
      <c r="BC617" s="138">
        <f>13+1</f>
        <v>14</v>
      </c>
      <c r="BD617" s="141">
        <v>1</v>
      </c>
      <c r="BE617" s="138"/>
      <c r="BF617" s="28"/>
      <c r="BG617" s="141"/>
      <c r="BH617" s="138"/>
      <c r="BI617" s="141"/>
      <c r="BJ617" s="138"/>
      <c r="BK617" s="28"/>
      <c r="BL617" s="141"/>
    </row>
    <row r="618" spans="1:64" ht="15" thickBot="1" x14ac:dyDescent="0.35">
      <c r="AB618" s="47"/>
      <c r="AC618" s="202"/>
      <c r="AD618" s="203"/>
      <c r="AE618" s="48"/>
      <c r="AF618" s="48"/>
      <c r="AG618" s="48"/>
      <c r="AH618" s="202"/>
      <c r="AI618" s="203"/>
      <c r="AJ618" s="48"/>
      <c r="AK618" s="202">
        <v>1</v>
      </c>
      <c r="AL618" s="48" t="s">
        <v>1203</v>
      </c>
      <c r="AM618" s="49"/>
      <c r="AP618" s="138" t="s">
        <v>132</v>
      </c>
      <c r="AQ618" s="138">
        <v>0</v>
      </c>
      <c r="AR618" s="141">
        <v>1</v>
      </c>
      <c r="AS618" s="138" t="s">
        <v>6</v>
      </c>
      <c r="AT618" s="141"/>
      <c r="AU618" s="28"/>
      <c r="AV618" s="43">
        <v>2</v>
      </c>
      <c r="AW618" s="228" t="s">
        <v>1204</v>
      </c>
      <c r="AX618" s="28"/>
      <c r="AY618" s="141"/>
      <c r="BB618" s="196" t="s">
        <v>218</v>
      </c>
      <c r="BC618" s="138">
        <v>0</v>
      </c>
      <c r="BD618" s="141">
        <f>12+2</f>
        <v>14</v>
      </c>
      <c r="BE618" s="138"/>
      <c r="BF618" s="28">
        <v>0</v>
      </c>
      <c r="BG618" s="141"/>
      <c r="BH618" s="138"/>
      <c r="BI618" s="141"/>
      <c r="BJ618" s="138"/>
      <c r="BK618" s="28"/>
      <c r="BL618" s="141"/>
    </row>
    <row r="619" spans="1:64" x14ac:dyDescent="0.3">
      <c r="AB619" s="33"/>
      <c r="AC619" s="200">
        <v>0</v>
      </c>
      <c r="AD619" s="201">
        <v>0</v>
      </c>
      <c r="AE619" s="34">
        <v>0</v>
      </c>
      <c r="AF619" s="34">
        <v>0</v>
      </c>
      <c r="AG619" s="34">
        <v>0</v>
      </c>
      <c r="AH619" s="200"/>
      <c r="AI619" s="201">
        <v>0</v>
      </c>
      <c r="AJ619" s="34"/>
      <c r="AK619" s="138"/>
      <c r="AL619" s="28"/>
      <c r="AM619" s="40"/>
      <c r="AP619" s="138" t="s">
        <v>992</v>
      </c>
      <c r="AQ619" s="138">
        <v>0</v>
      </c>
      <c r="AR619" s="141">
        <v>0</v>
      </c>
      <c r="AS619" s="138"/>
      <c r="AT619" s="141"/>
      <c r="AU619" s="28"/>
      <c r="AV619" s="43">
        <v>6</v>
      </c>
      <c r="AW619" s="28" t="s">
        <v>1205</v>
      </c>
      <c r="AX619" s="28"/>
      <c r="AY619" s="141"/>
      <c r="BB619" s="196" t="s">
        <v>93</v>
      </c>
      <c r="BC619" s="138">
        <v>0</v>
      </c>
      <c r="BD619" s="141">
        <f>6+6</f>
        <v>12</v>
      </c>
      <c r="BE619" s="138"/>
      <c r="BF619" s="28"/>
      <c r="BG619" s="141"/>
      <c r="BH619" s="138"/>
      <c r="BI619" s="141"/>
      <c r="BJ619" s="138"/>
      <c r="BK619" s="28"/>
      <c r="BL619" s="141"/>
    </row>
    <row r="620" spans="1:64" ht="15" thickBot="1" x14ac:dyDescent="0.35">
      <c r="H620" t="s">
        <v>6</v>
      </c>
      <c r="AB620" s="47"/>
      <c r="AC620" s="202"/>
      <c r="AD620" s="203"/>
      <c r="AE620" s="48"/>
      <c r="AF620" s="48"/>
      <c r="AG620" s="48"/>
      <c r="AH620" s="202"/>
      <c r="AI620" s="203"/>
      <c r="AJ620" s="48"/>
      <c r="AK620" s="202"/>
      <c r="AL620" s="48"/>
      <c r="AM620" s="49"/>
      <c r="AP620" s="138" t="s">
        <v>84</v>
      </c>
      <c r="AQ620" s="138">
        <f>SUM(AQ604:AQ619)</f>
        <v>336</v>
      </c>
      <c r="AR620" s="141">
        <f>SUM(AR604:AR619)</f>
        <v>554</v>
      </c>
      <c r="AS620" s="138"/>
      <c r="AT620" s="141"/>
      <c r="AU620" s="28"/>
      <c r="AV620" s="43">
        <v>6</v>
      </c>
      <c r="AW620" s="43" t="s">
        <v>1206</v>
      </c>
      <c r="AX620" s="28"/>
      <c r="AY620" s="141">
        <f>SUM(AV605:AV620)</f>
        <v>338</v>
      </c>
      <c r="BB620" s="199" t="s">
        <v>84</v>
      </c>
      <c r="BC620" s="142">
        <f>SUM(BC595:BC619)</f>
        <v>255</v>
      </c>
      <c r="BD620" s="146">
        <f>SUM(BD595:BD619)</f>
        <v>260</v>
      </c>
      <c r="BE620" s="142">
        <v>0</v>
      </c>
      <c r="BF620" s="143">
        <f>SUM(BF595:BF619)</f>
        <v>0</v>
      </c>
      <c r="BG620" s="146">
        <v>0</v>
      </c>
      <c r="BH620" s="142">
        <v>0</v>
      </c>
      <c r="BI620" s="146">
        <v>0</v>
      </c>
      <c r="BJ620" s="142"/>
      <c r="BK620" s="143"/>
      <c r="BL620" s="146">
        <f>11+8+8+6+10+6+4+8+16+6+8+7+3+6+5</f>
        <v>112</v>
      </c>
    </row>
    <row r="621" spans="1:64" ht="15" thickBot="1" x14ac:dyDescent="0.35">
      <c r="H621" t="s">
        <v>6</v>
      </c>
      <c r="AB621" s="47" t="s">
        <v>84</v>
      </c>
      <c r="AC621" s="202">
        <f>SUM(AC604+AC602+AC599+AC586+AC582+AC579+AC590+AC617)</f>
        <v>2034</v>
      </c>
      <c r="AD621" s="203">
        <f>SUM(AD604+AD602+AD599+AD586+AD582+AD579+AD590+AD617)</f>
        <v>2838</v>
      </c>
      <c r="AE621" s="48">
        <v>0</v>
      </c>
      <c r="AF621" s="48">
        <v>0</v>
      </c>
      <c r="AG621" s="48">
        <v>0</v>
      </c>
      <c r="AH621" s="202">
        <f>SUM(AH607+AH604+AH602+AH579)</f>
        <v>662754</v>
      </c>
      <c r="AI621" s="203">
        <f>SUM(AI604+AI602+AI579)</f>
        <v>79507</v>
      </c>
      <c r="AJ621" s="48">
        <v>0</v>
      </c>
      <c r="AK621" s="202" t="s">
        <v>189</v>
      </c>
      <c r="AL621" s="48"/>
      <c r="AM621" s="49">
        <f>SUM(AK578:AK619)</f>
        <v>82</v>
      </c>
      <c r="AP621" s="171" t="s">
        <v>84</v>
      </c>
      <c r="AQ621" s="207">
        <f>SUM(AQ620+AQ602+AQ593+AQ578)</f>
        <v>1744</v>
      </c>
      <c r="AR621" s="207">
        <f>SUM(AR620+AR602+AR593+AR578)</f>
        <v>2089</v>
      </c>
      <c r="AS621" s="207"/>
      <c r="AT621" s="208"/>
      <c r="AU621" s="170"/>
      <c r="AV621" s="170"/>
      <c r="AW621" s="170"/>
      <c r="AX621" s="170"/>
      <c r="AY621" s="172">
        <f>SUM(AY578:AY620)</f>
        <v>580</v>
      </c>
      <c r="BB621" t="s">
        <v>223</v>
      </c>
      <c r="BC621">
        <f>SUM(BC620+BC594+BC589+BC584+BC581+BC579+BC591)</f>
        <v>2070</v>
      </c>
      <c r="BD621">
        <f>SUM(BD620+BD594+BD589+BD584+BD579+BD581+BD591)</f>
        <v>2391</v>
      </c>
      <c r="BE621">
        <v>0</v>
      </c>
      <c r="BF621">
        <f>SUM(BF620+BF594+BF589+BF584+BF581+BF577)</f>
        <v>0</v>
      </c>
      <c r="BG621">
        <v>0</v>
      </c>
      <c r="BH621">
        <f>SUM(BH620+BH594+BH589+BH583+BH581+BH577)</f>
        <v>58088</v>
      </c>
      <c r="BI621">
        <f>SUM(BI620+BI594+BI589+BI583+BI581+BI577)</f>
        <v>14544</v>
      </c>
      <c r="BK621" t="s">
        <v>939</v>
      </c>
      <c r="BL621">
        <f>SUM(+BL594+BL589+BL584+BL581+BL579)</f>
        <v>174</v>
      </c>
    </row>
    <row r="622" spans="1:64" x14ac:dyDescent="0.3">
      <c r="AB622" t="s">
        <v>193</v>
      </c>
      <c r="AM622" t="s">
        <v>6</v>
      </c>
      <c r="BB622" t="s">
        <v>225</v>
      </c>
      <c r="BD622">
        <f>SUM(BL620)</f>
        <v>112</v>
      </c>
      <c r="BF622" s="184" t="s">
        <v>1207</v>
      </c>
      <c r="BG622" t="s">
        <v>1208</v>
      </c>
    </row>
    <row r="623" spans="1:64" x14ac:dyDescent="0.3">
      <c r="BB623" t="s">
        <v>229</v>
      </c>
      <c r="BD623">
        <f>16+19</f>
        <v>35</v>
      </c>
    </row>
    <row r="624" spans="1:64" x14ac:dyDescent="0.3">
      <c r="AY624">
        <f>38/2</f>
        <v>19</v>
      </c>
      <c r="BB624" t="s">
        <v>232</v>
      </c>
      <c r="BD624" t="s">
        <v>233</v>
      </c>
      <c r="BF624">
        <f>SUM(AQ621)</f>
        <v>1744</v>
      </c>
      <c r="BH624" t="s">
        <v>234</v>
      </c>
      <c r="BJ624" t="s">
        <v>233</v>
      </c>
      <c r="BL624">
        <f>SUM(BC621)</f>
        <v>2070</v>
      </c>
    </row>
    <row r="625" spans="1:64" x14ac:dyDescent="0.3">
      <c r="BA625" t="s">
        <v>6</v>
      </c>
      <c r="BD625" t="s">
        <v>236</v>
      </c>
      <c r="BF625">
        <f>SUM(AR621)</f>
        <v>2089</v>
      </c>
      <c r="BJ625" t="s">
        <v>236</v>
      </c>
      <c r="BL625">
        <f>SUM(BD621)</f>
        <v>2391</v>
      </c>
    </row>
    <row r="626" spans="1:64" x14ac:dyDescent="0.3">
      <c r="BB626" t="s">
        <v>238</v>
      </c>
      <c r="BC626" t="s">
        <v>239</v>
      </c>
      <c r="BE626" t="s">
        <v>240</v>
      </c>
      <c r="BF626" t="s">
        <v>241</v>
      </c>
      <c r="BI626" t="s">
        <v>242</v>
      </c>
      <c r="BJ626" t="s">
        <v>243</v>
      </c>
    </row>
    <row r="627" spans="1:64" x14ac:dyDescent="0.3">
      <c r="BB627" t="s">
        <v>233</v>
      </c>
      <c r="BD627">
        <f>SUM(B612)</f>
        <v>38634</v>
      </c>
      <c r="BE627" t="s">
        <v>233</v>
      </c>
      <c r="BG627">
        <f>SUM(AC621)</f>
        <v>2034</v>
      </c>
      <c r="BH627" t="s">
        <v>233</v>
      </c>
      <c r="BJ627">
        <f>SUM(BG627+BC621)</f>
        <v>4104</v>
      </c>
      <c r="BK627" t="s">
        <v>245</v>
      </c>
      <c r="BL627">
        <f>SUM(BD627+BJ627)</f>
        <v>42738</v>
      </c>
    </row>
    <row r="628" spans="1:64" x14ac:dyDescent="0.3">
      <c r="BB628" t="s">
        <v>236</v>
      </c>
      <c r="BD628">
        <f>SUM(C612)</f>
        <v>46636</v>
      </c>
      <c r="BE628" t="s">
        <v>236</v>
      </c>
      <c r="BG628">
        <f>SUM(AD621)</f>
        <v>2838</v>
      </c>
      <c r="BH628" t="s">
        <v>236</v>
      </c>
      <c r="BJ628">
        <f>SUM(BG628+BD621)</f>
        <v>5229</v>
      </c>
      <c r="BL628">
        <f>SUM(BD628+BJ628)</f>
        <v>51865</v>
      </c>
    </row>
    <row r="632" spans="1:64" x14ac:dyDescent="0.3">
      <c r="C632" t="s">
        <v>0</v>
      </c>
      <c r="O632" t="s">
        <v>1</v>
      </c>
    </row>
    <row r="633" spans="1:64" x14ac:dyDescent="0.3">
      <c r="D633" t="s">
        <v>2</v>
      </c>
      <c r="P633" t="s">
        <v>3</v>
      </c>
      <c r="AF633" t="s">
        <v>0</v>
      </c>
      <c r="AS633" t="s">
        <v>4</v>
      </c>
      <c r="BF633" t="s">
        <v>5</v>
      </c>
    </row>
    <row r="634" spans="1:64" x14ac:dyDescent="0.3">
      <c r="A634" t="s">
        <v>6</v>
      </c>
      <c r="C634" t="s">
        <v>7</v>
      </c>
      <c r="N634" t="s">
        <v>8</v>
      </c>
      <c r="AF634" t="s">
        <v>9</v>
      </c>
      <c r="AT634" t="s">
        <v>2</v>
      </c>
      <c r="BG634" t="s">
        <v>2</v>
      </c>
    </row>
    <row r="635" spans="1:64" x14ac:dyDescent="0.3">
      <c r="D635" t="s">
        <v>1209</v>
      </c>
      <c r="P635" t="s">
        <v>1209</v>
      </c>
      <c r="AF635" t="s">
        <v>11</v>
      </c>
      <c r="AR635" t="s">
        <v>12</v>
      </c>
      <c r="BE635" t="s">
        <v>13</v>
      </c>
    </row>
    <row r="636" spans="1:64" x14ac:dyDescent="0.3">
      <c r="I636" s="194" t="s">
        <v>949</v>
      </c>
      <c r="U636" t="s">
        <v>15</v>
      </c>
      <c r="AG636" t="s">
        <v>1209</v>
      </c>
      <c r="AT636" t="s">
        <v>1209</v>
      </c>
      <c r="BG636" t="s">
        <v>1209</v>
      </c>
      <c r="BK636" s="194" t="s">
        <v>950</v>
      </c>
    </row>
    <row r="637" spans="1:64" x14ac:dyDescent="0.3">
      <c r="A637" s="134" t="s">
        <v>17</v>
      </c>
      <c r="B637" s="134" t="s">
        <v>18</v>
      </c>
      <c r="C637" s="136"/>
      <c r="D637" s="135" t="s">
        <v>19</v>
      </c>
      <c r="E637" s="135"/>
      <c r="F637" s="135"/>
      <c r="G637" s="195" t="s">
        <v>20</v>
      </c>
      <c r="H637" s="135" t="s">
        <v>21</v>
      </c>
      <c r="I637" s="135"/>
      <c r="J637" s="136"/>
      <c r="L637" s="134" t="s">
        <v>17</v>
      </c>
      <c r="M637" s="135" t="s">
        <v>22</v>
      </c>
      <c r="N637" s="135"/>
      <c r="O637" s="135" t="s">
        <v>23</v>
      </c>
      <c r="P637" s="135"/>
      <c r="Q637" s="135"/>
      <c r="R637" s="135" t="s">
        <v>24</v>
      </c>
      <c r="S637" s="135"/>
      <c r="T637" s="135" t="s">
        <v>21</v>
      </c>
      <c r="U637" s="136"/>
      <c r="AL637" s="28" t="s">
        <v>25</v>
      </c>
      <c r="AX637" s="194" t="s">
        <v>951</v>
      </c>
      <c r="BB637" s="195" t="s">
        <v>17</v>
      </c>
      <c r="BC637" s="134" t="s">
        <v>27</v>
      </c>
      <c r="BD637" s="136"/>
      <c r="BE637" s="135" t="s">
        <v>28</v>
      </c>
      <c r="BF637" s="135"/>
      <c r="BG637" s="135"/>
      <c r="BH637" s="135" t="s">
        <v>29</v>
      </c>
      <c r="BI637" s="135" t="s">
        <v>30</v>
      </c>
      <c r="BJ637" s="135" t="s">
        <v>31</v>
      </c>
      <c r="BK637" s="135"/>
      <c r="BL637" s="136"/>
    </row>
    <row r="638" spans="1:64" x14ac:dyDescent="0.3">
      <c r="A638" s="138" t="s">
        <v>32</v>
      </c>
      <c r="B638" s="138"/>
      <c r="C638" s="141"/>
      <c r="D638" s="28"/>
      <c r="E638" s="28"/>
      <c r="F638" s="28"/>
      <c r="G638" s="196"/>
      <c r="H638" s="28" t="s">
        <v>33</v>
      </c>
      <c r="I638" s="28"/>
      <c r="J638" s="141"/>
      <c r="L638" s="138"/>
      <c r="M638" s="28"/>
      <c r="N638" s="28"/>
      <c r="O638" s="28"/>
      <c r="P638" s="28"/>
      <c r="Q638" s="28"/>
      <c r="R638" s="28"/>
      <c r="S638" s="28"/>
      <c r="T638" s="28" t="s">
        <v>33</v>
      </c>
      <c r="U638" s="141"/>
      <c r="AB638" s="134" t="s">
        <v>34</v>
      </c>
      <c r="AC638" s="134" t="s">
        <v>35</v>
      </c>
      <c r="AD638" s="136"/>
      <c r="AE638" s="135" t="s">
        <v>36</v>
      </c>
      <c r="AF638" s="135"/>
      <c r="AG638" s="135"/>
      <c r="AH638" s="134" t="s">
        <v>37</v>
      </c>
      <c r="AI638" s="136"/>
      <c r="AJ638" s="135" t="s">
        <v>30</v>
      </c>
      <c r="AK638" s="134" t="s">
        <v>38</v>
      </c>
      <c r="AL638" s="135"/>
      <c r="AM638" s="136"/>
      <c r="AP638" s="134" t="s">
        <v>17</v>
      </c>
      <c r="AQ638" s="134" t="s">
        <v>39</v>
      </c>
      <c r="AR638" s="136"/>
      <c r="AS638" s="134" t="s">
        <v>29</v>
      </c>
      <c r="AT638" s="136" t="s">
        <v>30</v>
      </c>
      <c r="AU638" s="135" t="s">
        <v>40</v>
      </c>
      <c r="AV638" s="135"/>
      <c r="AW638" s="135"/>
      <c r="AX638" s="135"/>
      <c r="AY638" s="136"/>
      <c r="BB638" s="196"/>
      <c r="BC638" s="138"/>
      <c r="BD638" s="141"/>
      <c r="BE638" s="28"/>
      <c r="BF638" s="28"/>
      <c r="BG638" s="28"/>
      <c r="BH638" s="28"/>
      <c r="BI638" s="28" t="s">
        <v>6</v>
      </c>
      <c r="BJ638" s="28" t="s">
        <v>41</v>
      </c>
      <c r="BK638" s="28"/>
      <c r="BL638" s="141"/>
    </row>
    <row r="639" spans="1:64" x14ac:dyDescent="0.3">
      <c r="A639" s="142" t="s">
        <v>42</v>
      </c>
      <c r="B639" s="142" t="s">
        <v>43</v>
      </c>
      <c r="C639" s="143" t="s">
        <v>44</v>
      </c>
      <c r="D639" s="197" t="s">
        <v>45</v>
      </c>
      <c r="E639" s="198" t="s">
        <v>46</v>
      </c>
      <c r="F639" s="198" t="s">
        <v>47</v>
      </c>
      <c r="G639" s="199" t="s">
        <v>48</v>
      </c>
      <c r="H639" s="143" t="s">
        <v>49</v>
      </c>
      <c r="I639" s="143"/>
      <c r="J639" s="146"/>
      <c r="L639" s="142" t="s">
        <v>50</v>
      </c>
      <c r="M639" s="143" t="s">
        <v>43</v>
      </c>
      <c r="N639" s="143" t="s">
        <v>44</v>
      </c>
      <c r="O639" s="143" t="s">
        <v>43</v>
      </c>
      <c r="P639" s="143" t="s">
        <v>51</v>
      </c>
      <c r="Q639" s="143" t="s">
        <v>44</v>
      </c>
      <c r="R639" s="143" t="s">
        <v>43</v>
      </c>
      <c r="S639" s="143" t="s">
        <v>44</v>
      </c>
      <c r="T639" s="143" t="s">
        <v>49</v>
      </c>
      <c r="U639" s="146"/>
      <c r="AB639" s="142" t="s">
        <v>50</v>
      </c>
      <c r="AC639" s="142" t="s">
        <v>43</v>
      </c>
      <c r="AD639" s="146" t="s">
        <v>44</v>
      </c>
      <c r="AE639" s="143" t="s">
        <v>45</v>
      </c>
      <c r="AF639" s="143" t="s">
        <v>46</v>
      </c>
      <c r="AG639" s="143" t="s">
        <v>52</v>
      </c>
      <c r="AH639" s="142" t="s">
        <v>43</v>
      </c>
      <c r="AI639" s="146" t="s">
        <v>44</v>
      </c>
      <c r="AJ639" s="143" t="s">
        <v>43</v>
      </c>
      <c r="AK639" s="142" t="s">
        <v>53</v>
      </c>
      <c r="AL639" s="143"/>
      <c r="AM639" s="146"/>
      <c r="AP639" s="138" t="s">
        <v>42</v>
      </c>
      <c r="AQ639" s="138" t="s">
        <v>43</v>
      </c>
      <c r="AR639" s="141" t="s">
        <v>44</v>
      </c>
      <c r="AS639" s="138" t="s">
        <v>43</v>
      </c>
      <c r="AT639" s="141" t="s">
        <v>44</v>
      </c>
      <c r="AU639" s="28"/>
      <c r="AV639" s="28"/>
      <c r="AW639" s="28"/>
      <c r="AX639" s="28"/>
      <c r="AY639" s="141"/>
      <c r="BB639" s="199" t="s">
        <v>42</v>
      </c>
      <c r="BC639" s="142" t="s">
        <v>43</v>
      </c>
      <c r="BD639" s="146" t="s">
        <v>44</v>
      </c>
      <c r="BE639" s="143" t="s">
        <v>45</v>
      </c>
      <c r="BF639" s="143" t="s">
        <v>46</v>
      </c>
      <c r="BG639" s="143" t="s">
        <v>52</v>
      </c>
      <c r="BH639" s="143" t="s">
        <v>43</v>
      </c>
      <c r="BI639" s="143" t="s">
        <v>44</v>
      </c>
      <c r="BJ639" s="143" t="s">
        <v>54</v>
      </c>
      <c r="BK639" s="143"/>
      <c r="BL639" s="146"/>
    </row>
    <row r="640" spans="1:64" x14ac:dyDescent="0.3">
      <c r="A640" s="134"/>
      <c r="B640" s="134"/>
      <c r="C640" s="135"/>
      <c r="D640" s="134"/>
      <c r="E640" s="135"/>
      <c r="F640" s="135"/>
      <c r="G640" s="195"/>
      <c r="H640" s="135" t="s">
        <v>396</v>
      </c>
      <c r="I640" s="135"/>
      <c r="J640" s="136"/>
      <c r="L640" s="134"/>
      <c r="M640" s="134"/>
      <c r="N640" s="195"/>
      <c r="O640" s="134"/>
      <c r="P640" s="195"/>
      <c r="Q640" s="136"/>
      <c r="R640" s="134"/>
      <c r="S640" s="195"/>
      <c r="T640" s="134" t="s">
        <v>396</v>
      </c>
      <c r="U640" s="136"/>
      <c r="AB640" s="138"/>
      <c r="AC640" s="138"/>
      <c r="AD640" s="141"/>
      <c r="AE640" s="28"/>
      <c r="AF640" s="28"/>
      <c r="AG640" s="28"/>
      <c r="AH640" s="138"/>
      <c r="AI640" s="141"/>
      <c r="AJ640" s="28"/>
      <c r="AK640" s="138" t="s">
        <v>62</v>
      </c>
      <c r="AL640" s="28"/>
      <c r="AM640" s="141"/>
      <c r="AP640" s="138" t="s">
        <v>6</v>
      </c>
      <c r="AQ640" s="138"/>
      <c r="AR640" s="141"/>
      <c r="AS640" s="138"/>
      <c r="AT640" s="141"/>
      <c r="AU640" s="28"/>
      <c r="AV640" s="28" t="s">
        <v>91</v>
      </c>
      <c r="AW640" s="28"/>
      <c r="AX640" s="28"/>
      <c r="AY640" s="141"/>
      <c r="BB640" s="195" t="s">
        <v>6</v>
      </c>
      <c r="BC640" s="135"/>
      <c r="BD640" s="135"/>
      <c r="BE640" s="134"/>
      <c r="BF640" s="135"/>
      <c r="BG640" s="135"/>
      <c r="BH640" s="134"/>
      <c r="BI640" s="136"/>
      <c r="BJ640" s="135" t="s">
        <v>58</v>
      </c>
      <c r="BK640" s="135"/>
      <c r="BL640" s="136"/>
    </row>
    <row r="641" spans="1:65" x14ac:dyDescent="0.3">
      <c r="A641" s="138" t="s">
        <v>59</v>
      </c>
      <c r="B641" s="138">
        <v>1400</v>
      </c>
      <c r="C641" s="28">
        <v>1205</v>
      </c>
      <c r="D641" s="138"/>
      <c r="E641" s="28" t="s">
        <v>60</v>
      </c>
      <c r="F641" s="28"/>
      <c r="G641" s="196">
        <v>2864</v>
      </c>
      <c r="H641" s="28">
        <v>5</v>
      </c>
      <c r="I641" s="28" t="s">
        <v>61</v>
      </c>
      <c r="J641" s="141"/>
      <c r="L641" s="138" t="s">
        <v>59</v>
      </c>
      <c r="M641" s="138">
        <v>2247</v>
      </c>
      <c r="N641" s="196">
        <v>7524</v>
      </c>
      <c r="O641" s="138">
        <v>0</v>
      </c>
      <c r="P641" s="196">
        <v>0</v>
      </c>
      <c r="Q641" s="141">
        <v>0</v>
      </c>
      <c r="R641" s="138">
        <v>0</v>
      </c>
      <c r="S641" s="196">
        <v>0</v>
      </c>
      <c r="T641" s="138"/>
      <c r="U641" s="141"/>
      <c r="AB641" s="138"/>
      <c r="AC641" s="138"/>
      <c r="AD641" s="141"/>
      <c r="AE641" s="28"/>
      <c r="AF641" s="28"/>
      <c r="AG641" s="28"/>
      <c r="AH641" s="138"/>
      <c r="AI641" s="141"/>
      <c r="AJ641" s="28"/>
      <c r="AK641" s="138">
        <v>2</v>
      </c>
      <c r="AL641" s="28" t="s">
        <v>398</v>
      </c>
      <c r="AM641" s="141"/>
      <c r="AP641" s="138" t="s">
        <v>56</v>
      </c>
      <c r="AQ641" s="138">
        <v>1059</v>
      </c>
      <c r="AR641" s="141">
        <v>1059</v>
      </c>
      <c r="AS641" s="138"/>
      <c r="AT641" s="141"/>
      <c r="AU641" s="28"/>
      <c r="AV641" s="28"/>
      <c r="AW641" s="28" t="s">
        <v>145</v>
      </c>
      <c r="AX641" s="28"/>
      <c r="AY641" s="141"/>
      <c r="BB641" s="196" t="s">
        <v>64</v>
      </c>
      <c r="BC641" s="28">
        <f>33+127</f>
        <v>160</v>
      </c>
      <c r="BD641" s="28">
        <v>144</v>
      </c>
      <c r="BE641" s="138">
        <v>0</v>
      </c>
      <c r="BF641" s="28">
        <v>0</v>
      </c>
      <c r="BG641" s="28">
        <v>0</v>
      </c>
      <c r="BH641" s="138">
        <v>0</v>
      </c>
      <c r="BI641" s="141">
        <v>0</v>
      </c>
      <c r="BJ641" s="43">
        <v>19</v>
      </c>
      <c r="BK641" s="28" t="s">
        <v>474</v>
      </c>
      <c r="BL641" s="141" t="s">
        <v>6</v>
      </c>
    </row>
    <row r="642" spans="1:65" x14ac:dyDescent="0.3">
      <c r="A642" s="138" t="s">
        <v>6</v>
      </c>
      <c r="B642" s="138"/>
      <c r="C642" s="28"/>
      <c r="D642" s="138"/>
      <c r="E642" s="28"/>
      <c r="F642" s="28"/>
      <c r="G642" s="196"/>
      <c r="H642" s="28"/>
      <c r="I642" s="28" t="s">
        <v>528</v>
      </c>
      <c r="J642" s="141">
        <f>SUM(H641)</f>
        <v>5</v>
      </c>
      <c r="L642" s="142"/>
      <c r="M642" s="142"/>
      <c r="N642" s="199"/>
      <c r="O642" s="142"/>
      <c r="P642" s="199"/>
      <c r="Q642" s="146"/>
      <c r="R642" s="142"/>
      <c r="S642" s="199"/>
      <c r="T642" s="142"/>
      <c r="U642" s="146"/>
      <c r="AB642" s="138" t="s">
        <v>59</v>
      </c>
      <c r="AC642" s="138">
        <v>1525</v>
      </c>
      <c r="AD642" s="141">
        <v>1039</v>
      </c>
      <c r="AE642" s="28">
        <v>0</v>
      </c>
      <c r="AF642" s="28">
        <v>0</v>
      </c>
      <c r="AG642" s="28">
        <v>0</v>
      </c>
      <c r="AH642" s="138">
        <v>0</v>
      </c>
      <c r="AI642" s="141">
        <v>0</v>
      </c>
      <c r="AJ642" s="28">
        <v>0</v>
      </c>
      <c r="AK642" s="138">
        <v>45</v>
      </c>
      <c r="AL642" s="28" t="s">
        <v>66</v>
      </c>
      <c r="AM642" s="141"/>
      <c r="AP642" s="142" t="s">
        <v>6</v>
      </c>
      <c r="AQ642" s="142"/>
      <c r="AR642" s="146"/>
      <c r="AS642" s="142"/>
      <c r="AT642" s="146"/>
      <c r="AU642" s="143"/>
      <c r="AV642" s="143">
        <v>92</v>
      </c>
      <c r="AW642" s="143" t="s">
        <v>73</v>
      </c>
      <c r="AX642" s="143"/>
      <c r="AY642" s="146">
        <f>SUM(AV642)</f>
        <v>92</v>
      </c>
      <c r="BB642" s="196" t="s">
        <v>108</v>
      </c>
      <c r="BC642">
        <v>13</v>
      </c>
      <c r="BD642">
        <v>0</v>
      </c>
      <c r="BE642" s="138"/>
      <c r="BF642" s="28"/>
      <c r="BG642" s="28"/>
      <c r="BH642" s="138"/>
      <c r="BI642" s="141"/>
      <c r="BJ642" s="28">
        <v>2</v>
      </c>
      <c r="BK642" s="28" t="s">
        <v>1045</v>
      </c>
      <c r="BL642" s="141"/>
    </row>
    <row r="643" spans="1:65" x14ac:dyDescent="0.3">
      <c r="A643" s="134"/>
      <c r="B643" s="134"/>
      <c r="C643" s="135"/>
      <c r="D643" s="134"/>
      <c r="E643" s="135"/>
      <c r="F643" s="135"/>
      <c r="G643" s="195"/>
      <c r="H643" s="135" t="s">
        <v>70</v>
      </c>
      <c r="I643" s="135"/>
      <c r="J643" s="136"/>
      <c r="L643" s="134"/>
      <c r="M643" s="134"/>
      <c r="N643" s="195"/>
      <c r="O643" s="134"/>
      <c r="P643" s="195"/>
      <c r="Q643" s="136"/>
      <c r="R643" s="134"/>
      <c r="S643" s="195"/>
      <c r="T643" s="134"/>
      <c r="U643" s="136"/>
      <c r="AB643" s="142"/>
      <c r="AC643" s="142"/>
      <c r="AD643" s="146"/>
      <c r="AE643" s="143"/>
      <c r="AF643" s="143"/>
      <c r="AG643" s="143"/>
      <c r="AH643" s="142"/>
      <c r="AI643" s="146"/>
      <c r="AJ643" s="143"/>
      <c r="AK643" s="142"/>
      <c r="AL643" s="143" t="s">
        <v>188</v>
      </c>
      <c r="AM643" s="146"/>
      <c r="AP643" s="134" t="s">
        <v>56</v>
      </c>
      <c r="AQ643" s="134">
        <v>3</v>
      </c>
      <c r="AR643" s="136">
        <v>3</v>
      </c>
      <c r="AS643" s="134"/>
      <c r="AT643" s="136"/>
      <c r="AU643" s="135"/>
      <c r="AV643" s="135"/>
      <c r="AW643" s="135"/>
      <c r="AX643" s="135"/>
      <c r="AY643" s="136"/>
      <c r="BB643" s="199" t="s">
        <v>84</v>
      </c>
      <c r="BC643" s="143">
        <f>SUM(BC640:BC642)</f>
        <v>173</v>
      </c>
      <c r="BD643" s="143">
        <f>SUM(BD640:BD642)</f>
        <v>144</v>
      </c>
      <c r="BE643" s="142"/>
      <c r="BF643" s="143"/>
      <c r="BG643" s="143"/>
      <c r="BH643" s="142"/>
      <c r="BI643" s="146"/>
      <c r="BJ643" s="143">
        <v>1</v>
      </c>
      <c r="BK643" s="143" t="s">
        <v>69</v>
      </c>
      <c r="BL643" s="146">
        <f>SUM(BJ641:BJ643)</f>
        <v>22</v>
      </c>
    </row>
    <row r="644" spans="1:65" x14ac:dyDescent="0.3">
      <c r="A644" s="138" t="s">
        <v>74</v>
      </c>
      <c r="B644" s="138">
        <v>1229</v>
      </c>
      <c r="C644" s="28">
        <v>2054</v>
      </c>
      <c r="D644" s="138"/>
      <c r="E644" s="28" t="s">
        <v>60</v>
      </c>
      <c r="F644" s="28"/>
      <c r="G644" s="196">
        <v>2944</v>
      </c>
      <c r="H644" s="28">
        <v>4</v>
      </c>
      <c r="I644" s="28" t="s">
        <v>1046</v>
      </c>
      <c r="J644" s="141"/>
      <c r="L644" s="138"/>
      <c r="M644" s="138"/>
      <c r="N644" s="196"/>
      <c r="O644" s="138"/>
      <c r="P644" s="196"/>
      <c r="Q644" s="141"/>
      <c r="R644" s="138"/>
      <c r="S644" s="196"/>
      <c r="T644" s="138" t="s">
        <v>80</v>
      </c>
      <c r="U644" s="141"/>
      <c r="AB644" s="134" t="s">
        <v>6</v>
      </c>
      <c r="AC644" s="134"/>
      <c r="AD644" s="136"/>
      <c r="AE644" s="135"/>
      <c r="AF644" s="135"/>
      <c r="AG644" s="135"/>
      <c r="AH644" s="134"/>
      <c r="AI644" s="136"/>
      <c r="AJ644" s="135"/>
      <c r="AK644" s="134" t="s">
        <v>952</v>
      </c>
      <c r="AL644" s="135"/>
      <c r="AM644" s="136"/>
      <c r="AP644" s="138" t="s">
        <v>63</v>
      </c>
      <c r="AQ644" s="138">
        <v>46</v>
      </c>
      <c r="AR644" s="141">
        <v>33</v>
      </c>
      <c r="AS644" s="138"/>
      <c r="AT644" s="141"/>
      <c r="AU644" s="28"/>
      <c r="AV644" s="28" t="s">
        <v>110</v>
      </c>
      <c r="AW644" s="28" t="s">
        <v>111</v>
      </c>
      <c r="AX644" s="28" t="s">
        <v>112</v>
      </c>
      <c r="AY644" s="141"/>
      <c r="BB644" s="195" t="s">
        <v>6</v>
      </c>
      <c r="BC644" s="134" t="s">
        <v>6</v>
      </c>
      <c r="BD644" s="136"/>
      <c r="BE644" s="135"/>
      <c r="BF644" s="135">
        <v>0</v>
      </c>
      <c r="BG644" s="135"/>
      <c r="BH644" s="134"/>
      <c r="BI644" s="136"/>
      <c r="BJ644" s="135" t="s">
        <v>1092</v>
      </c>
      <c r="BK644" s="135"/>
      <c r="BL644" s="136"/>
    </row>
    <row r="645" spans="1:65" x14ac:dyDescent="0.3">
      <c r="A645" s="138"/>
      <c r="B645" s="138"/>
      <c r="C645" s="28"/>
      <c r="D645" s="138"/>
      <c r="E645" s="28"/>
      <c r="F645" s="28"/>
      <c r="G645" s="196"/>
      <c r="H645" s="28">
        <v>14</v>
      </c>
      <c r="I645" s="28" t="s">
        <v>1047</v>
      </c>
      <c r="J645" s="141">
        <f>SUM(H644:H645)</f>
        <v>18</v>
      </c>
      <c r="L645" s="138" t="s">
        <v>74</v>
      </c>
      <c r="M645" s="138">
        <v>11400</v>
      </c>
      <c r="N645" s="196">
        <v>507</v>
      </c>
      <c r="O645" s="138">
        <v>0</v>
      </c>
      <c r="P645" s="196">
        <v>0</v>
      </c>
      <c r="Q645" s="141">
        <v>0</v>
      </c>
      <c r="R645" s="138">
        <v>205</v>
      </c>
      <c r="S645" s="196">
        <v>0</v>
      </c>
      <c r="T645" s="138"/>
      <c r="U645" s="141"/>
      <c r="AB645" s="142" t="s">
        <v>76</v>
      </c>
      <c r="AC645" s="142">
        <v>0</v>
      </c>
      <c r="AD645" s="146">
        <v>0</v>
      </c>
      <c r="AE645" s="143">
        <v>0</v>
      </c>
      <c r="AF645" s="143">
        <v>0</v>
      </c>
      <c r="AG645" s="143">
        <v>0</v>
      </c>
      <c r="AH645" s="142">
        <v>0</v>
      </c>
      <c r="AI645" s="146">
        <v>0</v>
      </c>
      <c r="AJ645" s="143">
        <v>0</v>
      </c>
      <c r="AK645" s="142">
        <v>1</v>
      </c>
      <c r="AL645" s="143" t="s">
        <v>780</v>
      </c>
      <c r="AM645" s="146"/>
      <c r="AP645" s="138" t="s">
        <v>115</v>
      </c>
      <c r="AQ645" s="138">
        <v>54</v>
      </c>
      <c r="AR645" s="141">
        <v>49</v>
      </c>
      <c r="AS645" s="138"/>
      <c r="AT645" s="141"/>
      <c r="AU645" s="28"/>
      <c r="AV645" s="28"/>
      <c r="AW645" s="28"/>
      <c r="AX645" s="28"/>
      <c r="AY645" s="141"/>
      <c r="BB645" s="199" t="s">
        <v>108</v>
      </c>
      <c r="BC645" s="142">
        <v>365</v>
      </c>
      <c r="BD645" s="146">
        <v>364</v>
      </c>
      <c r="BE645" s="143"/>
      <c r="BF645" s="143">
        <v>0</v>
      </c>
      <c r="BG645" s="143">
        <v>0</v>
      </c>
      <c r="BH645" s="142">
        <v>0</v>
      </c>
      <c r="BI645" s="146">
        <v>0</v>
      </c>
      <c r="BJ645" s="143">
        <v>16</v>
      </c>
      <c r="BK645" s="143" t="s">
        <v>780</v>
      </c>
      <c r="BL645" s="146">
        <f>SUM(BJ645)</f>
        <v>16</v>
      </c>
    </row>
    <row r="646" spans="1:65" x14ac:dyDescent="0.3">
      <c r="A646" s="134"/>
      <c r="B646" s="134"/>
      <c r="C646" s="136"/>
      <c r="D646" s="135"/>
      <c r="E646" s="135"/>
      <c r="F646" s="135"/>
      <c r="G646" s="195"/>
      <c r="H646" s="134" t="s">
        <v>87</v>
      </c>
      <c r="I646" s="135"/>
      <c r="J646" s="136" t="s">
        <v>6</v>
      </c>
      <c r="L646" s="142"/>
      <c r="M646" s="142"/>
      <c r="N646" s="199"/>
      <c r="O646" s="142"/>
      <c r="P646" s="199"/>
      <c r="Q646" s="146"/>
      <c r="R646" s="142"/>
      <c r="S646" s="199"/>
      <c r="T646" s="142"/>
      <c r="U646" s="146"/>
      <c r="AB646" s="134"/>
      <c r="AC646" s="134"/>
      <c r="AD646" s="136"/>
      <c r="AE646" s="135"/>
      <c r="AF646" s="135"/>
      <c r="AG646" s="135"/>
      <c r="AH646" s="134"/>
      <c r="AI646" s="136"/>
      <c r="AJ646" s="135"/>
      <c r="AK646" s="134"/>
      <c r="AL646" s="135" t="s">
        <v>150</v>
      </c>
      <c r="AM646" s="136"/>
      <c r="AP646" s="138" t="s">
        <v>72</v>
      </c>
      <c r="AQ646" s="138">
        <v>74</v>
      </c>
      <c r="AR646" s="141">
        <v>54</v>
      </c>
      <c r="AS646" s="138"/>
      <c r="AT646" s="141"/>
      <c r="AU646" s="28"/>
      <c r="AV646" s="28"/>
      <c r="AW646" s="28"/>
      <c r="AX646" s="28"/>
      <c r="AY646" s="141"/>
      <c r="BB646" s="195" t="s">
        <v>107</v>
      </c>
      <c r="BC646" s="134">
        <v>0</v>
      </c>
      <c r="BD646" s="136">
        <v>0</v>
      </c>
      <c r="BE646" s="135"/>
      <c r="BF646" s="135"/>
      <c r="BG646" s="135"/>
      <c r="BH646" s="134"/>
      <c r="BI646" s="136"/>
      <c r="BJ646" s="135"/>
      <c r="BK646" s="135" t="s">
        <v>92</v>
      </c>
      <c r="BL646" s="136"/>
    </row>
    <row r="647" spans="1:65" x14ac:dyDescent="0.3">
      <c r="A647" s="138"/>
      <c r="B647" s="138"/>
      <c r="C647" s="141"/>
      <c r="D647" s="28"/>
      <c r="E647" s="28"/>
      <c r="F647" s="28"/>
      <c r="G647" s="196"/>
      <c r="H647" s="138" t="s">
        <v>6</v>
      </c>
      <c r="I647" s="28" t="s">
        <v>927</v>
      </c>
      <c r="J647" s="141"/>
      <c r="L647" s="134" t="s">
        <v>88</v>
      </c>
      <c r="M647" s="134">
        <v>0</v>
      </c>
      <c r="N647" s="195">
        <v>0</v>
      </c>
      <c r="O647" s="134"/>
      <c r="P647" s="195"/>
      <c r="Q647" s="136"/>
      <c r="R647" s="134"/>
      <c r="S647" s="195"/>
      <c r="T647" s="134" t="s">
        <v>6</v>
      </c>
      <c r="U647" s="136"/>
      <c r="AB647" s="138" t="s">
        <v>89</v>
      </c>
      <c r="AC647" s="138">
        <v>0</v>
      </c>
      <c r="AD647" s="141">
        <v>0</v>
      </c>
      <c r="AE647" s="28"/>
      <c r="AF647" s="28"/>
      <c r="AG647" s="28"/>
      <c r="AH647" s="138"/>
      <c r="AI647" s="141"/>
      <c r="AJ647" s="28"/>
      <c r="AK647" s="138" t="s">
        <v>90</v>
      </c>
      <c r="AL647" s="28"/>
      <c r="AM647" s="141"/>
      <c r="AP647" s="138" t="s">
        <v>78</v>
      </c>
      <c r="AQ647" s="138">
        <v>23</v>
      </c>
      <c r="AR647" s="141">
        <v>17</v>
      </c>
      <c r="AS647" s="138"/>
      <c r="AT647" s="141"/>
      <c r="AU647" s="28"/>
      <c r="AV647" s="28"/>
      <c r="AW647" s="28"/>
      <c r="AX647" s="28"/>
      <c r="AY647" s="141"/>
      <c r="BB647" s="196" t="s">
        <v>99</v>
      </c>
      <c r="BC647" s="138">
        <v>0</v>
      </c>
      <c r="BD647" s="141">
        <v>0</v>
      </c>
      <c r="BE647" s="28">
        <v>0</v>
      </c>
      <c r="BF647" s="28">
        <v>0</v>
      </c>
      <c r="BG647" s="28">
        <v>0</v>
      </c>
      <c r="BH647" s="138">
        <v>74519</v>
      </c>
      <c r="BI647" s="141">
        <v>18180</v>
      </c>
      <c r="BJ647" s="43">
        <v>25</v>
      </c>
      <c r="BK647" s="28" t="s">
        <v>100</v>
      </c>
      <c r="BL647" s="141"/>
    </row>
    <row r="648" spans="1:65" x14ac:dyDescent="0.3">
      <c r="A648" s="138" t="s">
        <v>93</v>
      </c>
      <c r="B648" s="138">
        <v>2902</v>
      </c>
      <c r="C648" s="141">
        <v>3926</v>
      </c>
      <c r="D648" s="28" t="s">
        <v>6</v>
      </c>
      <c r="E648" s="28" t="s">
        <v>60</v>
      </c>
      <c r="F648" s="28"/>
      <c r="G648" s="196">
        <v>5534</v>
      </c>
      <c r="H648" s="212" t="s">
        <v>6</v>
      </c>
      <c r="I648" s="28" t="s">
        <v>94</v>
      </c>
      <c r="J648" s="141" t="s">
        <v>6</v>
      </c>
      <c r="L648" s="138" t="s">
        <v>95</v>
      </c>
      <c r="M648" s="138">
        <v>0</v>
      </c>
      <c r="N648" s="196">
        <v>0</v>
      </c>
      <c r="O648" s="138"/>
      <c r="P648" s="196"/>
      <c r="Q648" s="141"/>
      <c r="R648" s="138"/>
      <c r="S648" s="196"/>
      <c r="T648" s="138" t="s">
        <v>96</v>
      </c>
      <c r="U648" s="141"/>
      <c r="AB648" s="138" t="s">
        <v>97</v>
      </c>
      <c r="AC648" s="138">
        <v>0</v>
      </c>
      <c r="AD648" s="141">
        <v>0</v>
      </c>
      <c r="AE648" s="28">
        <v>0</v>
      </c>
      <c r="AF648" s="28">
        <v>0</v>
      </c>
      <c r="AG648" s="28">
        <v>0</v>
      </c>
      <c r="AH648" s="138">
        <v>0</v>
      </c>
      <c r="AI648" s="141">
        <v>0</v>
      </c>
      <c r="AJ648" s="28">
        <v>0</v>
      </c>
      <c r="AK648" s="138"/>
      <c r="AL648" s="28" t="s">
        <v>529</v>
      </c>
      <c r="AM648" s="141"/>
      <c r="AP648" s="138" t="s">
        <v>122</v>
      </c>
      <c r="AQ648" s="138">
        <v>46</v>
      </c>
      <c r="AR648" s="141">
        <v>29</v>
      </c>
      <c r="AS648" s="138"/>
      <c r="AT648" s="141"/>
      <c r="AU648" s="28"/>
      <c r="AV648" s="28">
        <v>24</v>
      </c>
      <c r="AW648" s="28" t="s">
        <v>123</v>
      </c>
      <c r="AX648" s="28"/>
      <c r="AY648" s="141"/>
      <c r="BB648" s="199" t="s">
        <v>84</v>
      </c>
      <c r="BC648" s="138">
        <f>SUM(BC646:BC647)</f>
        <v>0</v>
      </c>
      <c r="BD648" s="141">
        <f>SUM(BD646:BD647)</f>
        <v>0</v>
      </c>
      <c r="BE648" s="143"/>
      <c r="BF648" s="143"/>
      <c r="BG648" s="143"/>
      <c r="BH648" s="142"/>
      <c r="BI648" s="146"/>
      <c r="BJ648" s="143">
        <v>0</v>
      </c>
      <c r="BK648" s="143" t="s">
        <v>506</v>
      </c>
      <c r="BL648" s="146">
        <f>SUM(BJ647:BJ648)</f>
        <v>25</v>
      </c>
    </row>
    <row r="649" spans="1:65" x14ac:dyDescent="0.3">
      <c r="A649" s="142"/>
      <c r="B649" s="142"/>
      <c r="C649" s="146"/>
      <c r="D649" s="143"/>
      <c r="E649" s="143"/>
      <c r="F649" s="143"/>
      <c r="G649" s="199"/>
      <c r="H649" s="142">
        <v>22</v>
      </c>
      <c r="I649" s="143" t="s">
        <v>101</v>
      </c>
      <c r="J649" s="146">
        <f>SUM(H647:H649)</f>
        <v>22</v>
      </c>
      <c r="L649" s="138" t="s">
        <v>102</v>
      </c>
      <c r="M649" s="138">
        <v>0</v>
      </c>
      <c r="N649" s="196">
        <v>0</v>
      </c>
      <c r="O649" s="138"/>
      <c r="P649" s="196"/>
      <c r="Q649" s="141"/>
      <c r="R649" s="138"/>
      <c r="S649" s="196"/>
      <c r="T649" s="138"/>
      <c r="U649" s="141"/>
      <c r="AB649" s="142" t="s">
        <v>84</v>
      </c>
      <c r="AC649" s="142">
        <f>SUM(AC647:AC648)</f>
        <v>0</v>
      </c>
      <c r="AD649" s="146">
        <f>SUM(AD647:AD648)</f>
        <v>0</v>
      </c>
      <c r="AE649" s="143"/>
      <c r="AF649" s="143"/>
      <c r="AG649" s="143"/>
      <c r="AH649" s="142"/>
      <c r="AI649" s="146"/>
      <c r="AJ649" s="143"/>
      <c r="AK649" s="142"/>
      <c r="AL649" s="143" t="s">
        <v>145</v>
      </c>
      <c r="AM649" s="146"/>
      <c r="AP649" s="138" t="s">
        <v>125</v>
      </c>
      <c r="AQ649" s="138">
        <v>0</v>
      </c>
      <c r="AR649" s="141">
        <v>0</v>
      </c>
      <c r="AS649" s="138"/>
      <c r="AT649" s="141"/>
      <c r="AU649" s="28"/>
      <c r="AV649" s="28">
        <v>95</v>
      </c>
      <c r="AW649" s="28" t="s">
        <v>126</v>
      </c>
      <c r="AX649" s="28"/>
      <c r="AY649" s="141"/>
      <c r="BB649" s="138" t="s">
        <v>89</v>
      </c>
      <c r="BC649" s="134">
        <v>554</v>
      </c>
      <c r="BD649" s="136">
        <v>508</v>
      </c>
      <c r="BH649" s="134"/>
      <c r="BI649" s="136"/>
      <c r="BJ649" s="28"/>
      <c r="BK649" s="28" t="s">
        <v>91</v>
      </c>
      <c r="BL649" s="141"/>
    </row>
    <row r="650" spans="1:65" x14ac:dyDescent="0.3">
      <c r="A650" s="138" t="s">
        <v>108</v>
      </c>
      <c r="B650" s="138">
        <v>0</v>
      </c>
      <c r="C650" s="28">
        <v>0</v>
      </c>
      <c r="D650" s="138"/>
      <c r="E650" s="28">
        <v>477</v>
      </c>
      <c r="F650" s="141"/>
      <c r="G650" s="141"/>
      <c r="H650" s="28" t="s">
        <v>104</v>
      </c>
      <c r="I650" s="28"/>
      <c r="J650" s="141"/>
      <c r="L650" s="142" t="s">
        <v>84</v>
      </c>
      <c r="M650" s="142">
        <v>0</v>
      </c>
      <c r="N650" s="199">
        <v>0</v>
      </c>
      <c r="O650" s="142">
        <v>0</v>
      </c>
      <c r="P650" s="199">
        <v>0</v>
      </c>
      <c r="Q650" s="146">
        <v>0</v>
      </c>
      <c r="R650" s="142">
        <v>0</v>
      </c>
      <c r="S650" s="199">
        <v>0</v>
      </c>
      <c r="T650" s="142"/>
      <c r="U650" s="146"/>
      <c r="AB650" s="134"/>
      <c r="AC650" s="134"/>
      <c r="AD650" s="136"/>
      <c r="AE650" s="135"/>
      <c r="AF650" s="135"/>
      <c r="AG650" s="135"/>
      <c r="AH650" s="134"/>
      <c r="AI650" s="136"/>
      <c r="AJ650" s="135"/>
      <c r="AK650" s="138" t="s">
        <v>1048</v>
      </c>
      <c r="AM650" s="136"/>
      <c r="AP650" s="138" t="s">
        <v>536</v>
      </c>
      <c r="AQ650" s="138">
        <v>13</v>
      </c>
      <c r="AR650" s="141">
        <v>19</v>
      </c>
      <c r="AS650" s="138"/>
      <c r="AT650" s="141"/>
      <c r="AU650" s="28"/>
      <c r="AV650" s="28">
        <v>41</v>
      </c>
      <c r="AW650" s="28" t="s">
        <v>129</v>
      </c>
      <c r="AX650" s="28"/>
      <c r="AY650" s="141"/>
      <c r="BA650" t="s">
        <v>6</v>
      </c>
      <c r="BB650" s="138" t="s">
        <v>137</v>
      </c>
      <c r="BC650" s="138">
        <v>355</v>
      </c>
      <c r="BD650" s="141">
        <v>353</v>
      </c>
      <c r="BH650" s="138"/>
      <c r="BI650" s="141"/>
      <c r="BJ650" s="43">
        <v>60</v>
      </c>
      <c r="BK650" s="43" t="s">
        <v>145</v>
      </c>
      <c r="BL650" s="141"/>
    </row>
    <row r="651" spans="1:65" x14ac:dyDescent="0.3">
      <c r="A651" s="138" t="s">
        <v>109</v>
      </c>
      <c r="B651" s="138">
        <v>1311</v>
      </c>
      <c r="C651" s="28">
        <v>1086</v>
      </c>
      <c r="D651" s="138"/>
      <c r="E651" s="28">
        <v>0</v>
      </c>
      <c r="F651" s="141"/>
      <c r="G651" s="141"/>
      <c r="H651" s="43">
        <v>7</v>
      </c>
      <c r="I651" s="28" t="s">
        <v>114</v>
      </c>
      <c r="J651" s="141"/>
      <c r="L651" s="134"/>
      <c r="M651" s="134"/>
      <c r="N651" s="195"/>
      <c r="O651" s="134"/>
      <c r="P651" s="195"/>
      <c r="Q651" s="136"/>
      <c r="R651" s="134"/>
      <c r="S651" s="195"/>
      <c r="T651" s="134" t="s">
        <v>104</v>
      </c>
      <c r="U651" s="136"/>
      <c r="AB651" s="138" t="s">
        <v>817</v>
      </c>
      <c r="AC651" s="138">
        <v>0</v>
      </c>
      <c r="AD651" s="141">
        <v>1097</v>
      </c>
      <c r="AE651" s="28">
        <v>0</v>
      </c>
      <c r="AF651" s="28">
        <v>0</v>
      </c>
      <c r="AG651" s="28">
        <v>0</v>
      </c>
      <c r="AH651" s="138">
        <v>0</v>
      </c>
      <c r="AI651" s="141">
        <v>0</v>
      </c>
      <c r="AJ651" s="28">
        <v>0</v>
      </c>
      <c r="AK651" s="138"/>
      <c r="AM651" s="141"/>
      <c r="AP651" s="138" t="s">
        <v>128</v>
      </c>
      <c r="AQ651" s="138">
        <v>0</v>
      </c>
      <c r="AR651" s="141">
        <v>3</v>
      </c>
      <c r="AS651" s="138"/>
      <c r="AT651" s="141"/>
      <c r="AU651" s="28"/>
      <c r="AV651" s="28"/>
      <c r="AW651" s="28"/>
      <c r="AX651" s="28"/>
      <c r="AY651" s="141"/>
      <c r="BA651" t="s">
        <v>6</v>
      </c>
      <c r="BB651" s="138" t="s">
        <v>113</v>
      </c>
      <c r="BC651" s="138">
        <v>696</v>
      </c>
      <c r="BD651" s="141">
        <v>673</v>
      </c>
      <c r="BH651" s="138"/>
      <c r="BI651" s="141"/>
      <c r="BJ651" s="43"/>
      <c r="BK651" s="28" t="s">
        <v>73</v>
      </c>
      <c r="BL651" s="141"/>
    </row>
    <row r="652" spans="1:65" x14ac:dyDescent="0.3">
      <c r="A652" s="138" t="s">
        <v>84</v>
      </c>
      <c r="B652" s="138">
        <f>SUM(B650:B651)</f>
        <v>1311</v>
      </c>
      <c r="C652" s="28">
        <f>SUM(C650:C651)</f>
        <v>1086</v>
      </c>
      <c r="D652" s="138"/>
      <c r="E652" s="28">
        <f>SUM(E650:E651)</f>
        <v>477</v>
      </c>
      <c r="F652" s="141"/>
      <c r="G652" s="141">
        <v>4875</v>
      </c>
      <c r="H652" s="28"/>
      <c r="I652" s="28"/>
      <c r="J652" s="141">
        <f>SUM(H651)</f>
        <v>7</v>
      </c>
      <c r="L652" s="138" t="s">
        <v>109</v>
      </c>
      <c r="M652" s="138">
        <v>15157</v>
      </c>
      <c r="N652" s="196">
        <v>0</v>
      </c>
      <c r="O652" s="138">
        <v>0</v>
      </c>
      <c r="P652" s="196">
        <v>0</v>
      </c>
      <c r="Q652" s="141">
        <v>0</v>
      </c>
      <c r="R652" s="138">
        <v>0</v>
      </c>
      <c r="S652" s="196">
        <v>0</v>
      </c>
      <c r="T652" s="138"/>
      <c r="U652" s="141"/>
      <c r="AB652" s="138" t="s">
        <v>1093</v>
      </c>
      <c r="AC652" s="138">
        <v>70</v>
      </c>
      <c r="AD652" s="141">
        <v>0</v>
      </c>
      <c r="AE652" s="28">
        <v>0</v>
      </c>
      <c r="AF652" s="28">
        <v>0</v>
      </c>
      <c r="AG652" s="28">
        <v>0</v>
      </c>
      <c r="AH652" s="138"/>
      <c r="AI652" s="141"/>
      <c r="AJ652" s="28"/>
      <c r="AK652" s="138">
        <v>9</v>
      </c>
      <c r="AL652" s="43" t="s">
        <v>359</v>
      </c>
      <c r="AM652" s="141"/>
      <c r="AP652" s="138" t="s">
        <v>81</v>
      </c>
      <c r="AQ652" s="138">
        <v>0</v>
      </c>
      <c r="AR652" s="141">
        <v>9</v>
      </c>
      <c r="AS652" s="138"/>
      <c r="AT652" s="141"/>
      <c r="AU652" s="28"/>
      <c r="AV652" s="28"/>
      <c r="AW652" s="28"/>
      <c r="AX652" s="28"/>
      <c r="AY652" s="141"/>
      <c r="BB652" s="138" t="s">
        <v>84</v>
      </c>
      <c r="BC652" s="138">
        <f>SUM(BC649:BC651)</f>
        <v>1605</v>
      </c>
      <c r="BD652" s="141">
        <f>SUM(BD649:BD651)</f>
        <v>1534</v>
      </c>
      <c r="BE652">
        <v>0</v>
      </c>
      <c r="BF652">
        <v>0</v>
      </c>
      <c r="BG652">
        <v>0</v>
      </c>
      <c r="BH652" s="138">
        <v>0</v>
      </c>
      <c r="BI652" s="141">
        <v>0</v>
      </c>
      <c r="BJ652" s="43">
        <v>31</v>
      </c>
      <c r="BK652" s="43" t="s">
        <v>1134</v>
      </c>
      <c r="BL652" s="141">
        <f>SUM(BJ650:BJ652)</f>
        <v>91</v>
      </c>
    </row>
    <row r="653" spans="1:65" x14ac:dyDescent="0.3">
      <c r="A653" s="134" t="s">
        <v>785</v>
      </c>
      <c r="B653" s="134">
        <v>0</v>
      </c>
      <c r="C653" s="136">
        <v>0</v>
      </c>
      <c r="D653" s="135"/>
      <c r="E653" s="135"/>
      <c r="F653" s="135"/>
      <c r="G653" s="195"/>
      <c r="H653" s="135" t="s">
        <v>1050</v>
      </c>
      <c r="I653" s="135"/>
      <c r="J653" s="136"/>
      <c r="L653" s="142"/>
      <c r="M653" s="142"/>
      <c r="N653" s="199"/>
      <c r="O653" s="142"/>
      <c r="P653" s="199"/>
      <c r="Q653" s="146"/>
      <c r="R653" s="142"/>
      <c r="S653" s="199"/>
      <c r="T653" s="142"/>
      <c r="U653" s="146"/>
      <c r="AB653" s="142"/>
      <c r="AC653" s="142">
        <f>SUM(AC651:AC652)</f>
        <v>70</v>
      </c>
      <c r="AD653" s="146">
        <f>SUM(AD651:AD652)</f>
        <v>1097</v>
      </c>
      <c r="AE653" s="143">
        <v>0</v>
      </c>
      <c r="AF653" s="143">
        <v>0</v>
      </c>
      <c r="AG653" s="143">
        <v>0</v>
      </c>
      <c r="AH653" s="142"/>
      <c r="AI653" s="146"/>
      <c r="AJ653" s="143"/>
      <c r="AK653" s="142"/>
      <c r="AL653" s="143"/>
      <c r="AM653" s="146"/>
      <c r="AP653" s="138" t="s">
        <v>138</v>
      </c>
      <c r="AQ653" s="138">
        <v>0</v>
      </c>
      <c r="AR653" s="141">
        <v>0</v>
      </c>
      <c r="AS653" s="138"/>
      <c r="AT653" s="141"/>
      <c r="AU653" s="28"/>
      <c r="AV653" s="28"/>
      <c r="AW653" s="28"/>
      <c r="AX653" s="28"/>
      <c r="AY653" s="141"/>
      <c r="BA653" t="s">
        <v>6</v>
      </c>
      <c r="BB653" s="134"/>
      <c r="BC653" s="134"/>
      <c r="BD653" s="136"/>
      <c r="BE653" s="135"/>
      <c r="BF653" s="135"/>
      <c r="BG653" s="135"/>
      <c r="BH653" s="134"/>
      <c r="BI653" s="136"/>
      <c r="BJ653" s="135" t="s">
        <v>1025</v>
      </c>
      <c r="BK653" s="135"/>
      <c r="BL653" s="136"/>
    </row>
    <row r="654" spans="1:65" x14ac:dyDescent="0.3">
      <c r="A654" s="138" t="s">
        <v>93</v>
      </c>
      <c r="B654" s="138">
        <v>7916</v>
      </c>
      <c r="C654" s="141">
        <v>8314</v>
      </c>
      <c r="D654" s="28"/>
      <c r="E654" s="28"/>
      <c r="F654" s="28"/>
      <c r="G654" s="196">
        <v>9100</v>
      </c>
      <c r="H654" s="28"/>
      <c r="I654" s="28" t="s">
        <v>75</v>
      </c>
      <c r="J654" s="141"/>
      <c r="L654" s="134" t="s">
        <v>93</v>
      </c>
      <c r="M654" s="134">
        <v>0</v>
      </c>
      <c r="N654" s="195">
        <v>0</v>
      </c>
      <c r="O654" s="134"/>
      <c r="P654" s="195"/>
      <c r="Q654" s="136"/>
      <c r="R654" s="134">
        <v>0</v>
      </c>
      <c r="S654" s="195">
        <v>0</v>
      </c>
      <c r="T654" s="134" t="s">
        <v>116</v>
      </c>
      <c r="U654" s="136"/>
      <c r="AB654" s="138"/>
      <c r="AC654" s="138" t="s">
        <v>150</v>
      </c>
      <c r="AD654" s="141"/>
      <c r="AE654" s="28"/>
      <c r="AF654" s="28"/>
      <c r="AG654" s="28"/>
      <c r="AH654" s="138"/>
      <c r="AI654" s="141"/>
      <c r="AJ654" s="28"/>
      <c r="AK654" s="138"/>
      <c r="AL654" s="28" t="s">
        <v>117</v>
      </c>
      <c r="AM654" s="141"/>
      <c r="AP654" s="138" t="s">
        <v>230</v>
      </c>
      <c r="AQ654" s="138">
        <v>0</v>
      </c>
      <c r="AR654" s="141">
        <v>0</v>
      </c>
      <c r="AS654" s="138"/>
      <c r="AT654" s="141"/>
      <c r="AU654" s="28"/>
      <c r="AV654" s="28"/>
      <c r="AW654" s="28"/>
      <c r="AX654" s="28"/>
      <c r="AY654" s="141"/>
      <c r="BB654" s="142" t="s">
        <v>64</v>
      </c>
      <c r="BC654" s="142">
        <v>47</v>
      </c>
      <c r="BD654" s="146">
        <v>66</v>
      </c>
      <c r="BE654" s="143"/>
      <c r="BF654" s="143"/>
      <c r="BG654" s="143"/>
      <c r="BH654" s="142"/>
      <c r="BI654" s="146"/>
      <c r="BJ654" s="143">
        <v>9</v>
      </c>
      <c r="BK654" s="143" t="s">
        <v>1026</v>
      </c>
      <c r="BL654" s="146">
        <f>SUM(BJ654)</f>
        <v>9</v>
      </c>
    </row>
    <row r="655" spans="1:65" ht="15" thickBot="1" x14ac:dyDescent="0.35">
      <c r="A655" s="138" t="s">
        <v>120</v>
      </c>
      <c r="B655" s="138">
        <v>4990</v>
      </c>
      <c r="C655" s="209">
        <v>5167</v>
      </c>
      <c r="D655" s="28"/>
      <c r="E655" s="28" t="s">
        <v>60</v>
      </c>
      <c r="F655" s="28"/>
      <c r="G655" s="196">
        <v>5755</v>
      </c>
      <c r="H655" s="28">
        <v>69</v>
      </c>
      <c r="I655" s="28" t="s">
        <v>101</v>
      </c>
      <c r="J655" s="141"/>
      <c r="L655" s="138" t="s">
        <v>99</v>
      </c>
      <c r="M655" s="138">
        <v>19827</v>
      </c>
      <c r="N655" s="196">
        <v>16881</v>
      </c>
      <c r="O655" s="138"/>
      <c r="P655" s="196"/>
      <c r="Q655" s="141"/>
      <c r="R655" s="138">
        <v>4792</v>
      </c>
      <c r="S655" s="196">
        <v>224</v>
      </c>
      <c r="T655" s="138"/>
      <c r="U655" s="141"/>
      <c r="AB655" s="138"/>
      <c r="AC655" s="138"/>
      <c r="AD655" s="141"/>
      <c r="AE655" s="28"/>
      <c r="AF655" s="28"/>
      <c r="AG655" s="28"/>
      <c r="AH655" s="138"/>
      <c r="AI655" s="141"/>
      <c r="AJ655" s="28"/>
      <c r="AK655" s="138"/>
      <c r="AL655" s="28" t="s">
        <v>558</v>
      </c>
      <c r="AM655" s="141"/>
      <c r="AP655" s="138" t="s">
        <v>67</v>
      </c>
      <c r="AQ655" s="138">
        <v>205</v>
      </c>
      <c r="AR655" s="141">
        <v>230</v>
      </c>
      <c r="AS655" s="138"/>
      <c r="AT655" s="141"/>
      <c r="AU655" s="28"/>
      <c r="AV655" s="28"/>
      <c r="AW655" s="28"/>
      <c r="AX655" s="28"/>
      <c r="AY655" s="141"/>
      <c r="BB655" s="138" t="s">
        <v>113</v>
      </c>
      <c r="BC655" s="138">
        <v>493</v>
      </c>
      <c r="BD655" s="141">
        <v>459</v>
      </c>
      <c r="BE655" s="28"/>
      <c r="BF655" s="28"/>
      <c r="BG655" s="28"/>
      <c r="BH655" s="138"/>
      <c r="BI655" s="141"/>
      <c r="BJ655" s="28" t="s">
        <v>994</v>
      </c>
      <c r="BK655" s="28"/>
      <c r="BL655" s="141"/>
    </row>
    <row r="656" spans="1:65" x14ac:dyDescent="0.3">
      <c r="A656" s="142" t="s">
        <v>84</v>
      </c>
      <c r="B656" s="142">
        <f>SUM(B653:B655)</f>
        <v>12906</v>
      </c>
      <c r="C656" s="146">
        <f>SUM(C653:C655)</f>
        <v>13481</v>
      </c>
      <c r="D656" s="143"/>
      <c r="E656" s="143"/>
      <c r="F656" s="143"/>
      <c r="G656" s="199">
        <f>SUM(G653:G655)</f>
        <v>14855</v>
      </c>
      <c r="H656" s="143">
        <v>21</v>
      </c>
      <c r="I656" s="143" t="s">
        <v>927</v>
      </c>
      <c r="J656" s="146">
        <f>SUM(H655:H656)</f>
        <v>90</v>
      </c>
      <c r="L656" s="138" t="s">
        <v>120</v>
      </c>
      <c r="M656" s="138">
        <v>656</v>
      </c>
      <c r="N656" s="196">
        <v>29765</v>
      </c>
      <c r="O656" s="138"/>
      <c r="P656" s="196"/>
      <c r="Q656" s="141" t="s">
        <v>6</v>
      </c>
      <c r="R656" s="138">
        <v>0</v>
      </c>
      <c r="S656" s="196">
        <v>0</v>
      </c>
      <c r="T656" s="138"/>
      <c r="U656" s="141"/>
      <c r="AB656" s="33"/>
      <c r="AC656" s="200"/>
      <c r="AD656" s="201"/>
      <c r="AE656" s="34"/>
      <c r="AF656" s="34"/>
      <c r="AG656" s="34"/>
      <c r="AH656" s="200"/>
      <c r="AI656" s="201"/>
      <c r="AJ656" s="34"/>
      <c r="AK656" s="200"/>
      <c r="AL656" s="34" t="s">
        <v>1210</v>
      </c>
      <c r="AM656" s="35"/>
      <c r="AP656" s="142" t="s">
        <v>84</v>
      </c>
      <c r="AQ656" s="142">
        <f>SUM(AQ643:AQ655)</f>
        <v>464</v>
      </c>
      <c r="AR656" s="146">
        <f>SUM(AR643:AR655)</f>
        <v>446</v>
      </c>
      <c r="AS656" s="142"/>
      <c r="AT656" s="146">
        <v>0</v>
      </c>
      <c r="AU656" s="143"/>
      <c r="AV656" s="143"/>
      <c r="AW656" s="143"/>
      <c r="AX656" s="143"/>
      <c r="AY656" s="146">
        <f>SUM(AV648:AV650)</f>
        <v>160</v>
      </c>
      <c r="BB656" s="138" t="s">
        <v>475</v>
      </c>
      <c r="BC656" s="138">
        <v>0</v>
      </c>
      <c r="BD656" s="141">
        <v>0</v>
      </c>
      <c r="BE656" s="28"/>
      <c r="BF656" s="28"/>
      <c r="BG656" s="28"/>
      <c r="BH656" s="138"/>
      <c r="BI656" s="141"/>
      <c r="BJ656" s="28">
        <v>19</v>
      </c>
      <c r="BK656" s="28" t="s">
        <v>100</v>
      </c>
      <c r="BL656" s="141"/>
      <c r="BM656">
        <f>46/2</f>
        <v>23</v>
      </c>
    </row>
    <row r="657" spans="1:64" ht="15" thickBot="1" x14ac:dyDescent="0.35">
      <c r="A657" s="196" t="s">
        <v>6</v>
      </c>
      <c r="B657" s="138" t="s">
        <v>6</v>
      </c>
      <c r="C657" s="141" t="s">
        <v>6</v>
      </c>
      <c r="D657" s="138"/>
      <c r="E657" s="28"/>
      <c r="F657" s="28"/>
      <c r="G657" s="196" t="s">
        <v>6</v>
      </c>
      <c r="H657" s="28" t="s">
        <v>131</v>
      </c>
      <c r="I657" s="28"/>
      <c r="J657" s="141"/>
      <c r="L657" s="142" t="s">
        <v>84</v>
      </c>
      <c r="M657" s="142">
        <f>SUM(M654:M656)</f>
        <v>20483</v>
      </c>
      <c r="N657" s="199">
        <f>SUM(N654:N656)</f>
        <v>46646</v>
      </c>
      <c r="O657" s="142">
        <v>0</v>
      </c>
      <c r="P657" s="199">
        <v>0</v>
      </c>
      <c r="Q657" s="146">
        <v>0</v>
      </c>
      <c r="R657" s="142">
        <f>SUM(R654:R656)</f>
        <v>4792</v>
      </c>
      <c r="S657" s="199">
        <f>SUM(S654:S656)</f>
        <v>224</v>
      </c>
      <c r="T657" s="142"/>
      <c r="U657" s="146"/>
      <c r="AB657" s="47" t="s">
        <v>99</v>
      </c>
      <c r="AC657" s="202"/>
      <c r="AD657" s="203"/>
      <c r="AE657" s="48"/>
      <c r="AF657" s="48"/>
      <c r="AG657" s="48"/>
      <c r="AH657" s="202">
        <v>69088</v>
      </c>
      <c r="AI657" s="203"/>
      <c r="AJ657" s="48"/>
      <c r="AK657" s="202">
        <v>1</v>
      </c>
      <c r="AL657" s="48" t="s">
        <v>401</v>
      </c>
      <c r="AM657" s="49"/>
      <c r="AP657" s="134"/>
      <c r="AQ657" s="134"/>
      <c r="AR657" s="136"/>
      <c r="AS657" s="134"/>
      <c r="AT657" s="136"/>
      <c r="AU657" s="135"/>
      <c r="AV657" s="135"/>
      <c r="AW657" s="135"/>
      <c r="AX657" s="135"/>
      <c r="AY657" s="136"/>
      <c r="BB657" s="142" t="s">
        <v>84</v>
      </c>
      <c r="BC657" s="142">
        <f>SUM(BC655:BC656)</f>
        <v>493</v>
      </c>
      <c r="BD657" s="146">
        <f>SUM(BD655:BD656)</f>
        <v>459</v>
      </c>
      <c r="BE657" s="143">
        <v>0</v>
      </c>
      <c r="BF657" s="143">
        <v>0</v>
      </c>
      <c r="BG657" s="143">
        <v>0</v>
      </c>
      <c r="BH657" s="142">
        <v>0</v>
      </c>
      <c r="BI657" s="146">
        <v>0</v>
      </c>
      <c r="BJ657" s="43">
        <v>23</v>
      </c>
      <c r="BK657" s="43" t="s">
        <v>73</v>
      </c>
      <c r="BL657" s="146">
        <f>SUM(BJ656:BJ657)</f>
        <v>42</v>
      </c>
    </row>
    <row r="658" spans="1:64" x14ac:dyDescent="0.3">
      <c r="A658" s="196" t="s">
        <v>88</v>
      </c>
      <c r="B658" s="138">
        <v>400</v>
      </c>
      <c r="C658" s="141">
        <v>1186</v>
      </c>
      <c r="D658" s="138"/>
      <c r="E658" s="28">
        <v>0</v>
      </c>
      <c r="F658" s="28"/>
      <c r="G658" s="196">
        <v>2837</v>
      </c>
      <c r="H658">
        <v>0</v>
      </c>
      <c r="I658" s="43" t="s">
        <v>1094</v>
      </c>
      <c r="J658" s="141"/>
      <c r="L658" s="134"/>
      <c r="M658" s="134"/>
      <c r="N658" s="195"/>
      <c r="O658" s="134"/>
      <c r="P658" s="195"/>
      <c r="Q658" s="136"/>
      <c r="R658" s="134"/>
      <c r="S658" s="195"/>
      <c r="T658" s="134"/>
      <c r="U658" s="136"/>
      <c r="AB658" s="138"/>
      <c r="AC658" s="138"/>
      <c r="AD658" s="141"/>
      <c r="AE658" s="28"/>
      <c r="AF658" s="28"/>
      <c r="AG658" s="28"/>
      <c r="AH658" s="138"/>
      <c r="AI658" s="141"/>
      <c r="AJ658" s="28"/>
      <c r="AK658" s="138"/>
      <c r="AL658" s="28"/>
      <c r="AM658" s="141"/>
      <c r="AP658" s="138" t="s">
        <v>63</v>
      </c>
      <c r="AQ658" s="138">
        <v>0</v>
      </c>
      <c r="AR658" s="141">
        <v>0</v>
      </c>
      <c r="AS658" s="138"/>
      <c r="AT658" s="141"/>
      <c r="AU658" s="28"/>
      <c r="AV658" s="28"/>
      <c r="AW658" s="28"/>
      <c r="AX658" s="28"/>
      <c r="AY658" s="141"/>
      <c r="BB658" s="196" t="s">
        <v>484</v>
      </c>
      <c r="BC658" s="138">
        <v>6</v>
      </c>
      <c r="BD658" s="141">
        <v>0</v>
      </c>
      <c r="BE658" s="134"/>
      <c r="BF658" s="135"/>
      <c r="BG658" s="136"/>
      <c r="BH658" s="138"/>
      <c r="BI658" s="141"/>
      <c r="BJ658" s="134" t="s">
        <v>140</v>
      </c>
      <c r="BK658" s="135"/>
      <c r="BL658" s="136"/>
    </row>
    <row r="659" spans="1:64" x14ac:dyDescent="0.3">
      <c r="A659" s="211" t="s">
        <v>99</v>
      </c>
      <c r="B659" s="212">
        <v>762</v>
      </c>
      <c r="C659" s="209">
        <v>982</v>
      </c>
      <c r="D659" s="138"/>
      <c r="E659" s="28">
        <v>0</v>
      </c>
      <c r="F659" s="28"/>
      <c r="G659" s="211">
        <v>2580</v>
      </c>
      <c r="H659" s="28">
        <v>0</v>
      </c>
      <c r="I659" s="215" t="s">
        <v>1072</v>
      </c>
      <c r="J659" s="141"/>
      <c r="L659" s="138" t="s">
        <v>105</v>
      </c>
      <c r="M659" s="138">
        <v>5842</v>
      </c>
      <c r="N659" s="196">
        <v>0</v>
      </c>
      <c r="O659" s="138">
        <v>0</v>
      </c>
      <c r="P659" s="196">
        <v>0</v>
      </c>
      <c r="Q659" s="141">
        <v>0</v>
      </c>
      <c r="R659" s="138">
        <v>0</v>
      </c>
      <c r="S659" s="196">
        <v>0</v>
      </c>
      <c r="T659" s="138"/>
      <c r="U659" s="141"/>
      <c r="AB659" s="138" t="s">
        <v>97</v>
      </c>
      <c r="AC659" s="138">
        <v>347</v>
      </c>
      <c r="AD659" s="141">
        <v>245</v>
      </c>
      <c r="AE659" s="28"/>
      <c r="AF659" s="28"/>
      <c r="AG659" s="28"/>
      <c r="AH659" s="138"/>
      <c r="AI659" s="141"/>
      <c r="AJ659" s="28"/>
      <c r="AK659" s="138" t="s">
        <v>953</v>
      </c>
      <c r="AL659" s="28"/>
      <c r="AM659" s="141"/>
      <c r="AP659" s="138" t="s">
        <v>536</v>
      </c>
      <c r="AQ659" s="138">
        <v>0</v>
      </c>
      <c r="AR659" s="141">
        <v>0</v>
      </c>
      <c r="AS659" s="138"/>
      <c r="AT659" s="141"/>
      <c r="AU659" s="28"/>
      <c r="AV659" s="28"/>
      <c r="AW659" s="28"/>
      <c r="AX659" s="28"/>
      <c r="AY659" s="141"/>
      <c r="BB659" s="196" t="s">
        <v>139</v>
      </c>
      <c r="BC659" s="138">
        <v>0</v>
      </c>
      <c r="BD659" s="141">
        <v>1</v>
      </c>
      <c r="BE659" s="138"/>
      <c r="BF659" s="28"/>
      <c r="BG659" s="141"/>
      <c r="BH659" s="138"/>
      <c r="BI659" s="141"/>
      <c r="BJ659" s="138"/>
      <c r="BK659" s="28"/>
      <c r="BL659" s="141"/>
    </row>
    <row r="660" spans="1:64" x14ac:dyDescent="0.3">
      <c r="A660" s="196" t="s">
        <v>102</v>
      </c>
      <c r="B660" s="138">
        <v>468</v>
      </c>
      <c r="C660" s="209">
        <v>631</v>
      </c>
      <c r="D660" s="138"/>
      <c r="E660" s="28">
        <v>0</v>
      </c>
      <c r="F660" s="28"/>
      <c r="G660" s="196">
        <v>1508</v>
      </c>
      <c r="H660" s="43">
        <v>30</v>
      </c>
      <c r="I660" s="28" t="s">
        <v>134</v>
      </c>
      <c r="J660" s="141"/>
      <c r="L660" s="138" t="s">
        <v>99</v>
      </c>
      <c r="M660" s="138">
        <v>0</v>
      </c>
      <c r="N660" s="196">
        <v>0</v>
      </c>
      <c r="O660" s="138">
        <v>0</v>
      </c>
      <c r="P660" s="196">
        <v>0</v>
      </c>
      <c r="Q660" s="141">
        <v>0</v>
      </c>
      <c r="R660" s="138">
        <v>0</v>
      </c>
      <c r="S660" s="196">
        <v>0</v>
      </c>
      <c r="T660" s="138" t="s">
        <v>135</v>
      </c>
      <c r="U660" s="141"/>
      <c r="AB660" s="138" t="s">
        <v>89</v>
      </c>
      <c r="AC660" s="138">
        <v>533</v>
      </c>
      <c r="AD660" s="141">
        <v>490</v>
      </c>
      <c r="AE660" s="28"/>
      <c r="AF660" s="28"/>
      <c r="AG660" s="28"/>
      <c r="AH660" s="138"/>
      <c r="AI660" s="141"/>
      <c r="AJ660" s="28"/>
      <c r="AK660" s="138">
        <v>0</v>
      </c>
      <c r="AL660" s="43" t="s">
        <v>145</v>
      </c>
      <c r="AM660" s="141"/>
      <c r="AP660" s="138" t="s">
        <v>56</v>
      </c>
      <c r="AQ660" s="138">
        <v>0</v>
      </c>
      <c r="AR660" s="141">
        <v>0</v>
      </c>
      <c r="AS660" s="138"/>
      <c r="AT660" s="141"/>
      <c r="AU660" s="28"/>
      <c r="AV660" s="28" t="s">
        <v>173</v>
      </c>
      <c r="AW660" s="28"/>
      <c r="AX660" s="28"/>
      <c r="AY660" s="141"/>
      <c r="BB660" s="196" t="s">
        <v>1211</v>
      </c>
      <c r="BC660" s="138">
        <v>5</v>
      </c>
      <c r="BD660" s="141">
        <v>0</v>
      </c>
      <c r="BE660" s="138"/>
      <c r="BF660" s="28"/>
      <c r="BG660" s="141"/>
      <c r="BH660" s="138"/>
      <c r="BI660" s="141"/>
      <c r="BJ660" s="138"/>
      <c r="BK660" s="28"/>
      <c r="BL660" s="141"/>
    </row>
    <row r="661" spans="1:64" x14ac:dyDescent="0.3">
      <c r="A661" s="196" t="s">
        <v>84</v>
      </c>
      <c r="B661" s="142">
        <f>SUM(B657:B660)</f>
        <v>1630</v>
      </c>
      <c r="C661" s="146">
        <f>SUM(C657:C660)</f>
        <v>2799</v>
      </c>
      <c r="D661" s="142"/>
      <c r="E661" s="143">
        <v>0</v>
      </c>
      <c r="F661" s="143"/>
      <c r="G661" s="199">
        <f>SUM(G658:G660)</f>
        <v>6925</v>
      </c>
      <c r="H661" s="143">
        <v>3</v>
      </c>
      <c r="I661" s="216" t="s">
        <v>815</v>
      </c>
      <c r="J661" s="146">
        <f>SUM(H658:H661)</f>
        <v>33</v>
      </c>
      <c r="L661" s="138"/>
      <c r="M661" s="138"/>
      <c r="N661" s="196"/>
      <c r="O661" s="138"/>
      <c r="P661" s="196"/>
      <c r="Q661" s="141"/>
      <c r="R661" s="138"/>
      <c r="S661" s="196"/>
      <c r="T661" s="138"/>
      <c r="U661" s="141"/>
      <c r="AB661" s="138" t="s">
        <v>137</v>
      </c>
      <c r="AC661" s="138">
        <v>358</v>
      </c>
      <c r="AD661" s="141">
        <v>277</v>
      </c>
      <c r="AE661" s="28"/>
      <c r="AF661" s="28"/>
      <c r="AG661" s="28"/>
      <c r="AH661" s="138"/>
      <c r="AI661" s="141"/>
      <c r="AJ661" s="28"/>
      <c r="AK661" s="138">
        <v>18</v>
      </c>
      <c r="AL661" s="28" t="s">
        <v>884</v>
      </c>
      <c r="AM661" s="141"/>
      <c r="AP661" s="138" t="s">
        <v>67</v>
      </c>
      <c r="AQ661" s="138">
        <v>0</v>
      </c>
      <c r="AR661" s="141">
        <v>8</v>
      </c>
      <c r="AS661" s="138"/>
      <c r="AT661" s="141"/>
      <c r="AU661" s="28"/>
      <c r="AV661" s="28"/>
      <c r="AW661" s="28"/>
      <c r="AX661" s="28"/>
      <c r="AY661" s="141"/>
      <c r="BB661" s="196" t="s">
        <v>113</v>
      </c>
      <c r="BC661" s="138">
        <f>20+4+2+5</f>
        <v>31</v>
      </c>
      <c r="BD661" s="141">
        <f>16+2+4+3+2+3</f>
        <v>30</v>
      </c>
      <c r="BE661" s="138"/>
      <c r="BF661" s="28"/>
      <c r="BG661" s="141"/>
      <c r="BH661" s="138"/>
      <c r="BI661" s="141"/>
      <c r="BJ661" s="138" t="s">
        <v>142</v>
      </c>
      <c r="BK661" s="28"/>
      <c r="BL661" s="141" t="s">
        <v>620</v>
      </c>
    </row>
    <row r="662" spans="1:64" x14ac:dyDescent="0.3">
      <c r="A662" s="195"/>
      <c r="B662" s="28"/>
      <c r="C662" s="28"/>
      <c r="D662" s="138"/>
      <c r="E662" s="28" t="s">
        <v>6</v>
      </c>
      <c r="F662" s="28"/>
      <c r="G662" s="196"/>
      <c r="H662" s="28" t="s">
        <v>116</v>
      </c>
      <c r="I662" s="28"/>
      <c r="J662" s="141"/>
      <c r="L662" s="142" t="s">
        <v>84</v>
      </c>
      <c r="M662" s="142">
        <f>SUM(M659:M661)</f>
        <v>5842</v>
      </c>
      <c r="N662" s="199">
        <f>SUM(N659:N661)</f>
        <v>0</v>
      </c>
      <c r="O662" s="142">
        <v>0</v>
      </c>
      <c r="P662" s="199">
        <v>0</v>
      </c>
      <c r="Q662" s="146">
        <v>0</v>
      </c>
      <c r="R662" s="142">
        <f>SUM(R659:R661)</f>
        <v>0</v>
      </c>
      <c r="S662" s="199">
        <v>0</v>
      </c>
      <c r="T662" s="142"/>
      <c r="U662" s="146"/>
      <c r="AB662" s="138" t="s">
        <v>84</v>
      </c>
      <c r="AC662" s="138">
        <f>SUM(AC659:AC661)</f>
        <v>1238</v>
      </c>
      <c r="AD662" s="141">
        <f>SUM(AD659:AD661)</f>
        <v>1012</v>
      </c>
      <c r="AE662" s="28">
        <v>0</v>
      </c>
      <c r="AF662" s="28">
        <v>0</v>
      </c>
      <c r="AG662" s="28">
        <v>0</v>
      </c>
      <c r="AH662" s="138">
        <v>0</v>
      </c>
      <c r="AI662" s="141">
        <v>0</v>
      </c>
      <c r="AJ662" s="28">
        <v>0</v>
      </c>
      <c r="AK662" s="138">
        <v>4</v>
      </c>
      <c r="AL662" s="28" t="s">
        <v>141</v>
      </c>
      <c r="AM662" s="141"/>
      <c r="AP662" s="138" t="s">
        <v>78</v>
      </c>
      <c r="AQ662" s="138">
        <v>0</v>
      </c>
      <c r="AR662" s="141">
        <v>0</v>
      </c>
      <c r="AS662" s="138"/>
      <c r="AT662" s="141"/>
      <c r="AU662" s="28"/>
      <c r="AV662" s="28">
        <v>3</v>
      </c>
      <c r="AW662" s="28" t="s">
        <v>183</v>
      </c>
      <c r="AX662" s="28"/>
      <c r="AY662" s="141"/>
      <c r="BB662" s="196" t="s">
        <v>108</v>
      </c>
      <c r="BC662" s="138">
        <v>8</v>
      </c>
      <c r="BD662" s="141">
        <v>2</v>
      </c>
      <c r="BE662" s="138"/>
      <c r="BF662" s="28"/>
      <c r="BG662" s="141"/>
      <c r="BH662" s="138"/>
      <c r="BI662" s="141"/>
      <c r="BJ662" s="138" t="s">
        <v>146</v>
      </c>
      <c r="BK662" s="28"/>
      <c r="BL662" s="141" t="s">
        <v>1212</v>
      </c>
    </row>
    <row r="663" spans="1:64" x14ac:dyDescent="0.3">
      <c r="A663" s="196" t="s">
        <v>93</v>
      </c>
      <c r="B663" s="43">
        <v>7145</v>
      </c>
      <c r="C663" s="43">
        <v>7216</v>
      </c>
      <c r="D663" s="138"/>
      <c r="E663" s="28" t="s">
        <v>60</v>
      </c>
      <c r="F663" s="28"/>
      <c r="G663" s="196">
        <v>9546</v>
      </c>
      <c r="H663" s="43">
        <v>126</v>
      </c>
      <c r="I663" s="28" t="s">
        <v>144</v>
      </c>
      <c r="J663" s="141"/>
      <c r="L663" s="138"/>
      <c r="M663" s="138"/>
      <c r="N663" s="196"/>
      <c r="O663" s="138"/>
      <c r="P663" s="196"/>
      <c r="Q663" s="141"/>
      <c r="R663" s="138"/>
      <c r="S663" s="196"/>
      <c r="T663" s="138"/>
      <c r="U663" s="141"/>
      <c r="AB663" s="142"/>
      <c r="AC663" s="142"/>
      <c r="AD663" s="146"/>
      <c r="AE663" s="143"/>
      <c r="AF663" s="143"/>
      <c r="AG663" s="143"/>
      <c r="AH663" s="142"/>
      <c r="AI663" s="146"/>
      <c r="AJ663" s="143"/>
      <c r="AK663" s="142">
        <v>0</v>
      </c>
      <c r="AL663" s="143" t="s">
        <v>996</v>
      </c>
      <c r="AM663" s="146"/>
      <c r="AP663" s="138" t="s">
        <v>115</v>
      </c>
      <c r="AQ663" s="138">
        <v>0</v>
      </c>
      <c r="AR663" s="141">
        <v>0</v>
      </c>
      <c r="AS663" s="138"/>
      <c r="AT663" s="141"/>
      <c r="AU663" s="28"/>
      <c r="AV663" s="28" t="s">
        <v>6</v>
      </c>
      <c r="AW663" s="28"/>
      <c r="AX663" s="28"/>
      <c r="AY663" s="141"/>
      <c r="BA663" t="s">
        <v>6</v>
      </c>
      <c r="BB663" s="196" t="s">
        <v>133</v>
      </c>
      <c r="BC663" s="138">
        <v>8</v>
      </c>
      <c r="BD663" s="141">
        <v>7</v>
      </c>
      <c r="BE663" s="138"/>
      <c r="BF663" s="28"/>
      <c r="BG663" s="141"/>
      <c r="BH663" s="138"/>
      <c r="BI663" s="141"/>
      <c r="BJ663" s="138"/>
      <c r="BK663" s="28"/>
      <c r="BL663" s="141"/>
    </row>
    <row r="664" spans="1:64" x14ac:dyDescent="0.3">
      <c r="A664" s="196" t="s">
        <v>99</v>
      </c>
      <c r="B664" s="43">
        <v>8413</v>
      </c>
      <c r="C664" s="43">
        <v>8463</v>
      </c>
      <c r="D664" s="138"/>
      <c r="E664" s="28" t="s">
        <v>60</v>
      </c>
      <c r="F664" s="28"/>
      <c r="G664" s="196">
        <v>10623</v>
      </c>
      <c r="H664" s="43">
        <v>1</v>
      </c>
      <c r="I664" s="28" t="s">
        <v>148</v>
      </c>
      <c r="J664" s="141"/>
      <c r="L664" s="138"/>
      <c r="M664" s="138"/>
      <c r="N664" s="196"/>
      <c r="O664" s="138"/>
      <c r="P664" s="196"/>
      <c r="Q664" s="141"/>
      <c r="R664" s="138"/>
      <c r="S664" s="196"/>
      <c r="T664" s="138"/>
      <c r="U664" s="141"/>
      <c r="AB664" s="138"/>
      <c r="AC664" s="138"/>
      <c r="AD664" s="141"/>
      <c r="AE664" s="28"/>
      <c r="AF664" s="28"/>
      <c r="AG664" s="28"/>
      <c r="AH664" s="138"/>
      <c r="AI664" s="141"/>
      <c r="AJ664" s="28"/>
      <c r="AK664" s="134" t="s">
        <v>149</v>
      </c>
      <c r="AL664" s="135"/>
      <c r="AM664" s="136"/>
      <c r="AP664" s="138" t="s">
        <v>72</v>
      </c>
      <c r="AQ664" s="138">
        <v>0</v>
      </c>
      <c r="AR664" s="141">
        <v>0</v>
      </c>
      <c r="AS664" s="138"/>
      <c r="AT664" s="141"/>
      <c r="AU664" s="28"/>
      <c r="AV664" s="28"/>
      <c r="AW664" s="28"/>
      <c r="AX664" s="28"/>
      <c r="AY664" s="141"/>
      <c r="BB664" s="196" t="s">
        <v>99</v>
      </c>
      <c r="BC664" s="138">
        <v>1</v>
      </c>
      <c r="BD664" s="141">
        <v>2</v>
      </c>
      <c r="BE664" s="138" t="s">
        <v>150</v>
      </c>
      <c r="BF664" s="28"/>
      <c r="BG664" s="141"/>
      <c r="BH664" s="138"/>
      <c r="BI664" s="141"/>
      <c r="BJ664" s="138" t="s">
        <v>151</v>
      </c>
      <c r="BK664" s="28"/>
      <c r="BL664" s="141"/>
    </row>
    <row r="665" spans="1:64" x14ac:dyDescent="0.3">
      <c r="A665" s="196" t="s">
        <v>120</v>
      </c>
      <c r="B665" s="43">
        <v>3646</v>
      </c>
      <c r="C665" s="28">
        <v>3884</v>
      </c>
      <c r="D665" s="138"/>
      <c r="E665" s="28" t="s">
        <v>60</v>
      </c>
      <c r="F665" s="28"/>
      <c r="G665" s="196">
        <v>4836</v>
      </c>
      <c r="H665" s="43">
        <v>23</v>
      </c>
      <c r="I665" s="28" t="s">
        <v>152</v>
      </c>
      <c r="J665" s="141"/>
      <c r="L665" s="138"/>
      <c r="M665" s="138"/>
      <c r="N665" s="196"/>
      <c r="O665" s="138"/>
      <c r="P665" s="196"/>
      <c r="Q665" s="141"/>
      <c r="R665" s="138"/>
      <c r="S665" s="196"/>
      <c r="T665" s="138"/>
      <c r="U665" s="141"/>
      <c r="AB665" s="138" t="s">
        <v>99</v>
      </c>
      <c r="AC665" s="138">
        <v>0</v>
      </c>
      <c r="AD665" s="141">
        <v>0</v>
      </c>
      <c r="AE665" s="28">
        <v>0</v>
      </c>
      <c r="AF665" s="28">
        <v>0</v>
      </c>
      <c r="AG665" s="28">
        <v>0</v>
      </c>
      <c r="AH665" s="138">
        <v>24912</v>
      </c>
      <c r="AI665" s="141">
        <v>3581</v>
      </c>
      <c r="AJ665" s="28">
        <v>0</v>
      </c>
      <c r="AK665" s="138">
        <v>4</v>
      </c>
      <c r="AL665" s="28" t="s">
        <v>153</v>
      </c>
      <c r="AM665" s="141"/>
      <c r="AP665" s="142" t="s">
        <v>84</v>
      </c>
      <c r="AQ665" s="142">
        <f>SUM(AQ658:AQ664)</f>
        <v>0</v>
      </c>
      <c r="AR665" s="146">
        <f>SUM(AR658:AR664)</f>
        <v>8</v>
      </c>
      <c r="AS665" s="142"/>
      <c r="AT665" s="146"/>
      <c r="AU665" s="143"/>
      <c r="AV665" s="143"/>
      <c r="AW665" s="143"/>
      <c r="AX665" s="143"/>
      <c r="AY665" s="146">
        <f>SUM(AV662)</f>
        <v>3</v>
      </c>
      <c r="BB665" s="196" t="s">
        <v>85</v>
      </c>
      <c r="BC665" s="138">
        <f>5+9</f>
        <v>14</v>
      </c>
      <c r="BD665" s="141">
        <v>0</v>
      </c>
      <c r="BE665" s="138"/>
      <c r="BF665" s="28"/>
      <c r="BG665" s="141"/>
      <c r="BH665" s="138"/>
      <c r="BI665" s="141"/>
      <c r="BJ665" s="138" t="s">
        <v>1213</v>
      </c>
      <c r="BK665" s="28" t="s">
        <v>1214</v>
      </c>
      <c r="BL665" s="141" t="s">
        <v>1215</v>
      </c>
    </row>
    <row r="666" spans="1:64" x14ac:dyDescent="0.3">
      <c r="A666" s="199" t="s">
        <v>84</v>
      </c>
      <c r="B666" s="143">
        <f>SUM(B663:B665)</f>
        <v>19204</v>
      </c>
      <c r="C666" s="143">
        <f>SUM(C663:C665)</f>
        <v>19563</v>
      </c>
      <c r="D666" s="142"/>
      <c r="E666" s="143"/>
      <c r="F666" s="143"/>
      <c r="G666" s="199">
        <f>SUM(G663:G665)</f>
        <v>25005</v>
      </c>
      <c r="H666" s="143">
        <v>0</v>
      </c>
      <c r="I666" s="143" t="s">
        <v>958</v>
      </c>
      <c r="J666" s="146">
        <f>SUM(H663:H666)</f>
        <v>150</v>
      </c>
      <c r="L666" s="138"/>
      <c r="M666" s="138"/>
      <c r="N666" s="196"/>
      <c r="O666" s="138"/>
      <c r="P666" s="196"/>
      <c r="Q666" s="141"/>
      <c r="R666" s="138"/>
      <c r="S666" s="196"/>
      <c r="T666" s="138"/>
      <c r="U666" s="141"/>
      <c r="AB666" s="138"/>
      <c r="AC666" s="138"/>
      <c r="AD666" s="141"/>
      <c r="AE666" s="28"/>
      <c r="AF666" s="28"/>
      <c r="AG666" s="28"/>
      <c r="AH666" s="138"/>
      <c r="AI666" s="141"/>
      <c r="AJ666" s="28"/>
      <c r="AK666" s="142"/>
      <c r="AL666" s="143"/>
      <c r="AM666" s="146"/>
      <c r="AP666" s="134"/>
      <c r="AQ666" s="134"/>
      <c r="AR666" s="136"/>
      <c r="AS666" s="134"/>
      <c r="AT666" s="136"/>
      <c r="AU666" s="135"/>
      <c r="AV666" s="135"/>
      <c r="AW666" s="135"/>
      <c r="AX666" s="135"/>
      <c r="AY666" s="136"/>
      <c r="BB666" s="196" t="s">
        <v>358</v>
      </c>
      <c r="BC666" s="138">
        <v>8</v>
      </c>
      <c r="BD666" s="141">
        <v>10</v>
      </c>
      <c r="BE666" s="138"/>
      <c r="BF666" s="28"/>
      <c r="BG666" s="141"/>
      <c r="BH666" s="138"/>
      <c r="BI666" s="141"/>
      <c r="BJ666" s="138" t="s">
        <v>625</v>
      </c>
      <c r="BK666" s="28" t="s">
        <v>1216</v>
      </c>
      <c r="BL666" s="141" t="s">
        <v>1217</v>
      </c>
    </row>
    <row r="667" spans="1:64" x14ac:dyDescent="0.3">
      <c r="A667" s="195"/>
      <c r="B667" s="135"/>
      <c r="C667" s="135"/>
      <c r="D667" s="134"/>
      <c r="E667" s="135"/>
      <c r="F667" s="135"/>
      <c r="G667" s="195"/>
      <c r="H667" s="135" t="s">
        <v>162</v>
      </c>
      <c r="I667" s="135"/>
      <c r="J667" s="136"/>
      <c r="L667" s="138"/>
      <c r="M667" s="138"/>
      <c r="N667" s="196"/>
      <c r="O667" s="138"/>
      <c r="P667" s="196"/>
      <c r="Q667" s="141"/>
      <c r="R667" s="138"/>
      <c r="S667" s="196"/>
      <c r="T667" s="138"/>
      <c r="U667" s="141"/>
      <c r="AB667" s="134" t="s">
        <v>99</v>
      </c>
      <c r="AC667" s="134">
        <v>0</v>
      </c>
      <c r="AD667" s="136">
        <v>0</v>
      </c>
      <c r="AE667" s="135">
        <v>0</v>
      </c>
      <c r="AF667" s="135">
        <v>0</v>
      </c>
      <c r="AG667" s="135">
        <v>0</v>
      </c>
      <c r="AH667" s="134">
        <v>392612</v>
      </c>
      <c r="AI667" s="136">
        <v>74430</v>
      </c>
      <c r="AJ667" s="135">
        <v>0</v>
      </c>
      <c r="AK667" s="134" t="s">
        <v>157</v>
      </c>
      <c r="AL667" s="135"/>
      <c r="AM667" s="136"/>
      <c r="AP667" s="138" t="s">
        <v>63</v>
      </c>
      <c r="AQ667" s="138">
        <f>1+4</f>
        <v>5</v>
      </c>
      <c r="AR667" s="141">
        <f>3+6</f>
        <v>9</v>
      </c>
      <c r="AS667" s="138"/>
      <c r="AT667" s="141"/>
      <c r="AU667" s="28"/>
      <c r="AV667" s="28" t="s">
        <v>140</v>
      </c>
      <c r="AW667" s="28"/>
      <c r="AX667" s="28"/>
      <c r="AY667" s="141"/>
      <c r="BB667" s="196" t="s">
        <v>107</v>
      </c>
      <c r="BC667" s="138">
        <v>0</v>
      </c>
      <c r="BD667" s="141">
        <v>2</v>
      </c>
      <c r="BE667" s="138"/>
      <c r="BF667" s="28"/>
      <c r="BG667" s="141"/>
      <c r="BH667" s="138"/>
      <c r="BI667" s="141"/>
      <c r="BJ667" s="138" t="s">
        <v>671</v>
      </c>
      <c r="BK667" s="28" t="s">
        <v>180</v>
      </c>
      <c r="BL667" s="141" t="s">
        <v>1218</v>
      </c>
    </row>
    <row r="668" spans="1:64" x14ac:dyDescent="0.3">
      <c r="A668" s="196" t="s">
        <v>105</v>
      </c>
      <c r="B668" s="43">
        <v>1538</v>
      </c>
      <c r="C668" s="43">
        <v>1456</v>
      </c>
      <c r="D668" s="138"/>
      <c r="E668" s="28">
        <v>1157</v>
      </c>
      <c r="F668" s="28"/>
      <c r="G668" s="196"/>
      <c r="H668" s="28"/>
      <c r="I668" s="28"/>
      <c r="J668" s="141"/>
      <c r="L668" s="142" t="s">
        <v>84</v>
      </c>
      <c r="M668" s="142">
        <f t="shared" ref="M668:S668" si="10">SUM(M662+M657+M652+M650+M645+M641)</f>
        <v>55129</v>
      </c>
      <c r="N668" s="199">
        <f t="shared" si="10"/>
        <v>54677</v>
      </c>
      <c r="O668" s="142">
        <f t="shared" si="10"/>
        <v>0</v>
      </c>
      <c r="P668" s="199">
        <f t="shared" si="10"/>
        <v>0</v>
      </c>
      <c r="Q668" s="143">
        <f t="shared" si="10"/>
        <v>0</v>
      </c>
      <c r="R668" s="142">
        <f t="shared" si="10"/>
        <v>4997</v>
      </c>
      <c r="S668" s="199">
        <f t="shared" si="10"/>
        <v>224</v>
      </c>
      <c r="T668" s="142"/>
      <c r="U668" s="146"/>
      <c r="AB668" s="138" t="s">
        <v>6</v>
      </c>
      <c r="AC668" s="138"/>
      <c r="AD668" s="141"/>
      <c r="AE668" s="28"/>
      <c r="AF668" s="28"/>
      <c r="AG668" s="28"/>
      <c r="AH668" s="138"/>
      <c r="AI668" s="141"/>
      <c r="AJ668" s="28"/>
      <c r="AK668" s="138"/>
      <c r="AL668" s="28" t="s">
        <v>163</v>
      </c>
      <c r="AM668" s="141"/>
      <c r="AP668" s="138" t="s">
        <v>78</v>
      </c>
      <c r="AQ668" s="138">
        <f>15+1+3+4+15+2</f>
        <v>40</v>
      </c>
      <c r="AR668" s="141">
        <f>6+3+1+7</f>
        <v>17</v>
      </c>
      <c r="AS668" s="138"/>
      <c r="AT668" s="141"/>
      <c r="AU668" s="28"/>
      <c r="AV668" s="28">
        <v>11</v>
      </c>
      <c r="AW668" s="28" t="s">
        <v>1159</v>
      </c>
      <c r="AX668" s="28">
        <v>1</v>
      </c>
      <c r="AY668" s="141" t="s">
        <v>1219</v>
      </c>
      <c r="BB668" s="196" t="s">
        <v>169</v>
      </c>
      <c r="BC668" s="138">
        <v>0</v>
      </c>
      <c r="BD668" s="141">
        <v>2</v>
      </c>
      <c r="BE668" s="138"/>
      <c r="BF668" s="28"/>
      <c r="BG668" s="141"/>
      <c r="BH668" s="138"/>
      <c r="BI668" s="141"/>
      <c r="BJ668" s="138" t="s">
        <v>1220</v>
      </c>
      <c r="BK668" s="43" t="s">
        <v>482</v>
      </c>
      <c r="BL668" s="141" t="s">
        <v>330</v>
      </c>
    </row>
    <row r="669" spans="1:64" ht="15" thickBot="1" x14ac:dyDescent="0.35">
      <c r="A669" s="196" t="s">
        <v>99</v>
      </c>
      <c r="B669" s="43">
        <v>798</v>
      </c>
      <c r="C669" s="43">
        <v>778</v>
      </c>
      <c r="D669" s="138"/>
      <c r="E669" s="28">
        <v>1435</v>
      </c>
      <c r="F669" s="28"/>
      <c r="G669" s="196"/>
      <c r="H669" s="43">
        <v>42</v>
      </c>
      <c r="I669" s="28" t="s">
        <v>101</v>
      </c>
      <c r="J669" s="141"/>
      <c r="AB669" s="138" t="s">
        <v>6</v>
      </c>
      <c r="AC669" s="138"/>
      <c r="AD669" s="141"/>
      <c r="AE669" s="28"/>
      <c r="AF669" s="28"/>
      <c r="AG669" s="28"/>
      <c r="AH669" s="138"/>
      <c r="AI669" s="141"/>
      <c r="AJ669" s="28"/>
      <c r="AK669" s="142">
        <v>18</v>
      </c>
      <c r="AL669" s="143" t="s">
        <v>153</v>
      </c>
      <c r="AM669" s="146"/>
      <c r="AP669" s="138" t="s">
        <v>209</v>
      </c>
      <c r="AQ669" s="138">
        <v>0</v>
      </c>
      <c r="AR669" s="141">
        <v>0</v>
      </c>
      <c r="AS669" s="138"/>
      <c r="AT669" s="141"/>
      <c r="AU669" s="28"/>
      <c r="AV669" s="28">
        <v>2</v>
      </c>
      <c r="AW669" s="28" t="s">
        <v>204</v>
      </c>
      <c r="AX669" s="28">
        <v>4</v>
      </c>
      <c r="AY669" s="141" t="s">
        <v>1221</v>
      </c>
      <c r="BB669" s="196" t="s">
        <v>1222</v>
      </c>
      <c r="BC669" s="138">
        <v>0</v>
      </c>
      <c r="BD669" s="141">
        <v>0</v>
      </c>
      <c r="BE669" s="138"/>
      <c r="BF669" s="28"/>
      <c r="BG669" s="141"/>
      <c r="BH669" s="138">
        <v>2682</v>
      </c>
      <c r="BI669" s="141"/>
      <c r="BJ669" s="138" t="s">
        <v>1223</v>
      </c>
      <c r="BK669" s="43" t="s">
        <v>207</v>
      </c>
      <c r="BL669" s="141" t="s">
        <v>287</v>
      </c>
    </row>
    <row r="670" spans="1:64" x14ac:dyDescent="0.3">
      <c r="A670" s="199" t="s">
        <v>84</v>
      </c>
      <c r="B670" s="143">
        <f>SUM(B667:B669)</f>
        <v>2336</v>
      </c>
      <c r="C670" s="143">
        <f>SUM(C667:C669)</f>
        <v>2234</v>
      </c>
      <c r="D670" s="142"/>
      <c r="E670" s="143">
        <f>SUM(E667:E669)</f>
        <v>2592</v>
      </c>
      <c r="F670" s="143"/>
      <c r="G670" s="199">
        <v>9933</v>
      </c>
      <c r="H670" s="143"/>
      <c r="I670" s="143"/>
      <c r="J670" s="146">
        <f>SUM(H669)</f>
        <v>42</v>
      </c>
      <c r="AB670" s="33" t="s">
        <v>306</v>
      </c>
      <c r="AC670" s="200">
        <v>70</v>
      </c>
      <c r="AD670" s="201">
        <v>70</v>
      </c>
      <c r="AE670" s="34">
        <v>0</v>
      </c>
      <c r="AF670" s="34">
        <v>0</v>
      </c>
      <c r="AG670" s="34">
        <v>0</v>
      </c>
      <c r="AH670" s="200">
        <v>0</v>
      </c>
      <c r="AI670" s="201">
        <v>0</v>
      </c>
      <c r="AJ670" s="34"/>
      <c r="AK670" s="138" t="s">
        <v>1224</v>
      </c>
      <c r="AL670" s="28"/>
      <c r="AM670" s="40"/>
      <c r="AP670" s="138" t="s">
        <v>168</v>
      </c>
      <c r="AQ670" s="138">
        <v>0</v>
      </c>
      <c r="AR670" s="141">
        <v>0</v>
      </c>
      <c r="AS670" s="138"/>
      <c r="AT670" s="141"/>
      <c r="AU670" s="28"/>
      <c r="AV670" s="28">
        <v>15</v>
      </c>
      <c r="AW670" s="28" t="s">
        <v>1225</v>
      </c>
      <c r="AX670" s="28">
        <v>1</v>
      </c>
      <c r="AY670" s="141" t="s">
        <v>471</v>
      </c>
      <c r="BB670" s="196" t="s">
        <v>97</v>
      </c>
      <c r="BC670" s="138">
        <v>0</v>
      </c>
      <c r="BD670" s="141">
        <v>3</v>
      </c>
      <c r="BE670" s="138"/>
      <c r="BF670" s="28"/>
      <c r="BG670" s="141"/>
      <c r="BH670" s="138"/>
      <c r="BI670" s="141"/>
      <c r="BJ670" s="217" t="s">
        <v>1226</v>
      </c>
      <c r="BK670" s="215" t="s">
        <v>1227</v>
      </c>
      <c r="BL670" s="141" t="s">
        <v>377</v>
      </c>
    </row>
    <row r="671" spans="1:64" ht="15" thickBot="1" x14ac:dyDescent="0.35">
      <c r="A671" s="196" t="s">
        <v>6</v>
      </c>
      <c r="B671" s="135"/>
      <c r="C671" s="135"/>
      <c r="D671" s="134"/>
      <c r="E671" s="135" t="s">
        <v>60</v>
      </c>
      <c r="F671" s="136"/>
      <c r="G671" s="135"/>
      <c r="H671" s="134" t="s">
        <v>182</v>
      </c>
      <c r="I671" s="135"/>
      <c r="J671" s="136"/>
      <c r="AB671" s="47"/>
      <c r="AC671" s="202"/>
      <c r="AD671" s="203"/>
      <c r="AE671" s="48"/>
      <c r="AF671" s="48"/>
      <c r="AG671" s="48"/>
      <c r="AH671" s="202"/>
      <c r="AI671" s="203"/>
      <c r="AJ671" s="48"/>
      <c r="AK671" s="202">
        <v>2</v>
      </c>
      <c r="AL671" s="48" t="s">
        <v>1228</v>
      </c>
      <c r="AM671" s="49"/>
      <c r="AP671" s="138" t="s">
        <v>81</v>
      </c>
      <c r="AQ671" s="138">
        <v>0</v>
      </c>
      <c r="AR671" s="141">
        <v>0</v>
      </c>
      <c r="AS671" s="138"/>
      <c r="AT671" s="141"/>
      <c r="AU671" s="28"/>
      <c r="AV671" s="43">
        <f>24+13+2</f>
        <v>39</v>
      </c>
      <c r="AW671" s="28" t="s">
        <v>213</v>
      </c>
      <c r="AX671" s="28">
        <v>1</v>
      </c>
      <c r="AY671" s="141" t="s">
        <v>1229</v>
      </c>
      <c r="BB671" s="219" t="s">
        <v>1230</v>
      </c>
      <c r="BC671" s="138">
        <v>3</v>
      </c>
      <c r="BD671" s="141">
        <v>3</v>
      </c>
      <c r="BE671" s="138"/>
      <c r="BF671" s="28"/>
      <c r="BG671" s="141"/>
      <c r="BH671" s="138"/>
      <c r="BI671" s="141"/>
      <c r="BJ671" s="138" t="s">
        <v>276</v>
      </c>
      <c r="BK671" s="222" t="s">
        <v>348</v>
      </c>
      <c r="BL671" s="141" t="s">
        <v>1231</v>
      </c>
    </row>
    <row r="672" spans="1:64" x14ac:dyDescent="0.3">
      <c r="A672" s="196" t="s">
        <v>181</v>
      </c>
      <c r="B672" s="28">
        <v>2643</v>
      </c>
      <c r="C672" s="28">
        <v>2673</v>
      </c>
      <c r="D672" s="138"/>
      <c r="E672" s="28" t="s">
        <v>60</v>
      </c>
      <c r="F672" s="141"/>
      <c r="G672" s="28">
        <v>3462</v>
      </c>
      <c r="H672" s="138">
        <v>22</v>
      </c>
      <c r="I672" s="28" t="s">
        <v>94</v>
      </c>
      <c r="J672" s="141"/>
      <c r="M672" s="229"/>
      <c r="AB672" s="33"/>
      <c r="AC672" s="33"/>
      <c r="AD672" s="35"/>
      <c r="AE672" s="34"/>
      <c r="AF672" s="34"/>
      <c r="AG672" s="34"/>
      <c r="AH672" s="33"/>
      <c r="AI672" s="35"/>
      <c r="AJ672" s="32"/>
      <c r="AK672" s="34" t="s">
        <v>1232</v>
      </c>
      <c r="AL672" s="34"/>
      <c r="AM672" s="35"/>
      <c r="AP672" s="138" t="s">
        <v>72</v>
      </c>
      <c r="AQ672" s="138">
        <f>11+2+1</f>
        <v>14</v>
      </c>
      <c r="AR672" s="141">
        <f>19+4+1</f>
        <v>24</v>
      </c>
      <c r="AS672" s="138"/>
      <c r="AT672" s="141"/>
      <c r="AU672" s="28"/>
      <c r="AV672" s="43">
        <v>12</v>
      </c>
      <c r="AW672" s="28" t="s">
        <v>1038</v>
      </c>
      <c r="AX672" s="43">
        <v>1</v>
      </c>
      <c r="AY672" s="141" t="s">
        <v>1233</v>
      </c>
      <c r="BB672" s="196" t="s">
        <v>64</v>
      </c>
      <c r="BC672" s="138">
        <v>2</v>
      </c>
      <c r="BD672" s="141">
        <v>0</v>
      </c>
      <c r="BE672" s="138"/>
      <c r="BF672" s="28"/>
      <c r="BG672" s="141"/>
      <c r="BH672" s="138"/>
      <c r="BI672" s="141"/>
      <c r="BJ672" s="223" t="s">
        <v>1234</v>
      </c>
      <c r="BK672" s="43"/>
      <c r="BL672" s="209" t="s">
        <v>1235</v>
      </c>
    </row>
    <row r="673" spans="1:64" ht="15" thickBot="1" x14ac:dyDescent="0.35">
      <c r="A673" s="196" t="s">
        <v>84</v>
      </c>
      <c r="B673" s="28">
        <f>SUM(B671:B672)</f>
        <v>2643</v>
      </c>
      <c r="C673" s="28">
        <f>SUM(C671:C672)</f>
        <v>2673</v>
      </c>
      <c r="D673" s="138"/>
      <c r="E673" s="28" t="s">
        <v>60</v>
      </c>
      <c r="F673" s="141"/>
      <c r="G673" s="28"/>
      <c r="H673" s="138">
        <v>2</v>
      </c>
      <c r="I673" s="28" t="s">
        <v>101</v>
      </c>
      <c r="J673" s="141"/>
      <c r="AB673" s="47" t="s">
        <v>1236</v>
      </c>
      <c r="AC673" s="47"/>
      <c r="AD673" s="49"/>
      <c r="AE673" s="48"/>
      <c r="AF673" s="48"/>
      <c r="AG673" s="48"/>
      <c r="AH673" s="47"/>
      <c r="AI673" s="49"/>
      <c r="AJ673" s="46"/>
      <c r="AK673" s="48">
        <v>1</v>
      </c>
      <c r="AL673" s="48" t="s">
        <v>1237</v>
      </c>
      <c r="AM673" s="49"/>
      <c r="AP673" s="138" t="s">
        <v>115</v>
      </c>
      <c r="AQ673" s="138">
        <v>1</v>
      </c>
      <c r="AR673" s="141">
        <v>2</v>
      </c>
      <c r="AS673" s="138"/>
      <c r="AT673" s="141"/>
      <c r="AU673" s="28"/>
      <c r="AV673" s="43">
        <v>8</v>
      </c>
      <c r="AW673" s="43" t="s">
        <v>655</v>
      </c>
      <c r="AX673" s="43">
        <v>1</v>
      </c>
      <c r="AY673" s="141" t="s">
        <v>1238</v>
      </c>
      <c r="BB673" s="196" t="s">
        <v>526</v>
      </c>
      <c r="BC673" s="138">
        <v>0</v>
      </c>
      <c r="BD673" s="141">
        <v>15</v>
      </c>
      <c r="BE673" s="138"/>
      <c r="BF673" s="28"/>
      <c r="BG673" s="141"/>
      <c r="BH673" s="138"/>
      <c r="BI673" s="141"/>
      <c r="BJ673" s="138" t="s">
        <v>1239</v>
      </c>
      <c r="BK673" s="43" t="s">
        <v>490</v>
      </c>
      <c r="BL673" s="213" t="s">
        <v>664</v>
      </c>
    </row>
    <row r="674" spans="1:64" ht="15" thickBot="1" x14ac:dyDescent="0.35">
      <c r="A674" s="199"/>
      <c r="B674" s="28"/>
      <c r="C674" s="28"/>
      <c r="D674" s="142"/>
      <c r="E674" s="143"/>
      <c r="F674" s="146"/>
      <c r="G674" s="28"/>
      <c r="H674" s="142"/>
      <c r="I674" s="143" t="s">
        <v>284</v>
      </c>
      <c r="J674" s="146">
        <f>SUM(H672:H673)</f>
        <v>24</v>
      </c>
      <c r="AB674" s="33"/>
      <c r="AC674" s="33"/>
      <c r="AD674" s="35"/>
      <c r="AE674" s="34"/>
      <c r="AF674" s="34"/>
      <c r="AG674" s="34"/>
      <c r="AH674" s="33"/>
      <c r="AI674" s="35"/>
      <c r="AJ674" s="32"/>
      <c r="AK674" s="34" t="s">
        <v>1240</v>
      </c>
      <c r="AL674" s="34"/>
      <c r="AM674" s="35"/>
      <c r="AP674" s="138" t="s">
        <v>56</v>
      </c>
      <c r="AQ674" s="138">
        <f>4+5</f>
        <v>9</v>
      </c>
      <c r="AR674" s="141">
        <f>1+1+9</f>
        <v>11</v>
      </c>
      <c r="AS674" s="138"/>
      <c r="AT674" s="141"/>
      <c r="AU674" s="28"/>
      <c r="AV674" s="43">
        <v>3</v>
      </c>
      <c r="AW674" s="43" t="s">
        <v>244</v>
      </c>
      <c r="AX674" s="43">
        <v>1</v>
      </c>
      <c r="AY674" s="141" t="s">
        <v>1241</v>
      </c>
      <c r="BB674" s="196" t="s">
        <v>1242</v>
      </c>
      <c r="BC674" s="138">
        <v>0</v>
      </c>
      <c r="BD674" s="141">
        <v>7</v>
      </c>
      <c r="BE674" s="138"/>
      <c r="BF674" s="28"/>
      <c r="BG674" s="141"/>
      <c r="BH674" s="138"/>
      <c r="BI674" s="141"/>
      <c r="BJ674" s="138" t="s">
        <v>1243</v>
      </c>
      <c r="BK674" s="43"/>
      <c r="BL674" s="141" t="s">
        <v>1244</v>
      </c>
    </row>
    <row r="675" spans="1:64" ht="15" thickBot="1" x14ac:dyDescent="0.35">
      <c r="A675" s="47" t="s">
        <v>84</v>
      </c>
      <c r="B675" s="210">
        <f>SUM(B673,B670,B666+B661+B656+B652+B648+B644+B641)</f>
        <v>45561</v>
      </c>
      <c r="C675" s="170">
        <f>SUM(C673+C670+C666+C661+C656+C652+C648+C644+C641)</f>
        <v>49021</v>
      </c>
      <c r="D675" s="202"/>
      <c r="E675" s="48">
        <f>SUM(E670+E652)</f>
        <v>3069</v>
      </c>
      <c r="F675" s="203"/>
      <c r="G675" s="206">
        <f>SUM(G673+G670+G666+G661+G656+G652+G648+G644+G641)</f>
        <v>72935</v>
      </c>
      <c r="H675" s="48" t="s">
        <v>844</v>
      </c>
      <c r="I675" s="48"/>
      <c r="J675" s="49">
        <f>SUM(J640:J674)</f>
        <v>391</v>
      </c>
      <c r="AB675" s="47" t="s">
        <v>1245</v>
      </c>
      <c r="AC675" s="47"/>
      <c r="AD675" s="49"/>
      <c r="AE675" s="48"/>
      <c r="AF675" s="48"/>
      <c r="AG675" s="48"/>
      <c r="AH675" s="47" t="s">
        <v>6</v>
      </c>
      <c r="AI675" s="49"/>
      <c r="AJ675" s="46"/>
      <c r="AK675" s="48">
        <v>1</v>
      </c>
      <c r="AL675" s="48" t="s">
        <v>1246</v>
      </c>
      <c r="AM675" s="49"/>
      <c r="AP675" s="138" t="s">
        <v>138</v>
      </c>
      <c r="AQ675" s="138">
        <v>1</v>
      </c>
      <c r="AR675" s="141">
        <v>1</v>
      </c>
      <c r="AS675" s="138"/>
      <c r="AT675" s="141"/>
      <c r="AU675" s="28"/>
      <c r="AV675" s="43">
        <v>1</v>
      </c>
      <c r="AW675" s="43" t="s">
        <v>1112</v>
      </c>
      <c r="AX675" s="28"/>
      <c r="AY675" s="141"/>
      <c r="BB675" s="196" t="s">
        <v>1247</v>
      </c>
      <c r="BC675" s="138">
        <v>0</v>
      </c>
      <c r="BD675" s="141">
        <v>6</v>
      </c>
      <c r="BE675" s="138"/>
      <c r="BF675" s="28"/>
      <c r="BG675" s="141"/>
      <c r="BH675" s="138"/>
      <c r="BI675" s="141"/>
      <c r="BJ675" s="138" t="s">
        <v>1248</v>
      </c>
      <c r="BK675" s="43" t="s">
        <v>1249</v>
      </c>
      <c r="BL675" s="141" t="s">
        <v>1250</v>
      </c>
    </row>
    <row r="676" spans="1:64" x14ac:dyDescent="0.3">
      <c r="D676" s="28"/>
      <c r="E676" s="28"/>
      <c r="F676" s="28"/>
      <c r="AB676" s="42"/>
      <c r="AC676" s="42"/>
      <c r="AD676" s="40"/>
      <c r="AE676" s="28"/>
      <c r="AF676" s="28"/>
      <c r="AG676" s="28"/>
      <c r="AH676" s="42"/>
      <c r="AI676" s="40"/>
      <c r="AJ676" s="41"/>
      <c r="AK676" s="230" t="s">
        <v>1251</v>
      </c>
      <c r="AL676" s="28"/>
      <c r="AM676" s="40"/>
      <c r="AP676" s="138" t="s">
        <v>67</v>
      </c>
      <c r="AQ676" s="138">
        <f>3+17+7</f>
        <v>27</v>
      </c>
      <c r="AR676" s="141">
        <f>10+31+9</f>
        <v>50</v>
      </c>
      <c r="AS676" s="138"/>
      <c r="AT676" s="141"/>
      <c r="AU676" s="28"/>
      <c r="AV676" s="43">
        <v>4</v>
      </c>
      <c r="AW676" s="43" t="s">
        <v>1116</v>
      </c>
      <c r="AX676" s="28"/>
      <c r="AY676" s="141"/>
      <c r="BB676" s="196" t="s">
        <v>1252</v>
      </c>
      <c r="BC676" s="138">
        <v>0</v>
      </c>
      <c r="BD676" s="141">
        <v>2</v>
      </c>
      <c r="BE676" s="138"/>
      <c r="BF676" s="28"/>
      <c r="BG676" s="141"/>
      <c r="BH676" s="138"/>
      <c r="BI676" s="141"/>
      <c r="BJ676" s="138" t="s">
        <v>899</v>
      </c>
      <c r="BK676" s="43" t="s">
        <v>1136</v>
      </c>
      <c r="BL676" s="141" t="s">
        <v>411</v>
      </c>
    </row>
    <row r="677" spans="1:64" ht="15" thickBot="1" x14ac:dyDescent="0.35">
      <c r="AB677" s="47" t="s">
        <v>1253</v>
      </c>
      <c r="AC677" s="47"/>
      <c r="AD677" s="49"/>
      <c r="AE677" s="48"/>
      <c r="AF677" s="48"/>
      <c r="AG677" s="48"/>
      <c r="AH677" s="47"/>
      <c r="AI677" s="49"/>
      <c r="AJ677" s="46"/>
      <c r="AK677" s="48">
        <v>1</v>
      </c>
      <c r="AL677" s="48" t="s">
        <v>1254</v>
      </c>
      <c r="AM677" s="49"/>
      <c r="AP677" s="138" t="s">
        <v>122</v>
      </c>
      <c r="AQ677" s="138">
        <v>2</v>
      </c>
      <c r="AR677" s="141">
        <v>3</v>
      </c>
      <c r="AS677" s="138"/>
      <c r="AT677" s="141"/>
      <c r="AU677" s="28"/>
      <c r="AV677" s="43">
        <v>2</v>
      </c>
      <c r="AW677" s="43" t="s">
        <v>216</v>
      </c>
      <c r="AX677" s="28"/>
      <c r="AY677" s="141"/>
      <c r="BB677" s="196" t="s">
        <v>1255</v>
      </c>
      <c r="BC677" s="138">
        <v>3</v>
      </c>
      <c r="BD677" s="141">
        <v>3</v>
      </c>
      <c r="BE677" s="138"/>
      <c r="BF677" s="28"/>
      <c r="BG677" s="141"/>
      <c r="BH677" s="138"/>
      <c r="BI677" s="141"/>
      <c r="BJ677" s="138" t="s">
        <v>969</v>
      </c>
      <c r="BK677" s="43" t="s">
        <v>629</v>
      </c>
      <c r="BL677" s="141" t="s">
        <v>483</v>
      </c>
    </row>
    <row r="678" spans="1:64" x14ac:dyDescent="0.3">
      <c r="AB678" s="32"/>
      <c r="AC678" s="33"/>
      <c r="AD678" s="34"/>
      <c r="AE678" s="33"/>
      <c r="AF678" s="34"/>
      <c r="AG678" s="35"/>
      <c r="AH678" s="34"/>
      <c r="AI678" s="34"/>
      <c r="AJ678" s="32"/>
      <c r="AK678" s="34" t="s">
        <v>1256</v>
      </c>
      <c r="AL678" s="34"/>
      <c r="AM678" s="35"/>
      <c r="AP678" s="138" t="s">
        <v>227</v>
      </c>
      <c r="AQ678" s="138">
        <v>0</v>
      </c>
      <c r="AR678" s="141">
        <v>0</v>
      </c>
      <c r="AS678" s="138"/>
      <c r="AT678" s="141"/>
      <c r="AU678" s="28"/>
      <c r="AV678" s="43">
        <v>3</v>
      </c>
      <c r="AW678" s="28" t="s">
        <v>228</v>
      </c>
      <c r="AX678" s="28"/>
      <c r="AY678" s="141"/>
      <c r="BB678" s="196" t="s">
        <v>1118</v>
      </c>
      <c r="BC678" s="138">
        <v>0</v>
      </c>
      <c r="BD678" s="141">
        <v>24</v>
      </c>
      <c r="BE678" s="138"/>
      <c r="BF678" s="28"/>
      <c r="BG678" s="141"/>
      <c r="BH678" s="138"/>
      <c r="BI678" s="141"/>
      <c r="BJ678" s="138"/>
      <c r="BK678" s="43" t="s">
        <v>1257</v>
      </c>
      <c r="BL678" s="141" t="s">
        <v>1258</v>
      </c>
    </row>
    <row r="679" spans="1:64" ht="15" thickBot="1" x14ac:dyDescent="0.35">
      <c r="AB679" s="46" t="s">
        <v>1259</v>
      </c>
      <c r="AC679" s="47"/>
      <c r="AD679" s="48"/>
      <c r="AE679" s="47"/>
      <c r="AF679" s="48"/>
      <c r="AG679" s="49"/>
      <c r="AH679" s="48"/>
      <c r="AI679" s="48"/>
      <c r="AJ679" s="46"/>
      <c r="AK679" s="48">
        <v>1</v>
      </c>
      <c r="AL679" s="48" t="s">
        <v>1246</v>
      </c>
      <c r="AM679" s="49"/>
      <c r="AP679" s="138" t="s">
        <v>230</v>
      </c>
      <c r="AQ679" s="138">
        <f>6+4+3+1</f>
        <v>14</v>
      </c>
      <c r="AR679" s="141">
        <v>21</v>
      </c>
      <c r="AS679" s="138"/>
      <c r="AT679" s="141"/>
      <c r="AU679" s="28"/>
      <c r="AV679" s="43">
        <v>2</v>
      </c>
      <c r="AW679" s="28" t="s">
        <v>1117</v>
      </c>
      <c r="AX679" s="28"/>
      <c r="AY679" s="141"/>
      <c r="BB679" s="196" t="s">
        <v>564</v>
      </c>
      <c r="BC679" s="138">
        <v>5</v>
      </c>
      <c r="BD679" s="141">
        <f>5+4</f>
        <v>9</v>
      </c>
      <c r="BE679" s="138"/>
      <c r="BF679" s="28"/>
      <c r="BG679" s="141"/>
      <c r="BH679" s="138"/>
      <c r="BI679" s="141"/>
      <c r="BJ679" s="138"/>
      <c r="BK679" s="28"/>
      <c r="BL679" s="141"/>
    </row>
    <row r="680" spans="1:64" ht="15" thickBot="1" x14ac:dyDescent="0.35">
      <c r="AB680" s="47" t="s">
        <v>84</v>
      </c>
      <c r="AC680" s="202">
        <f>SUM(AC667+AC665+AC662+AC649+AC645+AC642+AC651)</f>
        <v>2763</v>
      </c>
      <c r="AD680" s="203">
        <f>SUM(AD667+AD665+AD662+AD649+AD645+AD642+AD651)</f>
        <v>3148</v>
      </c>
      <c r="AE680" s="48">
        <v>0</v>
      </c>
      <c r="AF680" s="48">
        <v>0</v>
      </c>
      <c r="AG680" s="48">
        <v>0</v>
      </c>
      <c r="AH680" s="202">
        <f>SUM(AH670+AH667+AH665+AH642)</f>
        <v>417524</v>
      </c>
      <c r="AI680" s="203">
        <f>SUM(AI667+AI665+AI642)</f>
        <v>78011</v>
      </c>
      <c r="AJ680" s="48">
        <v>0</v>
      </c>
      <c r="AK680" s="202" t="s">
        <v>1260</v>
      </c>
      <c r="AL680" s="48"/>
      <c r="AM680" s="49">
        <f>SUM(AK641:AK671)</f>
        <v>104</v>
      </c>
      <c r="AP680" s="138" t="s">
        <v>125</v>
      </c>
      <c r="AQ680" s="138">
        <v>0</v>
      </c>
      <c r="AR680" s="141">
        <v>0</v>
      </c>
      <c r="AS680" s="138"/>
      <c r="AT680" s="141"/>
      <c r="AU680" s="28"/>
      <c r="AV680" s="43">
        <v>1</v>
      </c>
      <c r="AW680" s="43" t="s">
        <v>878</v>
      </c>
      <c r="AX680" s="28"/>
      <c r="AY680" s="141"/>
      <c r="BB680" s="196" t="s">
        <v>211</v>
      </c>
      <c r="BC680" s="138">
        <v>3</v>
      </c>
      <c r="BD680" s="141">
        <v>0</v>
      </c>
      <c r="BE680" s="138"/>
      <c r="BF680" s="28"/>
      <c r="BG680" s="141"/>
      <c r="BH680" s="138"/>
      <c r="BI680" s="141"/>
      <c r="BJ680" s="138"/>
      <c r="BK680" s="28"/>
      <c r="BL680" s="141"/>
    </row>
    <row r="681" spans="1:64" x14ac:dyDescent="0.3">
      <c r="AB681" t="s">
        <v>193</v>
      </c>
      <c r="AM681" t="s">
        <v>6</v>
      </c>
      <c r="AP681" s="138" t="s">
        <v>132</v>
      </c>
      <c r="AQ681" s="138">
        <v>0</v>
      </c>
      <c r="AR681" s="141">
        <v>0</v>
      </c>
      <c r="AS681" s="138" t="s">
        <v>6</v>
      </c>
      <c r="AT681" s="141"/>
      <c r="AU681" s="28"/>
      <c r="AV681" s="43">
        <f>34+15</f>
        <v>49</v>
      </c>
      <c r="AW681" s="43" t="s">
        <v>967</v>
      </c>
      <c r="AX681" s="28"/>
      <c r="AY681" s="141"/>
      <c r="BB681" s="196" t="s">
        <v>218</v>
      </c>
      <c r="BC681" s="138">
        <v>0</v>
      </c>
      <c r="BD681" s="141">
        <f>10+3</f>
        <v>13</v>
      </c>
      <c r="BE681" s="138"/>
      <c r="BF681" s="28">
        <v>0</v>
      </c>
      <c r="BG681" s="141"/>
      <c r="BH681" s="138"/>
      <c r="BI681" s="141"/>
      <c r="BJ681" s="138"/>
      <c r="BK681" s="28"/>
      <c r="BL681" s="141"/>
    </row>
    <row r="682" spans="1:64" x14ac:dyDescent="0.3">
      <c r="AM682" t="s">
        <v>6</v>
      </c>
      <c r="AP682" s="138" t="s">
        <v>992</v>
      </c>
      <c r="AQ682" s="138">
        <v>0</v>
      </c>
      <c r="AR682" s="141">
        <v>0</v>
      </c>
      <c r="AS682" s="138"/>
      <c r="AT682" s="141"/>
      <c r="AU682" s="28"/>
      <c r="AV682" s="43">
        <v>4</v>
      </c>
      <c r="AW682" s="228" t="s">
        <v>1204</v>
      </c>
      <c r="AX682" s="28"/>
      <c r="AY682" s="141"/>
      <c r="BB682" s="196" t="s">
        <v>93</v>
      </c>
      <c r="BC682" s="138">
        <v>0</v>
      </c>
      <c r="BD682" s="141">
        <v>0</v>
      </c>
      <c r="BE682" s="138"/>
      <c r="BF682" s="28"/>
      <c r="BG682" s="141"/>
      <c r="BH682" s="138"/>
      <c r="BI682" s="141"/>
      <c r="BJ682" s="138"/>
      <c r="BK682" s="28"/>
      <c r="BL682" s="141"/>
    </row>
    <row r="683" spans="1:64" ht="15" thickBot="1" x14ac:dyDescent="0.35">
      <c r="H683" t="s">
        <v>6</v>
      </c>
      <c r="AP683" s="138" t="s">
        <v>84</v>
      </c>
      <c r="AQ683" s="138">
        <f>SUM(AQ667:AQ682)</f>
        <v>113</v>
      </c>
      <c r="AR683" s="141">
        <f>SUM(AR667:AR682)</f>
        <v>138</v>
      </c>
      <c r="AS683" s="138"/>
      <c r="AT683" s="141"/>
      <c r="AU683" s="28"/>
      <c r="AV683" s="43">
        <v>2</v>
      </c>
      <c r="AW683" s="28" t="s">
        <v>1261</v>
      </c>
      <c r="AX683" s="28"/>
      <c r="AY683" s="141">
        <f>SUM(AV668:AV683)+10</f>
        <v>168</v>
      </c>
      <c r="BB683" s="199" t="s">
        <v>84</v>
      </c>
      <c r="BC683" s="142">
        <f>SUM(BC658:BC682)</f>
        <v>97</v>
      </c>
      <c r="BD683" s="146">
        <f>SUM(BD658:BD682)</f>
        <v>141</v>
      </c>
      <c r="BE683" s="142">
        <v>0</v>
      </c>
      <c r="BF683" s="143">
        <f>SUM(BF658:BF682)</f>
        <v>0</v>
      </c>
      <c r="BG683" s="146">
        <v>0</v>
      </c>
      <c r="BH683" s="142">
        <f>SUM(BH658:BH682)</f>
        <v>2682</v>
      </c>
      <c r="BI683" s="146">
        <v>0</v>
      </c>
      <c r="BJ683" s="142"/>
      <c r="BK683" s="143"/>
      <c r="BL683" s="146">
        <f>9+5+3+5+6+3+18+5+4+7+3+15+6+4+4</f>
        <v>97</v>
      </c>
    </row>
    <row r="684" spans="1:64" ht="15" thickBot="1" x14ac:dyDescent="0.35">
      <c r="H684" t="s">
        <v>6</v>
      </c>
      <c r="AP684" s="171" t="s">
        <v>84</v>
      </c>
      <c r="AQ684" s="207">
        <f>SUM(AQ683+AQ665+AQ656+AQ641)</f>
        <v>1636</v>
      </c>
      <c r="AR684" s="207">
        <f>SUM(AR683+AR665+AR656+AR641)</f>
        <v>1651</v>
      </c>
      <c r="AS684" s="207"/>
      <c r="AT684" s="231"/>
      <c r="AU684" s="171"/>
      <c r="AV684" s="170"/>
      <c r="AW684" s="232"/>
      <c r="AX684" s="170"/>
      <c r="AY684" s="172">
        <f>SUM(AY641:AY683)</f>
        <v>423</v>
      </c>
      <c r="BB684" t="s">
        <v>223</v>
      </c>
      <c r="BC684">
        <f>SUM(BC683+BC657+BC652+BC648+BC645+BC643+BC654)</f>
        <v>2780</v>
      </c>
      <c r="BD684">
        <f>SUM(BD683+BD657+BD652+BD648+BD643+BD645+BD654)</f>
        <v>2708</v>
      </c>
      <c r="BE684">
        <v>0</v>
      </c>
      <c r="BF684">
        <f>SUM(BF683+BF657+BF652+BF648+BF645+BF641)</f>
        <v>0</v>
      </c>
      <c r="BG684">
        <v>0</v>
      </c>
      <c r="BH684">
        <f>SUM(BH683+BH657+BH652+BH647+BH645+BH641)</f>
        <v>77201</v>
      </c>
      <c r="BI684">
        <f>SUM(BI683+BI657+BI652+BI647+BI645+BI641)</f>
        <v>18180</v>
      </c>
      <c r="BK684" t="s">
        <v>939</v>
      </c>
      <c r="BL684">
        <f>SUM(+BL657+BL652+BL648+BL645+BL643)</f>
        <v>196</v>
      </c>
    </row>
    <row r="685" spans="1:64" x14ac:dyDescent="0.3">
      <c r="BB685" t="s">
        <v>225</v>
      </c>
      <c r="BD685">
        <f>SUM(BL683)</f>
        <v>97</v>
      </c>
    </row>
    <row r="686" spans="1:64" x14ac:dyDescent="0.3">
      <c r="BB686" t="s">
        <v>229</v>
      </c>
      <c r="BD686">
        <f>13+8+2</f>
        <v>23</v>
      </c>
    </row>
    <row r="687" spans="1:64" x14ac:dyDescent="0.3">
      <c r="BB687" t="s">
        <v>232</v>
      </c>
      <c r="BD687" t="s">
        <v>233</v>
      </c>
      <c r="BF687">
        <f>SUM(AQ684)</f>
        <v>1636</v>
      </c>
      <c r="BH687" t="s">
        <v>234</v>
      </c>
      <c r="BJ687" t="s">
        <v>233</v>
      </c>
      <c r="BL687">
        <f>SUM(BC684)</f>
        <v>2780</v>
      </c>
    </row>
    <row r="688" spans="1:64" x14ac:dyDescent="0.3">
      <c r="BA688" t="s">
        <v>6</v>
      </c>
      <c r="BD688" t="s">
        <v>236</v>
      </c>
      <c r="BF688">
        <f>SUM(AR684)</f>
        <v>1651</v>
      </c>
      <c r="BJ688" t="s">
        <v>236</v>
      </c>
      <c r="BL688">
        <f>SUM(BD684)</f>
        <v>2708</v>
      </c>
    </row>
    <row r="689" spans="1:64" x14ac:dyDescent="0.3">
      <c r="BB689" t="s">
        <v>238</v>
      </c>
      <c r="BC689" t="s">
        <v>239</v>
      </c>
      <c r="BE689" t="s">
        <v>240</v>
      </c>
      <c r="BF689" t="s">
        <v>241</v>
      </c>
      <c r="BI689" t="s">
        <v>242</v>
      </c>
      <c r="BJ689" t="s">
        <v>243</v>
      </c>
    </row>
    <row r="690" spans="1:64" x14ac:dyDescent="0.3">
      <c r="BB690" t="s">
        <v>233</v>
      </c>
      <c r="BD690">
        <f>SUM(B675)</f>
        <v>45561</v>
      </c>
      <c r="BE690" t="s">
        <v>233</v>
      </c>
      <c r="BG690">
        <f>SUM(AC680)</f>
        <v>2763</v>
      </c>
      <c r="BH690" t="s">
        <v>233</v>
      </c>
      <c r="BJ690">
        <f>SUM(BG690+BC684)</f>
        <v>5543</v>
      </c>
      <c r="BK690" t="s">
        <v>245</v>
      </c>
      <c r="BL690">
        <f>SUM(BD690+BJ690)</f>
        <v>51104</v>
      </c>
    </row>
    <row r="691" spans="1:64" x14ac:dyDescent="0.3">
      <c r="AX691" t="s">
        <v>6</v>
      </c>
      <c r="BB691" t="s">
        <v>236</v>
      </c>
      <c r="BD691">
        <f>SUM(C675)</f>
        <v>49021</v>
      </c>
      <c r="BE691" t="s">
        <v>236</v>
      </c>
      <c r="BG691">
        <f>SUM(AD680)</f>
        <v>3148</v>
      </c>
      <c r="BH691" t="s">
        <v>236</v>
      </c>
      <c r="BJ691">
        <f>SUM(BG691+BD684)</f>
        <v>5856</v>
      </c>
      <c r="BL691">
        <f>SUM(BD691+BJ691)</f>
        <v>54877</v>
      </c>
    </row>
    <row r="694" spans="1:64" x14ac:dyDescent="0.3">
      <c r="C694" t="s">
        <v>0</v>
      </c>
      <c r="O694" t="s">
        <v>1</v>
      </c>
    </row>
    <row r="695" spans="1:64" x14ac:dyDescent="0.3">
      <c r="D695" t="s">
        <v>2</v>
      </c>
      <c r="P695" t="s">
        <v>3</v>
      </c>
      <c r="AF695" t="s">
        <v>0</v>
      </c>
      <c r="AS695" t="s">
        <v>4</v>
      </c>
      <c r="BF695" t="s">
        <v>5</v>
      </c>
    </row>
    <row r="696" spans="1:64" x14ac:dyDescent="0.3">
      <c r="A696" t="s">
        <v>6</v>
      </c>
      <c r="C696" t="s">
        <v>7</v>
      </c>
      <c r="N696" t="s">
        <v>8</v>
      </c>
      <c r="AF696" t="s">
        <v>9</v>
      </c>
      <c r="AT696" t="s">
        <v>2</v>
      </c>
      <c r="BG696" t="s">
        <v>2</v>
      </c>
    </row>
    <row r="697" spans="1:64" x14ac:dyDescent="0.3">
      <c r="D697" t="s">
        <v>1262</v>
      </c>
      <c r="P697" t="s">
        <v>1262</v>
      </c>
      <c r="AF697" t="s">
        <v>11</v>
      </c>
      <c r="AR697" t="s">
        <v>12</v>
      </c>
      <c r="BE697" t="s">
        <v>13</v>
      </c>
    </row>
    <row r="698" spans="1:64" x14ac:dyDescent="0.3">
      <c r="I698" s="194" t="s">
        <v>949</v>
      </c>
      <c r="U698" t="s">
        <v>15</v>
      </c>
      <c r="AG698" t="s">
        <v>1262</v>
      </c>
      <c r="AT698" t="s">
        <v>1262</v>
      </c>
      <c r="BG698" t="s">
        <v>1262</v>
      </c>
      <c r="BK698" s="194" t="s">
        <v>950</v>
      </c>
    </row>
    <row r="699" spans="1:64" x14ac:dyDescent="0.3">
      <c r="A699" s="134" t="s">
        <v>17</v>
      </c>
      <c r="B699" s="134" t="s">
        <v>18</v>
      </c>
      <c r="C699" s="136"/>
      <c r="D699" s="135" t="s">
        <v>19</v>
      </c>
      <c r="E699" s="135"/>
      <c r="F699" s="135"/>
      <c r="G699" s="195" t="s">
        <v>20</v>
      </c>
      <c r="H699" s="135" t="s">
        <v>21</v>
      </c>
      <c r="I699" s="135"/>
      <c r="J699" s="136"/>
      <c r="L699" s="134" t="s">
        <v>17</v>
      </c>
      <c r="M699" s="135" t="s">
        <v>22</v>
      </c>
      <c r="N699" s="135"/>
      <c r="O699" s="135" t="s">
        <v>23</v>
      </c>
      <c r="P699" s="135"/>
      <c r="Q699" s="135"/>
      <c r="R699" s="135" t="s">
        <v>24</v>
      </c>
      <c r="S699" s="135"/>
      <c r="T699" s="135" t="s">
        <v>21</v>
      </c>
      <c r="U699" s="136"/>
      <c r="AL699" s="28" t="s">
        <v>25</v>
      </c>
      <c r="AX699" s="194" t="s">
        <v>951</v>
      </c>
      <c r="BB699" s="195" t="s">
        <v>17</v>
      </c>
      <c r="BC699" s="134" t="s">
        <v>27</v>
      </c>
      <c r="BD699" s="136"/>
      <c r="BE699" s="135" t="s">
        <v>28</v>
      </c>
      <c r="BF699" s="135"/>
      <c r="BG699" s="135"/>
      <c r="BH699" s="135" t="s">
        <v>29</v>
      </c>
      <c r="BI699" s="135" t="s">
        <v>30</v>
      </c>
      <c r="BJ699" s="135" t="s">
        <v>31</v>
      </c>
      <c r="BK699" s="135"/>
      <c r="BL699" s="136"/>
    </row>
    <row r="700" spans="1:64" x14ac:dyDescent="0.3">
      <c r="A700" s="138" t="s">
        <v>32</v>
      </c>
      <c r="B700" s="138"/>
      <c r="C700" s="141"/>
      <c r="D700" s="28"/>
      <c r="E700" s="28"/>
      <c r="F700" s="28"/>
      <c r="G700" s="196"/>
      <c r="H700" s="28" t="s">
        <v>33</v>
      </c>
      <c r="I700" s="28"/>
      <c r="J700" s="141"/>
      <c r="L700" s="138"/>
      <c r="M700" s="28"/>
      <c r="N700" s="28"/>
      <c r="O700" s="28"/>
      <c r="P700" s="28"/>
      <c r="Q700" s="28"/>
      <c r="R700" s="28"/>
      <c r="S700" s="28"/>
      <c r="T700" s="28" t="s">
        <v>33</v>
      </c>
      <c r="U700" s="141"/>
      <c r="AB700" s="134" t="s">
        <v>34</v>
      </c>
      <c r="AC700" s="134" t="s">
        <v>35</v>
      </c>
      <c r="AD700" s="136"/>
      <c r="AE700" s="135" t="s">
        <v>36</v>
      </c>
      <c r="AF700" s="135"/>
      <c r="AG700" s="135"/>
      <c r="AH700" s="134" t="s">
        <v>37</v>
      </c>
      <c r="AI700" s="136"/>
      <c r="AJ700" s="135" t="s">
        <v>30</v>
      </c>
      <c r="AK700" s="134" t="s">
        <v>38</v>
      </c>
      <c r="AL700" s="135"/>
      <c r="AM700" s="136"/>
      <c r="AP700" s="134" t="s">
        <v>17</v>
      </c>
      <c r="AQ700" s="134" t="s">
        <v>39</v>
      </c>
      <c r="AR700" s="136"/>
      <c r="AS700" s="134" t="s">
        <v>29</v>
      </c>
      <c r="AT700" s="136" t="s">
        <v>30</v>
      </c>
      <c r="AU700" s="135" t="s">
        <v>40</v>
      </c>
      <c r="AV700" s="135"/>
      <c r="AW700" s="135"/>
      <c r="AX700" s="135"/>
      <c r="AY700" s="136"/>
      <c r="BB700" s="196"/>
      <c r="BC700" s="138"/>
      <c r="BD700" s="141"/>
      <c r="BE700" s="28"/>
      <c r="BF700" s="28"/>
      <c r="BG700" s="28"/>
      <c r="BH700" s="28"/>
      <c r="BI700" s="28" t="s">
        <v>6</v>
      </c>
      <c r="BJ700" s="28" t="s">
        <v>41</v>
      </c>
      <c r="BK700" s="28"/>
      <c r="BL700" s="141"/>
    </row>
    <row r="701" spans="1:64" x14ac:dyDescent="0.3">
      <c r="A701" s="142" t="s">
        <v>42</v>
      </c>
      <c r="B701" s="142" t="s">
        <v>43</v>
      </c>
      <c r="C701" s="143" t="s">
        <v>44</v>
      </c>
      <c r="D701" s="197" t="s">
        <v>45</v>
      </c>
      <c r="E701" s="198" t="s">
        <v>46</v>
      </c>
      <c r="F701" s="198" t="s">
        <v>47</v>
      </c>
      <c r="G701" s="199" t="s">
        <v>48</v>
      </c>
      <c r="H701" s="143" t="s">
        <v>49</v>
      </c>
      <c r="I701" s="143"/>
      <c r="J701" s="146"/>
      <c r="L701" s="142" t="s">
        <v>50</v>
      </c>
      <c r="M701" s="143" t="s">
        <v>43</v>
      </c>
      <c r="N701" s="143" t="s">
        <v>44</v>
      </c>
      <c r="O701" s="143" t="s">
        <v>43</v>
      </c>
      <c r="P701" s="143" t="s">
        <v>51</v>
      </c>
      <c r="Q701" s="143" t="s">
        <v>44</v>
      </c>
      <c r="R701" s="143" t="s">
        <v>43</v>
      </c>
      <c r="S701" s="143" t="s">
        <v>44</v>
      </c>
      <c r="T701" s="143" t="s">
        <v>49</v>
      </c>
      <c r="U701" s="146"/>
      <c r="AB701" s="142" t="s">
        <v>50</v>
      </c>
      <c r="AC701" s="142" t="s">
        <v>43</v>
      </c>
      <c r="AD701" s="146" t="s">
        <v>44</v>
      </c>
      <c r="AE701" s="143" t="s">
        <v>45</v>
      </c>
      <c r="AF701" s="143" t="s">
        <v>46</v>
      </c>
      <c r="AG701" s="143" t="s">
        <v>52</v>
      </c>
      <c r="AH701" s="142" t="s">
        <v>43</v>
      </c>
      <c r="AI701" s="146" t="s">
        <v>44</v>
      </c>
      <c r="AJ701" s="143" t="s">
        <v>43</v>
      </c>
      <c r="AK701" s="142" t="s">
        <v>53</v>
      </c>
      <c r="AL701" s="143"/>
      <c r="AM701" s="146"/>
      <c r="AP701" s="138" t="s">
        <v>42</v>
      </c>
      <c r="AQ701" s="138" t="s">
        <v>43</v>
      </c>
      <c r="AR701" s="141" t="s">
        <v>44</v>
      </c>
      <c r="AS701" s="138" t="s">
        <v>43</v>
      </c>
      <c r="AT701" s="141" t="s">
        <v>44</v>
      </c>
      <c r="AU701" s="28"/>
      <c r="AV701" s="28"/>
      <c r="AW701" s="28"/>
      <c r="AX701" s="28"/>
      <c r="AY701" s="141"/>
      <c r="BB701" s="199" t="s">
        <v>42</v>
      </c>
      <c r="BC701" s="142" t="s">
        <v>43</v>
      </c>
      <c r="BD701" s="146" t="s">
        <v>44</v>
      </c>
      <c r="BE701" s="143" t="s">
        <v>45</v>
      </c>
      <c r="BF701" s="143" t="s">
        <v>46</v>
      </c>
      <c r="BG701" s="143" t="s">
        <v>52</v>
      </c>
      <c r="BH701" s="143" t="s">
        <v>43</v>
      </c>
      <c r="BI701" s="143" t="s">
        <v>44</v>
      </c>
      <c r="BJ701" s="143" t="s">
        <v>54</v>
      </c>
      <c r="BK701" s="143"/>
      <c r="BL701" s="146"/>
    </row>
    <row r="702" spans="1:64" x14ac:dyDescent="0.3">
      <c r="A702" s="134"/>
      <c r="B702" s="134"/>
      <c r="C702" s="135"/>
      <c r="D702" s="134"/>
      <c r="E702" s="135"/>
      <c r="F702" s="135"/>
      <c r="G702" s="195"/>
      <c r="H702" s="135" t="s">
        <v>396</v>
      </c>
      <c r="I702" s="135"/>
      <c r="J702" s="136"/>
      <c r="L702" s="134"/>
      <c r="M702" s="134"/>
      <c r="N702" s="195"/>
      <c r="O702" s="134"/>
      <c r="P702" s="195"/>
      <c r="Q702" s="136"/>
      <c r="R702" s="134"/>
      <c r="S702" s="195"/>
      <c r="T702" s="134" t="s">
        <v>396</v>
      </c>
      <c r="U702" s="136"/>
      <c r="AB702" s="138"/>
      <c r="AC702" s="138"/>
      <c r="AD702" s="141"/>
      <c r="AE702" s="28"/>
      <c r="AF702" s="28"/>
      <c r="AG702" s="28"/>
      <c r="AH702" s="138"/>
      <c r="AI702" s="141"/>
      <c r="AJ702" s="28"/>
      <c r="AK702" s="138" t="s">
        <v>62</v>
      </c>
      <c r="AL702" s="28"/>
      <c r="AM702" s="141"/>
      <c r="AP702" s="138" t="s">
        <v>6</v>
      </c>
      <c r="AQ702" s="138"/>
      <c r="AR702" s="141"/>
      <c r="AS702" s="138"/>
      <c r="AT702" s="141"/>
      <c r="AU702" s="28"/>
      <c r="AV702" s="28" t="s">
        <v>91</v>
      </c>
      <c r="AW702" s="28"/>
      <c r="AX702" s="28"/>
      <c r="AY702" s="141"/>
      <c r="BB702" s="195" t="s">
        <v>6</v>
      </c>
      <c r="BC702" s="135"/>
      <c r="BD702" s="135"/>
      <c r="BE702" s="134"/>
      <c r="BF702" s="135"/>
      <c r="BG702" s="135"/>
      <c r="BH702" s="134"/>
      <c r="BI702" s="136"/>
      <c r="BJ702" s="135" t="s">
        <v>58</v>
      </c>
      <c r="BK702" s="135"/>
      <c r="BL702" s="136"/>
    </row>
    <row r="703" spans="1:64" x14ac:dyDescent="0.3">
      <c r="A703" s="138" t="s">
        <v>59</v>
      </c>
      <c r="B703" s="138">
        <v>1116</v>
      </c>
      <c r="C703" s="28">
        <v>933</v>
      </c>
      <c r="D703" s="138"/>
      <c r="E703" s="28" t="s">
        <v>60</v>
      </c>
      <c r="F703" s="28"/>
      <c r="G703" s="196">
        <v>2521</v>
      </c>
      <c r="H703" s="28">
        <v>4</v>
      </c>
      <c r="I703" s="28" t="s">
        <v>61</v>
      </c>
      <c r="J703" s="141"/>
      <c r="L703" s="138" t="s">
        <v>59</v>
      </c>
      <c r="M703" s="138">
        <v>1561</v>
      </c>
      <c r="N703" s="196">
        <v>34588</v>
      </c>
      <c r="O703" s="138">
        <v>0</v>
      </c>
      <c r="P703" s="196">
        <v>0</v>
      </c>
      <c r="Q703" s="141">
        <v>0</v>
      </c>
      <c r="R703" s="138">
        <v>0</v>
      </c>
      <c r="S703" s="196">
        <v>0</v>
      </c>
      <c r="T703" s="138"/>
      <c r="U703" s="141"/>
      <c r="AB703" s="138"/>
      <c r="AC703" s="138"/>
      <c r="AD703" s="141"/>
      <c r="AE703" s="28"/>
      <c r="AF703" s="28"/>
      <c r="AG703" s="28"/>
      <c r="AH703" s="138"/>
      <c r="AI703" s="141"/>
      <c r="AJ703" s="28"/>
      <c r="AK703" s="138"/>
      <c r="AL703" s="28" t="s">
        <v>398</v>
      </c>
      <c r="AM703" s="141"/>
      <c r="AP703" s="138" t="s">
        <v>56</v>
      </c>
      <c r="AQ703" s="138">
        <v>1509</v>
      </c>
      <c r="AR703" s="141">
        <v>1597</v>
      </c>
      <c r="AS703" s="138"/>
      <c r="AT703" s="141"/>
      <c r="AU703" s="28"/>
      <c r="AV703" s="28">
        <v>0</v>
      </c>
      <c r="AW703" s="28" t="s">
        <v>145</v>
      </c>
      <c r="AX703" s="28"/>
      <c r="AY703" s="141"/>
      <c r="BB703" s="196" t="s">
        <v>64</v>
      </c>
      <c r="BC703" s="28">
        <f>81+98</f>
        <v>179</v>
      </c>
      <c r="BD703" s="28">
        <v>173</v>
      </c>
      <c r="BE703" s="138">
        <v>0</v>
      </c>
      <c r="BF703" s="28">
        <v>0</v>
      </c>
      <c r="BG703" s="28">
        <v>0</v>
      </c>
      <c r="BH703" s="138">
        <v>0</v>
      </c>
      <c r="BI703" s="141">
        <v>0</v>
      </c>
      <c r="BJ703" s="43">
        <v>18</v>
      </c>
      <c r="BK703" s="28" t="s">
        <v>474</v>
      </c>
      <c r="BL703" s="141" t="s">
        <v>6</v>
      </c>
    </row>
    <row r="704" spans="1:64" x14ac:dyDescent="0.3">
      <c r="A704" s="138" t="s">
        <v>6</v>
      </c>
      <c r="B704" s="138"/>
      <c r="C704" s="28"/>
      <c r="D704" s="138"/>
      <c r="E704" s="28"/>
      <c r="F704" s="28"/>
      <c r="G704" s="196"/>
      <c r="H704" s="28"/>
      <c r="I704" s="28" t="s">
        <v>528</v>
      </c>
      <c r="J704" s="141">
        <f>SUM(H703)</f>
        <v>4</v>
      </c>
      <c r="L704" s="142"/>
      <c r="M704" s="142"/>
      <c r="N704" s="199"/>
      <c r="O704" s="142"/>
      <c r="P704" s="199"/>
      <c r="Q704" s="146"/>
      <c r="R704" s="142"/>
      <c r="S704" s="199"/>
      <c r="T704" s="142"/>
      <c r="U704" s="146"/>
      <c r="AB704" s="138" t="s">
        <v>59</v>
      </c>
      <c r="AC704" s="138">
        <v>1605</v>
      </c>
      <c r="AD704" s="141">
        <v>1152</v>
      </c>
      <c r="AE704" s="28">
        <v>0</v>
      </c>
      <c r="AF704" s="28">
        <v>0</v>
      </c>
      <c r="AG704" s="28">
        <v>0</v>
      </c>
      <c r="AH704" s="138">
        <v>1314</v>
      </c>
      <c r="AI704" s="141">
        <v>0</v>
      </c>
      <c r="AJ704" s="28">
        <v>0</v>
      </c>
      <c r="AK704" s="138">
        <v>4</v>
      </c>
      <c r="AL704" s="28" t="s">
        <v>66</v>
      </c>
      <c r="AM704" s="141"/>
      <c r="AP704" s="142" t="s">
        <v>6</v>
      </c>
      <c r="AQ704" s="142"/>
      <c r="AR704" s="146"/>
      <c r="AS704" s="142"/>
      <c r="AT704" s="146"/>
      <c r="AU704" s="143"/>
      <c r="AV704" s="143">
        <v>109</v>
      </c>
      <c r="AW704" s="143" t="s">
        <v>73</v>
      </c>
      <c r="AX704" s="143"/>
      <c r="AY704" s="146">
        <f>SUM(AV704)</f>
        <v>109</v>
      </c>
      <c r="BB704" s="196" t="s">
        <v>108</v>
      </c>
      <c r="BC704">
        <v>15</v>
      </c>
      <c r="BD704">
        <v>4</v>
      </c>
      <c r="BE704" s="138">
        <v>0</v>
      </c>
      <c r="BF704" s="28">
        <v>0</v>
      </c>
      <c r="BG704" s="28">
        <v>0</v>
      </c>
      <c r="BH704" s="138">
        <v>0</v>
      </c>
      <c r="BI704" s="141">
        <v>0</v>
      </c>
      <c r="BJ704" s="28">
        <v>1</v>
      </c>
      <c r="BK704" s="28" t="s">
        <v>1045</v>
      </c>
      <c r="BL704" s="141"/>
    </row>
    <row r="705" spans="1:65" x14ac:dyDescent="0.3">
      <c r="A705" s="134"/>
      <c r="B705" s="134"/>
      <c r="C705" s="135"/>
      <c r="D705" s="134"/>
      <c r="E705" s="135"/>
      <c r="F705" s="135"/>
      <c r="G705" s="195"/>
      <c r="H705" s="135" t="s">
        <v>70</v>
      </c>
      <c r="I705" s="135"/>
      <c r="J705" s="136"/>
      <c r="L705" s="134"/>
      <c r="M705" s="134"/>
      <c r="N705" s="195"/>
      <c r="O705" s="134"/>
      <c r="P705" s="195"/>
      <c r="Q705" s="136"/>
      <c r="R705" s="134"/>
      <c r="S705" s="195"/>
      <c r="T705" s="134"/>
      <c r="U705" s="136"/>
      <c r="AB705" s="142"/>
      <c r="AC705" s="142"/>
      <c r="AD705" s="146"/>
      <c r="AE705" s="143"/>
      <c r="AF705" s="143"/>
      <c r="AG705" s="143"/>
      <c r="AH705" s="142"/>
      <c r="AI705" s="146"/>
      <c r="AJ705" s="143"/>
      <c r="AK705" s="142">
        <v>2</v>
      </c>
      <c r="AL705" s="143" t="s">
        <v>188</v>
      </c>
      <c r="AM705" s="146"/>
      <c r="AP705" s="134" t="s">
        <v>56</v>
      </c>
      <c r="AQ705" s="134">
        <v>0</v>
      </c>
      <c r="AR705" s="136">
        <v>0</v>
      </c>
      <c r="AS705" s="134"/>
      <c r="AT705" s="136"/>
      <c r="AU705" s="135"/>
      <c r="AV705" s="135"/>
      <c r="AW705" s="135"/>
      <c r="AX705" s="135"/>
      <c r="AY705" s="136"/>
      <c r="BB705" s="199" t="s">
        <v>84</v>
      </c>
      <c r="BC705" s="143">
        <f>SUM(BC702:BC704)</f>
        <v>194</v>
      </c>
      <c r="BD705" s="143">
        <f>SUM(BD702:BD704)</f>
        <v>177</v>
      </c>
      <c r="BE705" s="138">
        <v>0</v>
      </c>
      <c r="BF705" s="28">
        <v>0</v>
      </c>
      <c r="BG705" s="28">
        <v>0</v>
      </c>
      <c r="BH705" s="138">
        <v>0</v>
      </c>
      <c r="BI705" s="141">
        <v>0</v>
      </c>
      <c r="BJ705" s="143">
        <v>2</v>
      </c>
      <c r="BK705" s="143" t="s">
        <v>69</v>
      </c>
      <c r="BL705" s="146">
        <f>SUM(BJ703:BJ705)</f>
        <v>21</v>
      </c>
    </row>
    <row r="706" spans="1:65" x14ac:dyDescent="0.3">
      <c r="A706" s="138" t="s">
        <v>74</v>
      </c>
      <c r="B706" s="138">
        <v>1222</v>
      </c>
      <c r="C706" s="28">
        <v>2276</v>
      </c>
      <c r="D706" s="138"/>
      <c r="E706" s="28" t="s">
        <v>60</v>
      </c>
      <c r="F706" s="28"/>
      <c r="G706" s="196">
        <v>2944</v>
      </c>
      <c r="H706" s="28">
        <v>3</v>
      </c>
      <c r="I706" s="28" t="s">
        <v>1046</v>
      </c>
      <c r="J706" s="141"/>
      <c r="L706" s="138"/>
      <c r="M706" s="138"/>
      <c r="N706" s="196"/>
      <c r="O706" s="138"/>
      <c r="P706" s="196"/>
      <c r="Q706" s="141"/>
      <c r="R706" s="138"/>
      <c r="S706" s="196"/>
      <c r="T706" s="138" t="s">
        <v>80</v>
      </c>
      <c r="U706" s="141"/>
      <c r="AB706" s="134" t="s">
        <v>6</v>
      </c>
      <c r="AC706" s="134"/>
      <c r="AD706" s="136"/>
      <c r="AE706" s="135"/>
      <c r="AF706" s="135"/>
      <c r="AG706" s="135"/>
      <c r="AH706" s="134"/>
      <c r="AI706" s="136"/>
      <c r="AJ706" s="135"/>
      <c r="AK706" s="134" t="s">
        <v>952</v>
      </c>
      <c r="AL706" s="135"/>
      <c r="AM706" s="136"/>
      <c r="AP706" s="138" t="s">
        <v>63</v>
      </c>
      <c r="AQ706" s="138">
        <v>27</v>
      </c>
      <c r="AR706" s="141">
        <v>5</v>
      </c>
      <c r="AS706" s="138"/>
      <c r="AT706" s="141"/>
      <c r="AU706" s="28"/>
      <c r="AV706" s="28" t="s">
        <v>110</v>
      </c>
      <c r="AW706" s="28" t="s">
        <v>111</v>
      </c>
      <c r="AX706" s="28" t="s">
        <v>112</v>
      </c>
      <c r="AY706" s="141"/>
      <c r="BB706" s="195" t="s">
        <v>6</v>
      </c>
      <c r="BC706" s="134" t="s">
        <v>6</v>
      </c>
      <c r="BD706" s="136"/>
      <c r="BE706" s="135"/>
      <c r="BF706" s="135">
        <v>0</v>
      </c>
      <c r="BG706" s="135"/>
      <c r="BH706" s="134"/>
      <c r="BI706" s="136"/>
      <c r="BJ706" s="135" t="s">
        <v>1092</v>
      </c>
      <c r="BK706" s="135"/>
      <c r="BL706" s="136"/>
    </row>
    <row r="707" spans="1:65" x14ac:dyDescent="0.3">
      <c r="A707" s="138"/>
      <c r="B707" s="138"/>
      <c r="C707" s="28"/>
      <c r="D707" s="138"/>
      <c r="E707" s="28"/>
      <c r="F707" s="28"/>
      <c r="G707" s="196"/>
      <c r="H707" s="28">
        <v>15</v>
      </c>
      <c r="I707" s="28" t="s">
        <v>1047</v>
      </c>
      <c r="J707" s="141">
        <f>SUM(H706:H707)</f>
        <v>18</v>
      </c>
      <c r="L707" s="138" t="s">
        <v>74</v>
      </c>
      <c r="M707" s="138">
        <v>11589</v>
      </c>
      <c r="N707" s="196">
        <v>195</v>
      </c>
      <c r="O707" s="138">
        <v>0</v>
      </c>
      <c r="P707" s="196">
        <v>0</v>
      </c>
      <c r="Q707" s="141">
        <v>0</v>
      </c>
      <c r="R707" s="138">
        <v>9</v>
      </c>
      <c r="S707" s="196">
        <v>0</v>
      </c>
      <c r="T707" s="138"/>
      <c r="U707" s="141"/>
      <c r="AB707" s="142" t="s">
        <v>76</v>
      </c>
      <c r="AC707" s="142">
        <v>0</v>
      </c>
      <c r="AD707" s="146">
        <v>0</v>
      </c>
      <c r="AE707" s="143">
        <v>0</v>
      </c>
      <c r="AF707" s="143">
        <v>0</v>
      </c>
      <c r="AG707" s="143">
        <v>0</v>
      </c>
      <c r="AH707" s="142">
        <v>0</v>
      </c>
      <c r="AI707" s="146">
        <v>0</v>
      </c>
      <c r="AJ707" s="143">
        <v>0</v>
      </c>
      <c r="AK707" s="142">
        <v>1</v>
      </c>
      <c r="AL707" s="143" t="s">
        <v>780</v>
      </c>
      <c r="AM707" s="146"/>
      <c r="AP707" s="138" t="s">
        <v>115</v>
      </c>
      <c r="AQ707" s="138">
        <v>52</v>
      </c>
      <c r="AR707" s="141">
        <v>26</v>
      </c>
      <c r="AS707" s="138"/>
      <c r="AT707" s="141"/>
      <c r="AU707" s="28"/>
      <c r="AV707" s="28"/>
      <c r="AW707" s="28"/>
      <c r="AX707" s="28"/>
      <c r="AY707" s="141"/>
      <c r="BB707" s="199" t="s">
        <v>108</v>
      </c>
      <c r="BC707" s="142">
        <v>314</v>
      </c>
      <c r="BD707" s="146">
        <v>272</v>
      </c>
      <c r="BE707" s="143"/>
      <c r="BF707" s="143">
        <v>0</v>
      </c>
      <c r="BG707" s="143">
        <v>0</v>
      </c>
      <c r="BH707" s="142">
        <v>0</v>
      </c>
      <c r="BI707" s="146">
        <v>0</v>
      </c>
      <c r="BJ707" s="143">
        <v>15</v>
      </c>
      <c r="BK707" s="143" t="s">
        <v>780</v>
      </c>
      <c r="BL707" s="146">
        <f>SUM(BJ707)</f>
        <v>15</v>
      </c>
    </row>
    <row r="708" spans="1:65" x14ac:dyDescent="0.3">
      <c r="A708" s="134"/>
      <c r="B708" s="134"/>
      <c r="C708" s="136"/>
      <c r="D708" s="135"/>
      <c r="E708" s="135"/>
      <c r="F708" s="135"/>
      <c r="G708" s="195"/>
      <c r="H708" s="134" t="s">
        <v>87</v>
      </c>
      <c r="I708" s="135"/>
      <c r="J708" s="136" t="s">
        <v>6</v>
      </c>
      <c r="L708" s="142"/>
      <c r="M708" s="142"/>
      <c r="N708" s="199"/>
      <c r="O708" s="142"/>
      <c r="P708" s="199"/>
      <c r="Q708" s="146"/>
      <c r="R708" s="142"/>
      <c r="S708" s="199"/>
      <c r="T708" s="142"/>
      <c r="U708" s="146"/>
      <c r="AB708" s="138" t="s">
        <v>89</v>
      </c>
      <c r="AC708" s="138">
        <v>65</v>
      </c>
      <c r="AD708" s="141">
        <v>71</v>
      </c>
      <c r="AE708" s="28"/>
      <c r="AF708" s="28"/>
      <c r="AG708" s="28"/>
      <c r="AH708" s="138"/>
      <c r="AI708" s="141"/>
      <c r="AJ708" s="28"/>
      <c r="AK708" s="138" t="s">
        <v>90</v>
      </c>
      <c r="AL708" s="28"/>
      <c r="AM708" s="141"/>
      <c r="AP708" s="138" t="s">
        <v>72</v>
      </c>
      <c r="AQ708" s="138">
        <v>9</v>
      </c>
      <c r="AR708" s="141">
        <v>12</v>
      </c>
      <c r="AS708" s="138"/>
      <c r="AT708" s="141"/>
      <c r="AU708" s="28"/>
      <c r="AV708" s="28"/>
      <c r="AW708" s="28"/>
      <c r="AX708" s="28"/>
      <c r="AY708" s="141"/>
      <c r="BB708" s="195" t="s">
        <v>107</v>
      </c>
      <c r="BC708" s="134">
        <v>0</v>
      </c>
      <c r="BD708" s="136">
        <v>0</v>
      </c>
      <c r="BE708" s="135"/>
      <c r="BF708" s="135"/>
      <c r="BG708" s="135"/>
      <c r="BH708" s="134"/>
      <c r="BI708" s="136"/>
      <c r="BJ708" s="135"/>
      <c r="BK708" s="135" t="s">
        <v>92</v>
      </c>
      <c r="BL708" s="136"/>
    </row>
    <row r="709" spans="1:65" x14ac:dyDescent="0.3">
      <c r="A709" s="138"/>
      <c r="B709" s="138"/>
      <c r="C709" s="141"/>
      <c r="D709" s="28"/>
      <c r="E709" s="28"/>
      <c r="F709" s="28"/>
      <c r="G709" s="196"/>
      <c r="H709" s="138" t="s">
        <v>6</v>
      </c>
      <c r="I709" s="28" t="s">
        <v>927</v>
      </c>
      <c r="J709" s="141"/>
      <c r="L709" s="134" t="s">
        <v>88</v>
      </c>
      <c r="M709" s="134">
        <v>0</v>
      </c>
      <c r="N709" s="195">
        <v>0</v>
      </c>
      <c r="O709" s="134"/>
      <c r="P709" s="195"/>
      <c r="Q709" s="136"/>
      <c r="R709" s="134"/>
      <c r="S709" s="195"/>
      <c r="T709" s="134" t="s">
        <v>6</v>
      </c>
      <c r="U709" s="136"/>
      <c r="AB709" s="138" t="s">
        <v>97</v>
      </c>
      <c r="AC709" s="138">
        <v>0</v>
      </c>
      <c r="AD709" s="141">
        <v>0</v>
      </c>
      <c r="AE709" s="28">
        <v>0</v>
      </c>
      <c r="AF709" s="28">
        <v>0</v>
      </c>
      <c r="AG709" s="28">
        <v>0</v>
      </c>
      <c r="AH709" s="138">
        <v>0</v>
      </c>
      <c r="AI709" s="141">
        <v>0</v>
      </c>
      <c r="AJ709" s="28">
        <v>0</v>
      </c>
      <c r="AK709" s="138"/>
      <c r="AL709" s="28" t="s">
        <v>529</v>
      </c>
      <c r="AM709" s="141"/>
      <c r="AP709" s="138" t="s">
        <v>78</v>
      </c>
      <c r="AQ709" s="138">
        <v>43</v>
      </c>
      <c r="AR709" s="141">
        <v>22</v>
      </c>
      <c r="AS709" s="138"/>
      <c r="AT709" s="141"/>
      <c r="AU709" s="28"/>
      <c r="AV709" s="28"/>
      <c r="AW709" s="28"/>
      <c r="AX709" s="28"/>
      <c r="AY709" s="141"/>
      <c r="BB709" s="196" t="s">
        <v>99</v>
      </c>
      <c r="BC709" s="138">
        <v>0</v>
      </c>
      <c r="BD709" s="141">
        <v>0</v>
      </c>
      <c r="BE709" s="28">
        <v>0</v>
      </c>
      <c r="BF709" s="28">
        <v>0</v>
      </c>
      <c r="BG709" s="28">
        <v>0</v>
      </c>
      <c r="BH709" s="138">
        <v>85299</v>
      </c>
      <c r="BI709" s="141">
        <v>18180</v>
      </c>
      <c r="BJ709" s="43">
        <v>27</v>
      </c>
      <c r="BK709" s="28" t="s">
        <v>100</v>
      </c>
      <c r="BL709" s="141"/>
    </row>
    <row r="710" spans="1:65" x14ac:dyDescent="0.3">
      <c r="A710" s="138" t="s">
        <v>93</v>
      </c>
      <c r="B710" s="138">
        <v>4365</v>
      </c>
      <c r="C710" s="141">
        <v>4044</v>
      </c>
      <c r="D710" s="28" t="s">
        <v>6</v>
      </c>
      <c r="E710" s="28" t="s">
        <v>60</v>
      </c>
      <c r="F710" s="28"/>
      <c r="G710" s="196">
        <v>4820</v>
      </c>
      <c r="H710" s="212" t="s">
        <v>6</v>
      </c>
      <c r="I710" s="28" t="s">
        <v>94</v>
      </c>
      <c r="J710" s="141" t="s">
        <v>6</v>
      </c>
      <c r="L710" s="138" t="s">
        <v>95</v>
      </c>
      <c r="M710" s="138">
        <v>0</v>
      </c>
      <c r="N710" s="196">
        <v>0</v>
      </c>
      <c r="O710" s="138"/>
      <c r="P710" s="196"/>
      <c r="Q710" s="141"/>
      <c r="R710" s="138"/>
      <c r="S710" s="196"/>
      <c r="T710" s="138" t="s">
        <v>96</v>
      </c>
      <c r="U710" s="141"/>
      <c r="AB710" s="142" t="s">
        <v>84</v>
      </c>
      <c r="AC710" s="142">
        <f>SUM(AC708:AC709)</f>
        <v>65</v>
      </c>
      <c r="AD710" s="146">
        <f>SUM(AD708:AD709)</f>
        <v>71</v>
      </c>
      <c r="AE710" s="143"/>
      <c r="AF710" s="143"/>
      <c r="AG710" s="143"/>
      <c r="AH710" s="142"/>
      <c r="AI710" s="146"/>
      <c r="AJ710" s="143"/>
      <c r="AK710" s="142">
        <v>2</v>
      </c>
      <c r="AL710" s="143" t="s">
        <v>145</v>
      </c>
      <c r="AM710" s="146"/>
      <c r="AP710" s="138" t="s">
        <v>122</v>
      </c>
      <c r="AQ710" s="138">
        <v>0</v>
      </c>
      <c r="AR710" s="141">
        <v>5</v>
      </c>
      <c r="AS710" s="138"/>
      <c r="AT710" s="141"/>
      <c r="AU710" s="28"/>
      <c r="AV710" s="28">
        <v>17</v>
      </c>
      <c r="AW710" s="28" t="s">
        <v>123</v>
      </c>
      <c r="AX710" s="28"/>
      <c r="AY710" s="141"/>
      <c r="BB710" s="199" t="s">
        <v>84</v>
      </c>
      <c r="BC710" s="138">
        <f>SUM(BC708:BC709)</f>
        <v>0</v>
      </c>
      <c r="BD710" s="141">
        <f>SUM(BD708:BD709)</f>
        <v>0</v>
      </c>
      <c r="BE710" s="143"/>
      <c r="BF710" s="143"/>
      <c r="BG710" s="143"/>
      <c r="BH710" s="142"/>
      <c r="BI710" s="146"/>
      <c r="BJ710" s="143">
        <v>0</v>
      </c>
      <c r="BK710" s="143" t="s">
        <v>506</v>
      </c>
      <c r="BL710" s="146">
        <f>SUM(BJ709:BJ710)</f>
        <v>27</v>
      </c>
    </row>
    <row r="711" spans="1:65" x14ac:dyDescent="0.3">
      <c r="A711" s="142"/>
      <c r="B711" s="142"/>
      <c r="C711" s="146"/>
      <c r="D711" s="143"/>
      <c r="E711" s="143"/>
      <c r="F711" s="143"/>
      <c r="G711" s="199"/>
      <c r="H711" s="142">
        <v>27</v>
      </c>
      <c r="I711" s="143" t="s">
        <v>101</v>
      </c>
      <c r="J711" s="146">
        <f>SUM(H709:H711)</f>
        <v>27</v>
      </c>
      <c r="L711" s="138" t="s">
        <v>102</v>
      </c>
      <c r="M711" s="138">
        <v>0</v>
      </c>
      <c r="N711" s="196">
        <v>0</v>
      </c>
      <c r="O711" s="138"/>
      <c r="P711" s="196"/>
      <c r="Q711" s="141"/>
      <c r="R711" s="138"/>
      <c r="S711" s="196"/>
      <c r="T711" s="138"/>
      <c r="U711" s="141"/>
      <c r="AB711" s="134"/>
      <c r="AC711" s="134"/>
      <c r="AD711" s="136"/>
      <c r="AE711" s="135"/>
      <c r="AF711" s="135"/>
      <c r="AG711" s="135"/>
      <c r="AH711" s="134"/>
      <c r="AI711" s="136"/>
      <c r="AJ711" s="135"/>
      <c r="AK711" s="138" t="s">
        <v>6</v>
      </c>
      <c r="AM711" s="136"/>
      <c r="AP711" s="138" t="s">
        <v>125</v>
      </c>
      <c r="AQ711" s="138">
        <v>0</v>
      </c>
      <c r="AR711" s="141">
        <v>0</v>
      </c>
      <c r="AS711" s="138"/>
      <c r="AT711" s="141"/>
      <c r="AU711" s="28"/>
      <c r="AV711" s="28">
        <v>49</v>
      </c>
      <c r="AW711" s="28" t="s">
        <v>126</v>
      </c>
      <c r="AX711" s="28"/>
      <c r="AY711" s="141"/>
      <c r="BB711" s="138" t="s">
        <v>89</v>
      </c>
      <c r="BC711" s="134">
        <v>833</v>
      </c>
      <c r="BD711" s="136">
        <v>1030</v>
      </c>
      <c r="BH711" s="134"/>
      <c r="BI711" s="136"/>
      <c r="BJ711" s="134"/>
      <c r="BK711" s="135" t="s">
        <v>91</v>
      </c>
      <c r="BL711" s="136"/>
    </row>
    <row r="712" spans="1:65" x14ac:dyDescent="0.3">
      <c r="A712" s="138" t="s">
        <v>108</v>
      </c>
      <c r="B712" s="138">
        <v>0</v>
      </c>
      <c r="C712" s="28">
        <v>0</v>
      </c>
      <c r="D712" s="138"/>
      <c r="E712" s="28">
        <v>753</v>
      </c>
      <c r="F712" s="141"/>
      <c r="G712" s="141"/>
      <c r="H712" s="28" t="s">
        <v>104</v>
      </c>
      <c r="I712" s="28"/>
      <c r="J712" s="141"/>
      <c r="L712" s="142" t="s">
        <v>84</v>
      </c>
      <c r="M712" s="142">
        <v>0</v>
      </c>
      <c r="N712" s="199">
        <v>0</v>
      </c>
      <c r="O712" s="142">
        <v>0</v>
      </c>
      <c r="P712" s="199">
        <v>0</v>
      </c>
      <c r="Q712" s="146">
        <v>0</v>
      </c>
      <c r="R712" s="142">
        <v>0</v>
      </c>
      <c r="S712" s="199">
        <v>0</v>
      </c>
      <c r="T712" s="142"/>
      <c r="U712" s="146"/>
      <c r="AB712" s="138" t="s">
        <v>817</v>
      </c>
      <c r="AC712" s="138">
        <v>0</v>
      </c>
      <c r="AD712" s="141">
        <v>1616</v>
      </c>
      <c r="AE712" s="28">
        <v>0</v>
      </c>
      <c r="AF712" s="28">
        <v>0</v>
      </c>
      <c r="AG712" s="28">
        <v>0</v>
      </c>
      <c r="AH712" s="138">
        <v>0</v>
      </c>
      <c r="AI712" s="141">
        <v>0</v>
      </c>
      <c r="AJ712" s="28">
        <v>0</v>
      </c>
      <c r="AK712" s="138" t="s">
        <v>1263</v>
      </c>
      <c r="AM712" s="141"/>
      <c r="AP712" s="138" t="s">
        <v>536</v>
      </c>
      <c r="AQ712" s="138">
        <v>0</v>
      </c>
      <c r="AR712" s="141">
        <v>3</v>
      </c>
      <c r="AS712" s="138"/>
      <c r="AT712" s="141"/>
      <c r="AU712" s="28"/>
      <c r="AV712" s="28">
        <v>24</v>
      </c>
      <c r="AW712" s="28" t="s">
        <v>129</v>
      </c>
      <c r="AX712" s="28"/>
      <c r="AY712" s="141"/>
      <c r="BA712" t="s">
        <v>6</v>
      </c>
      <c r="BB712" s="138" t="s">
        <v>137</v>
      </c>
      <c r="BC712" s="138">
        <v>542</v>
      </c>
      <c r="BD712" s="141">
        <v>557</v>
      </c>
      <c r="BH712" s="138"/>
      <c r="BI712" s="141"/>
      <c r="BJ712" s="212">
        <v>32</v>
      </c>
      <c r="BK712" s="43" t="s">
        <v>101</v>
      </c>
      <c r="BL712" s="141"/>
    </row>
    <row r="713" spans="1:65" x14ac:dyDescent="0.3">
      <c r="A713" s="138" t="s">
        <v>109</v>
      </c>
      <c r="B713" s="138">
        <v>2212</v>
      </c>
      <c r="C713" s="28">
        <v>1243</v>
      </c>
      <c r="D713" s="138"/>
      <c r="E713" s="28">
        <v>0</v>
      </c>
      <c r="F713" s="141"/>
      <c r="G713" s="141"/>
      <c r="H713" s="43">
        <v>8</v>
      </c>
      <c r="I713" s="28" t="s">
        <v>114</v>
      </c>
      <c r="J713" s="141"/>
      <c r="L713" s="134"/>
      <c r="M713" s="134"/>
      <c r="N713" s="195"/>
      <c r="O713" s="134"/>
      <c r="P713" s="195"/>
      <c r="Q713" s="136"/>
      <c r="R713" s="134"/>
      <c r="S713" s="195"/>
      <c r="T713" s="134" t="s">
        <v>104</v>
      </c>
      <c r="U713" s="136"/>
      <c r="AB713" s="138" t="s">
        <v>164</v>
      </c>
      <c r="AC713" s="138">
        <v>161</v>
      </c>
      <c r="AD713" s="141">
        <v>0</v>
      </c>
      <c r="AE713" s="28">
        <v>0</v>
      </c>
      <c r="AF713" s="28">
        <v>0</v>
      </c>
      <c r="AG713" s="28">
        <v>0</v>
      </c>
      <c r="AH713" s="138"/>
      <c r="AI713" s="141"/>
      <c r="AJ713" s="28"/>
      <c r="AK713" s="138">
        <v>13</v>
      </c>
      <c r="AL713" s="43" t="s">
        <v>359</v>
      </c>
      <c r="AM713" s="141"/>
      <c r="AP713" s="138" t="s">
        <v>132</v>
      </c>
      <c r="AQ713" s="138">
        <v>0</v>
      </c>
      <c r="AR713" s="141">
        <v>0</v>
      </c>
      <c r="AS713" s="138"/>
      <c r="AT713" s="141"/>
      <c r="AU713" s="28"/>
      <c r="AV713" s="28"/>
      <c r="AW713" s="28"/>
      <c r="AX713" s="28"/>
      <c r="AY713" s="141"/>
      <c r="BA713" t="s">
        <v>6</v>
      </c>
      <c r="BB713" s="138" t="s">
        <v>113</v>
      </c>
      <c r="BC713" s="138">
        <v>632</v>
      </c>
      <c r="BD713" s="141">
        <v>732</v>
      </c>
      <c r="BH713" s="138"/>
      <c r="BI713" s="141"/>
      <c r="BJ713" s="212">
        <v>59</v>
      </c>
      <c r="BK713" s="28" t="s">
        <v>73</v>
      </c>
      <c r="BL713" s="141"/>
    </row>
    <row r="714" spans="1:65" x14ac:dyDescent="0.3">
      <c r="A714" s="138" t="s">
        <v>84</v>
      </c>
      <c r="B714" s="138">
        <f>SUM(B712:B713)</f>
        <v>2212</v>
      </c>
      <c r="C714" s="28">
        <f>SUM(C712:C713)</f>
        <v>1243</v>
      </c>
      <c r="D714" s="138"/>
      <c r="E714" s="28">
        <f>SUM(E712:E713)</f>
        <v>753</v>
      </c>
      <c r="F714" s="141"/>
      <c r="G714" s="141">
        <v>4875</v>
      </c>
      <c r="H714" s="28"/>
      <c r="I714" s="28"/>
      <c r="J714" s="141">
        <f>SUM(H713)</f>
        <v>8</v>
      </c>
      <c r="L714" s="138" t="s">
        <v>109</v>
      </c>
      <c r="M714" s="138">
        <v>4665</v>
      </c>
      <c r="N714" s="196">
        <v>0</v>
      </c>
      <c r="O714" s="138">
        <v>0</v>
      </c>
      <c r="P714" s="196">
        <v>0</v>
      </c>
      <c r="Q714" s="141">
        <v>0</v>
      </c>
      <c r="R714" s="138">
        <v>0</v>
      </c>
      <c r="S714" s="196">
        <v>0</v>
      </c>
      <c r="T714" s="138"/>
      <c r="U714" s="141"/>
      <c r="AB714" s="142" t="s">
        <v>709</v>
      </c>
      <c r="AC714" s="142">
        <f>SUM(AC712:AC713)</f>
        <v>161</v>
      </c>
      <c r="AD714" s="146">
        <f>SUM(AD712:AD713)</f>
        <v>1616</v>
      </c>
      <c r="AE714" s="143">
        <v>0</v>
      </c>
      <c r="AF714" s="143">
        <v>0</v>
      </c>
      <c r="AG714" s="143">
        <v>0</v>
      </c>
      <c r="AH714" s="142"/>
      <c r="AI714" s="146"/>
      <c r="AJ714" s="143"/>
      <c r="AK714" s="142"/>
      <c r="AL714" s="143"/>
      <c r="AM714" s="146"/>
      <c r="AP714" s="138" t="s">
        <v>81</v>
      </c>
      <c r="AQ714" s="138">
        <v>13</v>
      </c>
      <c r="AR714" s="141">
        <v>8</v>
      </c>
      <c r="AS714" s="138"/>
      <c r="AT714" s="141"/>
      <c r="AU714" s="28"/>
      <c r="AV714" s="28"/>
      <c r="AW714" s="28"/>
      <c r="AX714" s="28"/>
      <c r="AY714" s="141"/>
      <c r="BB714" s="212" t="s">
        <v>108</v>
      </c>
      <c r="BC714" s="212">
        <v>15</v>
      </c>
      <c r="BD714" s="209">
        <v>107</v>
      </c>
      <c r="BH714" s="138"/>
      <c r="BI714" s="141"/>
      <c r="BJ714" s="138"/>
      <c r="BK714" s="28"/>
      <c r="BL714" s="141"/>
    </row>
    <row r="715" spans="1:65" x14ac:dyDescent="0.3">
      <c r="A715" s="134" t="s">
        <v>785</v>
      </c>
      <c r="B715" s="134">
        <v>850</v>
      </c>
      <c r="C715" s="136">
        <v>748</v>
      </c>
      <c r="D715" s="135"/>
      <c r="E715" s="135"/>
      <c r="F715" s="135"/>
      <c r="G715" s="195">
        <v>900</v>
      </c>
      <c r="H715" s="135" t="s">
        <v>1050</v>
      </c>
      <c r="I715" s="135"/>
      <c r="J715" s="136"/>
      <c r="L715" s="142"/>
      <c r="M715" s="142"/>
      <c r="N715" s="199"/>
      <c r="O715" s="142"/>
      <c r="P715" s="199"/>
      <c r="Q715" s="146"/>
      <c r="R715" s="142"/>
      <c r="S715" s="199"/>
      <c r="T715" s="142"/>
      <c r="U715" s="146"/>
      <c r="AB715" s="134"/>
      <c r="AC715" s="134"/>
      <c r="AD715" s="136"/>
      <c r="AE715" s="135"/>
      <c r="AF715" s="135"/>
      <c r="AG715" s="135"/>
      <c r="AH715" s="134"/>
      <c r="AI715" s="136"/>
      <c r="AJ715" s="135"/>
      <c r="AK715" s="134"/>
      <c r="AL715" s="135" t="s">
        <v>117</v>
      </c>
      <c r="AM715" s="136"/>
      <c r="AP715" s="138" t="s">
        <v>138</v>
      </c>
      <c r="AQ715" s="138">
        <v>0</v>
      </c>
      <c r="AR715" s="141">
        <v>0</v>
      </c>
      <c r="AS715" s="138"/>
      <c r="AT715" s="141"/>
      <c r="AU715" s="28"/>
      <c r="AV715" s="28"/>
      <c r="AW715" s="28"/>
      <c r="AX715" s="28"/>
      <c r="AY715" s="141"/>
      <c r="BA715" t="s">
        <v>6</v>
      </c>
      <c r="BB715" s="138" t="s">
        <v>84</v>
      </c>
      <c r="BC715" s="138">
        <f>SUM(BC711:BC714)</f>
        <v>2022</v>
      </c>
      <c r="BD715" s="141">
        <f>SUM(BD711:BD714)</f>
        <v>2426</v>
      </c>
      <c r="BE715">
        <v>0</v>
      </c>
      <c r="BF715">
        <v>0</v>
      </c>
      <c r="BG715">
        <v>0</v>
      </c>
      <c r="BH715" s="142">
        <v>0</v>
      </c>
      <c r="BI715" s="146">
        <v>0</v>
      </c>
      <c r="BJ715" s="142">
        <v>1</v>
      </c>
      <c r="BK715" s="143" t="s">
        <v>780</v>
      </c>
      <c r="BL715" s="146">
        <f>SUM(BJ712:BJ715)</f>
        <v>92</v>
      </c>
    </row>
    <row r="716" spans="1:65" x14ac:dyDescent="0.3">
      <c r="A716" s="138" t="s">
        <v>93</v>
      </c>
      <c r="B716" s="138">
        <v>8375</v>
      </c>
      <c r="C716" s="141">
        <v>8176</v>
      </c>
      <c r="D716" s="28"/>
      <c r="E716" s="28"/>
      <c r="F716" s="28"/>
      <c r="G716" s="196">
        <v>9440</v>
      </c>
      <c r="H716" s="28"/>
      <c r="I716" s="28" t="s">
        <v>75</v>
      </c>
      <c r="J716" s="141"/>
      <c r="L716" s="134" t="s">
        <v>93</v>
      </c>
      <c r="M716" s="134">
        <v>0</v>
      </c>
      <c r="N716" s="195">
        <v>0</v>
      </c>
      <c r="O716" s="134"/>
      <c r="P716" s="195"/>
      <c r="Q716" s="136"/>
      <c r="R716" s="134">
        <v>0</v>
      </c>
      <c r="S716" s="195">
        <v>0</v>
      </c>
      <c r="T716" s="134" t="s">
        <v>116</v>
      </c>
      <c r="U716" s="136"/>
      <c r="AB716" s="142"/>
      <c r="AC716" s="142"/>
      <c r="AD716" s="146"/>
      <c r="AE716" s="143"/>
      <c r="AF716" s="143"/>
      <c r="AG716" s="143"/>
      <c r="AH716" s="142"/>
      <c r="AI716" s="146"/>
      <c r="AJ716" s="143"/>
      <c r="AK716" s="142">
        <v>1</v>
      </c>
      <c r="AL716" s="143" t="s">
        <v>401</v>
      </c>
      <c r="AM716" s="146"/>
      <c r="AP716" s="138" t="s">
        <v>230</v>
      </c>
      <c r="AQ716" s="138">
        <v>0</v>
      </c>
      <c r="AR716" s="141">
        <v>0</v>
      </c>
      <c r="AS716" s="138"/>
      <c r="AT716" s="141"/>
      <c r="AU716" s="28"/>
      <c r="AV716" s="28"/>
      <c r="AW716" s="28"/>
      <c r="AX716" s="28"/>
      <c r="AY716" s="141"/>
      <c r="BB716" s="134"/>
      <c r="BC716" s="134"/>
      <c r="BD716" s="136"/>
      <c r="BE716" s="135"/>
      <c r="BF716" s="135"/>
      <c r="BG716" s="135"/>
      <c r="BH716" s="134"/>
      <c r="BI716" s="136"/>
      <c r="BJ716" s="135" t="s">
        <v>1025</v>
      </c>
      <c r="BK716" s="135"/>
      <c r="BL716" s="136"/>
    </row>
    <row r="717" spans="1:65" x14ac:dyDescent="0.3">
      <c r="A717" s="138" t="s">
        <v>120</v>
      </c>
      <c r="B717" s="138">
        <v>5735</v>
      </c>
      <c r="C717" s="209">
        <v>4846</v>
      </c>
      <c r="D717" s="28"/>
      <c r="E717" s="28" t="s">
        <v>60</v>
      </c>
      <c r="F717" s="28"/>
      <c r="G717" s="196">
        <v>6055</v>
      </c>
      <c r="H717" s="28">
        <v>72</v>
      </c>
      <c r="I717" s="28" t="s">
        <v>101</v>
      </c>
      <c r="J717" s="141"/>
      <c r="L717" s="138" t="s">
        <v>99</v>
      </c>
      <c r="M717" s="138">
        <v>18816</v>
      </c>
      <c r="N717" s="196">
        <v>14174</v>
      </c>
      <c r="O717" s="138"/>
      <c r="P717" s="196"/>
      <c r="Q717" s="141"/>
      <c r="R717" s="138">
        <v>3104</v>
      </c>
      <c r="S717" s="196">
        <v>317</v>
      </c>
      <c r="T717" s="138"/>
      <c r="U717" s="141"/>
      <c r="AB717" s="233" t="s">
        <v>1264</v>
      </c>
      <c r="AC717" s="135">
        <v>0</v>
      </c>
      <c r="AD717" s="135">
        <v>57</v>
      </c>
      <c r="AE717" s="134"/>
      <c r="AF717" s="135"/>
      <c r="AG717" s="136"/>
      <c r="AH717" s="135"/>
      <c r="AI717" s="135"/>
      <c r="AJ717" s="195"/>
      <c r="AK717" s="135" t="s">
        <v>1265</v>
      </c>
      <c r="AL717" s="135"/>
      <c r="AM717" s="136"/>
      <c r="AP717" s="138" t="s">
        <v>67</v>
      </c>
      <c r="AQ717" s="138">
        <v>153</v>
      </c>
      <c r="AR717" s="141">
        <v>139</v>
      </c>
      <c r="AS717" s="138"/>
      <c r="AT717" s="141"/>
      <c r="AU717" s="28"/>
      <c r="AV717" s="28"/>
      <c r="AW717" s="28"/>
      <c r="AX717" s="28"/>
      <c r="AY717" s="141"/>
      <c r="BB717" s="142" t="s">
        <v>64</v>
      </c>
      <c r="BC717" s="142">
        <v>117</v>
      </c>
      <c r="BD717" s="146">
        <v>67</v>
      </c>
      <c r="BE717" s="143"/>
      <c r="BF717" s="143"/>
      <c r="BG717" s="143"/>
      <c r="BH717" s="142"/>
      <c r="BI717" s="146"/>
      <c r="BJ717" s="143">
        <v>8</v>
      </c>
      <c r="BK717" s="143" t="s">
        <v>1026</v>
      </c>
      <c r="BL717" s="146">
        <f>SUM(BJ717)</f>
        <v>8</v>
      </c>
    </row>
    <row r="718" spans="1:65" x14ac:dyDescent="0.3">
      <c r="A718" s="142" t="s">
        <v>84</v>
      </c>
      <c r="B718" s="142">
        <f>SUM(B715:B717)</f>
        <v>14960</v>
      </c>
      <c r="C718" s="146">
        <f>SUM(C715:C717)</f>
        <v>13770</v>
      </c>
      <c r="D718" s="143"/>
      <c r="E718" s="143"/>
      <c r="F718" s="143"/>
      <c r="G718" s="199">
        <f>SUM(G715:G717)</f>
        <v>16395</v>
      </c>
      <c r="H718" s="143">
        <v>27</v>
      </c>
      <c r="I718" s="143" t="s">
        <v>927</v>
      </c>
      <c r="J718" s="146">
        <f>SUM(H717:H718)</f>
        <v>99</v>
      </c>
      <c r="L718" s="138" t="s">
        <v>120</v>
      </c>
      <c r="M718" s="138">
        <v>0</v>
      </c>
      <c r="N718" s="196">
        <v>29239</v>
      </c>
      <c r="O718" s="138"/>
      <c r="P718" s="196"/>
      <c r="Q718" s="141" t="s">
        <v>6</v>
      </c>
      <c r="R718" s="138">
        <v>0</v>
      </c>
      <c r="S718" s="196">
        <v>0</v>
      </c>
      <c r="T718" s="138"/>
      <c r="U718" s="141"/>
      <c r="AB718" s="199"/>
      <c r="AC718" s="143"/>
      <c r="AD718" s="143"/>
      <c r="AE718" s="142"/>
      <c r="AF718" s="143"/>
      <c r="AG718" s="146"/>
      <c r="AH718" s="143"/>
      <c r="AI718" s="143"/>
      <c r="AJ718" s="199"/>
      <c r="AK718" s="143">
        <v>1</v>
      </c>
      <c r="AL718" s="143" t="s">
        <v>1072</v>
      </c>
      <c r="AM718" s="146"/>
      <c r="AP718" s="142" t="s">
        <v>84</v>
      </c>
      <c r="AQ718" s="142">
        <f>SUM(AQ705:AQ717)</f>
        <v>297</v>
      </c>
      <c r="AR718" s="146">
        <f>SUM(AR705:AR717)</f>
        <v>220</v>
      </c>
      <c r="AS718" s="142"/>
      <c r="AT718" s="146">
        <v>0</v>
      </c>
      <c r="AU718" s="143"/>
      <c r="AV718" s="143"/>
      <c r="AW718" s="143"/>
      <c r="AX718" s="143"/>
      <c r="AY718" s="146">
        <f>SUM(AV710:AV712)</f>
        <v>90</v>
      </c>
      <c r="BB718" s="138" t="s">
        <v>113</v>
      </c>
      <c r="BC718" s="138">
        <v>459</v>
      </c>
      <c r="BD718" s="141">
        <f>489+16</f>
        <v>505</v>
      </c>
      <c r="BE718" s="28"/>
      <c r="BF718" s="28"/>
      <c r="BG718" s="28"/>
      <c r="BH718" s="138"/>
      <c r="BI718" s="141"/>
      <c r="BJ718" s="28" t="s">
        <v>994</v>
      </c>
      <c r="BK718" s="28"/>
      <c r="BL718" s="141"/>
    </row>
    <row r="719" spans="1:65" x14ac:dyDescent="0.3">
      <c r="A719" s="196" t="s">
        <v>6</v>
      </c>
      <c r="B719" s="138" t="s">
        <v>6</v>
      </c>
      <c r="C719" s="141" t="s">
        <v>6</v>
      </c>
      <c r="D719" s="138"/>
      <c r="E719" s="28"/>
      <c r="F719" s="28"/>
      <c r="G719" s="196" t="s">
        <v>6</v>
      </c>
      <c r="H719" s="28" t="s">
        <v>131</v>
      </c>
      <c r="I719" s="28"/>
      <c r="J719" s="141"/>
      <c r="L719" s="142" t="s">
        <v>84</v>
      </c>
      <c r="M719" s="142">
        <f>SUM(M716:M718)</f>
        <v>18816</v>
      </c>
      <c r="N719" s="199">
        <f>SUM(N716:N718)</f>
        <v>43413</v>
      </c>
      <c r="O719" s="142">
        <v>0</v>
      </c>
      <c r="P719" s="199">
        <v>0</v>
      </c>
      <c r="Q719" s="146">
        <v>0</v>
      </c>
      <c r="R719" s="142">
        <f>SUM(R716:R718)</f>
        <v>3104</v>
      </c>
      <c r="S719" s="199">
        <f>SUM(S716:S718)</f>
        <v>317</v>
      </c>
      <c r="T719" s="142"/>
      <c r="U719" s="146"/>
      <c r="AB719" s="138"/>
      <c r="AC719" s="138"/>
      <c r="AD719" s="141"/>
      <c r="AE719" s="28"/>
      <c r="AF719" s="28"/>
      <c r="AG719" s="28"/>
      <c r="AH719" s="138"/>
      <c r="AI719" s="141"/>
      <c r="AJ719" s="28"/>
      <c r="AK719" s="138"/>
      <c r="AL719" s="28" t="s">
        <v>124</v>
      </c>
      <c r="AM719" s="141"/>
      <c r="AP719" s="134"/>
      <c r="AQ719" s="134"/>
      <c r="AR719" s="136"/>
      <c r="AS719" s="134"/>
      <c r="AT719" s="136"/>
      <c r="AU719" s="135"/>
      <c r="AV719" s="135"/>
      <c r="AW719" s="135"/>
      <c r="AX719" s="135"/>
      <c r="AY719" s="136"/>
      <c r="BB719" s="138" t="s">
        <v>93</v>
      </c>
      <c r="BC719" s="138">
        <v>4</v>
      </c>
      <c r="BD719" s="141">
        <v>16</v>
      </c>
      <c r="BE719" s="28"/>
      <c r="BF719" s="28"/>
      <c r="BG719" s="28"/>
      <c r="BH719" s="138"/>
      <c r="BI719" s="141"/>
      <c r="BJ719" s="28">
        <v>15</v>
      </c>
      <c r="BK719" s="28" t="s">
        <v>100</v>
      </c>
      <c r="BL719" s="141"/>
      <c r="BM719" t="s">
        <v>6</v>
      </c>
    </row>
    <row r="720" spans="1:65" x14ac:dyDescent="0.3">
      <c r="A720" s="196" t="s">
        <v>88</v>
      </c>
      <c r="B720" s="138">
        <v>727</v>
      </c>
      <c r="C720" s="141">
        <v>937</v>
      </c>
      <c r="D720" s="138"/>
      <c r="E720" s="28">
        <v>0</v>
      </c>
      <c r="F720" s="28"/>
      <c r="G720" s="196">
        <v>2550</v>
      </c>
      <c r="I720" s="43" t="s">
        <v>1094</v>
      </c>
      <c r="J720" s="141"/>
      <c r="L720" s="134"/>
      <c r="M720" s="134"/>
      <c r="N720" s="195"/>
      <c r="O720" s="134"/>
      <c r="P720" s="195"/>
      <c r="Q720" s="136"/>
      <c r="R720" s="134"/>
      <c r="S720" s="195"/>
      <c r="T720" s="134"/>
      <c r="U720" s="136"/>
      <c r="AB720" s="134"/>
      <c r="AC720" s="134"/>
      <c r="AD720" s="136"/>
      <c r="AE720" s="135"/>
      <c r="AF720" s="135"/>
      <c r="AG720" s="135"/>
      <c r="AH720" s="134"/>
      <c r="AI720" s="136"/>
      <c r="AJ720" s="135"/>
      <c r="AK720" s="134"/>
      <c r="AL720" s="135"/>
      <c r="AM720" s="136"/>
      <c r="AO720" t="s">
        <v>6</v>
      </c>
      <c r="AP720" s="138" t="s">
        <v>63</v>
      </c>
      <c r="AQ720" s="138">
        <v>0</v>
      </c>
      <c r="AR720" s="141">
        <v>0</v>
      </c>
      <c r="AS720" s="138"/>
      <c r="AT720" s="141"/>
      <c r="AU720" s="28"/>
      <c r="AV720" s="28"/>
      <c r="AW720" s="28"/>
      <c r="AX720" s="28"/>
      <c r="AY720" s="141"/>
      <c r="BB720" s="142" t="s">
        <v>84</v>
      </c>
      <c r="BC720" s="142">
        <f>SUM(BC718:BC719)</f>
        <v>463</v>
      </c>
      <c r="BD720" s="146">
        <f>SUM(BD718:BD719)</f>
        <v>521</v>
      </c>
      <c r="BE720" s="143">
        <v>0</v>
      </c>
      <c r="BF720" s="143">
        <v>0</v>
      </c>
      <c r="BG720" s="143">
        <v>0</v>
      </c>
      <c r="BH720" s="142">
        <v>0</v>
      </c>
      <c r="BI720" s="146">
        <v>0</v>
      </c>
      <c r="BJ720" s="43">
        <v>29</v>
      </c>
      <c r="BK720" s="43" t="s">
        <v>73</v>
      </c>
      <c r="BL720" s="146">
        <f>SUM(BJ719:BJ720)</f>
        <v>44</v>
      </c>
    </row>
    <row r="721" spans="1:64" x14ac:dyDescent="0.3">
      <c r="A721" s="211" t="s">
        <v>99</v>
      </c>
      <c r="B721" s="212">
        <v>2145</v>
      </c>
      <c r="C721" s="209">
        <v>1189</v>
      </c>
      <c r="D721" s="138"/>
      <c r="E721" s="28">
        <v>0</v>
      </c>
      <c r="F721" s="28"/>
      <c r="G721" s="211">
        <v>3260</v>
      </c>
      <c r="H721" s="28"/>
      <c r="I721" s="215" t="s">
        <v>1072</v>
      </c>
      <c r="J721" s="141"/>
      <c r="L721" s="138" t="s">
        <v>105</v>
      </c>
      <c r="M721" s="138">
        <v>2553</v>
      </c>
      <c r="N721" s="196">
        <v>85</v>
      </c>
      <c r="O721" s="138">
        <v>0</v>
      </c>
      <c r="P721" s="196">
        <v>0</v>
      </c>
      <c r="Q721" s="141">
        <v>0</v>
      </c>
      <c r="R721" s="138">
        <v>17</v>
      </c>
      <c r="S721" s="196">
        <v>0</v>
      </c>
      <c r="T721" s="138"/>
      <c r="U721" s="141"/>
      <c r="AB721" s="138" t="s">
        <v>97</v>
      </c>
      <c r="AC721" s="138">
        <v>100</v>
      </c>
      <c r="AD721" s="141">
        <v>199</v>
      </c>
      <c r="AE721" s="28"/>
      <c r="AF721" s="28"/>
      <c r="AG721" s="28"/>
      <c r="AH721" s="138"/>
      <c r="AI721" s="141"/>
      <c r="AJ721" s="28"/>
      <c r="AK721" s="138" t="s">
        <v>953</v>
      </c>
      <c r="AL721" s="28"/>
      <c r="AM721" s="141"/>
      <c r="AP721" s="138" t="s">
        <v>536</v>
      </c>
      <c r="AQ721" s="138">
        <v>0</v>
      </c>
      <c r="AR721" s="141">
        <v>0</v>
      </c>
      <c r="AS721" s="138"/>
      <c r="AT721" s="141"/>
      <c r="AU721" s="28"/>
      <c r="AV721" s="28"/>
      <c r="AW721" s="28"/>
      <c r="AX721" s="28"/>
      <c r="AY721" s="141"/>
      <c r="BB721" s="196" t="s">
        <v>1266</v>
      </c>
      <c r="BC721" s="138">
        <v>0</v>
      </c>
      <c r="BD721" s="141">
        <v>1</v>
      </c>
      <c r="BE721" s="134"/>
      <c r="BF721" s="135"/>
      <c r="BG721" s="136"/>
      <c r="BH721" s="138"/>
      <c r="BI721" s="141"/>
      <c r="BJ721" s="134" t="s">
        <v>140</v>
      </c>
      <c r="BK721" s="135"/>
      <c r="BL721" s="136"/>
    </row>
    <row r="722" spans="1:64" x14ac:dyDescent="0.3">
      <c r="A722" s="196" t="s">
        <v>102</v>
      </c>
      <c r="B722" s="138">
        <v>828</v>
      </c>
      <c r="C722" s="209">
        <v>573</v>
      </c>
      <c r="D722" s="138"/>
      <c r="E722" s="28">
        <v>0</v>
      </c>
      <c r="F722" s="28"/>
      <c r="G722" s="196">
        <v>1528</v>
      </c>
      <c r="H722" s="43">
        <v>44</v>
      </c>
      <c r="I722" s="28" t="s">
        <v>134</v>
      </c>
      <c r="J722" s="141"/>
      <c r="L722" s="138" t="s">
        <v>99</v>
      </c>
      <c r="M722" s="138">
        <v>0</v>
      </c>
      <c r="N722" s="196">
        <v>0</v>
      </c>
      <c r="O722" s="138">
        <v>0</v>
      </c>
      <c r="P722" s="196">
        <v>0</v>
      </c>
      <c r="Q722" s="141">
        <v>0</v>
      </c>
      <c r="R722" s="138">
        <v>0</v>
      </c>
      <c r="S722" s="196">
        <v>0</v>
      </c>
      <c r="T722" s="138" t="s">
        <v>135</v>
      </c>
      <c r="U722" s="141"/>
      <c r="AB722" s="138" t="s">
        <v>89</v>
      </c>
      <c r="AC722" s="138">
        <v>749</v>
      </c>
      <c r="AD722" s="141">
        <v>816</v>
      </c>
      <c r="AE722" s="28"/>
      <c r="AF722" s="28"/>
      <c r="AG722" s="28"/>
      <c r="AH722" s="138"/>
      <c r="AI722" s="141"/>
      <c r="AJ722" s="28"/>
      <c r="AK722" s="138">
        <v>1</v>
      </c>
      <c r="AL722" s="43" t="s">
        <v>145</v>
      </c>
      <c r="AM722" s="141"/>
      <c r="AP722" s="138" t="s">
        <v>56</v>
      </c>
      <c r="AQ722" s="138">
        <v>0</v>
      </c>
      <c r="AR722" s="141">
        <v>0</v>
      </c>
      <c r="AS722" s="138"/>
      <c r="AT722" s="141"/>
      <c r="AU722" s="28"/>
      <c r="AV722" s="28" t="s">
        <v>173</v>
      </c>
      <c r="AW722" s="28"/>
      <c r="AX722" s="28"/>
      <c r="AY722" s="141"/>
      <c r="BB722" s="196" t="s">
        <v>139</v>
      </c>
      <c r="BC722" s="138">
        <v>0</v>
      </c>
      <c r="BD722" s="141">
        <v>0</v>
      </c>
      <c r="BE722" s="138"/>
      <c r="BF722" s="28"/>
      <c r="BG722" s="141"/>
      <c r="BH722" s="138"/>
      <c r="BI722" s="141"/>
      <c r="BJ722" s="138"/>
      <c r="BK722" s="28"/>
      <c r="BL722" s="141"/>
    </row>
    <row r="723" spans="1:64" x14ac:dyDescent="0.3">
      <c r="A723" s="196" t="s">
        <v>84</v>
      </c>
      <c r="B723" s="142">
        <f>SUM(B719:B722)</f>
        <v>3700</v>
      </c>
      <c r="C723" s="146">
        <f>SUM(C719:C722)</f>
        <v>2699</v>
      </c>
      <c r="D723" s="142"/>
      <c r="E723" s="143">
        <v>0</v>
      </c>
      <c r="F723" s="143"/>
      <c r="G723" s="199">
        <f>SUM(G720:G722)</f>
        <v>7338</v>
      </c>
      <c r="H723" s="143">
        <v>3</v>
      </c>
      <c r="I723" s="216" t="s">
        <v>815</v>
      </c>
      <c r="J723" s="146">
        <f>SUM(H720:H723)</f>
        <v>47</v>
      </c>
      <c r="L723" s="138"/>
      <c r="M723" s="138"/>
      <c r="N723" s="196"/>
      <c r="O723" s="138"/>
      <c r="P723" s="196"/>
      <c r="Q723" s="141"/>
      <c r="R723" s="138"/>
      <c r="S723" s="196"/>
      <c r="T723" s="138"/>
      <c r="U723" s="141"/>
      <c r="AB723" s="138" t="s">
        <v>137</v>
      </c>
      <c r="AC723" s="138">
        <v>142</v>
      </c>
      <c r="AD723" s="141">
        <v>148</v>
      </c>
      <c r="AE723" s="28"/>
      <c r="AF723" s="28"/>
      <c r="AG723" s="28"/>
      <c r="AH723" s="138"/>
      <c r="AI723" s="141"/>
      <c r="AJ723" s="28"/>
      <c r="AK723" s="138">
        <v>13</v>
      </c>
      <c r="AL723" s="28" t="s">
        <v>884</v>
      </c>
      <c r="AM723" s="141"/>
      <c r="AP723" s="138" t="s">
        <v>67</v>
      </c>
      <c r="AQ723" s="138">
        <v>0</v>
      </c>
      <c r="AR723" s="141">
        <v>8</v>
      </c>
      <c r="AS723" s="138"/>
      <c r="AT723" s="141"/>
      <c r="AU723" s="28"/>
      <c r="AV723" s="28"/>
      <c r="AW723" s="28"/>
      <c r="AX723" s="28"/>
      <c r="AY723" s="141"/>
      <c r="BB723" s="196" t="s">
        <v>502</v>
      </c>
      <c r="BC723" s="138">
        <v>0</v>
      </c>
      <c r="BD723" s="141">
        <v>0</v>
      </c>
      <c r="BE723" s="138"/>
      <c r="BF723" s="28"/>
      <c r="BG723" s="141"/>
      <c r="BH723" s="138"/>
      <c r="BI723" s="141"/>
      <c r="BJ723" s="138"/>
      <c r="BK723" s="28"/>
      <c r="BL723" s="141"/>
    </row>
    <row r="724" spans="1:64" x14ac:dyDescent="0.3">
      <c r="A724" s="195"/>
      <c r="B724" s="28"/>
      <c r="C724" s="28"/>
      <c r="D724" s="138"/>
      <c r="E724" s="28" t="s">
        <v>6</v>
      </c>
      <c r="F724" s="28"/>
      <c r="G724" s="196"/>
      <c r="H724" s="28" t="s">
        <v>116</v>
      </c>
      <c r="I724" s="28"/>
      <c r="J724" s="141"/>
      <c r="L724" s="142" t="s">
        <v>84</v>
      </c>
      <c r="M724" s="142">
        <f>SUM(M721:M723)</f>
        <v>2553</v>
      </c>
      <c r="N724" s="199">
        <f>SUM(N721:N723)</f>
        <v>85</v>
      </c>
      <c r="O724" s="142">
        <v>0</v>
      </c>
      <c r="P724" s="199">
        <v>0</v>
      </c>
      <c r="Q724" s="146">
        <v>0</v>
      </c>
      <c r="R724" s="142">
        <f>SUM(R721:R723)</f>
        <v>17</v>
      </c>
      <c r="S724" s="199">
        <v>0</v>
      </c>
      <c r="T724" s="142"/>
      <c r="U724" s="146"/>
      <c r="AB724" s="138" t="s">
        <v>84</v>
      </c>
      <c r="AC724" s="138">
        <f>SUM(AC721:AC723)</f>
        <v>991</v>
      </c>
      <c r="AD724" s="141">
        <f>SUM(AD721:AD723)</f>
        <v>1163</v>
      </c>
      <c r="AE724" s="28">
        <v>0</v>
      </c>
      <c r="AF724" s="28">
        <v>0</v>
      </c>
      <c r="AG724" s="28">
        <v>0</v>
      </c>
      <c r="AH724" s="138">
        <v>0</v>
      </c>
      <c r="AI724" s="141">
        <v>0</v>
      </c>
      <c r="AJ724" s="28">
        <v>0</v>
      </c>
      <c r="AK724" s="138">
        <v>7</v>
      </c>
      <c r="AL724" s="28" t="s">
        <v>141</v>
      </c>
      <c r="AM724" s="141"/>
      <c r="AP724" s="138" t="s">
        <v>78</v>
      </c>
      <c r="AQ724" s="138">
        <v>0</v>
      </c>
      <c r="AR724" s="141">
        <v>0</v>
      </c>
      <c r="AS724" s="138"/>
      <c r="AT724" s="141"/>
      <c r="AU724" s="28"/>
      <c r="AV724" s="28">
        <v>1</v>
      </c>
      <c r="AW724" s="28" t="s">
        <v>183</v>
      </c>
      <c r="AX724" s="28"/>
      <c r="AY724" s="141"/>
      <c r="BB724" s="196" t="s">
        <v>113</v>
      </c>
      <c r="BC724" s="138">
        <f>2+10</f>
        <v>12</v>
      </c>
      <c r="BD724" s="141">
        <f>2+21</f>
        <v>23</v>
      </c>
      <c r="BE724" s="138"/>
      <c r="BF724" s="28"/>
      <c r="BG724" s="141"/>
      <c r="BH724" s="138"/>
      <c r="BI724" s="141"/>
      <c r="BJ724" s="138" t="s">
        <v>142</v>
      </c>
      <c r="BK724" s="28"/>
      <c r="BL724" s="141" t="s">
        <v>438</v>
      </c>
    </row>
    <row r="725" spans="1:64" x14ac:dyDescent="0.3">
      <c r="A725" s="196" t="s">
        <v>93</v>
      </c>
      <c r="B725" s="43">
        <v>8914</v>
      </c>
      <c r="C725" s="43">
        <v>7334</v>
      </c>
      <c r="D725" s="138"/>
      <c r="E725" s="28" t="s">
        <v>60</v>
      </c>
      <c r="F725" s="28"/>
      <c r="G725" s="196">
        <v>10054</v>
      </c>
      <c r="H725" s="43">
        <v>155</v>
      </c>
      <c r="I725" s="28" t="s">
        <v>144</v>
      </c>
      <c r="J725" s="141"/>
      <c r="L725" s="138"/>
      <c r="M725" s="138"/>
      <c r="N725" s="196"/>
      <c r="O725" s="138"/>
      <c r="P725" s="196"/>
      <c r="Q725" s="141"/>
      <c r="R725" s="138"/>
      <c r="S725" s="196"/>
      <c r="T725" s="138"/>
      <c r="U725" s="141"/>
      <c r="AB725" s="142"/>
      <c r="AC725" s="142"/>
      <c r="AD725" s="146"/>
      <c r="AE725" s="143"/>
      <c r="AF725" s="143"/>
      <c r="AG725" s="143"/>
      <c r="AH725" s="142"/>
      <c r="AI725" s="146"/>
      <c r="AJ725" s="143"/>
      <c r="AK725" s="142">
        <v>1</v>
      </c>
      <c r="AL725" s="143" t="s">
        <v>996</v>
      </c>
      <c r="AM725" s="146"/>
      <c r="AP725" s="138" t="s">
        <v>115</v>
      </c>
      <c r="AQ725" s="138">
        <v>0</v>
      </c>
      <c r="AR725" s="141">
        <v>0</v>
      </c>
      <c r="AS725" s="138"/>
      <c r="AT725" s="141"/>
      <c r="AU725" s="28"/>
      <c r="AV725" s="28" t="s">
        <v>6</v>
      </c>
      <c r="AW725" s="28"/>
      <c r="AX725" s="28"/>
      <c r="AY725" s="141"/>
      <c r="BA725" t="s">
        <v>6</v>
      </c>
      <c r="BB725" s="196" t="s">
        <v>108</v>
      </c>
      <c r="BC725" s="138">
        <v>7</v>
      </c>
      <c r="BD725" s="141">
        <f>1+4</f>
        <v>5</v>
      </c>
      <c r="BE725" s="138"/>
      <c r="BF725" s="28"/>
      <c r="BG725" s="141"/>
      <c r="BH725" s="138"/>
      <c r="BI725" s="141"/>
      <c r="BJ725" s="138" t="s">
        <v>146</v>
      </c>
      <c r="BK725" s="28"/>
      <c r="BL725" s="141" t="s">
        <v>955</v>
      </c>
    </row>
    <row r="726" spans="1:64" x14ac:dyDescent="0.3">
      <c r="A726" s="196" t="s">
        <v>99</v>
      </c>
      <c r="B726" s="43">
        <v>15889</v>
      </c>
      <c r="C726" s="43">
        <v>10308</v>
      </c>
      <c r="D726" s="138"/>
      <c r="E726" s="28" t="s">
        <v>60</v>
      </c>
      <c r="F726" s="28"/>
      <c r="G726" s="196">
        <v>18800</v>
      </c>
      <c r="H726" s="43">
        <v>2</v>
      </c>
      <c r="I726" s="28" t="s">
        <v>148</v>
      </c>
      <c r="J726" s="141"/>
      <c r="L726" s="138"/>
      <c r="M726" s="138"/>
      <c r="N726" s="196"/>
      <c r="O726" s="138"/>
      <c r="P726" s="196"/>
      <c r="Q726" s="141"/>
      <c r="R726" s="138"/>
      <c r="S726" s="196"/>
      <c r="T726" s="138"/>
      <c r="U726" s="141"/>
      <c r="AB726" s="138"/>
      <c r="AC726" s="138"/>
      <c r="AD726" s="141"/>
      <c r="AE726" s="28"/>
      <c r="AF726" s="28"/>
      <c r="AG726" s="28"/>
      <c r="AH726" s="138"/>
      <c r="AI726" s="141"/>
      <c r="AJ726" s="28"/>
      <c r="AK726" s="134" t="s">
        <v>149</v>
      </c>
      <c r="AL726" s="135"/>
      <c r="AM726" s="136"/>
      <c r="AP726" s="138" t="s">
        <v>72</v>
      </c>
      <c r="AQ726" s="138">
        <v>0</v>
      </c>
      <c r="AR726" s="141">
        <v>0</v>
      </c>
      <c r="AS726" s="138"/>
      <c r="AT726" s="141"/>
      <c r="AU726" s="28"/>
      <c r="AV726" s="28"/>
      <c r="AW726" s="28"/>
      <c r="AX726" s="28"/>
      <c r="AY726" s="141"/>
      <c r="BB726" s="196" t="s">
        <v>133</v>
      </c>
      <c r="BC726" s="138">
        <f>10+5+5</f>
        <v>20</v>
      </c>
      <c r="BD726" s="141">
        <f>10+5</f>
        <v>15</v>
      </c>
      <c r="BE726" s="138"/>
      <c r="BF726" s="28"/>
      <c r="BG726" s="141"/>
      <c r="BH726" s="138"/>
      <c r="BI726" s="141"/>
      <c r="BJ726" s="138"/>
      <c r="BK726" s="28"/>
      <c r="BL726" s="141"/>
    </row>
    <row r="727" spans="1:64" x14ac:dyDescent="0.3">
      <c r="A727" s="196" t="s">
        <v>120</v>
      </c>
      <c r="B727" s="43">
        <v>4352</v>
      </c>
      <c r="C727" s="28">
        <v>3422</v>
      </c>
      <c r="D727" s="138"/>
      <c r="E727" s="28" t="s">
        <v>60</v>
      </c>
      <c r="F727" s="28"/>
      <c r="G727" s="196">
        <v>5001</v>
      </c>
      <c r="H727" s="43">
        <v>44</v>
      </c>
      <c r="I727" s="28" t="s">
        <v>152</v>
      </c>
      <c r="J727" s="141"/>
      <c r="L727" s="138"/>
      <c r="M727" s="138"/>
      <c r="N727" s="196"/>
      <c r="O727" s="138"/>
      <c r="P727" s="196"/>
      <c r="Q727" s="141"/>
      <c r="R727" s="138"/>
      <c r="S727" s="196"/>
      <c r="T727" s="138"/>
      <c r="U727" s="141"/>
      <c r="AB727" s="138" t="s">
        <v>99</v>
      </c>
      <c r="AC727" s="138">
        <v>0</v>
      </c>
      <c r="AD727" s="141">
        <v>0</v>
      </c>
      <c r="AE727" s="28">
        <v>0</v>
      </c>
      <c r="AF727" s="28">
        <v>0</v>
      </c>
      <c r="AG727" s="28">
        <v>0</v>
      </c>
      <c r="AH727" s="138">
        <v>72756</v>
      </c>
      <c r="AI727" s="141">
        <v>6189</v>
      </c>
      <c r="AJ727" s="28">
        <v>0</v>
      </c>
      <c r="AK727" s="138">
        <v>4</v>
      </c>
      <c r="AL727" s="28" t="s">
        <v>153</v>
      </c>
      <c r="AM727" s="141"/>
      <c r="AP727" s="142" t="s">
        <v>84</v>
      </c>
      <c r="AQ727" s="142">
        <f>SUM(AQ720:AQ726)</f>
        <v>0</v>
      </c>
      <c r="AR727" s="146">
        <f>SUM(AR720:AR726)</f>
        <v>8</v>
      </c>
      <c r="AS727" s="142"/>
      <c r="AT727" s="146"/>
      <c r="AU727" s="143"/>
      <c r="AV727" s="143"/>
      <c r="AW727" s="143"/>
      <c r="AX727" s="143"/>
      <c r="AY727" s="146">
        <f>SUM(AV724)</f>
        <v>1</v>
      </c>
      <c r="BB727" s="196" t="s">
        <v>99</v>
      </c>
      <c r="BC727" s="138">
        <v>0</v>
      </c>
      <c r="BD727" s="141">
        <f>1+2</f>
        <v>3</v>
      </c>
      <c r="BE727" s="138" t="s">
        <v>150</v>
      </c>
      <c r="BF727" s="28"/>
      <c r="BG727" s="141"/>
      <c r="BH727" s="138"/>
      <c r="BI727" s="141"/>
      <c r="BJ727" s="138" t="s">
        <v>151</v>
      </c>
      <c r="BK727" s="28"/>
      <c r="BL727" s="141"/>
    </row>
    <row r="728" spans="1:64" x14ac:dyDescent="0.3">
      <c r="A728" s="199" t="s">
        <v>84</v>
      </c>
      <c r="B728" s="143">
        <f>SUM(B725:B727)</f>
        <v>29155</v>
      </c>
      <c r="C728" s="143">
        <f>SUM(C725:C727)</f>
        <v>21064</v>
      </c>
      <c r="D728" s="142"/>
      <c r="E728" s="143"/>
      <c r="F728" s="143"/>
      <c r="G728" s="199">
        <f>SUM(G725:G727)</f>
        <v>33855</v>
      </c>
      <c r="H728" s="143"/>
      <c r="I728" s="143" t="s">
        <v>958</v>
      </c>
      <c r="J728" s="146">
        <f>SUM(H725:H728)</f>
        <v>201</v>
      </c>
      <c r="L728" s="138"/>
      <c r="M728" s="138"/>
      <c r="N728" s="196"/>
      <c r="O728" s="138"/>
      <c r="P728" s="196"/>
      <c r="Q728" s="141"/>
      <c r="R728" s="138"/>
      <c r="S728" s="196"/>
      <c r="T728" s="138"/>
      <c r="U728" s="141"/>
      <c r="AB728" s="138"/>
      <c r="AC728" s="138"/>
      <c r="AD728" s="141"/>
      <c r="AE728" s="28"/>
      <c r="AF728" s="28"/>
      <c r="AG728" s="28"/>
      <c r="AH728" s="138"/>
      <c r="AI728" s="141"/>
      <c r="AJ728" s="28"/>
      <c r="AK728" s="142"/>
      <c r="AL728" s="143"/>
      <c r="AM728" s="146"/>
      <c r="AP728" s="134"/>
      <c r="AQ728" s="134"/>
      <c r="AR728" s="136"/>
      <c r="AS728" s="134"/>
      <c r="AT728" s="136"/>
      <c r="AU728" s="135"/>
      <c r="AV728" s="135" t="s">
        <v>140</v>
      </c>
      <c r="AW728" s="135"/>
      <c r="AX728" s="135"/>
      <c r="AY728" s="136"/>
      <c r="BB728" s="196" t="s">
        <v>85</v>
      </c>
      <c r="BC728" s="138">
        <f>3+3</f>
        <v>6</v>
      </c>
      <c r="BD728" s="141">
        <f>4+3+3</f>
        <v>10</v>
      </c>
      <c r="BE728" s="138"/>
      <c r="BF728" s="28"/>
      <c r="BG728" s="141"/>
      <c r="BH728" s="138"/>
      <c r="BI728" s="141"/>
      <c r="BJ728" s="138" t="s">
        <v>685</v>
      </c>
      <c r="BK728" s="28" t="s">
        <v>382</v>
      </c>
      <c r="BL728" s="141" t="s">
        <v>371</v>
      </c>
    </row>
    <row r="729" spans="1:64" x14ac:dyDescent="0.3">
      <c r="A729" s="195"/>
      <c r="B729" s="135"/>
      <c r="C729" s="135"/>
      <c r="D729" s="134"/>
      <c r="E729" s="135"/>
      <c r="F729" s="135"/>
      <c r="G729" s="195"/>
      <c r="H729" s="135" t="s">
        <v>162</v>
      </c>
      <c r="I729" s="135"/>
      <c r="J729" s="136"/>
      <c r="L729" s="138"/>
      <c r="M729" s="138"/>
      <c r="N729" s="196"/>
      <c r="O729" s="138"/>
      <c r="P729" s="196"/>
      <c r="Q729" s="141"/>
      <c r="R729" s="138"/>
      <c r="S729" s="196"/>
      <c r="T729" s="138"/>
      <c r="U729" s="141"/>
      <c r="AB729" s="134" t="s">
        <v>99</v>
      </c>
      <c r="AC729" s="134">
        <v>0</v>
      </c>
      <c r="AD729" s="136">
        <v>0</v>
      </c>
      <c r="AE729" s="135">
        <v>0</v>
      </c>
      <c r="AF729" s="135">
        <v>0</v>
      </c>
      <c r="AG729" s="135">
        <v>0</v>
      </c>
      <c r="AH729" s="134">
        <v>266552</v>
      </c>
      <c r="AI729" s="136">
        <v>71334</v>
      </c>
      <c r="AJ729" s="135">
        <v>0</v>
      </c>
      <c r="AK729" s="134" t="s">
        <v>157</v>
      </c>
      <c r="AL729" s="135"/>
      <c r="AM729" s="136"/>
      <c r="AP729" s="138" t="s">
        <v>63</v>
      </c>
      <c r="AQ729" s="138">
        <f>2+5+1</f>
        <v>8</v>
      </c>
      <c r="AR729" s="141">
        <f>2+6+10</f>
        <v>18</v>
      </c>
      <c r="AS729" s="138"/>
      <c r="AT729" s="141"/>
      <c r="AU729" s="28"/>
      <c r="AV729" s="28">
        <v>1</v>
      </c>
      <c r="AW729" s="28" t="s">
        <v>1267</v>
      </c>
      <c r="AX729" s="28"/>
      <c r="AY729" s="141"/>
      <c r="BB729" s="196" t="s">
        <v>358</v>
      </c>
      <c r="BC729" s="138">
        <v>11</v>
      </c>
      <c r="BD729" s="141">
        <v>10</v>
      </c>
      <c r="BE729" s="138"/>
      <c r="BF729" s="28"/>
      <c r="BG729" s="141"/>
      <c r="BH729" s="138"/>
      <c r="BI729" s="141"/>
      <c r="BJ729" s="138" t="s">
        <v>1268</v>
      </c>
      <c r="BK729" s="28" t="s">
        <v>279</v>
      </c>
      <c r="BL729" s="141" t="s">
        <v>666</v>
      </c>
    </row>
    <row r="730" spans="1:64" x14ac:dyDescent="0.3">
      <c r="A730" s="196" t="s">
        <v>105</v>
      </c>
      <c r="B730" s="43">
        <v>2193</v>
      </c>
      <c r="C730" s="43">
        <v>1574</v>
      </c>
      <c r="D730" s="138"/>
      <c r="E730" s="28">
        <v>1264</v>
      </c>
      <c r="F730" s="28"/>
      <c r="G730" s="196"/>
      <c r="H730" s="28"/>
      <c r="I730" s="28"/>
      <c r="J730" s="141"/>
      <c r="L730" s="142" t="s">
        <v>84</v>
      </c>
      <c r="M730" s="142">
        <f t="shared" ref="M730:S730" si="11">SUM(M724+M719+M714+M712+M707+M703)</f>
        <v>39184</v>
      </c>
      <c r="N730" s="199">
        <f t="shared" si="11"/>
        <v>78281</v>
      </c>
      <c r="O730" s="142">
        <f t="shared" si="11"/>
        <v>0</v>
      </c>
      <c r="P730" s="199">
        <f t="shared" si="11"/>
        <v>0</v>
      </c>
      <c r="Q730" s="143">
        <f t="shared" si="11"/>
        <v>0</v>
      </c>
      <c r="R730" s="142">
        <f t="shared" si="11"/>
        <v>3130</v>
      </c>
      <c r="S730" s="199">
        <f t="shared" si="11"/>
        <v>317</v>
      </c>
      <c r="T730" s="142"/>
      <c r="U730" s="146"/>
      <c r="AB730" s="138" t="s">
        <v>6</v>
      </c>
      <c r="AC730" s="138"/>
      <c r="AD730" s="141"/>
      <c r="AE730" s="28"/>
      <c r="AF730" s="28"/>
      <c r="AG730" s="28"/>
      <c r="AH730" s="138"/>
      <c r="AI730" s="141"/>
      <c r="AJ730" s="28"/>
      <c r="AK730" s="138"/>
      <c r="AL730" s="28" t="s">
        <v>163</v>
      </c>
      <c r="AM730" s="141"/>
      <c r="AP730" s="138" t="s">
        <v>78</v>
      </c>
      <c r="AQ730" s="138">
        <f>8+3+7</f>
        <v>18</v>
      </c>
      <c r="AR730" s="141">
        <f>5+3+13</f>
        <v>21</v>
      </c>
      <c r="AS730" s="138"/>
      <c r="AT730" s="141"/>
      <c r="AU730" s="28"/>
      <c r="AV730" s="28">
        <v>1</v>
      </c>
      <c r="AW730" s="28" t="s">
        <v>471</v>
      </c>
      <c r="AX730" s="28"/>
      <c r="AY730" s="141"/>
      <c r="BB730" s="196" t="s">
        <v>220</v>
      </c>
      <c r="BC730" s="138">
        <v>4</v>
      </c>
      <c r="BD730" s="141">
        <v>3</v>
      </c>
      <c r="BE730" s="138"/>
      <c r="BF730" s="28"/>
      <c r="BG730" s="141"/>
      <c r="BH730" s="138"/>
      <c r="BI730" s="141"/>
      <c r="BJ730" s="138" t="s">
        <v>819</v>
      </c>
      <c r="BK730" s="28" t="s">
        <v>180</v>
      </c>
      <c r="BL730" s="141" t="s">
        <v>1269</v>
      </c>
    </row>
    <row r="731" spans="1:64" ht="15" thickBot="1" x14ac:dyDescent="0.35">
      <c r="A731" s="196" t="s">
        <v>99</v>
      </c>
      <c r="B731" s="43">
        <v>1748</v>
      </c>
      <c r="C731" s="43">
        <v>1136</v>
      </c>
      <c r="D731" s="138"/>
      <c r="E731" s="28">
        <v>1059</v>
      </c>
      <c r="F731" s="28"/>
      <c r="G731" s="196"/>
      <c r="H731" s="43">
        <v>45</v>
      </c>
      <c r="I731" s="28" t="s">
        <v>101</v>
      </c>
      <c r="J731" s="141"/>
      <c r="AB731" s="138" t="s">
        <v>6</v>
      </c>
      <c r="AC731" s="138"/>
      <c r="AD731" s="141"/>
      <c r="AE731" s="28"/>
      <c r="AF731" s="28"/>
      <c r="AG731" s="28"/>
      <c r="AH731" s="138"/>
      <c r="AI731" s="141"/>
      <c r="AJ731" s="28"/>
      <c r="AK731" s="142">
        <v>17</v>
      </c>
      <c r="AL731" s="143" t="s">
        <v>153</v>
      </c>
      <c r="AM731" s="146"/>
      <c r="AP731" s="138" t="s">
        <v>209</v>
      </c>
      <c r="AQ731" s="138">
        <v>0</v>
      </c>
      <c r="AR731" s="141">
        <v>0</v>
      </c>
      <c r="AS731" s="138"/>
      <c r="AT731" s="141"/>
      <c r="AU731" s="28"/>
      <c r="AV731" s="28">
        <v>3</v>
      </c>
      <c r="AW731" s="28" t="s">
        <v>1101</v>
      </c>
      <c r="AX731" s="28"/>
      <c r="AY731" s="141"/>
      <c r="BB731" s="196" t="s">
        <v>169</v>
      </c>
      <c r="BC731" s="138">
        <v>0</v>
      </c>
      <c r="BD731" s="141">
        <f>2+5</f>
        <v>7</v>
      </c>
      <c r="BE731" s="138"/>
      <c r="BF731" s="28"/>
      <c r="BG731" s="141"/>
      <c r="BH731" s="138"/>
      <c r="BI731" s="141"/>
      <c r="BJ731" s="138" t="s">
        <v>771</v>
      </c>
      <c r="BK731" s="43" t="s">
        <v>264</v>
      </c>
      <c r="BL731" s="141" t="s">
        <v>1270</v>
      </c>
    </row>
    <row r="732" spans="1:64" x14ac:dyDescent="0.3">
      <c r="A732" s="199" t="s">
        <v>84</v>
      </c>
      <c r="B732" s="143">
        <f>SUM(B729:B731)</f>
        <v>3941</v>
      </c>
      <c r="C732" s="143">
        <f>SUM(C729:C731)</f>
        <v>2710</v>
      </c>
      <c r="D732" s="142"/>
      <c r="E732" s="143">
        <f>SUM(E729:E731)</f>
        <v>2323</v>
      </c>
      <c r="F732" s="143"/>
      <c r="G732" s="199">
        <f>45*164</f>
        <v>7380</v>
      </c>
      <c r="H732" s="143"/>
      <c r="I732" s="143"/>
      <c r="J732" s="146">
        <f>SUM(H731)</f>
        <v>45</v>
      </c>
      <c r="L732" t="s">
        <v>6</v>
      </c>
      <c r="AB732" s="33" t="s">
        <v>99</v>
      </c>
      <c r="AC732" s="200">
        <v>0</v>
      </c>
      <c r="AD732" s="201">
        <v>0</v>
      </c>
      <c r="AE732" s="34">
        <v>0</v>
      </c>
      <c r="AF732" s="34">
        <v>0</v>
      </c>
      <c r="AG732" s="34">
        <v>0</v>
      </c>
      <c r="AH732" s="200">
        <v>69043</v>
      </c>
      <c r="AI732" s="201">
        <v>0</v>
      </c>
      <c r="AJ732" s="34"/>
      <c r="AK732" s="234" t="s">
        <v>1251</v>
      </c>
      <c r="AL732" s="135"/>
      <c r="AM732" s="136"/>
      <c r="AP732" s="138" t="s">
        <v>168</v>
      </c>
      <c r="AQ732" s="138">
        <v>0</v>
      </c>
      <c r="AR732" s="141">
        <v>0</v>
      </c>
      <c r="AS732" s="138"/>
      <c r="AT732" s="141"/>
      <c r="AU732" s="28"/>
      <c r="AV732" s="28">
        <f>20+18+1+3</f>
        <v>42</v>
      </c>
      <c r="AW732" s="28" t="s">
        <v>213</v>
      </c>
      <c r="AX732" s="28"/>
      <c r="AY732" s="141"/>
      <c r="BB732" s="196" t="s">
        <v>956</v>
      </c>
      <c r="BC732" s="138">
        <v>1</v>
      </c>
      <c r="BD732" s="141">
        <v>0</v>
      </c>
      <c r="BE732" s="138"/>
      <c r="BF732" s="28"/>
      <c r="BG732" s="141"/>
      <c r="BH732" s="138"/>
      <c r="BI732" s="141"/>
      <c r="BJ732" s="138" t="s">
        <v>763</v>
      </c>
      <c r="BK732" s="43" t="s">
        <v>1271</v>
      </c>
      <c r="BL732" s="141" t="s">
        <v>680</v>
      </c>
    </row>
    <row r="733" spans="1:64" ht="15" thickBot="1" x14ac:dyDescent="0.35">
      <c r="A733" s="195" t="s">
        <v>6</v>
      </c>
      <c r="B733" s="135"/>
      <c r="C733" s="135"/>
      <c r="D733" s="134"/>
      <c r="E733" s="135" t="s">
        <v>60</v>
      </c>
      <c r="F733" s="136"/>
      <c r="G733" s="135"/>
      <c r="H733" s="134" t="s">
        <v>182</v>
      </c>
      <c r="I733" s="135"/>
      <c r="J733" s="136"/>
      <c r="AB733" s="47"/>
      <c r="AC733" s="202"/>
      <c r="AD733" s="203"/>
      <c r="AE733" s="48"/>
      <c r="AF733" s="48"/>
      <c r="AG733" s="48"/>
      <c r="AH733" s="202"/>
      <c r="AI733" s="203"/>
      <c r="AJ733" s="48"/>
      <c r="AK733" s="142">
        <v>1</v>
      </c>
      <c r="AL733" s="143" t="s">
        <v>1237</v>
      </c>
      <c r="AM733" s="146"/>
      <c r="AP733" s="138" t="s">
        <v>81</v>
      </c>
      <c r="AQ733" s="138">
        <v>2</v>
      </c>
      <c r="AR733" s="141">
        <v>2</v>
      </c>
      <c r="AS733" s="138"/>
      <c r="AT733" s="141"/>
      <c r="AU733" s="28"/>
      <c r="AV733" s="43">
        <v>1</v>
      </c>
      <c r="AW733" s="28" t="s">
        <v>1272</v>
      </c>
      <c r="AX733" s="28"/>
      <c r="AY733" s="141"/>
      <c r="BB733" s="196" t="s">
        <v>526</v>
      </c>
      <c r="BC733" s="138">
        <v>0</v>
      </c>
      <c r="BD733" s="141">
        <v>5</v>
      </c>
      <c r="BE733" s="138"/>
      <c r="BF733" s="28"/>
      <c r="BG733" s="141"/>
      <c r="BH733" s="138"/>
      <c r="BI733" s="141"/>
      <c r="BJ733" s="217" t="s">
        <v>534</v>
      </c>
      <c r="BK733" s="215" t="s">
        <v>889</v>
      </c>
      <c r="BL733" s="141" t="s">
        <v>1273</v>
      </c>
    </row>
    <row r="734" spans="1:64" ht="15" thickBot="1" x14ac:dyDescent="0.35">
      <c r="A734" s="196" t="s">
        <v>181</v>
      </c>
      <c r="B734" s="28">
        <v>3958</v>
      </c>
      <c r="C734" s="28">
        <v>3050</v>
      </c>
      <c r="D734" s="138"/>
      <c r="E734" s="28" t="s">
        <v>60</v>
      </c>
      <c r="F734" s="141"/>
      <c r="G734" s="28"/>
      <c r="H734" s="138">
        <v>8</v>
      </c>
      <c r="I734" s="28" t="s">
        <v>94</v>
      </c>
      <c r="J734" s="141"/>
      <c r="AB734" s="47" t="s">
        <v>84</v>
      </c>
      <c r="AC734" s="202">
        <f>SUM(AC729+AC727+AC724+AC710+AC707+AC704+AC712)</f>
        <v>2661</v>
      </c>
      <c r="AD734" s="203">
        <f>SUM(AD729+AD727+AD724+AD710+AD707+AD704+AD712)</f>
        <v>4002</v>
      </c>
      <c r="AE734" s="48">
        <v>0</v>
      </c>
      <c r="AF734" s="48">
        <v>0</v>
      </c>
      <c r="AG734" s="48">
        <v>0</v>
      </c>
      <c r="AH734" s="202">
        <f>SUM(AH732+AH729+AH727+AH704)</f>
        <v>409665</v>
      </c>
      <c r="AI734" s="203">
        <f>SUM(AI729+AI727+AI704)</f>
        <v>77523</v>
      </c>
      <c r="AJ734" s="48">
        <v>0</v>
      </c>
      <c r="AK734" s="202" t="s">
        <v>189</v>
      </c>
      <c r="AL734" s="48"/>
      <c r="AM734" s="49">
        <f>SUM(AK703:AK733)</f>
        <v>68</v>
      </c>
      <c r="AP734" s="138" t="s">
        <v>72</v>
      </c>
      <c r="AQ734" s="138">
        <f>2+4+9+1+12</f>
        <v>28</v>
      </c>
      <c r="AR734" s="141">
        <f>4+2+13+1+13</f>
        <v>33</v>
      </c>
      <c r="AS734" s="138"/>
      <c r="AT734" s="141"/>
      <c r="AU734" s="28"/>
      <c r="AV734" s="43">
        <v>11</v>
      </c>
      <c r="AW734" s="43" t="s">
        <v>655</v>
      </c>
      <c r="AX734" s="28"/>
      <c r="AY734" s="141"/>
      <c r="BB734" s="219" t="s">
        <v>495</v>
      </c>
      <c r="BC734" s="138">
        <v>5</v>
      </c>
      <c r="BD734" s="141">
        <v>0</v>
      </c>
      <c r="BE734" s="138"/>
      <c r="BF734" s="28"/>
      <c r="BG734" s="141"/>
      <c r="BH734" s="138"/>
      <c r="BI734" s="141"/>
      <c r="BJ734" s="138" t="s">
        <v>362</v>
      </c>
      <c r="BK734" s="222" t="s">
        <v>638</v>
      </c>
      <c r="BL734" s="141" t="s">
        <v>1274</v>
      </c>
    </row>
    <row r="735" spans="1:64" x14ac:dyDescent="0.3">
      <c r="A735" s="196" t="s">
        <v>84</v>
      </c>
      <c r="B735" s="28">
        <f>SUM(B733:B734)</f>
        <v>3958</v>
      </c>
      <c r="C735" s="28">
        <f>SUM(C733:C734)</f>
        <v>3050</v>
      </c>
      <c r="D735" s="138"/>
      <c r="E735" s="28" t="s">
        <v>60</v>
      </c>
      <c r="F735" s="141"/>
      <c r="G735" s="28">
        <v>4662</v>
      </c>
      <c r="H735" s="138">
        <v>17</v>
      </c>
      <c r="I735" s="28" t="s">
        <v>101</v>
      </c>
      <c r="J735" s="141"/>
      <c r="AB735" t="s">
        <v>193</v>
      </c>
      <c r="AM735" t="s">
        <v>6</v>
      </c>
      <c r="AP735" s="138" t="s">
        <v>115</v>
      </c>
      <c r="AQ735" s="138">
        <f>3+1</f>
        <v>4</v>
      </c>
      <c r="AR735" s="141">
        <f>3+5</f>
        <v>8</v>
      </c>
      <c r="AS735" s="138"/>
      <c r="AT735" s="141"/>
      <c r="AU735" s="28"/>
      <c r="AV735" s="43">
        <v>3</v>
      </c>
      <c r="AW735" s="43" t="s">
        <v>244</v>
      </c>
      <c r="AX735" s="28"/>
      <c r="AY735" s="141"/>
      <c r="BB735" s="196" t="s">
        <v>64</v>
      </c>
      <c r="BC735" s="138">
        <v>1</v>
      </c>
      <c r="BD735" s="141">
        <v>0</v>
      </c>
      <c r="BE735" s="138"/>
      <c r="BF735" s="28"/>
      <c r="BG735" s="141"/>
      <c r="BH735" s="138"/>
      <c r="BI735" s="141"/>
      <c r="BJ735" s="223" t="s">
        <v>1275</v>
      </c>
      <c r="BK735" s="43" t="s">
        <v>1086</v>
      </c>
      <c r="BL735" s="209" t="s">
        <v>463</v>
      </c>
    </row>
    <row r="736" spans="1:64" x14ac:dyDescent="0.3">
      <c r="A736" s="196"/>
      <c r="D736" s="138"/>
      <c r="E736" s="28"/>
      <c r="F736" s="141"/>
      <c r="H736" s="212">
        <v>2</v>
      </c>
      <c r="I736" s="43" t="s">
        <v>1276</v>
      </c>
      <c r="J736" s="141"/>
      <c r="AP736" s="138" t="s">
        <v>56</v>
      </c>
      <c r="AQ736" s="138">
        <f>4+2+17+4</f>
        <v>27</v>
      </c>
      <c r="AR736" s="141">
        <f>5+2+5+3</f>
        <v>15</v>
      </c>
      <c r="AS736" s="138"/>
      <c r="AT736" s="141"/>
      <c r="AU736" s="28"/>
      <c r="AV736" s="43">
        <v>7</v>
      </c>
      <c r="AW736" s="43" t="s">
        <v>1112</v>
      </c>
      <c r="AX736" s="28"/>
      <c r="AY736" s="141"/>
      <c r="BB736" s="196" t="s">
        <v>652</v>
      </c>
      <c r="BC736" s="138">
        <v>2</v>
      </c>
      <c r="BD736" s="141">
        <v>2</v>
      </c>
      <c r="BE736" s="138"/>
      <c r="BF736" s="28"/>
      <c r="BG736" s="141"/>
      <c r="BH736" s="138"/>
      <c r="BI736" s="141"/>
      <c r="BJ736" s="138" t="s">
        <v>715</v>
      </c>
      <c r="BK736" s="43" t="s">
        <v>1277</v>
      </c>
      <c r="BL736" s="213"/>
    </row>
    <row r="737" spans="1:64" ht="15" thickBot="1" x14ac:dyDescent="0.35">
      <c r="A737" s="199"/>
      <c r="B737" s="28"/>
      <c r="C737" s="28"/>
      <c r="D737" s="142"/>
      <c r="E737" s="143"/>
      <c r="F737" s="146"/>
      <c r="G737" s="28"/>
      <c r="H737" s="142">
        <v>2</v>
      </c>
      <c r="I737" s="143" t="s">
        <v>284</v>
      </c>
      <c r="J737" s="146">
        <f>SUM(H734:H737)</f>
        <v>29</v>
      </c>
      <c r="AE737" t="s">
        <v>6</v>
      </c>
      <c r="AH737" t="s">
        <v>6</v>
      </c>
      <c r="AP737" s="138" t="s">
        <v>138</v>
      </c>
      <c r="AQ737" s="138">
        <v>0</v>
      </c>
      <c r="AR737" s="141">
        <v>0</v>
      </c>
      <c r="AS737" s="138"/>
      <c r="AT737" s="141"/>
      <c r="AU737" s="28"/>
      <c r="AV737" s="43">
        <v>2</v>
      </c>
      <c r="AW737" s="43" t="s">
        <v>1116</v>
      </c>
      <c r="AX737" s="28"/>
      <c r="AY737" s="141"/>
      <c r="BB737" s="196" t="s">
        <v>1278</v>
      </c>
      <c r="BC737" s="138">
        <v>8</v>
      </c>
      <c r="BD737" s="141">
        <v>0</v>
      </c>
      <c r="BE737" s="138"/>
      <c r="BF737" s="28"/>
      <c r="BG737" s="141"/>
      <c r="BH737" s="138"/>
      <c r="BI737" s="141"/>
      <c r="BJ737" s="138" t="s">
        <v>409</v>
      </c>
      <c r="BK737" s="43" t="s">
        <v>978</v>
      </c>
      <c r="BL737" s="141"/>
    </row>
    <row r="738" spans="1:64" ht="16.2" thickBot="1" x14ac:dyDescent="0.35">
      <c r="A738" s="47" t="s">
        <v>84</v>
      </c>
      <c r="B738" s="210">
        <f>SUM(B735,B732,B728+B723+B718+B714+B710+B706+B703)</f>
        <v>64629</v>
      </c>
      <c r="C738" s="170">
        <f>SUM(C735+C732+C728+C723+C718+C714+C710+C706+C703)</f>
        <v>51789</v>
      </c>
      <c r="D738" s="202"/>
      <c r="E738" s="48">
        <f>SUM(E732+E714)</f>
        <v>3076</v>
      </c>
      <c r="F738" s="203"/>
      <c r="G738" s="206">
        <f>SUM(G735+G732+G728+G723+G718+G714+G710+G706+G703)</f>
        <v>84790</v>
      </c>
      <c r="H738" s="48" t="s">
        <v>844</v>
      </c>
      <c r="I738" s="48"/>
      <c r="J738" s="49">
        <f>SUM(J702:J737)</f>
        <v>478</v>
      </c>
      <c r="AP738" s="138" t="s">
        <v>67</v>
      </c>
      <c r="AQ738" s="138">
        <f>12+5+14</f>
        <v>31</v>
      </c>
      <c r="AR738" s="141">
        <f>23+6+33</f>
        <v>62</v>
      </c>
      <c r="AS738" s="138"/>
      <c r="AT738" s="141"/>
      <c r="AU738" s="28"/>
      <c r="AV738" s="43">
        <v>13</v>
      </c>
      <c r="AW738" s="43" t="s">
        <v>215</v>
      </c>
      <c r="AX738" s="28"/>
      <c r="AY738" s="141"/>
      <c r="BB738" s="235" t="s">
        <v>557</v>
      </c>
      <c r="BC738" s="138">
        <v>6</v>
      </c>
      <c r="BD738" s="141">
        <f>5+7</f>
        <v>12</v>
      </c>
      <c r="BE738" s="138"/>
      <c r="BF738" s="28"/>
      <c r="BG738" s="141"/>
      <c r="BH738" s="138"/>
      <c r="BI738" s="141"/>
      <c r="BJ738" s="138" t="s">
        <v>1279</v>
      </c>
      <c r="BK738" s="43"/>
      <c r="BL738" s="141"/>
    </row>
    <row r="739" spans="1:64" x14ac:dyDescent="0.3">
      <c r="D739" s="28"/>
      <c r="E739" s="28"/>
      <c r="F739" s="28"/>
      <c r="AP739" s="138" t="s">
        <v>122</v>
      </c>
      <c r="AQ739" s="138">
        <v>0</v>
      </c>
      <c r="AR739" s="141">
        <v>0</v>
      </c>
      <c r="AS739" s="138"/>
      <c r="AT739" s="141"/>
      <c r="AU739" s="28"/>
      <c r="AV739" s="43">
        <v>10</v>
      </c>
      <c r="AW739" s="28" t="s">
        <v>967</v>
      </c>
      <c r="AX739" s="28"/>
      <c r="AY739" s="141"/>
      <c r="BB739" s="196" t="s">
        <v>470</v>
      </c>
      <c r="BC739" s="138">
        <v>0</v>
      </c>
      <c r="BD739" s="141">
        <v>3</v>
      </c>
      <c r="BE739" s="138"/>
      <c r="BF739" s="28"/>
      <c r="BG739" s="141"/>
      <c r="BH739" s="138"/>
      <c r="BI739" s="141"/>
      <c r="BJ739" s="138" t="s">
        <v>287</v>
      </c>
      <c r="BK739" s="43"/>
      <c r="BL739" s="141"/>
    </row>
    <row r="740" spans="1:64" x14ac:dyDescent="0.3">
      <c r="AP740" s="138" t="s">
        <v>227</v>
      </c>
      <c r="AQ740" s="138">
        <v>0</v>
      </c>
      <c r="AR740" s="141">
        <v>0</v>
      </c>
      <c r="AS740" s="138"/>
      <c r="AT740" s="141"/>
      <c r="AU740" s="28"/>
      <c r="AV740" s="43">
        <v>1</v>
      </c>
      <c r="AW740" s="28" t="s">
        <v>1117</v>
      </c>
      <c r="AX740" s="28"/>
      <c r="AY740" s="141"/>
      <c r="BB740" s="196" t="s">
        <v>1280</v>
      </c>
      <c r="BC740" s="138">
        <v>8</v>
      </c>
      <c r="BD740" s="141">
        <v>8</v>
      </c>
      <c r="BE740" s="138"/>
      <c r="BF740" s="28"/>
      <c r="BG740" s="141"/>
      <c r="BH740" s="138"/>
      <c r="BI740" s="141"/>
      <c r="BJ740" s="138" t="s">
        <v>272</v>
      </c>
      <c r="BK740" s="28"/>
      <c r="BL740" s="141"/>
    </row>
    <row r="741" spans="1:64" x14ac:dyDescent="0.3">
      <c r="AP741" s="138" t="s">
        <v>230</v>
      </c>
      <c r="AQ741" s="138">
        <f>2+1+3+3</f>
        <v>9</v>
      </c>
      <c r="AR741" s="141">
        <f>2+1+7</f>
        <v>10</v>
      </c>
      <c r="AS741" s="138"/>
      <c r="AT741" s="141"/>
      <c r="AU741" s="28"/>
      <c r="AV741" s="43">
        <v>1</v>
      </c>
      <c r="AW741" s="43" t="s">
        <v>1281</v>
      </c>
      <c r="AX741" s="28"/>
      <c r="AY741" s="141"/>
      <c r="BB741" s="196" t="s">
        <v>200</v>
      </c>
      <c r="BC741" s="138">
        <f>1+7</f>
        <v>8</v>
      </c>
      <c r="BD741" s="141">
        <v>8</v>
      </c>
      <c r="BE741" s="138"/>
      <c r="BF741" s="28"/>
      <c r="BG741" s="141"/>
      <c r="BH741" s="138"/>
      <c r="BI741" s="141"/>
      <c r="BJ741" s="138"/>
      <c r="BK741" s="28"/>
      <c r="BL741" s="141"/>
    </row>
    <row r="742" spans="1:64" x14ac:dyDescent="0.3">
      <c r="AP742" s="138" t="s">
        <v>125</v>
      </c>
      <c r="AQ742" s="138">
        <v>0</v>
      </c>
      <c r="AR742" s="141">
        <v>0</v>
      </c>
      <c r="AS742" s="138"/>
      <c r="AT742" s="141"/>
      <c r="AU742" s="28"/>
      <c r="AV742" s="43">
        <v>16</v>
      </c>
      <c r="AW742" s="43" t="s">
        <v>1282</v>
      </c>
      <c r="AX742" s="28"/>
      <c r="AY742" s="141"/>
      <c r="BB742" s="196" t="s">
        <v>564</v>
      </c>
      <c r="BC742" s="138">
        <v>2</v>
      </c>
      <c r="BD742" s="141">
        <v>4</v>
      </c>
      <c r="BE742" s="138"/>
      <c r="BF742" s="28"/>
      <c r="BG742" s="141"/>
      <c r="BH742" s="138"/>
      <c r="BI742" s="141"/>
      <c r="BJ742" s="138"/>
      <c r="BK742" s="28"/>
      <c r="BL742" s="141"/>
    </row>
    <row r="743" spans="1:64" x14ac:dyDescent="0.3">
      <c r="AP743" s="138" t="s">
        <v>132</v>
      </c>
      <c r="AQ743" s="138">
        <v>0</v>
      </c>
      <c r="AR743" s="141">
        <v>0</v>
      </c>
      <c r="AS743" s="138" t="s">
        <v>6</v>
      </c>
      <c r="AT743" s="141"/>
      <c r="AU743" s="28"/>
      <c r="AV743" s="43">
        <v>4</v>
      </c>
      <c r="AW743" s="43" t="s">
        <v>1204</v>
      </c>
      <c r="AX743" s="28"/>
      <c r="AY743" s="141"/>
      <c r="BB743" s="196" t="s">
        <v>211</v>
      </c>
      <c r="BC743" s="138">
        <v>14</v>
      </c>
      <c r="BD743" s="141">
        <v>0</v>
      </c>
      <c r="BE743" s="138"/>
      <c r="BF743" s="28"/>
      <c r="BG743" s="141"/>
      <c r="BH743" s="138"/>
      <c r="BI743" s="141"/>
      <c r="BJ743" s="138"/>
      <c r="BK743" s="28"/>
      <c r="BL743" s="141"/>
    </row>
    <row r="744" spans="1:64" x14ac:dyDescent="0.3">
      <c r="AM744" t="s">
        <v>6</v>
      </c>
      <c r="AP744" s="138" t="s">
        <v>992</v>
      </c>
      <c r="AQ744" s="138">
        <v>0</v>
      </c>
      <c r="AR744" s="141">
        <v>0</v>
      </c>
      <c r="AS744" s="138"/>
      <c r="AT744" s="141"/>
      <c r="AU744" s="28"/>
      <c r="AV744" s="43">
        <v>4</v>
      </c>
      <c r="AW744" s="28" t="s">
        <v>228</v>
      </c>
      <c r="AX744" s="28"/>
      <c r="AY744" s="141"/>
      <c r="BB744" s="196" t="s">
        <v>218</v>
      </c>
      <c r="BC744" s="138">
        <v>0</v>
      </c>
      <c r="BD744" s="141">
        <f>21+2+2</f>
        <v>25</v>
      </c>
      <c r="BE744" s="138"/>
      <c r="BF744" s="28">
        <v>0</v>
      </c>
      <c r="BG744" s="141"/>
      <c r="BH744" s="138"/>
      <c r="BI744" s="141"/>
      <c r="BJ744" s="138"/>
      <c r="BK744" s="28"/>
      <c r="BL744" s="141"/>
    </row>
    <row r="745" spans="1:64" ht="15" thickBot="1" x14ac:dyDescent="0.35">
      <c r="H745" t="s">
        <v>6</v>
      </c>
      <c r="AP745" s="138" t="s">
        <v>84</v>
      </c>
      <c r="AQ745" s="138">
        <f>SUM(AQ729:AQ744)</f>
        <v>127</v>
      </c>
      <c r="AR745" s="141">
        <f>SUM(AR729:AR744)</f>
        <v>169</v>
      </c>
      <c r="AS745" s="138"/>
      <c r="AT745" s="141"/>
      <c r="AU745" s="28"/>
      <c r="AV745" s="43">
        <v>5</v>
      </c>
      <c r="AW745" s="28" t="s">
        <v>1283</v>
      </c>
      <c r="AX745" s="28"/>
      <c r="AY745" s="141">
        <f>SUM(AV730:AV745)</f>
        <v>124</v>
      </c>
      <c r="BB745" s="196" t="s">
        <v>93</v>
      </c>
      <c r="BC745" s="138">
        <v>2</v>
      </c>
      <c r="BD745" s="141">
        <v>2</v>
      </c>
      <c r="BE745" s="138"/>
      <c r="BF745" s="28"/>
      <c r="BG745" s="141"/>
      <c r="BH745" s="138"/>
      <c r="BI745" s="141"/>
      <c r="BJ745" s="138"/>
      <c r="BK745" s="28"/>
      <c r="BL745" s="141"/>
    </row>
    <row r="746" spans="1:64" ht="15" thickBot="1" x14ac:dyDescent="0.35">
      <c r="H746" t="s">
        <v>6</v>
      </c>
      <c r="AP746" s="171" t="s">
        <v>84</v>
      </c>
      <c r="AQ746" s="207">
        <f>SUM(AQ745+AQ727+AQ718+AQ703)</f>
        <v>1933</v>
      </c>
      <c r="AR746" s="207">
        <f>SUM(AR745+AR727+AR718+AR703)</f>
        <v>1994</v>
      </c>
      <c r="AS746" s="207"/>
      <c r="AT746" s="208"/>
      <c r="AU746" s="170"/>
      <c r="AV746" s="170"/>
      <c r="AW746" s="170"/>
      <c r="AX746" s="170"/>
      <c r="AY746" s="172">
        <f>SUM(AY703:AY745)</f>
        <v>324</v>
      </c>
      <c r="BB746" s="199" t="s">
        <v>84</v>
      </c>
      <c r="BC746" s="142">
        <f>SUM(BC721:BC745)</f>
        <v>117</v>
      </c>
      <c r="BD746" s="146">
        <f>SUM(BD721:BD745)</f>
        <v>146</v>
      </c>
      <c r="BE746" s="142">
        <v>0</v>
      </c>
      <c r="BF746" s="143">
        <f>SUM(BF721:BF745)</f>
        <v>0</v>
      </c>
      <c r="BG746" s="146">
        <v>0</v>
      </c>
      <c r="BH746" s="142">
        <v>0</v>
      </c>
      <c r="BI746" s="146">
        <v>0</v>
      </c>
      <c r="BJ746" s="142"/>
      <c r="BK746" s="143"/>
      <c r="BL746" s="146">
        <f>10+8+6+3+4+8+5+11+9+5+3</f>
        <v>72</v>
      </c>
    </row>
    <row r="747" spans="1:64" x14ac:dyDescent="0.3">
      <c r="BB747" t="s">
        <v>223</v>
      </c>
      <c r="BC747">
        <f>SUM(BC746+BC720+BC715+BC710+BC707+BC705+BC717)</f>
        <v>3227</v>
      </c>
      <c r="BD747">
        <f>SUM(BD746+BD720+BD715+BD710+BD705+BD707+BD717)</f>
        <v>3609</v>
      </c>
      <c r="BE747">
        <v>0</v>
      </c>
      <c r="BF747">
        <f>SUM(BF746+BF720+BF715+BF710+BF707+BF703)</f>
        <v>0</v>
      </c>
      <c r="BG747">
        <v>0</v>
      </c>
      <c r="BH747">
        <f>SUM(BH746+BH720+BH715+BH709+BH707+BH703)</f>
        <v>85299</v>
      </c>
      <c r="BI747">
        <f>SUM(BI746+BI720+BI715+BI709+BI707+BI703)</f>
        <v>18180</v>
      </c>
      <c r="BK747" t="s">
        <v>939</v>
      </c>
      <c r="BL747">
        <f>SUM(+BL720+BL715+BL710+BL707+BL705)</f>
        <v>199</v>
      </c>
    </row>
    <row r="748" spans="1:64" x14ac:dyDescent="0.3">
      <c r="BB748" t="s">
        <v>225</v>
      </c>
      <c r="BD748">
        <f>SUM(BL746)</f>
        <v>72</v>
      </c>
    </row>
    <row r="749" spans="1:64" x14ac:dyDescent="0.3">
      <c r="BB749" t="s">
        <v>229</v>
      </c>
      <c r="BD749">
        <f>23+7+1+2+10</f>
        <v>43</v>
      </c>
    </row>
    <row r="750" spans="1:64" x14ac:dyDescent="0.3">
      <c r="BA750" t="s">
        <v>6</v>
      </c>
      <c r="BB750" t="s">
        <v>232</v>
      </c>
      <c r="BD750" t="s">
        <v>233</v>
      </c>
      <c r="BF750">
        <f>SUM(AQ746)</f>
        <v>1933</v>
      </c>
      <c r="BH750" t="s">
        <v>234</v>
      </c>
      <c r="BJ750" t="s">
        <v>233</v>
      </c>
      <c r="BL750">
        <f>SUM(BC747)</f>
        <v>3227</v>
      </c>
    </row>
    <row r="751" spans="1:64" x14ac:dyDescent="0.3">
      <c r="BD751" t="s">
        <v>236</v>
      </c>
      <c r="BF751">
        <f>SUM(AR746)</f>
        <v>1994</v>
      </c>
      <c r="BJ751" t="s">
        <v>236</v>
      </c>
      <c r="BL751">
        <f>SUM(BD747)</f>
        <v>3609</v>
      </c>
    </row>
    <row r="752" spans="1:64" x14ac:dyDescent="0.3">
      <c r="BB752" t="s">
        <v>238</v>
      </c>
      <c r="BC752" t="s">
        <v>239</v>
      </c>
      <c r="BE752" t="s">
        <v>240</v>
      </c>
      <c r="BF752" t="s">
        <v>241</v>
      </c>
      <c r="BI752" t="s">
        <v>242</v>
      </c>
      <c r="BJ752" s="131" t="s">
        <v>243</v>
      </c>
    </row>
    <row r="753" spans="54:64" x14ac:dyDescent="0.3">
      <c r="BB753" t="s">
        <v>233</v>
      </c>
      <c r="BD753">
        <f>SUM(B738)</f>
        <v>64629</v>
      </c>
      <c r="BE753" s="236" t="s">
        <v>233</v>
      </c>
      <c r="BG753">
        <f>SUM(AC734)</f>
        <v>2661</v>
      </c>
      <c r="BH753" t="s">
        <v>233</v>
      </c>
      <c r="BJ753">
        <f>SUM(BG753+BC747)</f>
        <v>5888</v>
      </c>
      <c r="BK753" t="s">
        <v>245</v>
      </c>
      <c r="BL753">
        <f>SUM(BD753+BJ753)</f>
        <v>70517</v>
      </c>
    </row>
    <row r="754" spans="54:64" x14ac:dyDescent="0.3">
      <c r="BB754" t="s">
        <v>236</v>
      </c>
      <c r="BD754">
        <f>SUM(C738)</f>
        <v>51789</v>
      </c>
      <c r="BE754" s="236" t="s">
        <v>236</v>
      </c>
      <c r="BG754">
        <f>SUM(AD734)</f>
        <v>4002</v>
      </c>
      <c r="BH754" t="s">
        <v>236</v>
      </c>
      <c r="BJ754">
        <f>SUM(BG754+BD747)</f>
        <v>7611</v>
      </c>
      <c r="BL754">
        <f>SUM(BD754+BJ754)</f>
        <v>59400</v>
      </c>
    </row>
  </sheetData>
  <pageMargins left="0.7" right="0.7" top="0.75" bottom="0.75" header="0.3" footer="0.3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V860"/>
  <sheetViews>
    <sheetView topLeftCell="A823" zoomScale="80" zoomScaleNormal="80" zoomScalePageLayoutView="25" workbookViewId="0">
      <selection activeCell="D828" sqref="D828:E828"/>
    </sheetView>
  </sheetViews>
  <sheetFormatPr defaultColWidth="11.44140625" defaultRowHeight="14.4" x14ac:dyDescent="0.3"/>
  <sheetData>
    <row r="1" spans="1:66" x14ac:dyDescent="0.3">
      <c r="E1" t="s">
        <v>0</v>
      </c>
      <c r="R1" t="s">
        <v>1</v>
      </c>
    </row>
    <row r="2" spans="1:66" x14ac:dyDescent="0.3">
      <c r="F2" t="s">
        <v>2</v>
      </c>
      <c r="S2" t="s">
        <v>3</v>
      </c>
      <c r="AH2" t="s">
        <v>0</v>
      </c>
      <c r="AU2" t="s">
        <v>4</v>
      </c>
      <c r="BH2" t="s">
        <v>5</v>
      </c>
    </row>
    <row r="3" spans="1:66" x14ac:dyDescent="0.3">
      <c r="C3" t="s">
        <v>6</v>
      </c>
      <c r="E3" t="s">
        <v>7</v>
      </c>
      <c r="Q3" t="s">
        <v>8</v>
      </c>
      <c r="AH3" t="s">
        <v>9</v>
      </c>
      <c r="AV3" t="s">
        <v>2</v>
      </c>
      <c r="BI3" t="s">
        <v>2</v>
      </c>
    </row>
    <row r="4" spans="1:66" x14ac:dyDescent="0.3">
      <c r="F4" t="s">
        <v>1508</v>
      </c>
      <c r="S4" t="s">
        <v>1508</v>
      </c>
      <c r="AH4" t="s">
        <v>11</v>
      </c>
      <c r="AT4" t="s">
        <v>12</v>
      </c>
      <c r="BB4" t="s">
        <v>6</v>
      </c>
      <c r="BG4" t="s">
        <v>13</v>
      </c>
    </row>
    <row r="5" spans="1:66" x14ac:dyDescent="0.3">
      <c r="K5" s="194" t="s">
        <v>949</v>
      </c>
      <c r="W5" t="s">
        <v>15</v>
      </c>
      <c r="AI5" t="s">
        <v>1508</v>
      </c>
      <c r="AV5" t="s">
        <v>1508</v>
      </c>
      <c r="BI5" t="s">
        <v>1508</v>
      </c>
      <c r="BM5" s="194" t="s">
        <v>950</v>
      </c>
    </row>
    <row r="6" spans="1:66" x14ac:dyDescent="0.3">
      <c r="C6" s="134" t="s">
        <v>17</v>
      </c>
      <c r="D6" s="134" t="s">
        <v>18</v>
      </c>
      <c r="E6" s="136"/>
      <c r="F6" s="135" t="s">
        <v>19</v>
      </c>
      <c r="G6" s="135"/>
      <c r="H6" s="135"/>
      <c r="I6" s="195" t="s">
        <v>20</v>
      </c>
      <c r="J6" s="135" t="s">
        <v>21</v>
      </c>
      <c r="K6" s="135"/>
      <c r="L6" s="136"/>
      <c r="N6" s="134" t="s">
        <v>17</v>
      </c>
      <c r="O6" s="135" t="s">
        <v>22</v>
      </c>
      <c r="P6" s="135"/>
      <c r="Q6" s="135" t="s">
        <v>23</v>
      </c>
      <c r="R6" s="135"/>
      <c r="S6" s="135"/>
      <c r="T6" s="135" t="s">
        <v>24</v>
      </c>
      <c r="U6" s="135"/>
      <c r="V6" s="135" t="s">
        <v>21</v>
      </c>
      <c r="W6" s="136"/>
      <c r="AN6" s="28" t="s">
        <v>25</v>
      </c>
      <c r="AZ6" s="194" t="s">
        <v>951</v>
      </c>
      <c r="BD6" s="195" t="s">
        <v>17</v>
      </c>
      <c r="BE6" s="134" t="s">
        <v>27</v>
      </c>
      <c r="BF6" s="136"/>
      <c r="BG6" s="135" t="s">
        <v>28</v>
      </c>
      <c r="BH6" s="135"/>
      <c r="BI6" s="135"/>
      <c r="BJ6" s="135" t="s">
        <v>29</v>
      </c>
      <c r="BK6" s="135" t="s">
        <v>30</v>
      </c>
      <c r="BL6" s="135" t="s">
        <v>31</v>
      </c>
      <c r="BM6" s="135"/>
      <c r="BN6" s="136"/>
    </row>
    <row r="7" spans="1:66" x14ac:dyDescent="0.3">
      <c r="A7" t="s">
        <v>1938</v>
      </c>
      <c r="B7">
        <f>SUM(D23,E23,D92,E92,D161,E161,D231,E231,D299,E299,D366,E366,D436,E436,D499,E499,D561,E561,D660,E660,D735,E735,D811,E811,)</f>
        <v>206838</v>
      </c>
      <c r="C7" s="138" t="s">
        <v>32</v>
      </c>
      <c r="D7" s="138"/>
      <c r="E7" s="141"/>
      <c r="F7" s="28"/>
      <c r="G7" s="28"/>
      <c r="H7" s="28"/>
      <c r="I7" s="196"/>
      <c r="J7" s="28" t="s">
        <v>33</v>
      </c>
      <c r="K7" s="28"/>
      <c r="L7" s="141"/>
      <c r="N7" s="138"/>
      <c r="O7" s="28"/>
      <c r="P7" s="28"/>
      <c r="Q7" s="28"/>
      <c r="R7" s="28"/>
      <c r="S7" s="28"/>
      <c r="T7" s="28"/>
      <c r="U7" s="28"/>
      <c r="V7" s="28" t="s">
        <v>33</v>
      </c>
      <c r="W7" s="141"/>
      <c r="AD7" s="134" t="s">
        <v>34</v>
      </c>
      <c r="AE7" s="134" t="s">
        <v>35</v>
      </c>
      <c r="AF7" s="136"/>
      <c r="AG7" s="135" t="s">
        <v>36</v>
      </c>
      <c r="AH7" s="135"/>
      <c r="AI7" s="135"/>
      <c r="AJ7" s="134" t="s">
        <v>37</v>
      </c>
      <c r="AK7" s="136"/>
      <c r="AL7" s="135" t="s">
        <v>30</v>
      </c>
      <c r="AM7" s="134" t="s">
        <v>38</v>
      </c>
      <c r="AN7" s="135"/>
      <c r="AO7" s="136"/>
      <c r="AR7" s="134" t="s">
        <v>17</v>
      </c>
      <c r="AS7" s="134" t="s">
        <v>39</v>
      </c>
      <c r="AT7" s="136"/>
      <c r="AU7" s="134" t="s">
        <v>29</v>
      </c>
      <c r="AV7" s="136" t="s">
        <v>30</v>
      </c>
      <c r="AW7" s="135" t="s">
        <v>40</v>
      </c>
      <c r="AX7" s="135"/>
      <c r="AY7" s="135"/>
      <c r="AZ7" s="135"/>
      <c r="BA7" s="136"/>
      <c r="BD7" s="196"/>
      <c r="BE7" s="138"/>
      <c r="BF7" s="141"/>
      <c r="BG7" s="28"/>
      <c r="BH7" s="28"/>
      <c r="BI7" s="28"/>
      <c r="BJ7" s="28"/>
      <c r="BK7" s="28" t="s">
        <v>6</v>
      </c>
      <c r="BL7" s="28" t="s">
        <v>41</v>
      </c>
      <c r="BM7" s="28"/>
      <c r="BN7" s="141"/>
    </row>
    <row r="8" spans="1:66" ht="15" thickBot="1" x14ac:dyDescent="0.35">
      <c r="A8" t="s">
        <v>1939</v>
      </c>
      <c r="B8">
        <f>SUM(D31,E31,D100,E100,D169,E169,D239,E239,D307,E307,D374,E374,D440,E440,D503,E503,D565,E565,D664,E664,D739,E739,D815,E815,)</f>
        <v>178662</v>
      </c>
      <c r="C8" s="142" t="s">
        <v>42</v>
      </c>
      <c r="D8" s="142" t="s">
        <v>43</v>
      </c>
      <c r="E8" s="143" t="s">
        <v>44</v>
      </c>
      <c r="F8" s="197" t="s">
        <v>45</v>
      </c>
      <c r="G8" s="198" t="s">
        <v>46</v>
      </c>
      <c r="H8" s="198" t="s">
        <v>47</v>
      </c>
      <c r="I8" s="199" t="s">
        <v>48</v>
      </c>
      <c r="J8" s="143" t="s">
        <v>49</v>
      </c>
      <c r="K8" s="143"/>
      <c r="L8" s="146"/>
      <c r="N8" s="142" t="s">
        <v>50</v>
      </c>
      <c r="O8" s="143" t="s">
        <v>43</v>
      </c>
      <c r="P8" s="143" t="s">
        <v>44</v>
      </c>
      <c r="Q8" s="143" t="s">
        <v>43</v>
      </c>
      <c r="R8" s="143" t="s">
        <v>51</v>
      </c>
      <c r="S8" s="143" t="s">
        <v>44</v>
      </c>
      <c r="T8" s="143" t="s">
        <v>43</v>
      </c>
      <c r="U8" s="143" t="s">
        <v>44</v>
      </c>
      <c r="V8" s="143" t="s">
        <v>49</v>
      </c>
      <c r="W8" s="146"/>
      <c r="AD8" s="138" t="s">
        <v>50</v>
      </c>
      <c r="AE8" s="138" t="s">
        <v>43</v>
      </c>
      <c r="AF8" s="141" t="s">
        <v>44</v>
      </c>
      <c r="AG8" s="28" t="s">
        <v>45</v>
      </c>
      <c r="AH8" s="28" t="s">
        <v>46</v>
      </c>
      <c r="AI8" s="28" t="s">
        <v>52</v>
      </c>
      <c r="AJ8" s="138" t="s">
        <v>43</v>
      </c>
      <c r="AK8" s="141" t="s">
        <v>44</v>
      </c>
      <c r="AL8" s="28" t="s">
        <v>43</v>
      </c>
      <c r="AM8" s="138" t="s">
        <v>53</v>
      </c>
      <c r="AN8" s="28"/>
      <c r="AO8" s="141"/>
      <c r="AR8" s="138" t="s">
        <v>42</v>
      </c>
      <c r="AS8" s="138" t="s">
        <v>43</v>
      </c>
      <c r="AT8" s="141" t="s">
        <v>44</v>
      </c>
      <c r="AU8" s="138" t="s">
        <v>43</v>
      </c>
      <c r="AV8" s="141" t="s">
        <v>44</v>
      </c>
      <c r="AW8" s="28"/>
      <c r="AX8" s="28"/>
      <c r="AY8" s="28"/>
      <c r="AZ8" s="28"/>
      <c r="BA8" s="141"/>
      <c r="BD8" s="199" t="s">
        <v>42</v>
      </c>
      <c r="BE8" s="142" t="s">
        <v>43</v>
      </c>
      <c r="BF8" s="146" t="s">
        <v>44</v>
      </c>
      <c r="BG8" s="143" t="s">
        <v>45</v>
      </c>
      <c r="BH8" s="143" t="s">
        <v>46</v>
      </c>
      <c r="BI8" s="143" t="s">
        <v>52</v>
      </c>
      <c r="BJ8" s="143" t="s">
        <v>43</v>
      </c>
      <c r="BK8" s="143" t="s">
        <v>44</v>
      </c>
      <c r="BL8" s="143" t="s">
        <v>54</v>
      </c>
      <c r="BM8" s="143"/>
      <c r="BN8" s="146"/>
    </row>
    <row r="9" spans="1:66" x14ac:dyDescent="0.3">
      <c r="A9" t="s">
        <v>1940</v>
      </c>
      <c r="B9">
        <f>SUM(D17,E17,D86,E86,D155,E155,D225,E225,D293,E293,D360,E360,D429,E429,D492,E492,D554,E554,D653,E653,D728,E728,D804,E804,)</f>
        <v>99897</v>
      </c>
      <c r="C9" s="134"/>
      <c r="D9" s="134"/>
      <c r="E9" s="135"/>
      <c r="F9" s="134"/>
      <c r="G9" s="135"/>
      <c r="H9" s="135"/>
      <c r="I9" s="195"/>
      <c r="J9" s="135" t="s">
        <v>396</v>
      </c>
      <c r="K9" s="135"/>
      <c r="L9" s="136"/>
      <c r="N9" s="134"/>
      <c r="O9" s="134"/>
      <c r="P9" s="195"/>
      <c r="Q9" s="134"/>
      <c r="R9" s="195"/>
      <c r="S9" s="136"/>
      <c r="T9" s="134"/>
      <c r="U9" s="195"/>
      <c r="V9" s="134" t="s">
        <v>396</v>
      </c>
      <c r="W9" s="136"/>
      <c r="AD9" s="33"/>
      <c r="AE9" s="33"/>
      <c r="AF9" s="35"/>
      <c r="AG9" s="34"/>
      <c r="AH9" s="34"/>
      <c r="AI9" s="34"/>
      <c r="AJ9" s="33"/>
      <c r="AK9" s="35"/>
      <c r="AL9" s="32"/>
      <c r="AM9" s="34"/>
      <c r="AN9" s="34"/>
      <c r="AO9" s="35"/>
      <c r="AR9" s="134"/>
      <c r="AS9" s="134"/>
      <c r="AT9" s="136"/>
      <c r="AU9" s="134"/>
      <c r="AV9" s="136"/>
      <c r="AW9" s="135"/>
      <c r="AX9" s="135"/>
      <c r="AY9" s="135"/>
      <c r="AZ9" s="135"/>
      <c r="BA9" s="136"/>
      <c r="BD9" s="195" t="s">
        <v>6</v>
      </c>
      <c r="BE9" s="135"/>
      <c r="BF9" s="135"/>
      <c r="BG9" s="134"/>
      <c r="BH9" s="135"/>
      <c r="BI9" s="135"/>
      <c r="BJ9" s="134"/>
      <c r="BK9" s="136"/>
      <c r="BL9" s="135" t="s">
        <v>58</v>
      </c>
      <c r="BM9" s="135"/>
      <c r="BN9" s="136"/>
    </row>
    <row r="10" spans="1:66" x14ac:dyDescent="0.3">
      <c r="C10" s="138" t="s">
        <v>59</v>
      </c>
      <c r="D10" s="138">
        <v>1373</v>
      </c>
      <c r="E10" s="28">
        <v>1320</v>
      </c>
      <c r="F10" s="138"/>
      <c r="G10" s="28" t="s">
        <v>60</v>
      </c>
      <c r="H10" s="28"/>
      <c r="I10" s="196">
        <v>1400</v>
      </c>
      <c r="J10" s="28">
        <v>5</v>
      </c>
      <c r="K10" s="28" t="s">
        <v>61</v>
      </c>
      <c r="L10" s="141"/>
      <c r="N10" s="138" t="s">
        <v>59</v>
      </c>
      <c r="O10" s="138">
        <v>1787</v>
      </c>
      <c r="P10" s="196">
        <v>22243</v>
      </c>
      <c r="Q10" s="138">
        <v>0</v>
      </c>
      <c r="R10" s="196">
        <v>0</v>
      </c>
      <c r="S10" s="141">
        <v>0</v>
      </c>
      <c r="T10" s="138">
        <v>0</v>
      </c>
      <c r="U10" s="196">
        <v>0</v>
      </c>
      <c r="V10" s="138"/>
      <c r="W10" s="141"/>
      <c r="AD10" s="42"/>
      <c r="AE10" s="42"/>
      <c r="AF10" s="40"/>
      <c r="AG10" s="28"/>
      <c r="AH10" s="28"/>
      <c r="AI10" s="28"/>
      <c r="AJ10" s="42"/>
      <c r="AK10" s="40"/>
      <c r="AL10" s="41"/>
      <c r="AM10" s="28" t="s">
        <v>62</v>
      </c>
      <c r="AN10" s="28"/>
      <c r="AO10" s="40"/>
      <c r="AR10" s="138" t="s">
        <v>6</v>
      </c>
      <c r="AS10" s="138"/>
      <c r="AT10" s="141"/>
      <c r="AU10" s="138"/>
      <c r="AV10" s="141"/>
      <c r="AW10" s="28"/>
      <c r="AX10" s="28" t="s">
        <v>91</v>
      </c>
      <c r="AY10" s="28"/>
      <c r="AZ10" s="28"/>
      <c r="BA10" s="141"/>
      <c r="BD10" s="196" t="s">
        <v>64</v>
      </c>
      <c r="BE10" s="28">
        <v>128</v>
      </c>
      <c r="BF10" s="28">
        <v>185</v>
      </c>
      <c r="BG10" s="138">
        <v>0</v>
      </c>
      <c r="BH10" s="28">
        <v>0</v>
      </c>
      <c r="BI10" s="28">
        <v>0</v>
      </c>
      <c r="BJ10" s="138">
        <v>0</v>
      </c>
      <c r="BK10" s="141">
        <v>0</v>
      </c>
      <c r="BL10" s="43">
        <v>18</v>
      </c>
      <c r="BM10" s="28" t="s">
        <v>474</v>
      </c>
      <c r="BN10" s="141" t="s">
        <v>6</v>
      </c>
    </row>
    <row r="11" spans="1:66" x14ac:dyDescent="0.3">
      <c r="A11" t="s">
        <v>1938</v>
      </c>
      <c r="B11">
        <f>SUM(D24,E24,D93,E93,D162,E162,D232,E232,D300,E300,D367,E367,D437,E437,D500,E500,D562,E562,D661,E661,D736,E736,D812,E812,)</f>
        <v>145178</v>
      </c>
      <c r="C11" s="138" t="s">
        <v>6</v>
      </c>
      <c r="D11" s="138"/>
      <c r="E11" s="28"/>
      <c r="F11" s="138"/>
      <c r="G11" s="28"/>
      <c r="H11" s="28"/>
      <c r="I11" s="196"/>
      <c r="J11" s="28"/>
      <c r="K11" s="28" t="s">
        <v>528</v>
      </c>
      <c r="L11" s="141">
        <f>SUM(J10)</f>
        <v>5</v>
      </c>
      <c r="N11" s="142"/>
      <c r="O11" s="142"/>
      <c r="P11" s="199"/>
      <c r="Q11" s="142"/>
      <c r="R11" s="199"/>
      <c r="S11" s="146"/>
      <c r="T11" s="142"/>
      <c r="U11" s="199"/>
      <c r="V11" s="142"/>
      <c r="W11" s="146"/>
      <c r="AD11" s="42" t="s">
        <v>59</v>
      </c>
      <c r="AE11" s="42">
        <v>1987</v>
      </c>
      <c r="AF11" s="40">
        <v>1987</v>
      </c>
      <c r="AG11" s="28">
        <v>0</v>
      </c>
      <c r="AH11" s="28">
        <v>0</v>
      </c>
      <c r="AI11" s="28">
        <v>0</v>
      </c>
      <c r="AJ11" s="42">
        <v>0</v>
      </c>
      <c r="AK11" s="40">
        <v>0</v>
      </c>
      <c r="AL11" s="41">
        <v>0</v>
      </c>
      <c r="AM11" s="28">
        <v>4</v>
      </c>
      <c r="AN11" s="28" t="s">
        <v>66</v>
      </c>
      <c r="AO11" s="40"/>
      <c r="AR11" s="138" t="s">
        <v>56</v>
      </c>
      <c r="AS11" s="138">
        <v>1421</v>
      </c>
      <c r="AT11" s="141">
        <v>1420</v>
      </c>
      <c r="AU11" s="138"/>
      <c r="AV11" s="141"/>
      <c r="AW11" s="28"/>
      <c r="AX11" s="28"/>
      <c r="AY11" s="28"/>
      <c r="AZ11" s="28"/>
      <c r="BA11" s="141"/>
      <c r="BD11" s="196" t="s">
        <v>108</v>
      </c>
      <c r="BE11">
        <v>2</v>
      </c>
      <c r="BF11">
        <v>7</v>
      </c>
      <c r="BG11" s="138">
        <v>0</v>
      </c>
      <c r="BH11" s="28">
        <v>0</v>
      </c>
      <c r="BI11" s="28">
        <v>0</v>
      </c>
      <c r="BJ11" s="138">
        <v>0</v>
      </c>
      <c r="BK11" s="141">
        <v>0</v>
      </c>
      <c r="BL11" s="28">
        <v>1</v>
      </c>
      <c r="BM11" s="28" t="s">
        <v>1045</v>
      </c>
      <c r="BN11" s="141"/>
    </row>
    <row r="12" spans="1:66" x14ac:dyDescent="0.3">
      <c r="A12" t="s">
        <v>1939</v>
      </c>
      <c r="B12">
        <f>SUM(D33,E33,D102,E102,D171,E171,D241,E241,D309,E309,D376,E376,D442,E442,D505,E505,D567,E567,D666,E666,D741,E741,D817,E817,)</f>
        <v>128940</v>
      </c>
      <c r="C12" s="134"/>
      <c r="D12" s="134"/>
      <c r="E12" s="135"/>
      <c r="F12" s="134"/>
      <c r="G12" s="135"/>
      <c r="H12" s="135"/>
      <c r="I12" s="195"/>
      <c r="J12" s="135" t="s">
        <v>70</v>
      </c>
      <c r="K12" s="135"/>
      <c r="L12" s="136"/>
      <c r="N12" s="134"/>
      <c r="O12" s="134"/>
      <c r="P12" s="195"/>
      <c r="Q12" s="134"/>
      <c r="R12" s="195"/>
      <c r="S12" s="136"/>
      <c r="T12" s="134"/>
      <c r="U12" s="195"/>
      <c r="V12" s="134"/>
      <c r="W12" s="136"/>
      <c r="AD12" s="244"/>
      <c r="AE12" s="244"/>
      <c r="AF12" s="245"/>
      <c r="AG12" s="143"/>
      <c r="AH12" s="143"/>
      <c r="AI12" s="143"/>
      <c r="AJ12" s="244"/>
      <c r="AK12" s="245"/>
      <c r="AL12" s="313"/>
      <c r="AM12" s="143">
        <v>5</v>
      </c>
      <c r="AN12" s="143" t="s">
        <v>436</v>
      </c>
      <c r="AO12" s="245"/>
      <c r="AR12" s="142" t="s">
        <v>6</v>
      </c>
      <c r="AS12" s="142"/>
      <c r="AT12" s="146"/>
      <c r="AU12" s="142"/>
      <c r="AV12" s="146"/>
      <c r="AW12" s="143"/>
      <c r="AX12" s="143">
        <v>102</v>
      </c>
      <c r="AY12" s="143" t="s">
        <v>73</v>
      </c>
      <c r="AZ12" s="143"/>
      <c r="BA12" s="146">
        <f>SUM(AX12)</f>
        <v>102</v>
      </c>
      <c r="BD12" s="199" t="s">
        <v>84</v>
      </c>
      <c r="BE12" s="143">
        <f>SUM(BE9:BE11)</f>
        <v>130</v>
      </c>
      <c r="BF12" s="143">
        <f>SUM(BF9:BF11)</f>
        <v>192</v>
      </c>
      <c r="BG12" s="138">
        <v>0</v>
      </c>
      <c r="BH12" s="28">
        <v>0</v>
      </c>
      <c r="BI12" s="28">
        <v>0</v>
      </c>
      <c r="BJ12" s="138">
        <v>0</v>
      </c>
      <c r="BK12" s="141">
        <v>0</v>
      </c>
      <c r="BL12" s="143">
        <v>2</v>
      </c>
      <c r="BM12" s="143" t="s">
        <v>69</v>
      </c>
      <c r="BN12" s="146">
        <f>SUM(BL10:BL12)</f>
        <v>21</v>
      </c>
    </row>
    <row r="13" spans="1:66" x14ac:dyDescent="0.3">
      <c r="C13" s="138" t="s">
        <v>74</v>
      </c>
      <c r="D13" s="138">
        <v>1233</v>
      </c>
      <c r="E13" s="28">
        <v>1889</v>
      </c>
      <c r="F13" s="138"/>
      <c r="G13" s="28" t="s">
        <v>60</v>
      </c>
      <c r="H13" s="28"/>
      <c r="I13" s="196">
        <v>2590</v>
      </c>
      <c r="J13" s="28">
        <v>4</v>
      </c>
      <c r="K13" s="28" t="s">
        <v>75</v>
      </c>
      <c r="L13" s="141"/>
      <c r="N13" s="138"/>
      <c r="O13" s="138"/>
      <c r="P13" s="196"/>
      <c r="Q13" s="138"/>
      <c r="R13" s="196"/>
      <c r="S13" s="141"/>
      <c r="T13" s="138"/>
      <c r="U13" s="196"/>
      <c r="V13" s="138" t="s">
        <v>80</v>
      </c>
      <c r="W13" s="141"/>
      <c r="AD13" s="278" t="s">
        <v>6</v>
      </c>
      <c r="AE13" s="278"/>
      <c r="AF13" s="279"/>
      <c r="AG13" s="135"/>
      <c r="AH13" s="135"/>
      <c r="AI13" s="135"/>
      <c r="AJ13" s="278"/>
      <c r="AK13" s="279"/>
      <c r="AL13" s="314"/>
      <c r="AM13" s="135" t="s">
        <v>952</v>
      </c>
      <c r="AN13" s="135"/>
      <c r="AO13" s="279"/>
      <c r="AR13" s="134"/>
      <c r="AS13" s="134"/>
      <c r="AT13" s="136"/>
      <c r="AU13" s="134"/>
      <c r="AV13" s="136"/>
      <c r="AW13" s="135"/>
      <c r="AX13" s="135"/>
      <c r="AY13" s="135"/>
      <c r="AZ13" s="135"/>
      <c r="BA13" s="136"/>
      <c r="BD13" s="195" t="s">
        <v>6</v>
      </c>
      <c r="BE13" s="134" t="s">
        <v>6</v>
      </c>
      <c r="BF13" s="136"/>
      <c r="BG13" s="135"/>
      <c r="BH13" s="135">
        <v>0</v>
      </c>
      <c r="BI13" s="135"/>
      <c r="BJ13" s="134"/>
      <c r="BK13" s="136"/>
      <c r="BL13" s="135" t="s">
        <v>1092</v>
      </c>
      <c r="BM13" s="135"/>
      <c r="BN13" s="136"/>
    </row>
    <row r="14" spans="1:66" ht="15" thickBot="1" x14ac:dyDescent="0.35">
      <c r="C14" s="138"/>
      <c r="D14" s="138"/>
      <c r="E14" s="28"/>
      <c r="F14" s="138"/>
      <c r="G14" s="28"/>
      <c r="H14" s="28"/>
      <c r="I14" s="196"/>
      <c r="J14" s="28">
        <v>0</v>
      </c>
      <c r="K14" s="28" t="s">
        <v>79</v>
      </c>
      <c r="L14" s="141"/>
      <c r="N14" s="138" t="s">
        <v>74</v>
      </c>
      <c r="O14" s="138">
        <v>5365</v>
      </c>
      <c r="P14" s="196">
        <v>50</v>
      </c>
      <c r="Q14" s="138">
        <v>0</v>
      </c>
      <c r="R14" s="196">
        <v>0</v>
      </c>
      <c r="S14" s="141">
        <v>0</v>
      </c>
      <c r="T14" s="138">
        <v>0</v>
      </c>
      <c r="U14" s="196">
        <v>0</v>
      </c>
      <c r="V14" s="138"/>
      <c r="W14" s="141"/>
      <c r="AD14" s="42" t="s">
        <v>76</v>
      </c>
      <c r="AE14" s="42">
        <v>0</v>
      </c>
      <c r="AF14" s="40">
        <v>0</v>
      </c>
      <c r="AG14" s="28">
        <v>0</v>
      </c>
      <c r="AH14" s="28">
        <v>0</v>
      </c>
      <c r="AI14" s="28">
        <v>0</v>
      </c>
      <c r="AJ14" s="42">
        <v>0</v>
      </c>
      <c r="AK14" s="40">
        <v>0</v>
      </c>
      <c r="AL14" s="41">
        <v>0</v>
      </c>
      <c r="AM14" s="28">
        <v>2</v>
      </c>
      <c r="AN14" s="28" t="s">
        <v>780</v>
      </c>
      <c r="AO14" s="40"/>
      <c r="AR14" s="138" t="s">
        <v>63</v>
      </c>
      <c r="AS14" s="138">
        <v>78</v>
      </c>
      <c r="AT14" s="141">
        <v>126</v>
      </c>
      <c r="AU14" s="138"/>
      <c r="AV14" s="141"/>
      <c r="AW14" s="28"/>
      <c r="AX14" s="28" t="s">
        <v>110</v>
      </c>
      <c r="AY14" s="28" t="s">
        <v>111</v>
      </c>
      <c r="AZ14" s="28" t="s">
        <v>112</v>
      </c>
      <c r="BA14" s="141"/>
      <c r="BD14" s="199" t="s">
        <v>108</v>
      </c>
      <c r="BE14" s="142">
        <f>353+77</f>
        <v>430</v>
      </c>
      <c r="BF14" s="146">
        <f>346+58</f>
        <v>404</v>
      </c>
      <c r="BG14" s="143"/>
      <c r="BH14" s="143">
        <v>0</v>
      </c>
      <c r="BI14" s="143">
        <v>0</v>
      </c>
      <c r="BJ14" s="142">
        <v>0</v>
      </c>
      <c r="BK14" s="146">
        <v>0</v>
      </c>
      <c r="BL14" s="143">
        <v>15</v>
      </c>
      <c r="BM14" s="143" t="s">
        <v>780</v>
      </c>
      <c r="BN14" s="146">
        <f>SUM(BL14)</f>
        <v>15</v>
      </c>
    </row>
    <row r="15" spans="1:66" x14ac:dyDescent="0.3">
      <c r="C15" s="142"/>
      <c r="D15" s="142"/>
      <c r="E15" s="143"/>
      <c r="F15" s="142"/>
      <c r="G15" s="143"/>
      <c r="H15" s="143"/>
      <c r="I15" s="199"/>
      <c r="J15" s="143">
        <v>13</v>
      </c>
      <c r="K15" s="143" t="s">
        <v>83</v>
      </c>
      <c r="L15" s="146">
        <f>SUM(J13:J15)</f>
        <v>17</v>
      </c>
      <c r="N15" s="142"/>
      <c r="O15" s="142"/>
      <c r="P15" s="199"/>
      <c r="Q15" s="142"/>
      <c r="R15" s="199"/>
      <c r="S15" s="146"/>
      <c r="T15" s="142"/>
      <c r="U15" s="199"/>
      <c r="V15" s="142"/>
      <c r="W15" s="146"/>
      <c r="AD15" s="33"/>
      <c r="AE15" s="33"/>
      <c r="AF15" s="35"/>
      <c r="AG15" s="34"/>
      <c r="AH15" s="34"/>
      <c r="AI15" s="34"/>
      <c r="AJ15" s="33"/>
      <c r="AK15" s="35"/>
      <c r="AL15" s="32"/>
      <c r="AM15" s="34" t="s">
        <v>1298</v>
      </c>
      <c r="AN15" s="34"/>
      <c r="AO15" s="35"/>
      <c r="AR15" s="138" t="s">
        <v>115</v>
      </c>
      <c r="AS15" s="138">
        <v>70</v>
      </c>
      <c r="AT15" s="141">
        <v>86</v>
      </c>
      <c r="AU15" s="138"/>
      <c r="AV15" s="141"/>
      <c r="AW15" s="28"/>
      <c r="AX15" s="28"/>
      <c r="AY15" s="28"/>
      <c r="AZ15" s="28"/>
      <c r="BA15" s="141"/>
      <c r="BD15" s="195" t="s">
        <v>107</v>
      </c>
      <c r="BE15" s="134">
        <v>0</v>
      </c>
      <c r="BF15" s="136">
        <v>0</v>
      </c>
      <c r="BG15" s="135"/>
      <c r="BH15" s="135"/>
      <c r="BI15" s="135"/>
      <c r="BJ15" s="134"/>
      <c r="BK15" s="136"/>
      <c r="BL15" s="135"/>
      <c r="BM15" s="135" t="s">
        <v>92</v>
      </c>
      <c r="BN15" s="136"/>
    </row>
    <row r="16" spans="1:66" ht="15" thickBot="1" x14ac:dyDescent="0.35">
      <c r="C16" s="134"/>
      <c r="D16" s="134"/>
      <c r="E16" s="135"/>
      <c r="F16" s="134"/>
      <c r="G16" s="135"/>
      <c r="H16" s="135"/>
      <c r="I16" s="195"/>
      <c r="J16" s="135" t="s">
        <v>87</v>
      </c>
      <c r="K16" s="135"/>
      <c r="L16" s="136"/>
      <c r="N16" s="134" t="s">
        <v>88</v>
      </c>
      <c r="O16" s="134">
        <v>0</v>
      </c>
      <c r="P16" s="195">
        <v>0</v>
      </c>
      <c r="Q16" s="134"/>
      <c r="R16" s="195"/>
      <c r="S16" s="136"/>
      <c r="T16" s="134"/>
      <c r="U16" s="195"/>
      <c r="V16" s="134" t="s">
        <v>6</v>
      </c>
      <c r="W16" s="136"/>
      <c r="AD16" s="47" t="s">
        <v>1300</v>
      </c>
      <c r="AE16" s="47">
        <v>94</v>
      </c>
      <c r="AF16" s="49">
        <v>56</v>
      </c>
      <c r="AG16" s="48"/>
      <c r="AH16" s="48"/>
      <c r="AI16" s="48"/>
      <c r="AJ16" s="47"/>
      <c r="AK16" s="49"/>
      <c r="AL16" s="46"/>
      <c r="AM16" s="48">
        <v>4</v>
      </c>
      <c r="AN16" s="48" t="s">
        <v>145</v>
      </c>
      <c r="AO16" s="49"/>
      <c r="AR16" s="138" t="s">
        <v>72</v>
      </c>
      <c r="AS16" s="138">
        <v>27</v>
      </c>
      <c r="AT16" s="141">
        <v>32</v>
      </c>
      <c r="AU16" s="138"/>
      <c r="AV16" s="141"/>
      <c r="AW16" s="28"/>
      <c r="AX16" s="28"/>
      <c r="AY16" s="28"/>
      <c r="AZ16" s="28"/>
      <c r="BA16" s="141"/>
      <c r="BD16" s="196" t="s">
        <v>99</v>
      </c>
      <c r="BE16" s="138">
        <v>0</v>
      </c>
      <c r="BF16" s="141">
        <v>0</v>
      </c>
      <c r="BG16" s="28">
        <v>0</v>
      </c>
      <c r="BH16" s="28">
        <v>0</v>
      </c>
      <c r="BI16" s="28">
        <v>0</v>
      </c>
      <c r="BJ16" s="138">
        <v>83265</v>
      </c>
      <c r="BK16" s="141">
        <v>19089</v>
      </c>
      <c r="BL16" s="43">
        <v>28</v>
      </c>
      <c r="BM16" s="28" t="s">
        <v>100</v>
      </c>
      <c r="BN16" s="141"/>
    </row>
    <row r="17" spans="3:67" x14ac:dyDescent="0.3">
      <c r="C17" s="138" t="s">
        <v>93</v>
      </c>
      <c r="D17" s="138">
        <v>4186</v>
      </c>
      <c r="E17" s="28">
        <v>5189</v>
      </c>
      <c r="F17" s="138"/>
      <c r="G17" s="28" t="s">
        <v>60</v>
      </c>
      <c r="H17" s="28"/>
      <c r="I17" s="196">
        <v>5549</v>
      </c>
      <c r="J17" s="28"/>
      <c r="K17" s="28" t="s">
        <v>94</v>
      </c>
      <c r="L17" s="141"/>
      <c r="N17" s="138" t="s">
        <v>95</v>
      </c>
      <c r="O17" s="138">
        <v>0</v>
      </c>
      <c r="P17" s="196">
        <v>0</v>
      </c>
      <c r="Q17" s="138"/>
      <c r="R17" s="196"/>
      <c r="S17" s="141"/>
      <c r="T17" s="138"/>
      <c r="U17" s="196"/>
      <c r="V17" s="138" t="s">
        <v>96</v>
      </c>
      <c r="W17" s="141"/>
      <c r="AD17" s="42" t="s">
        <v>89</v>
      </c>
      <c r="AE17" s="42">
        <v>36</v>
      </c>
      <c r="AF17" s="40">
        <v>39</v>
      </c>
      <c r="AG17" s="28"/>
      <c r="AH17" s="28"/>
      <c r="AI17" s="28"/>
      <c r="AJ17" s="42"/>
      <c r="AK17" s="40"/>
      <c r="AL17" s="41"/>
      <c r="AM17" s="28" t="s">
        <v>90</v>
      </c>
      <c r="AN17" s="28"/>
      <c r="AO17" s="40"/>
      <c r="AR17" s="138" t="s">
        <v>78</v>
      </c>
      <c r="AS17" s="138">
        <v>24</v>
      </c>
      <c r="AT17" s="141">
        <v>51</v>
      </c>
      <c r="AU17" s="138"/>
      <c r="AV17" s="141"/>
      <c r="AW17" s="28"/>
      <c r="AX17" s="28"/>
      <c r="AY17" s="28"/>
      <c r="AZ17" s="28"/>
      <c r="BA17" s="141"/>
      <c r="BB17" t="s">
        <v>6</v>
      </c>
      <c r="BD17" s="199" t="s">
        <v>84</v>
      </c>
      <c r="BE17" s="138">
        <f>SUM(BE15:BE16)</f>
        <v>0</v>
      </c>
      <c r="BF17" s="141">
        <f>SUM(BF15:BF16)</f>
        <v>0</v>
      </c>
      <c r="BG17" s="143"/>
      <c r="BH17" s="143"/>
      <c r="BI17" s="143"/>
      <c r="BJ17" s="142"/>
      <c r="BK17" s="146"/>
      <c r="BL17" s="143">
        <v>0</v>
      </c>
      <c r="BM17" s="143" t="s">
        <v>506</v>
      </c>
      <c r="BN17" s="146">
        <f>SUM(BL16:BL17)</f>
        <v>28</v>
      </c>
    </row>
    <row r="18" spans="3:67" x14ac:dyDescent="0.3">
      <c r="C18" s="142"/>
      <c r="D18" s="142"/>
      <c r="E18" s="143"/>
      <c r="F18" s="142"/>
      <c r="G18" s="143"/>
      <c r="H18" s="143"/>
      <c r="I18" s="199"/>
      <c r="J18" s="143">
        <v>31</v>
      </c>
      <c r="K18" s="143" t="s">
        <v>101</v>
      </c>
      <c r="L18" s="146">
        <f>SUM(J17:J18)</f>
        <v>31</v>
      </c>
      <c r="N18" s="138" t="s">
        <v>102</v>
      </c>
      <c r="O18" s="138">
        <v>0</v>
      </c>
      <c r="P18" s="196">
        <v>0</v>
      </c>
      <c r="Q18" s="138"/>
      <c r="R18" s="196"/>
      <c r="S18" s="141"/>
      <c r="T18" s="138"/>
      <c r="U18" s="196"/>
      <c r="V18" s="138"/>
      <c r="W18" s="141"/>
      <c r="AD18" s="42" t="s">
        <v>137</v>
      </c>
      <c r="AE18" s="42">
        <v>38</v>
      </c>
      <c r="AF18" s="40">
        <v>42</v>
      </c>
      <c r="AG18" s="28">
        <v>0</v>
      </c>
      <c r="AH18" s="28">
        <v>0</v>
      </c>
      <c r="AI18" s="28">
        <v>0</v>
      </c>
      <c r="AJ18" s="42">
        <v>0</v>
      </c>
      <c r="AK18" s="40">
        <v>0</v>
      </c>
      <c r="AL18" s="41">
        <v>0</v>
      </c>
      <c r="AM18" s="28"/>
      <c r="AN18" s="28" t="s">
        <v>529</v>
      </c>
      <c r="AO18" s="40"/>
      <c r="AR18" s="138" t="s">
        <v>122</v>
      </c>
      <c r="AS18" s="138">
        <v>45</v>
      </c>
      <c r="AT18" s="141">
        <v>50</v>
      </c>
      <c r="AU18" s="138"/>
      <c r="AV18" s="141"/>
      <c r="AW18" s="28"/>
      <c r="AX18" s="28">
        <v>37</v>
      </c>
      <c r="AY18" s="28" t="s">
        <v>123</v>
      </c>
      <c r="AZ18" s="28"/>
      <c r="BA18" s="141"/>
      <c r="BD18" s="138" t="s">
        <v>89</v>
      </c>
      <c r="BE18" s="134">
        <f>626+33</f>
        <v>659</v>
      </c>
      <c r="BF18" s="136">
        <v>607</v>
      </c>
      <c r="BJ18" s="134"/>
      <c r="BK18" s="136"/>
      <c r="BL18" s="134"/>
      <c r="BM18" s="135" t="s">
        <v>91</v>
      </c>
      <c r="BN18" s="136"/>
    </row>
    <row r="19" spans="3:67" x14ac:dyDescent="0.3">
      <c r="C19" s="138" t="s">
        <v>108</v>
      </c>
      <c r="D19" s="138">
        <v>0</v>
      </c>
      <c r="E19" s="28">
        <v>0</v>
      </c>
      <c r="F19" s="138"/>
      <c r="G19" s="28">
        <v>752</v>
      </c>
      <c r="H19" s="28"/>
      <c r="I19" s="196"/>
      <c r="J19" s="28" t="s">
        <v>104</v>
      </c>
      <c r="K19" s="28"/>
      <c r="L19" s="141"/>
      <c r="N19" s="142" t="s">
        <v>84</v>
      </c>
      <c r="O19" s="142">
        <v>0</v>
      </c>
      <c r="P19" s="199">
        <v>0</v>
      </c>
      <c r="Q19" s="142">
        <v>0</v>
      </c>
      <c r="R19" s="199">
        <v>0</v>
      </c>
      <c r="S19" s="146">
        <v>0</v>
      </c>
      <c r="T19" s="142">
        <v>0</v>
      </c>
      <c r="U19" s="199">
        <v>0</v>
      </c>
      <c r="V19" s="142"/>
      <c r="W19" s="146"/>
      <c r="AD19" s="244" t="s">
        <v>84</v>
      </c>
      <c r="AE19" s="244">
        <f>SUM(AE17:AE18)</f>
        <v>74</v>
      </c>
      <c r="AF19" s="245">
        <f>SUM(AF17:AF18)</f>
        <v>81</v>
      </c>
      <c r="AG19" s="143"/>
      <c r="AH19" s="143"/>
      <c r="AI19" s="143"/>
      <c r="AJ19" s="244"/>
      <c r="AK19" s="245"/>
      <c r="AL19" s="313"/>
      <c r="AM19" s="143">
        <v>2</v>
      </c>
      <c r="AN19" s="143" t="s">
        <v>98</v>
      </c>
      <c r="AO19" s="245"/>
      <c r="AR19" s="138" t="s">
        <v>125</v>
      </c>
      <c r="AS19" s="138">
        <v>0</v>
      </c>
      <c r="AT19" s="141">
        <v>0</v>
      </c>
      <c r="AU19" s="138"/>
      <c r="AV19" s="141"/>
      <c r="AW19" s="28"/>
      <c r="AX19" s="28">
        <v>69</v>
      </c>
      <c r="AY19" s="28" t="s">
        <v>126</v>
      </c>
      <c r="AZ19" s="28"/>
      <c r="BA19" s="141"/>
      <c r="BB19" t="s">
        <v>6</v>
      </c>
      <c r="BC19" t="s">
        <v>6</v>
      </c>
      <c r="BD19" s="138" t="s">
        <v>137</v>
      </c>
      <c r="BE19" s="138">
        <f>305+86</f>
        <v>391</v>
      </c>
      <c r="BF19" s="141">
        <f>275+38</f>
        <v>313</v>
      </c>
      <c r="BJ19" s="138"/>
      <c r="BK19" s="141"/>
      <c r="BL19" s="212">
        <f>7+6</f>
        <v>13</v>
      </c>
      <c r="BM19" s="43" t="s">
        <v>101</v>
      </c>
      <c r="BN19" s="141"/>
    </row>
    <row r="20" spans="3:67" x14ac:dyDescent="0.3">
      <c r="C20" s="138" t="s">
        <v>109</v>
      </c>
      <c r="D20" s="138">
        <v>2209</v>
      </c>
      <c r="E20" s="28">
        <v>2680</v>
      </c>
      <c r="F20" s="138"/>
      <c r="G20" s="28">
        <v>0</v>
      </c>
      <c r="H20" s="28"/>
      <c r="I20" s="196"/>
      <c r="J20" s="28">
        <v>10</v>
      </c>
      <c r="K20" s="28" t="s">
        <v>114</v>
      </c>
      <c r="L20" s="141"/>
      <c r="N20" s="134"/>
      <c r="O20" s="134"/>
      <c r="P20" s="195"/>
      <c r="Q20" s="134"/>
      <c r="R20" s="195"/>
      <c r="S20" s="136"/>
      <c r="T20" s="134"/>
      <c r="U20" s="195"/>
      <c r="V20" s="134" t="s">
        <v>104</v>
      </c>
      <c r="W20" s="136"/>
      <c r="AD20" s="278"/>
      <c r="AE20" s="278"/>
      <c r="AF20" s="279"/>
      <c r="AG20" s="135"/>
      <c r="AH20" s="135"/>
      <c r="AI20" s="135"/>
      <c r="AJ20" s="278"/>
      <c r="AK20" s="279"/>
      <c r="AL20" s="314"/>
      <c r="AM20" s="135" t="s">
        <v>1284</v>
      </c>
      <c r="AN20" s="135" t="s">
        <v>6</v>
      </c>
      <c r="AO20" s="279"/>
      <c r="AR20" s="138" t="s">
        <v>128</v>
      </c>
      <c r="AS20" s="138">
        <v>4</v>
      </c>
      <c r="AT20" s="141">
        <v>2</v>
      </c>
      <c r="AU20" s="138"/>
      <c r="AV20" s="141"/>
      <c r="AW20" s="28"/>
      <c r="AX20" s="28">
        <v>26</v>
      </c>
      <c r="AY20" s="28" t="s">
        <v>129</v>
      </c>
      <c r="AZ20" s="28"/>
      <c r="BA20" s="141"/>
      <c r="BC20" t="s">
        <v>6</v>
      </c>
      <c r="BD20" s="138" t="s">
        <v>113</v>
      </c>
      <c r="BE20" s="138">
        <v>728</v>
      </c>
      <c r="BF20" s="141">
        <v>679</v>
      </c>
      <c r="BJ20" s="138"/>
      <c r="BK20" s="141"/>
      <c r="BL20" s="212">
        <f>59+2</f>
        <v>61</v>
      </c>
      <c r="BM20" s="28" t="s">
        <v>73</v>
      </c>
      <c r="BN20" s="141"/>
    </row>
    <row r="21" spans="3:67" x14ac:dyDescent="0.3">
      <c r="C21" s="142" t="s">
        <v>84</v>
      </c>
      <c r="D21" s="142">
        <f>SUM(D19:D20)</f>
        <v>2209</v>
      </c>
      <c r="E21" s="143">
        <f>SUM(E19:E20)</f>
        <v>2680</v>
      </c>
      <c r="F21" s="142"/>
      <c r="G21" s="143">
        <f>SUM(G19:G20)</f>
        <v>752</v>
      </c>
      <c r="H21" s="143"/>
      <c r="I21" s="199">
        <v>3750</v>
      </c>
      <c r="J21" s="143"/>
      <c r="K21" s="143"/>
      <c r="L21" s="146">
        <f>SUM(J20)</f>
        <v>10</v>
      </c>
      <c r="N21" s="138" t="s">
        <v>109</v>
      </c>
      <c r="O21" s="138">
        <v>2559</v>
      </c>
      <c r="P21" s="196">
        <v>0</v>
      </c>
      <c r="Q21" s="138">
        <v>0</v>
      </c>
      <c r="R21" s="196">
        <v>0</v>
      </c>
      <c r="S21" s="141">
        <v>0</v>
      </c>
      <c r="T21" s="138">
        <v>0</v>
      </c>
      <c r="U21" s="196">
        <v>0</v>
      </c>
      <c r="V21" s="138"/>
      <c r="W21" s="141"/>
      <c r="AD21" s="42" t="s">
        <v>817</v>
      </c>
      <c r="AE21" s="42">
        <v>116</v>
      </c>
      <c r="AF21" s="40">
        <v>2028</v>
      </c>
      <c r="AG21" s="28">
        <v>0</v>
      </c>
      <c r="AH21" s="28">
        <v>0</v>
      </c>
      <c r="AI21" s="28">
        <v>0</v>
      </c>
      <c r="AJ21" s="42"/>
      <c r="AK21" s="40"/>
      <c r="AL21" s="41">
        <v>0</v>
      </c>
      <c r="AM21" s="28"/>
      <c r="AN21" s="28" t="s">
        <v>6</v>
      </c>
      <c r="AO21" s="40"/>
      <c r="AR21" s="138" t="s">
        <v>132</v>
      </c>
      <c r="AS21" s="138">
        <v>0</v>
      </c>
      <c r="AT21" s="141">
        <v>0</v>
      </c>
      <c r="AU21" s="138"/>
      <c r="AV21" s="141"/>
      <c r="AW21" s="28"/>
      <c r="AX21" s="28"/>
      <c r="AY21" s="28"/>
      <c r="AZ21" s="28"/>
      <c r="BA21" s="141"/>
      <c r="BD21" s="212" t="s">
        <v>108</v>
      </c>
      <c r="BE21" s="212">
        <v>0</v>
      </c>
      <c r="BF21" s="209">
        <v>0</v>
      </c>
      <c r="BJ21" s="138"/>
      <c r="BK21" s="141"/>
      <c r="BL21" s="138">
        <v>2</v>
      </c>
      <c r="BM21" s="43" t="s">
        <v>1509</v>
      </c>
      <c r="BN21" s="141"/>
    </row>
    <row r="22" spans="3:67" x14ac:dyDescent="0.3">
      <c r="C22" s="195" t="s">
        <v>785</v>
      </c>
      <c r="D22">
        <v>513</v>
      </c>
      <c r="E22" s="43">
        <v>569</v>
      </c>
      <c r="F22" s="134"/>
      <c r="G22" s="135"/>
      <c r="H22" s="136"/>
      <c r="I22">
        <v>610</v>
      </c>
      <c r="J22" s="134"/>
      <c r="K22" s="135"/>
      <c r="L22" s="136"/>
      <c r="N22" s="142"/>
      <c r="O22" s="142"/>
      <c r="P22" s="199"/>
      <c r="Q22" s="142"/>
      <c r="R22" s="199"/>
      <c r="S22" s="146"/>
      <c r="T22" s="142"/>
      <c r="U22" s="199"/>
      <c r="V22" s="142"/>
      <c r="W22" s="146"/>
      <c r="AD22" s="42" t="s">
        <v>164</v>
      </c>
      <c r="AE22" s="42"/>
      <c r="AF22" s="40"/>
      <c r="AG22" s="28">
        <v>0</v>
      </c>
      <c r="AH22" s="28">
        <v>12</v>
      </c>
      <c r="AI22" s="28">
        <v>0</v>
      </c>
      <c r="AJ22" s="42"/>
      <c r="AK22" s="40"/>
      <c r="AL22" s="41"/>
      <c r="AM22" s="28">
        <v>15</v>
      </c>
      <c r="AN22" s="43" t="s">
        <v>1285</v>
      </c>
      <c r="AO22" s="40"/>
      <c r="AR22" s="138" t="s">
        <v>81</v>
      </c>
      <c r="AS22" s="138">
        <v>28</v>
      </c>
      <c r="AT22" s="141">
        <v>25</v>
      </c>
      <c r="AU22" s="138"/>
      <c r="AV22" s="141"/>
      <c r="AW22" s="28"/>
      <c r="AX22" s="28"/>
      <c r="AY22" s="28"/>
      <c r="AZ22" s="28"/>
      <c r="BA22" s="141"/>
      <c r="BC22" t="s">
        <v>6</v>
      </c>
      <c r="BD22" s="138" t="s">
        <v>84</v>
      </c>
      <c r="BE22" s="138">
        <f>SUM(BE18:BE21)</f>
        <v>1778</v>
      </c>
      <c r="BF22" s="141">
        <f>SUM(BF18:BF21)</f>
        <v>1599</v>
      </c>
      <c r="BG22">
        <v>0</v>
      </c>
      <c r="BH22">
        <v>0</v>
      </c>
      <c r="BI22">
        <v>0</v>
      </c>
      <c r="BJ22" s="142">
        <v>0</v>
      </c>
      <c r="BK22" s="146">
        <v>0</v>
      </c>
      <c r="BL22" s="142">
        <v>5</v>
      </c>
      <c r="BM22" s="143" t="s">
        <v>780</v>
      </c>
      <c r="BN22" s="146">
        <f>SUM(BL19:BL22)</f>
        <v>81</v>
      </c>
    </row>
    <row r="23" spans="3:67" ht="15" thickBot="1" x14ac:dyDescent="0.35">
      <c r="C23" s="196" t="s">
        <v>93</v>
      </c>
      <c r="D23" s="28">
        <v>8271</v>
      </c>
      <c r="E23" s="43">
        <v>8702</v>
      </c>
      <c r="F23" s="138"/>
      <c r="G23" s="28"/>
      <c r="H23" s="141"/>
      <c r="I23" s="28">
        <v>9430</v>
      </c>
      <c r="J23" s="138" t="s">
        <v>118</v>
      </c>
      <c r="K23" s="28"/>
      <c r="L23" s="141"/>
      <c r="N23" s="134" t="s">
        <v>93</v>
      </c>
      <c r="O23" s="134">
        <v>14</v>
      </c>
      <c r="P23" s="195">
        <v>0</v>
      </c>
      <c r="Q23" s="134"/>
      <c r="R23" s="195"/>
      <c r="S23" s="136"/>
      <c r="T23" s="134">
        <v>0</v>
      </c>
      <c r="U23" s="195">
        <v>0</v>
      </c>
      <c r="V23" s="134" t="s">
        <v>116</v>
      </c>
      <c r="W23" s="136"/>
      <c r="AD23" s="42" t="s">
        <v>84</v>
      </c>
      <c r="AE23" s="42">
        <f>SUM(AE21:AE22)</f>
        <v>116</v>
      </c>
      <c r="AF23" s="40">
        <f>SUM(AF21:AF22)</f>
        <v>2028</v>
      </c>
      <c r="AG23" s="28">
        <v>0</v>
      </c>
      <c r="AH23" s="28">
        <v>0</v>
      </c>
      <c r="AI23" s="28">
        <v>0</v>
      </c>
      <c r="AJ23" s="42"/>
      <c r="AK23" s="40"/>
      <c r="AL23" s="41"/>
      <c r="AM23" s="28"/>
      <c r="AN23" s="28"/>
      <c r="AO23" s="40"/>
      <c r="AR23" s="138" t="s">
        <v>138</v>
      </c>
      <c r="AS23" s="138">
        <v>2</v>
      </c>
      <c r="AT23" s="141">
        <v>3</v>
      </c>
      <c r="AU23" s="138"/>
      <c r="AV23" s="141"/>
      <c r="AW23" s="28"/>
      <c r="AX23" s="28"/>
      <c r="AY23" s="28"/>
      <c r="AZ23" s="28"/>
      <c r="BA23" s="141"/>
      <c r="BD23" s="134"/>
      <c r="BE23" s="134"/>
      <c r="BF23" s="136"/>
      <c r="BG23" s="135"/>
      <c r="BH23" s="135"/>
      <c r="BI23" s="135"/>
      <c r="BJ23" s="134"/>
      <c r="BK23" s="136"/>
      <c r="BL23" s="135" t="s">
        <v>1025</v>
      </c>
      <c r="BM23" s="135"/>
      <c r="BN23" s="136"/>
    </row>
    <row r="24" spans="3:67" x14ac:dyDescent="0.3">
      <c r="C24" s="196" t="s">
        <v>120</v>
      </c>
      <c r="D24" s="43">
        <v>5261</v>
      </c>
      <c r="E24" s="43">
        <v>5779</v>
      </c>
      <c r="F24" s="138"/>
      <c r="G24" s="28" t="s">
        <v>60</v>
      </c>
      <c r="H24" s="141"/>
      <c r="I24" s="28">
        <v>6140</v>
      </c>
      <c r="J24" s="138">
        <v>80</v>
      </c>
      <c r="K24" s="28" t="s">
        <v>101</v>
      </c>
      <c r="L24" s="141"/>
      <c r="N24" s="138" t="s">
        <v>99</v>
      </c>
      <c r="O24" s="138">
        <v>17414</v>
      </c>
      <c r="P24" s="196">
        <v>20287</v>
      </c>
      <c r="Q24" s="138"/>
      <c r="R24" s="196"/>
      <c r="S24" s="141"/>
      <c r="T24" s="138">
        <v>3466</v>
      </c>
      <c r="U24" s="196">
        <v>251</v>
      </c>
      <c r="V24" s="138"/>
      <c r="W24" s="141"/>
      <c r="AD24" s="33"/>
      <c r="AE24" s="33"/>
      <c r="AF24" s="35"/>
      <c r="AG24" s="34"/>
      <c r="AH24" s="34"/>
      <c r="AI24" s="34"/>
      <c r="AJ24" s="33"/>
      <c r="AK24" s="35"/>
      <c r="AL24" s="32"/>
      <c r="AM24" s="34"/>
      <c r="AN24" s="34" t="s">
        <v>117</v>
      </c>
      <c r="AO24" s="35"/>
      <c r="AR24" s="138" t="s">
        <v>56</v>
      </c>
      <c r="AS24" s="138">
        <v>0</v>
      </c>
      <c r="AT24" s="141">
        <v>3</v>
      </c>
      <c r="AU24" s="138"/>
      <c r="AV24" s="141"/>
      <c r="AW24" s="28"/>
      <c r="AX24" s="28"/>
      <c r="AY24" s="28"/>
      <c r="AZ24" s="28"/>
      <c r="BA24" s="141"/>
      <c r="BD24" s="142" t="s">
        <v>64</v>
      </c>
      <c r="BE24" s="142">
        <v>53</v>
      </c>
      <c r="BF24" s="146">
        <v>113</v>
      </c>
      <c r="BG24" s="143">
        <v>0</v>
      </c>
      <c r="BH24" s="143">
        <v>0</v>
      </c>
      <c r="BI24" s="143">
        <v>0</v>
      </c>
      <c r="BJ24" s="142">
        <v>0</v>
      </c>
      <c r="BK24" s="146">
        <v>0</v>
      </c>
      <c r="BL24" s="143">
        <v>9</v>
      </c>
      <c r="BM24" s="143" t="s">
        <v>1026</v>
      </c>
      <c r="BN24" s="146">
        <f>SUM(BL24)</f>
        <v>9</v>
      </c>
    </row>
    <row r="25" spans="3:67" x14ac:dyDescent="0.3">
      <c r="C25" s="199" t="s">
        <v>84</v>
      </c>
      <c r="D25" s="143">
        <f>SUM(D22:D24)</f>
        <v>14045</v>
      </c>
      <c r="E25" s="143">
        <f>SUM(E22:E24)</f>
        <v>15050</v>
      </c>
      <c r="F25" s="142"/>
      <c r="G25" s="143"/>
      <c r="H25" s="146"/>
      <c r="I25" s="143">
        <f>SUM(I22:I24)</f>
        <v>16180</v>
      </c>
      <c r="J25" s="142">
        <v>17</v>
      </c>
      <c r="K25" s="143" t="s">
        <v>927</v>
      </c>
      <c r="L25" s="146">
        <f>SUM(J24:J25)</f>
        <v>97</v>
      </c>
      <c r="N25" s="138" t="s">
        <v>120</v>
      </c>
      <c r="O25" s="138">
        <v>23</v>
      </c>
      <c r="P25" s="196">
        <v>25819</v>
      </c>
      <c r="Q25" s="138"/>
      <c r="R25" s="196"/>
      <c r="S25" s="141"/>
      <c r="T25" s="138">
        <v>0</v>
      </c>
      <c r="U25" s="196">
        <v>0</v>
      </c>
      <c r="V25" s="138"/>
      <c r="W25" s="141"/>
      <c r="AD25" s="42"/>
      <c r="AE25" s="42"/>
      <c r="AF25" s="40"/>
      <c r="AG25" s="28"/>
      <c r="AH25" s="28"/>
      <c r="AI25" s="28"/>
      <c r="AJ25" s="42"/>
      <c r="AK25" s="40"/>
      <c r="AL25" s="41"/>
      <c r="AM25" s="28"/>
      <c r="AN25" s="28" t="s">
        <v>558</v>
      </c>
      <c r="AO25" s="40"/>
      <c r="AR25" s="138" t="s">
        <v>67</v>
      </c>
      <c r="AS25" s="138">
        <v>140</v>
      </c>
      <c r="AT25" s="141">
        <v>89</v>
      </c>
      <c r="AU25" s="138"/>
      <c r="AV25" s="141"/>
      <c r="AW25" s="28"/>
      <c r="AX25" s="28"/>
      <c r="AY25" s="28"/>
      <c r="AZ25" s="28"/>
      <c r="BA25" s="141"/>
      <c r="BD25" s="138" t="s">
        <v>113</v>
      </c>
      <c r="BE25" s="138">
        <v>481</v>
      </c>
      <c r="BF25" s="141">
        <v>375</v>
      </c>
      <c r="BG25" s="28"/>
      <c r="BH25" s="28"/>
      <c r="BI25" s="28"/>
      <c r="BJ25" s="138"/>
      <c r="BK25" s="141"/>
      <c r="BL25" s="28" t="s">
        <v>994</v>
      </c>
      <c r="BM25" s="28"/>
      <c r="BN25" s="141"/>
      <c r="BO25" t="s">
        <v>6</v>
      </c>
    </row>
    <row r="26" spans="3:67" x14ac:dyDescent="0.3">
      <c r="C26" s="195" t="s">
        <v>99</v>
      </c>
      <c r="D26" s="43">
        <v>781</v>
      </c>
      <c r="E26" s="43">
        <v>1143</v>
      </c>
      <c r="F26" s="134"/>
      <c r="G26" s="135"/>
      <c r="H26" s="136"/>
      <c r="I26" s="43">
        <v>1742</v>
      </c>
      <c r="J26" s="134" t="s">
        <v>131</v>
      </c>
      <c r="K26" s="135"/>
      <c r="L26" s="136"/>
      <c r="N26" s="142" t="s">
        <v>84</v>
      </c>
      <c r="O26" s="142">
        <f>SUM(O23:O25)</f>
        <v>17451</v>
      </c>
      <c r="P26" s="199">
        <f>SUM(P23:P25)</f>
        <v>46106</v>
      </c>
      <c r="Q26" s="142">
        <v>0</v>
      </c>
      <c r="R26" s="199">
        <v>0</v>
      </c>
      <c r="S26" s="146">
        <v>0</v>
      </c>
      <c r="T26" s="142">
        <f>SUM(T23:T25)</f>
        <v>3466</v>
      </c>
      <c r="U26" s="199">
        <f>SUM(U23:U25)</f>
        <v>251</v>
      </c>
      <c r="V26" s="142"/>
      <c r="W26" s="146"/>
      <c r="AD26" s="42"/>
      <c r="AE26" s="42"/>
      <c r="AF26" s="40"/>
      <c r="AG26" s="28"/>
      <c r="AH26" s="28"/>
      <c r="AI26" s="28"/>
      <c r="AJ26" s="42"/>
      <c r="AK26" s="40"/>
      <c r="AL26" s="41"/>
      <c r="AM26" s="28"/>
      <c r="AN26" s="28" t="s">
        <v>401</v>
      </c>
      <c r="AO26" s="40"/>
      <c r="AR26" s="142" t="s">
        <v>84</v>
      </c>
      <c r="AS26" s="142">
        <f>SUM(AS14:AS25)</f>
        <v>418</v>
      </c>
      <c r="AT26" s="146">
        <f>SUM(AT14:AT25)</f>
        <v>467</v>
      </c>
      <c r="AU26" s="142"/>
      <c r="AV26" s="146">
        <v>0</v>
      </c>
      <c r="AW26" s="143"/>
      <c r="AX26" s="143"/>
      <c r="AY26" s="143"/>
      <c r="AZ26" s="143"/>
      <c r="BA26" s="146">
        <f>SUM(AX18:AX20)</f>
        <v>132</v>
      </c>
      <c r="BD26" s="138" t="s">
        <v>93</v>
      </c>
      <c r="BE26" s="138">
        <v>0</v>
      </c>
      <c r="BF26" s="141">
        <v>0</v>
      </c>
      <c r="BG26" s="28"/>
      <c r="BH26" s="28"/>
      <c r="BI26" s="28"/>
      <c r="BJ26" s="138"/>
      <c r="BK26" s="141"/>
      <c r="BL26" s="28">
        <v>6</v>
      </c>
      <c r="BM26" s="28" t="s">
        <v>100</v>
      </c>
      <c r="BN26" s="141"/>
    </row>
    <row r="27" spans="3:67" ht="15" thickBot="1" x14ac:dyDescent="0.35">
      <c r="C27" s="196" t="s">
        <v>88</v>
      </c>
      <c r="D27" s="43">
        <v>399</v>
      </c>
      <c r="E27" s="43">
        <v>1084</v>
      </c>
      <c r="F27" s="138"/>
      <c r="G27" s="28">
        <v>0</v>
      </c>
      <c r="H27" s="141"/>
      <c r="I27" s="43">
        <v>2153</v>
      </c>
      <c r="J27" s="138">
        <v>4</v>
      </c>
      <c r="K27" s="28" t="s">
        <v>1072</v>
      </c>
      <c r="L27" s="141"/>
      <c r="N27" s="134"/>
      <c r="O27" s="134"/>
      <c r="P27" s="195"/>
      <c r="Q27" s="134"/>
      <c r="R27" s="195"/>
      <c r="S27" s="136"/>
      <c r="T27" s="134"/>
      <c r="U27" s="195"/>
      <c r="V27" s="134"/>
      <c r="W27" s="136"/>
      <c r="AD27" s="47"/>
      <c r="AE27" s="47"/>
      <c r="AF27" s="49"/>
      <c r="AG27" s="48"/>
      <c r="AH27" s="48"/>
      <c r="AI27" s="48"/>
      <c r="AJ27" s="47"/>
      <c r="AK27" s="49"/>
      <c r="AL27" s="46"/>
      <c r="AM27" s="48"/>
      <c r="AN27" s="48" t="s">
        <v>124</v>
      </c>
      <c r="AO27" s="49"/>
      <c r="AR27" s="134"/>
      <c r="AS27" s="134"/>
      <c r="AT27" s="136"/>
      <c r="AU27" s="134"/>
      <c r="AV27" s="136"/>
      <c r="AW27" s="135"/>
      <c r="AX27" s="135"/>
      <c r="AY27" s="135"/>
      <c r="AZ27" s="135"/>
      <c r="BA27" s="136"/>
      <c r="BD27" s="142" t="s">
        <v>84</v>
      </c>
      <c r="BE27" s="142">
        <f>SUM(BE25:BE26)</f>
        <v>481</v>
      </c>
      <c r="BF27" s="146">
        <f>SUM(BF25:BF26)</f>
        <v>375</v>
      </c>
      <c r="BG27" s="143">
        <v>0</v>
      </c>
      <c r="BH27" s="143">
        <v>0</v>
      </c>
      <c r="BI27" s="143">
        <v>0</v>
      </c>
      <c r="BJ27" s="142">
        <v>0</v>
      </c>
      <c r="BK27" s="146">
        <v>0</v>
      </c>
      <c r="BL27" s="43">
        <v>38</v>
      </c>
      <c r="BM27" s="43" t="s">
        <v>73</v>
      </c>
      <c r="BN27" s="146">
        <f>SUM(BL26:BL27)</f>
        <v>44</v>
      </c>
    </row>
    <row r="28" spans="3:67" x14ac:dyDescent="0.3">
      <c r="C28" s="196" t="s">
        <v>102</v>
      </c>
      <c r="D28" s="43">
        <v>234</v>
      </c>
      <c r="E28" s="43">
        <v>446</v>
      </c>
      <c r="F28" s="138"/>
      <c r="G28" s="28">
        <v>0</v>
      </c>
      <c r="H28" s="141"/>
      <c r="I28" s="43">
        <v>860</v>
      </c>
      <c r="J28" s="138">
        <v>17</v>
      </c>
      <c r="K28" s="28" t="s">
        <v>134</v>
      </c>
      <c r="L28" s="141"/>
      <c r="N28" s="138" t="s">
        <v>105</v>
      </c>
      <c r="O28" s="138">
        <v>2806</v>
      </c>
      <c r="P28" s="196">
        <v>0</v>
      </c>
      <c r="Q28" s="138" t="s">
        <v>6</v>
      </c>
      <c r="R28" s="196"/>
      <c r="S28" s="141"/>
      <c r="T28" s="138">
        <v>20</v>
      </c>
      <c r="U28" s="196">
        <v>0</v>
      </c>
      <c r="V28" s="138"/>
      <c r="W28" s="141"/>
      <c r="AD28" s="33" t="s">
        <v>97</v>
      </c>
      <c r="AE28" s="33">
        <v>51</v>
      </c>
      <c r="AF28" s="35">
        <v>38</v>
      </c>
      <c r="AG28" s="34"/>
      <c r="AH28" s="34"/>
      <c r="AI28" s="34"/>
      <c r="AJ28" s="33"/>
      <c r="AK28" s="35"/>
      <c r="AL28" s="32"/>
      <c r="AM28" s="34"/>
      <c r="AN28" s="34"/>
      <c r="AO28" s="35"/>
      <c r="AR28" s="138" t="s">
        <v>63</v>
      </c>
      <c r="AS28" s="138">
        <v>0</v>
      </c>
      <c r="AT28" s="141">
        <v>0</v>
      </c>
      <c r="AU28" s="138"/>
      <c r="AV28" s="141"/>
      <c r="AW28" s="28"/>
      <c r="AX28" s="28"/>
      <c r="AY28" s="28"/>
      <c r="AZ28" s="28"/>
      <c r="BA28" s="141"/>
      <c r="BD28" s="196" t="s">
        <v>97</v>
      </c>
      <c r="BE28" s="138">
        <v>1</v>
      </c>
      <c r="BF28" s="141">
        <v>1</v>
      </c>
      <c r="BG28" s="134"/>
      <c r="BH28" s="135"/>
      <c r="BI28" s="136"/>
      <c r="BJ28" s="138"/>
      <c r="BK28" s="141"/>
      <c r="BL28" s="134" t="s">
        <v>140</v>
      </c>
      <c r="BM28" s="135"/>
      <c r="BN28" s="136"/>
    </row>
    <row r="29" spans="3:67" x14ac:dyDescent="0.3">
      <c r="C29" s="196" t="s">
        <v>84</v>
      </c>
      <c r="D29" s="28">
        <f>SUM(D26:D28)</f>
        <v>1414</v>
      </c>
      <c r="E29" s="28">
        <f>SUM(E26:E28)</f>
        <v>2673</v>
      </c>
      <c r="F29" s="138"/>
      <c r="G29" s="28">
        <v>0</v>
      </c>
      <c r="H29" s="141"/>
      <c r="I29" s="28"/>
      <c r="J29" s="138">
        <v>2</v>
      </c>
      <c r="K29" s="257" t="s">
        <v>815</v>
      </c>
      <c r="L29" s="141" t="s">
        <v>6</v>
      </c>
      <c r="N29" s="138" t="s">
        <v>99</v>
      </c>
      <c r="O29" s="138">
        <v>0</v>
      </c>
      <c r="P29" s="196">
        <v>0</v>
      </c>
      <c r="Q29" s="138"/>
      <c r="R29" s="196"/>
      <c r="S29" s="141"/>
      <c r="T29" s="138">
        <v>0</v>
      </c>
      <c r="U29" s="196">
        <v>0</v>
      </c>
      <c r="V29" s="138" t="s">
        <v>135</v>
      </c>
      <c r="W29" s="141"/>
      <c r="AD29" s="42" t="s">
        <v>89</v>
      </c>
      <c r="AE29" s="42">
        <v>437</v>
      </c>
      <c r="AF29" s="40">
        <v>311</v>
      </c>
      <c r="AG29" s="28"/>
      <c r="AH29" s="28"/>
      <c r="AI29" s="28"/>
      <c r="AJ29" s="42"/>
      <c r="AK29" s="40"/>
      <c r="AL29" s="41"/>
      <c r="AM29" s="28" t="s">
        <v>953</v>
      </c>
      <c r="AN29" s="28"/>
      <c r="AO29" s="40"/>
      <c r="AR29" s="138" t="s">
        <v>536</v>
      </c>
      <c r="AS29" s="138">
        <v>0</v>
      </c>
      <c r="AT29" s="141">
        <v>0</v>
      </c>
      <c r="AU29" s="138"/>
      <c r="AV29" s="141"/>
      <c r="AW29" s="28"/>
      <c r="AX29" s="28"/>
      <c r="AY29" s="28"/>
      <c r="AZ29" s="28"/>
      <c r="BA29" s="141"/>
      <c r="BD29" s="196" t="s">
        <v>139</v>
      </c>
      <c r="BE29" s="138">
        <v>8</v>
      </c>
      <c r="BF29" s="141">
        <v>5</v>
      </c>
      <c r="BG29" s="138"/>
      <c r="BH29" s="28"/>
      <c r="BI29" s="141"/>
      <c r="BJ29" s="138"/>
      <c r="BK29" s="141"/>
      <c r="BL29" s="138"/>
      <c r="BM29" s="28"/>
      <c r="BN29" s="141"/>
    </row>
    <row r="30" spans="3:67" x14ac:dyDescent="0.3">
      <c r="C30" s="199"/>
      <c r="F30" s="142"/>
      <c r="G30" s="143"/>
      <c r="H30" s="146"/>
      <c r="I30">
        <f>SUM(I26:I29)</f>
        <v>4755</v>
      </c>
      <c r="J30" s="142">
        <v>9</v>
      </c>
      <c r="K30" s="143" t="s">
        <v>1829</v>
      </c>
      <c r="L30" s="141">
        <f>SUM(J27:J30)</f>
        <v>32</v>
      </c>
      <c r="N30" s="138"/>
      <c r="O30" s="138"/>
      <c r="P30" s="196"/>
      <c r="Q30" s="138"/>
      <c r="R30" s="196"/>
      <c r="S30" s="141"/>
      <c r="T30" s="138"/>
      <c r="U30" s="196"/>
      <c r="V30" s="138"/>
      <c r="W30" s="141"/>
      <c r="AD30" s="42" t="s">
        <v>137</v>
      </c>
      <c r="AE30" s="42">
        <v>96</v>
      </c>
      <c r="AF30" s="40">
        <v>117</v>
      </c>
      <c r="AG30" s="28"/>
      <c r="AH30" s="28"/>
      <c r="AI30" s="28"/>
      <c r="AJ30" s="42"/>
      <c r="AK30" s="40"/>
      <c r="AL30" s="41"/>
      <c r="AM30" s="28">
        <v>7</v>
      </c>
      <c r="AN30" s="28" t="s">
        <v>884</v>
      </c>
      <c r="AO30" s="40"/>
      <c r="AR30" s="138" t="s">
        <v>56</v>
      </c>
      <c r="AS30" s="138">
        <v>0</v>
      </c>
      <c r="AT30" s="141">
        <v>0</v>
      </c>
      <c r="AU30" s="138"/>
      <c r="AV30" s="141"/>
      <c r="AW30" s="28"/>
      <c r="AX30" s="28" t="s">
        <v>173</v>
      </c>
      <c r="AY30" s="28"/>
      <c r="AZ30" s="28"/>
      <c r="BA30" s="141"/>
      <c r="BD30" s="196" t="s">
        <v>1374</v>
      </c>
      <c r="BE30" s="138">
        <v>3</v>
      </c>
      <c r="BF30" s="141">
        <v>4</v>
      </c>
      <c r="BG30" s="138"/>
      <c r="BH30" s="28"/>
      <c r="BI30" s="141"/>
      <c r="BJ30" s="138"/>
      <c r="BK30" s="141"/>
      <c r="BL30" s="138"/>
      <c r="BM30" s="28"/>
      <c r="BN30" s="141"/>
    </row>
    <row r="31" spans="3:67" x14ac:dyDescent="0.3">
      <c r="C31" s="134" t="s">
        <v>93</v>
      </c>
      <c r="D31" s="134">
        <v>7230</v>
      </c>
      <c r="E31" s="135">
        <v>8166</v>
      </c>
      <c r="F31" s="134"/>
      <c r="G31" s="135" t="s">
        <v>60</v>
      </c>
      <c r="H31" s="135"/>
      <c r="I31" s="195">
        <v>9178</v>
      </c>
      <c r="J31" s="135" t="s">
        <v>116</v>
      </c>
      <c r="K31" s="135"/>
      <c r="L31" s="136"/>
      <c r="N31" s="142" t="s">
        <v>84</v>
      </c>
      <c r="O31" s="142">
        <f>SUM(O28:O30)</f>
        <v>2806</v>
      </c>
      <c r="P31" s="199">
        <f>SUM(P28:P30)</f>
        <v>0</v>
      </c>
      <c r="Q31" s="142">
        <v>0</v>
      </c>
      <c r="R31" s="199">
        <v>0</v>
      </c>
      <c r="S31" s="146">
        <v>0</v>
      </c>
      <c r="T31" s="142">
        <f>SUM(T28:T30)</f>
        <v>20</v>
      </c>
      <c r="U31" s="199">
        <v>0</v>
      </c>
      <c r="V31" s="142"/>
      <c r="W31" s="146"/>
      <c r="AD31" s="42" t="s">
        <v>84</v>
      </c>
      <c r="AE31" s="42">
        <f>SUM(AE28:AE30)</f>
        <v>584</v>
      </c>
      <c r="AF31" s="40">
        <f>SUM(AF28:AF30)</f>
        <v>466</v>
      </c>
      <c r="AG31" s="28">
        <v>0</v>
      </c>
      <c r="AH31" s="28">
        <v>0</v>
      </c>
      <c r="AI31" s="28">
        <v>0</v>
      </c>
      <c r="AJ31" s="42">
        <v>0</v>
      </c>
      <c r="AK31" s="40">
        <v>0</v>
      </c>
      <c r="AL31" s="41">
        <v>0</v>
      </c>
      <c r="AM31" s="28">
        <v>9</v>
      </c>
      <c r="AN31" s="28" t="s">
        <v>141</v>
      </c>
      <c r="AO31" s="40"/>
      <c r="AR31" s="138" t="s">
        <v>67</v>
      </c>
      <c r="AS31" s="138">
        <v>0</v>
      </c>
      <c r="AT31" s="141">
        <v>0</v>
      </c>
      <c r="AU31" s="138"/>
      <c r="AV31" s="141"/>
      <c r="AW31" s="28"/>
      <c r="AX31" s="28"/>
      <c r="AY31" s="28"/>
      <c r="AZ31" s="28"/>
      <c r="BA31" s="141"/>
      <c r="BD31" s="196" t="s">
        <v>113</v>
      </c>
      <c r="BE31" s="138">
        <f>20+6+1</f>
        <v>27</v>
      </c>
      <c r="BF31" s="141">
        <f>4+24+3+2</f>
        <v>33</v>
      </c>
      <c r="BG31" s="138"/>
      <c r="BH31" s="28"/>
      <c r="BI31" s="141">
        <v>3</v>
      </c>
      <c r="BJ31" s="138"/>
      <c r="BK31" s="141"/>
      <c r="BL31" s="138" t="s">
        <v>142</v>
      </c>
      <c r="BM31" s="28"/>
      <c r="BN31" s="141" t="s">
        <v>730</v>
      </c>
    </row>
    <row r="32" spans="3:67" ht="15" thickBot="1" x14ac:dyDescent="0.35">
      <c r="C32" s="138" t="s">
        <v>99</v>
      </c>
      <c r="D32" s="138">
        <v>10245</v>
      </c>
      <c r="E32" s="43">
        <v>11682</v>
      </c>
      <c r="F32" s="138"/>
      <c r="G32" s="28" t="s">
        <v>60</v>
      </c>
      <c r="H32" s="28"/>
      <c r="I32" s="196">
        <v>14356</v>
      </c>
      <c r="J32" s="43">
        <v>108</v>
      </c>
      <c r="K32" s="28" t="s">
        <v>144</v>
      </c>
      <c r="L32" s="141"/>
      <c r="N32" s="138"/>
      <c r="O32" s="138"/>
      <c r="P32" s="196"/>
      <c r="Q32" s="138"/>
      <c r="R32" s="196"/>
      <c r="S32" s="141"/>
      <c r="T32" s="138"/>
      <c r="U32" s="196"/>
      <c r="V32" s="138"/>
      <c r="W32" s="141"/>
      <c r="AD32" s="47"/>
      <c r="AE32" s="47"/>
      <c r="AF32" s="49"/>
      <c r="AG32" s="48"/>
      <c r="AH32" s="48"/>
      <c r="AI32" s="48"/>
      <c r="AJ32" s="47"/>
      <c r="AK32" s="49"/>
      <c r="AL32" s="46"/>
      <c r="AM32" s="48">
        <v>0</v>
      </c>
      <c r="AN32" s="48" t="s">
        <v>145</v>
      </c>
      <c r="AO32" s="49"/>
      <c r="AR32" s="138" t="s">
        <v>78</v>
      </c>
      <c r="AS32" s="138">
        <v>0</v>
      </c>
      <c r="AT32" s="141">
        <v>0</v>
      </c>
      <c r="AU32" s="138"/>
      <c r="AV32" s="141"/>
      <c r="AW32" s="28"/>
      <c r="AX32" s="28">
        <v>0</v>
      </c>
      <c r="AY32" s="28" t="s">
        <v>183</v>
      </c>
      <c r="AZ32" s="28"/>
      <c r="BA32" s="141"/>
      <c r="BC32" t="s">
        <v>6</v>
      </c>
      <c r="BD32" s="196" t="s">
        <v>108</v>
      </c>
      <c r="BE32" s="138">
        <f>5+3</f>
        <v>8</v>
      </c>
      <c r="BF32" s="141">
        <v>1</v>
      </c>
      <c r="BG32" s="138"/>
      <c r="BH32" s="28"/>
      <c r="BI32" s="141"/>
      <c r="BJ32" s="138"/>
      <c r="BK32" s="141"/>
      <c r="BL32" s="138" t="s">
        <v>146</v>
      </c>
      <c r="BM32" s="28"/>
      <c r="BN32" s="141" t="s">
        <v>955</v>
      </c>
    </row>
    <row r="33" spans="3:66" x14ac:dyDescent="0.3">
      <c r="C33" s="138" t="s">
        <v>120</v>
      </c>
      <c r="D33" s="138">
        <v>3599</v>
      </c>
      <c r="E33" s="43">
        <v>4088</v>
      </c>
      <c r="F33" s="138"/>
      <c r="G33" s="28" t="s">
        <v>60</v>
      </c>
      <c r="H33" s="28"/>
      <c r="I33" s="196">
        <v>5140</v>
      </c>
      <c r="J33" s="43">
        <v>0</v>
      </c>
      <c r="K33" s="28" t="s">
        <v>148</v>
      </c>
      <c r="L33" s="141"/>
      <c r="N33" s="138"/>
      <c r="O33" s="138"/>
      <c r="P33" s="196"/>
      <c r="Q33" s="138"/>
      <c r="R33" s="196"/>
      <c r="S33" s="141"/>
      <c r="T33" s="138"/>
      <c r="U33" s="196"/>
      <c r="V33" s="138"/>
      <c r="W33" s="141"/>
      <c r="AD33" s="42"/>
      <c r="AE33" s="42"/>
      <c r="AF33" s="40"/>
      <c r="AG33" s="28"/>
      <c r="AH33" s="28"/>
      <c r="AI33" s="28"/>
      <c r="AJ33" s="42"/>
      <c r="AK33" s="40"/>
      <c r="AL33" s="41"/>
      <c r="AM33" s="28" t="s">
        <v>149</v>
      </c>
      <c r="AN33" s="28"/>
      <c r="AO33" s="40"/>
      <c r="AP33" t="s">
        <v>6</v>
      </c>
      <c r="AR33" s="138" t="s">
        <v>115</v>
      </c>
      <c r="AS33" s="138">
        <v>0</v>
      </c>
      <c r="AT33" s="141">
        <v>0</v>
      </c>
      <c r="AU33" s="138"/>
      <c r="AV33" s="141"/>
      <c r="AW33" s="28"/>
      <c r="AX33" s="28" t="s">
        <v>6</v>
      </c>
      <c r="AY33" s="28"/>
      <c r="AZ33" s="28"/>
      <c r="BA33" s="141"/>
      <c r="BD33" s="196" t="s">
        <v>133</v>
      </c>
      <c r="BE33" s="138">
        <f>17+8+6</f>
        <v>31</v>
      </c>
      <c r="BF33" s="141">
        <f>15+8+6</f>
        <v>29</v>
      </c>
      <c r="BG33" s="138"/>
      <c r="BH33" s="28"/>
      <c r="BI33" s="141"/>
      <c r="BJ33" s="138"/>
      <c r="BK33" s="141"/>
      <c r="BL33" s="138"/>
      <c r="BM33" s="28"/>
      <c r="BN33" s="141"/>
    </row>
    <row r="34" spans="3:66" x14ac:dyDescent="0.3">
      <c r="C34" s="138" t="s">
        <v>84</v>
      </c>
      <c r="D34" s="138">
        <f>SUM(D31:D33)</f>
        <v>21074</v>
      </c>
      <c r="E34" s="28">
        <f>SUM(E31:E33)</f>
        <v>23936</v>
      </c>
      <c r="F34" s="138"/>
      <c r="G34" s="28" t="s">
        <v>60</v>
      </c>
      <c r="H34" s="28"/>
      <c r="I34" s="196">
        <f>SUM(I31:I33)</f>
        <v>28674</v>
      </c>
      <c r="J34" s="43">
        <v>58</v>
      </c>
      <c r="K34" s="28" t="s">
        <v>152</v>
      </c>
      <c r="L34" s="141"/>
      <c r="N34" s="138"/>
      <c r="O34" s="138"/>
      <c r="P34" s="196"/>
      <c r="Q34" s="138"/>
      <c r="R34" s="196"/>
      <c r="S34" s="141"/>
      <c r="T34" s="138"/>
      <c r="U34" s="196"/>
      <c r="V34" s="138"/>
      <c r="W34" s="141"/>
      <c r="AA34" t="s">
        <v>6</v>
      </c>
      <c r="AD34" s="42" t="s">
        <v>99</v>
      </c>
      <c r="AE34" s="42">
        <v>0</v>
      </c>
      <c r="AF34" s="40">
        <v>0</v>
      </c>
      <c r="AG34" s="28">
        <v>0</v>
      </c>
      <c r="AH34" s="28">
        <v>0</v>
      </c>
      <c r="AI34" s="28">
        <v>0</v>
      </c>
      <c r="AJ34" s="42">
        <v>42319</v>
      </c>
      <c r="AK34" s="40">
        <v>6455</v>
      </c>
      <c r="AL34" s="41">
        <v>0</v>
      </c>
      <c r="AM34" s="28">
        <v>3</v>
      </c>
      <c r="AN34" s="28" t="s">
        <v>153</v>
      </c>
      <c r="AO34" s="40"/>
      <c r="AR34" s="138" t="s">
        <v>72</v>
      </c>
      <c r="AS34" s="138">
        <v>0</v>
      </c>
      <c r="AT34" s="141">
        <v>0</v>
      </c>
      <c r="AU34" s="138"/>
      <c r="AV34" s="141"/>
      <c r="AW34" s="28"/>
      <c r="AX34" s="28"/>
      <c r="AY34" s="28"/>
      <c r="AZ34" s="28"/>
      <c r="BA34" s="141"/>
      <c r="BD34" s="196" t="s">
        <v>99</v>
      </c>
      <c r="BE34" s="138">
        <v>6</v>
      </c>
      <c r="BF34" s="141">
        <f>4+5</f>
        <v>9</v>
      </c>
      <c r="BG34" s="138" t="s">
        <v>150</v>
      </c>
      <c r="BH34" s="28"/>
      <c r="BI34" s="141">
        <v>5</v>
      </c>
      <c r="BJ34" s="138"/>
      <c r="BK34" s="141"/>
      <c r="BL34" s="138" t="s">
        <v>151</v>
      </c>
      <c r="BM34" s="28"/>
      <c r="BN34" s="141"/>
    </row>
    <row r="35" spans="3:66" x14ac:dyDescent="0.3">
      <c r="C35" s="142"/>
      <c r="D35" s="142"/>
      <c r="E35" s="143"/>
      <c r="F35" s="142"/>
      <c r="G35" s="143"/>
      <c r="H35" s="143"/>
      <c r="I35" s="199"/>
      <c r="J35" s="143">
        <v>0</v>
      </c>
      <c r="K35" s="143" t="s">
        <v>958</v>
      </c>
      <c r="L35" s="146">
        <f>SUM(J32:J35)</f>
        <v>166</v>
      </c>
      <c r="N35" s="138"/>
      <c r="O35" s="138"/>
      <c r="P35" s="196"/>
      <c r="Q35" s="138"/>
      <c r="R35" s="196"/>
      <c r="S35" s="141"/>
      <c r="T35" s="138"/>
      <c r="U35" s="196"/>
      <c r="V35" s="138"/>
      <c r="W35" s="141"/>
      <c r="AD35" s="42"/>
      <c r="AE35" s="42"/>
      <c r="AF35" s="40"/>
      <c r="AG35" s="28"/>
      <c r="AH35" s="28"/>
      <c r="AI35" s="28"/>
      <c r="AJ35" s="42"/>
      <c r="AK35" s="40"/>
      <c r="AL35" s="41"/>
      <c r="AM35" s="28"/>
      <c r="AN35" s="28"/>
      <c r="AO35" s="40"/>
      <c r="AR35" s="142" t="s">
        <v>84</v>
      </c>
      <c r="AS35" s="142">
        <f>SUM(AS28:AS34)</f>
        <v>0</v>
      </c>
      <c r="AT35" s="146">
        <f>SUM(AT28:AT34)</f>
        <v>0</v>
      </c>
      <c r="AU35" s="142"/>
      <c r="AV35" s="146"/>
      <c r="AW35" s="143"/>
      <c r="AX35" s="143"/>
      <c r="AY35" s="143"/>
      <c r="AZ35" s="143"/>
      <c r="BA35" s="146">
        <f>SUM(AX32)</f>
        <v>0</v>
      </c>
      <c r="BD35" s="196" t="s">
        <v>85</v>
      </c>
      <c r="BE35" s="138">
        <f>2+5</f>
        <v>7</v>
      </c>
      <c r="BF35" s="141">
        <v>0</v>
      </c>
      <c r="BG35" s="138"/>
      <c r="BH35" s="28"/>
      <c r="BI35" s="141"/>
      <c r="BJ35" s="138"/>
      <c r="BK35" s="141"/>
      <c r="BL35" s="223" t="s">
        <v>1510</v>
      </c>
      <c r="BM35" s="257" t="s">
        <v>1511</v>
      </c>
      <c r="BN35" s="141" t="s">
        <v>896</v>
      </c>
    </row>
    <row r="36" spans="3:66" x14ac:dyDescent="0.3">
      <c r="C36" s="134" t="s">
        <v>105</v>
      </c>
      <c r="D36" s="134">
        <v>1665</v>
      </c>
      <c r="E36" s="135">
        <v>2244</v>
      </c>
      <c r="F36" s="134"/>
      <c r="G36" s="135">
        <v>761</v>
      </c>
      <c r="H36" s="135"/>
      <c r="I36" s="195"/>
      <c r="J36" s="135" t="s">
        <v>162</v>
      </c>
      <c r="K36" s="135"/>
      <c r="L36" s="136"/>
      <c r="N36" s="138"/>
      <c r="O36" s="138"/>
      <c r="P36" s="196"/>
      <c r="Q36" s="138"/>
      <c r="R36" s="196"/>
      <c r="S36" s="141"/>
      <c r="T36" s="138"/>
      <c r="U36" s="196"/>
      <c r="V36" s="138"/>
      <c r="W36" s="141"/>
      <c r="AD36" s="278" t="s">
        <v>99</v>
      </c>
      <c r="AE36" s="278">
        <v>0</v>
      </c>
      <c r="AF36" s="279">
        <v>0</v>
      </c>
      <c r="AG36" s="135">
        <v>0</v>
      </c>
      <c r="AH36" s="135">
        <v>0</v>
      </c>
      <c r="AI36" s="135">
        <v>0</v>
      </c>
      <c r="AJ36" s="278">
        <v>172360</v>
      </c>
      <c r="AK36" s="279">
        <v>62060</v>
      </c>
      <c r="AL36" s="314">
        <v>0</v>
      </c>
      <c r="AM36" s="135" t="s">
        <v>157</v>
      </c>
      <c r="AN36" s="135"/>
      <c r="AO36" s="279"/>
      <c r="AR36" s="134"/>
      <c r="AS36" s="134"/>
      <c r="AT36" s="136"/>
      <c r="AU36" s="134"/>
      <c r="AV36" s="136"/>
      <c r="AW36" s="135"/>
      <c r="AX36" s="135"/>
      <c r="AY36" s="135"/>
      <c r="AZ36" s="135"/>
      <c r="BA36" s="136"/>
      <c r="BD36" s="196" t="s">
        <v>358</v>
      </c>
      <c r="BE36" s="138">
        <v>9</v>
      </c>
      <c r="BF36" s="141">
        <v>18</v>
      </c>
      <c r="BG36" s="138"/>
      <c r="BH36" s="28"/>
      <c r="BI36" s="141"/>
      <c r="BJ36" s="138"/>
      <c r="BK36" s="141"/>
      <c r="BL36" s="138" t="s">
        <v>1512</v>
      </c>
      <c r="BM36" s="28" t="s">
        <v>1513</v>
      </c>
      <c r="BN36" s="141" t="s">
        <v>1514</v>
      </c>
    </row>
    <row r="37" spans="3:66" x14ac:dyDescent="0.3">
      <c r="C37" s="138" t="s">
        <v>99</v>
      </c>
      <c r="D37" s="138">
        <v>1167</v>
      </c>
      <c r="E37" s="43">
        <v>1786</v>
      </c>
      <c r="F37" s="138"/>
      <c r="G37" s="28">
        <v>689</v>
      </c>
      <c r="H37" s="28"/>
      <c r="I37" s="196"/>
      <c r="J37" s="28"/>
      <c r="K37" s="28"/>
      <c r="L37" s="141"/>
      <c r="N37" s="142" t="s">
        <v>84</v>
      </c>
      <c r="O37" s="142">
        <f t="shared" ref="O37:U37" si="0">SUM(O31+O26+O21+O19+O14+O10)</f>
        <v>29968</v>
      </c>
      <c r="P37" s="199">
        <f t="shared" si="0"/>
        <v>68399</v>
      </c>
      <c r="Q37" s="142">
        <f t="shared" si="0"/>
        <v>0</v>
      </c>
      <c r="R37" s="199">
        <f t="shared" si="0"/>
        <v>0</v>
      </c>
      <c r="S37" s="143">
        <f t="shared" si="0"/>
        <v>0</v>
      </c>
      <c r="T37" s="142">
        <f t="shared" si="0"/>
        <v>3486</v>
      </c>
      <c r="U37" s="199">
        <f t="shared" si="0"/>
        <v>251</v>
      </c>
      <c r="V37" s="142"/>
      <c r="W37" s="146"/>
      <c r="AD37" s="42" t="s">
        <v>6</v>
      </c>
      <c r="AE37" s="42"/>
      <c r="AF37" s="40"/>
      <c r="AG37" s="28"/>
      <c r="AH37" s="28"/>
      <c r="AI37" s="28"/>
      <c r="AJ37" s="42"/>
      <c r="AK37" s="40"/>
      <c r="AL37" s="41"/>
      <c r="AM37" s="28">
        <v>13</v>
      </c>
      <c r="AN37" s="28" t="s">
        <v>153</v>
      </c>
      <c r="AO37" s="40"/>
      <c r="AR37" s="138" t="s">
        <v>63</v>
      </c>
      <c r="AS37" s="138">
        <f>3+1+11</f>
        <v>15</v>
      </c>
      <c r="AT37" s="141">
        <f>2+3+13</f>
        <v>18</v>
      </c>
      <c r="AU37" s="138"/>
      <c r="AV37" s="141"/>
      <c r="AW37" s="28"/>
      <c r="AX37" s="28" t="s">
        <v>140</v>
      </c>
      <c r="AY37" s="28"/>
      <c r="AZ37" s="28"/>
      <c r="BA37" s="141"/>
      <c r="BD37" s="196" t="s">
        <v>164</v>
      </c>
      <c r="BE37" s="138">
        <v>5</v>
      </c>
      <c r="BF37" s="141">
        <v>7</v>
      </c>
      <c r="BG37" s="138"/>
      <c r="BH37" s="28"/>
      <c r="BI37" s="141"/>
      <c r="BJ37" s="138"/>
      <c r="BK37" s="141"/>
      <c r="BL37" s="138" t="s">
        <v>1515</v>
      </c>
      <c r="BM37" s="28" t="s">
        <v>791</v>
      </c>
      <c r="BN37" s="141" t="s">
        <v>1516</v>
      </c>
    </row>
    <row r="38" spans="3:66" ht="15" thickBot="1" x14ac:dyDescent="0.35">
      <c r="C38" s="138"/>
      <c r="D38" s="138"/>
      <c r="E38" s="28"/>
      <c r="F38" s="138"/>
      <c r="G38" s="28"/>
      <c r="H38" s="28"/>
      <c r="I38" s="196"/>
      <c r="J38" s="43">
        <v>43</v>
      </c>
      <c r="K38" s="28" t="s">
        <v>101</v>
      </c>
      <c r="L38" s="141"/>
      <c r="AD38" s="42" t="s">
        <v>6</v>
      </c>
      <c r="AE38" s="42"/>
      <c r="AF38" s="40"/>
      <c r="AG38" s="28"/>
      <c r="AH38" s="28"/>
      <c r="AI38" s="28"/>
      <c r="AJ38" s="42"/>
      <c r="AK38" s="40"/>
      <c r="AL38" s="41"/>
      <c r="AM38" s="28"/>
      <c r="AN38" s="28"/>
      <c r="AO38" s="40"/>
      <c r="AR38" s="138" t="s">
        <v>78</v>
      </c>
      <c r="AS38" s="138">
        <f>5+53</f>
        <v>58</v>
      </c>
      <c r="AT38" s="141">
        <f>5+19</f>
        <v>24</v>
      </c>
      <c r="AU38" s="138"/>
      <c r="AV38" s="141"/>
      <c r="AW38" s="28"/>
      <c r="AX38" s="28">
        <v>2</v>
      </c>
      <c r="AY38" s="28" t="s">
        <v>471</v>
      </c>
      <c r="AZ38" s="28"/>
      <c r="BA38" s="141"/>
      <c r="BD38" s="196" t="s">
        <v>169</v>
      </c>
      <c r="BE38" s="138">
        <v>0</v>
      </c>
      <c r="BF38" s="141">
        <f>4+2</f>
        <v>6</v>
      </c>
      <c r="BG38" s="138"/>
      <c r="BH38" s="28"/>
      <c r="BI38" s="141"/>
      <c r="BJ38" s="138"/>
      <c r="BK38" s="141"/>
      <c r="BL38" s="138" t="s">
        <v>819</v>
      </c>
      <c r="BM38" s="43" t="s">
        <v>1133</v>
      </c>
      <c r="BN38" s="141" t="s">
        <v>380</v>
      </c>
    </row>
    <row r="39" spans="3:66" x14ac:dyDescent="0.3">
      <c r="C39" s="138" t="s">
        <v>84</v>
      </c>
      <c r="D39" s="142">
        <f>SUM(D36:D38)</f>
        <v>2832</v>
      </c>
      <c r="E39" s="143">
        <f>SUM(E36:E38)</f>
        <v>4030</v>
      </c>
      <c r="F39" s="142"/>
      <c r="G39" s="143">
        <f>SUM(G36:G38)</f>
        <v>1450</v>
      </c>
      <c r="H39" s="143"/>
      <c r="I39" s="199">
        <v>3790</v>
      </c>
      <c r="J39" s="143"/>
      <c r="K39" s="143"/>
      <c r="L39" s="146">
        <f>SUM(J38)</f>
        <v>43</v>
      </c>
      <c r="N39" t="s">
        <v>6</v>
      </c>
      <c r="AD39" s="33"/>
      <c r="AE39" s="33"/>
      <c r="AF39" s="35"/>
      <c r="AG39" s="34"/>
      <c r="AH39" s="34"/>
      <c r="AI39" s="34"/>
      <c r="AJ39" s="33"/>
      <c r="AK39" s="35"/>
      <c r="AL39" s="32"/>
      <c r="AM39" s="34" t="s">
        <v>782</v>
      </c>
      <c r="AN39" s="34"/>
      <c r="AO39" s="35"/>
      <c r="AR39" s="138" t="s">
        <v>209</v>
      </c>
      <c r="AS39" s="138">
        <v>0</v>
      </c>
      <c r="AT39" s="141">
        <v>0</v>
      </c>
      <c r="AU39" s="138"/>
      <c r="AV39" s="141"/>
      <c r="AW39" s="28"/>
      <c r="AX39" s="28">
        <v>2</v>
      </c>
      <c r="AY39" s="28" t="s">
        <v>1517</v>
      </c>
      <c r="AZ39" s="28" t="s">
        <v>6</v>
      </c>
      <c r="BA39" s="141"/>
      <c r="BD39" s="196" t="s">
        <v>158</v>
      </c>
      <c r="BE39" s="138">
        <v>1</v>
      </c>
      <c r="BF39" s="141">
        <v>0</v>
      </c>
      <c r="BG39" s="138"/>
      <c r="BH39" s="28"/>
      <c r="BI39" s="141"/>
      <c r="BJ39" s="138"/>
      <c r="BK39" s="141"/>
      <c r="BL39" s="138" t="s">
        <v>1078</v>
      </c>
      <c r="BM39" s="43" t="s">
        <v>1518</v>
      </c>
      <c r="BN39" s="141" t="s">
        <v>1519</v>
      </c>
    </row>
    <row r="40" spans="3:66" ht="15" thickBot="1" x14ac:dyDescent="0.35">
      <c r="C40" s="195" t="s">
        <v>181</v>
      </c>
      <c r="D40" s="135">
        <v>4032</v>
      </c>
      <c r="E40" s="135">
        <v>4361</v>
      </c>
      <c r="F40" s="134"/>
      <c r="G40" s="135" t="s">
        <v>60</v>
      </c>
      <c r="H40" s="136"/>
      <c r="I40" s="135"/>
      <c r="J40" s="134" t="s">
        <v>182</v>
      </c>
      <c r="K40" s="135"/>
      <c r="L40" s="136"/>
      <c r="AD40" s="47"/>
      <c r="AE40" s="47"/>
      <c r="AF40" s="49"/>
      <c r="AG40" s="48"/>
      <c r="AH40" s="48"/>
      <c r="AI40" s="48"/>
      <c r="AJ40" s="47"/>
      <c r="AK40" s="49"/>
      <c r="AL40" s="46"/>
      <c r="AM40" s="48">
        <v>2</v>
      </c>
      <c r="AN40" s="48" t="s">
        <v>1122</v>
      </c>
      <c r="AO40" s="49"/>
      <c r="AR40" s="138" t="s">
        <v>168</v>
      </c>
      <c r="AS40" s="138">
        <v>0</v>
      </c>
      <c r="AT40" s="141">
        <v>0</v>
      </c>
      <c r="AU40" s="138"/>
      <c r="AV40" s="141"/>
      <c r="AW40" s="28"/>
      <c r="AX40" s="28">
        <f>17+2+3</f>
        <v>22</v>
      </c>
      <c r="AY40" s="28" t="s">
        <v>213</v>
      </c>
      <c r="AZ40" s="28" t="s">
        <v>6</v>
      </c>
      <c r="BA40" s="141"/>
      <c r="BD40" s="196" t="s">
        <v>526</v>
      </c>
      <c r="BE40" s="138">
        <v>0</v>
      </c>
      <c r="BF40" s="141">
        <v>0</v>
      </c>
      <c r="BG40" s="138"/>
      <c r="BH40" s="28"/>
      <c r="BI40" s="141"/>
      <c r="BJ40" s="138"/>
      <c r="BK40" s="141"/>
      <c r="BL40" s="315" t="s">
        <v>1520</v>
      </c>
      <c r="BM40" s="215" t="s">
        <v>1521</v>
      </c>
      <c r="BN40" s="141" t="s">
        <v>1522</v>
      </c>
    </row>
    <row r="41" spans="3:66" x14ac:dyDescent="0.3">
      <c r="C41" s="196"/>
      <c r="D41" s="28"/>
      <c r="E41" s="28"/>
      <c r="F41" s="138"/>
      <c r="G41" s="28" t="s">
        <v>60</v>
      </c>
      <c r="H41" s="141"/>
      <c r="I41" s="28"/>
      <c r="J41" s="138"/>
      <c r="K41" s="28" t="s">
        <v>94</v>
      </c>
      <c r="L41" s="141"/>
      <c r="AD41" s="33"/>
      <c r="AE41" s="33"/>
      <c r="AF41" s="35"/>
      <c r="AG41" s="34"/>
      <c r="AH41" s="34"/>
      <c r="AI41" s="34"/>
      <c r="AJ41" s="33"/>
      <c r="AK41" s="35"/>
      <c r="AL41" s="32"/>
      <c r="AM41" s="34" t="s">
        <v>1251</v>
      </c>
      <c r="AN41" s="34"/>
      <c r="AO41" s="35"/>
      <c r="AR41" s="138" t="s">
        <v>81</v>
      </c>
      <c r="AS41" s="138">
        <f>2+8</f>
        <v>10</v>
      </c>
      <c r="AT41" s="141">
        <f>1+4</f>
        <v>5</v>
      </c>
      <c r="AU41" s="138"/>
      <c r="AV41" s="141"/>
      <c r="AW41" s="28"/>
      <c r="AX41" s="28"/>
      <c r="AY41" s="28" t="s">
        <v>898</v>
      </c>
      <c r="AZ41" s="28"/>
      <c r="BA41" s="141" t="s">
        <v>6</v>
      </c>
      <c r="BD41" s="219" t="s">
        <v>107</v>
      </c>
      <c r="BE41" s="138">
        <v>0</v>
      </c>
      <c r="BF41" s="141">
        <v>4</v>
      </c>
      <c r="BG41" s="138"/>
      <c r="BH41" s="28"/>
      <c r="BI41" s="141"/>
      <c r="BJ41" s="138"/>
      <c r="BK41" s="141"/>
      <c r="BL41" s="138" t="s">
        <v>1523</v>
      </c>
      <c r="BM41" s="222" t="s">
        <v>1524</v>
      </c>
      <c r="BN41" s="141" t="s">
        <v>638</v>
      </c>
    </row>
    <row r="42" spans="3:66" x14ac:dyDescent="0.3">
      <c r="C42" s="196" t="s">
        <v>84</v>
      </c>
      <c r="D42" s="28">
        <f>SUM(D40:D41)</f>
        <v>4032</v>
      </c>
      <c r="E42" s="28">
        <f>SUM(E40:E41)</f>
        <v>4361</v>
      </c>
      <c r="F42" s="138"/>
      <c r="G42" s="28" t="s">
        <v>60</v>
      </c>
      <c r="H42" s="141"/>
      <c r="I42" s="28">
        <v>4898</v>
      </c>
      <c r="J42" s="138">
        <v>31</v>
      </c>
      <c r="K42" s="28" t="s">
        <v>101</v>
      </c>
      <c r="L42" s="141"/>
      <c r="AD42" s="42"/>
      <c r="AE42" s="42"/>
      <c r="AF42" s="40"/>
      <c r="AG42" s="28"/>
      <c r="AH42" s="28"/>
      <c r="AI42" s="28"/>
      <c r="AJ42" s="42"/>
      <c r="AK42" s="40"/>
      <c r="AL42" s="41"/>
      <c r="AM42" s="28">
        <v>1</v>
      </c>
      <c r="AN42" s="28" t="s">
        <v>1525</v>
      </c>
      <c r="AO42" s="40"/>
      <c r="AR42" s="138" t="s">
        <v>72</v>
      </c>
      <c r="AS42" s="138">
        <f>26+3</f>
        <v>29</v>
      </c>
      <c r="AT42" s="141">
        <f>1+19</f>
        <v>20</v>
      </c>
      <c r="AU42" s="138"/>
      <c r="AV42" s="141"/>
      <c r="AW42" s="28"/>
      <c r="AX42" s="43">
        <v>1</v>
      </c>
      <c r="AY42" s="28" t="s">
        <v>216</v>
      </c>
      <c r="AZ42" s="28"/>
      <c r="BA42" s="141"/>
      <c r="BD42" s="196" t="s">
        <v>64</v>
      </c>
      <c r="BE42" s="138">
        <v>0</v>
      </c>
      <c r="BF42" s="141">
        <v>0</v>
      </c>
      <c r="BG42" s="138"/>
      <c r="BH42" s="28"/>
      <c r="BI42" s="141"/>
      <c r="BJ42" s="138"/>
      <c r="BK42" s="141"/>
      <c r="BL42" s="316" t="s">
        <v>1526</v>
      </c>
      <c r="BM42" s="43" t="s">
        <v>208</v>
      </c>
      <c r="BN42" s="209" t="s">
        <v>1527</v>
      </c>
    </row>
    <row r="43" spans="3:66" ht="15" thickBot="1" x14ac:dyDescent="0.35">
      <c r="C43" s="199"/>
      <c r="D43" s="28"/>
      <c r="E43" s="28"/>
      <c r="F43" s="142"/>
      <c r="G43" s="143"/>
      <c r="H43" s="146"/>
      <c r="I43" s="28"/>
      <c r="J43" s="142"/>
      <c r="K43" s="143" t="s">
        <v>284</v>
      </c>
      <c r="L43" s="146">
        <f>SUM(J41:J42)</f>
        <v>31</v>
      </c>
      <c r="AD43" s="47"/>
      <c r="AE43" s="47"/>
      <c r="AF43" s="49"/>
      <c r="AG43" s="48"/>
      <c r="AH43" s="48"/>
      <c r="AI43" s="48"/>
      <c r="AJ43" s="47"/>
      <c r="AK43" s="49"/>
      <c r="AL43" s="46"/>
      <c r="AM43" s="48">
        <v>1</v>
      </c>
      <c r="AN43" s="48" t="s">
        <v>1194</v>
      </c>
      <c r="AO43" s="49"/>
      <c r="AR43" s="138" t="s">
        <v>115</v>
      </c>
      <c r="AS43" s="138">
        <f>1+11</f>
        <v>12</v>
      </c>
      <c r="AT43" s="141">
        <f>1+13</f>
        <v>14</v>
      </c>
      <c r="AU43" s="138"/>
      <c r="AV43" s="141"/>
      <c r="AW43" s="28"/>
      <c r="AX43" s="43">
        <v>1</v>
      </c>
      <c r="AY43" s="28" t="s">
        <v>773</v>
      </c>
      <c r="AZ43" s="28"/>
      <c r="BA43" s="141"/>
      <c r="BD43" s="196" t="s">
        <v>403</v>
      </c>
      <c r="BE43" s="138">
        <f>4+4</f>
        <v>8</v>
      </c>
      <c r="BF43" s="141">
        <f>4+4</f>
        <v>8</v>
      </c>
      <c r="BG43" s="138"/>
      <c r="BH43" s="28"/>
      <c r="BI43" s="141"/>
      <c r="BJ43" s="138"/>
      <c r="BK43" s="141"/>
      <c r="BL43" s="138" t="s">
        <v>1528</v>
      </c>
      <c r="BM43" s="43" t="s">
        <v>500</v>
      </c>
      <c r="BN43" s="213" t="s">
        <v>693</v>
      </c>
    </row>
    <row r="44" spans="3:66" ht="15" thickBot="1" x14ac:dyDescent="0.35">
      <c r="C44" s="47" t="s">
        <v>84</v>
      </c>
      <c r="D44" s="253">
        <f>SUM(D42+D39+D34+D29+D25+D21+D17+D13+D10)</f>
        <v>52398</v>
      </c>
      <c r="E44" s="253">
        <f>SUM(E42+E39+E34+E29+E25+E21+E17+E13+E10)</f>
        <v>61128</v>
      </c>
      <c r="F44" s="202"/>
      <c r="G44" s="48">
        <f>SUM(G39+G21)</f>
        <v>2202</v>
      </c>
      <c r="H44" s="203"/>
      <c r="I44" s="206">
        <f>SUM(I42+I39+I34+I30+I25+I21+I17+I13+I10)</f>
        <v>71586</v>
      </c>
      <c r="J44" s="48" t="s">
        <v>199</v>
      </c>
      <c r="K44" s="48"/>
      <c r="L44" s="49">
        <f>SUM(L9:L43)</f>
        <v>432</v>
      </c>
      <c r="AD44" s="47" t="s">
        <v>84</v>
      </c>
      <c r="AE44" s="202">
        <f>SUM(AE36+AE34+AE31+AE19+AE14+AE11)</f>
        <v>2645</v>
      </c>
      <c r="AF44" s="203">
        <f>SUM(AF36+AF34+AF31+AF19+AF14+AF11)</f>
        <v>2534</v>
      </c>
      <c r="AG44" s="48">
        <v>0</v>
      </c>
      <c r="AH44" s="48">
        <v>0</v>
      </c>
      <c r="AI44" s="48">
        <v>0</v>
      </c>
      <c r="AJ44" s="202">
        <f>SUM(AJ37+AJ36+AJ34+AJ11)</f>
        <v>214679</v>
      </c>
      <c r="AK44" s="203">
        <f>SUM(AK36+AK34+AK11)</f>
        <v>68515</v>
      </c>
      <c r="AL44" s="48">
        <v>0</v>
      </c>
      <c r="AM44" s="202" t="s">
        <v>189</v>
      </c>
      <c r="AN44" s="48"/>
      <c r="AO44" s="49">
        <f>SUM(AM11:AM37)</f>
        <v>64</v>
      </c>
      <c r="AR44" s="138" t="s">
        <v>56</v>
      </c>
      <c r="AS44" s="138">
        <f>1+9+3</f>
        <v>13</v>
      </c>
      <c r="AT44" s="141">
        <f>4+3</f>
        <v>7</v>
      </c>
      <c r="AU44" s="138"/>
      <c r="AV44" s="141"/>
      <c r="AW44" s="28"/>
      <c r="AX44" s="43">
        <v>1</v>
      </c>
      <c r="AY44" s="28" t="s">
        <v>967</v>
      </c>
      <c r="AZ44" s="28"/>
      <c r="BA44" s="141"/>
      <c r="BD44" s="196" t="s">
        <v>105</v>
      </c>
      <c r="BE44" s="138">
        <v>0</v>
      </c>
      <c r="BF44" s="141">
        <v>4</v>
      </c>
      <c r="BG44" s="138"/>
      <c r="BH44" s="28"/>
      <c r="BI44" s="141"/>
      <c r="BJ44" s="138"/>
      <c r="BK44" s="141"/>
      <c r="BL44" s="138" t="s">
        <v>1529</v>
      </c>
      <c r="BM44" s="43" t="s">
        <v>348</v>
      </c>
      <c r="BN44" s="141" t="s">
        <v>1097</v>
      </c>
    </row>
    <row r="45" spans="3:66" ht="15.6" x14ac:dyDescent="0.3">
      <c r="F45" s="28"/>
      <c r="G45" s="28"/>
      <c r="H45" s="28"/>
      <c r="AD45" t="s">
        <v>193</v>
      </c>
      <c r="AO45" t="s">
        <v>6</v>
      </c>
      <c r="AR45" s="138" t="s">
        <v>138</v>
      </c>
      <c r="AS45" s="138">
        <v>0</v>
      </c>
      <c r="AT45" s="141">
        <v>0</v>
      </c>
      <c r="AU45" s="138"/>
      <c r="AV45" s="141"/>
      <c r="AW45" s="28"/>
      <c r="AX45" s="43"/>
      <c r="AY45" s="28" t="s">
        <v>221</v>
      </c>
      <c r="AZ45" s="28"/>
      <c r="BA45" s="141"/>
      <c r="BD45" s="259" t="s">
        <v>384</v>
      </c>
      <c r="BE45" s="138">
        <v>1</v>
      </c>
      <c r="BF45" s="141">
        <v>1</v>
      </c>
      <c r="BG45" s="138"/>
      <c r="BH45" s="28"/>
      <c r="BI45" s="141"/>
      <c r="BJ45" s="138"/>
      <c r="BK45" s="141"/>
      <c r="BL45" s="138" t="s">
        <v>1163</v>
      </c>
      <c r="BM45" s="43" t="s">
        <v>283</v>
      </c>
      <c r="BN45" s="141" t="s">
        <v>961</v>
      </c>
    </row>
    <row r="46" spans="3:66" ht="15" thickBot="1" x14ac:dyDescent="0.35">
      <c r="AR46" s="138" t="s">
        <v>67</v>
      </c>
      <c r="AS46" s="138">
        <f>1+1+51</f>
        <v>53</v>
      </c>
      <c r="AT46" s="141">
        <f>1+33+3</f>
        <v>37</v>
      </c>
      <c r="AU46" s="138"/>
      <c r="AV46" s="141"/>
      <c r="AW46" s="28"/>
      <c r="AX46" s="43">
        <v>4</v>
      </c>
      <c r="AY46" s="28" t="s">
        <v>653</v>
      </c>
      <c r="AZ46" s="28"/>
      <c r="BA46" s="141"/>
      <c r="BD46" s="196" t="s">
        <v>1530</v>
      </c>
      <c r="BE46" s="138">
        <v>3</v>
      </c>
      <c r="BF46" s="141">
        <v>2</v>
      </c>
      <c r="BG46" s="138"/>
      <c r="BH46" s="28"/>
      <c r="BI46" s="141"/>
      <c r="BJ46" s="138"/>
      <c r="BK46" s="141"/>
      <c r="BL46" s="138" t="s">
        <v>377</v>
      </c>
      <c r="BM46" s="43"/>
      <c r="BN46" s="141"/>
    </row>
    <row r="47" spans="3:66" ht="15" thickBot="1" x14ac:dyDescent="0.35">
      <c r="C47" s="171" t="s">
        <v>1830</v>
      </c>
      <c r="D47" s="205">
        <v>46014</v>
      </c>
      <c r="E47" s="205">
        <v>52960</v>
      </c>
      <c r="F47" s="170"/>
      <c r="G47" s="205">
        <v>2265</v>
      </c>
      <c r="H47" s="170"/>
      <c r="I47" s="205">
        <v>65732</v>
      </c>
      <c r="J47" s="170" t="s">
        <v>199</v>
      </c>
      <c r="K47" s="170"/>
      <c r="L47" s="172">
        <v>387</v>
      </c>
      <c r="N47" s="171" t="s">
        <v>1830</v>
      </c>
      <c r="O47" s="170">
        <v>33601</v>
      </c>
      <c r="P47" s="170">
        <v>71748</v>
      </c>
      <c r="Q47" s="170"/>
      <c r="R47" s="170"/>
      <c r="S47" s="170"/>
      <c r="T47" s="170">
        <v>5234</v>
      </c>
      <c r="U47" s="170">
        <v>255</v>
      </c>
      <c r="V47" s="170"/>
      <c r="W47" s="172"/>
      <c r="AD47" s="171" t="s">
        <v>1830</v>
      </c>
      <c r="AE47" s="170">
        <v>2266</v>
      </c>
      <c r="AF47" s="170">
        <v>2007</v>
      </c>
      <c r="AG47" s="170"/>
      <c r="AH47" s="170"/>
      <c r="AI47" s="170"/>
      <c r="AJ47" s="170">
        <v>228546</v>
      </c>
      <c r="AK47" s="170">
        <v>124216</v>
      </c>
      <c r="AL47" s="170"/>
      <c r="AM47" s="170" t="s">
        <v>743</v>
      </c>
      <c r="AN47" s="170"/>
      <c r="AO47" s="172">
        <v>49</v>
      </c>
      <c r="AR47" s="138" t="s">
        <v>122</v>
      </c>
      <c r="AS47" s="138">
        <v>5</v>
      </c>
      <c r="AT47" s="141">
        <v>10</v>
      </c>
      <c r="AU47" s="138"/>
      <c r="AV47" s="141"/>
      <c r="AW47" s="28"/>
      <c r="AX47" s="28">
        <v>2</v>
      </c>
      <c r="AY47" s="28" t="s">
        <v>618</v>
      </c>
      <c r="AZ47" s="28"/>
      <c r="BA47" s="141"/>
      <c r="BD47" s="196" t="s">
        <v>102</v>
      </c>
      <c r="BE47" s="138">
        <v>1</v>
      </c>
      <c r="BF47" s="141">
        <v>0</v>
      </c>
      <c r="BG47" s="138"/>
      <c r="BH47" s="28"/>
      <c r="BI47" s="141"/>
      <c r="BJ47" s="138"/>
      <c r="BK47" s="141"/>
      <c r="BL47" s="138"/>
      <c r="BM47" s="28"/>
      <c r="BN47" s="141"/>
    </row>
    <row r="48" spans="3:66" x14ac:dyDescent="0.3">
      <c r="AR48" s="138" t="s">
        <v>227</v>
      </c>
      <c r="AS48" s="138">
        <v>0</v>
      </c>
      <c r="AT48" s="141">
        <v>0</v>
      </c>
      <c r="AU48" s="138"/>
      <c r="AV48" s="141"/>
      <c r="AW48" s="28"/>
      <c r="AX48" s="43">
        <v>2</v>
      </c>
      <c r="AY48" s="28" t="s">
        <v>1531</v>
      </c>
      <c r="AZ48" s="28"/>
      <c r="BA48" s="141"/>
      <c r="BD48" s="196" t="s">
        <v>200</v>
      </c>
      <c r="BE48" s="138">
        <v>17</v>
      </c>
      <c r="BF48" s="141">
        <v>16</v>
      </c>
      <c r="BG48" s="138"/>
      <c r="BH48" s="28"/>
      <c r="BI48" s="141"/>
      <c r="BJ48" s="138"/>
      <c r="BK48" s="141"/>
      <c r="BL48" s="138"/>
      <c r="BM48" s="28"/>
      <c r="BN48" s="141"/>
    </row>
    <row r="49" spans="10:67" x14ac:dyDescent="0.3">
      <c r="AR49" s="138" t="s">
        <v>230</v>
      </c>
      <c r="AS49" s="138">
        <f>3+1</f>
        <v>4</v>
      </c>
      <c r="AT49" s="141">
        <f>3+1</f>
        <v>4</v>
      </c>
      <c r="AU49" s="138"/>
      <c r="AV49" s="141"/>
      <c r="AW49" s="28"/>
      <c r="AX49" s="28">
        <v>7</v>
      </c>
      <c r="AY49" s="28" t="s">
        <v>655</v>
      </c>
      <c r="AZ49" s="28"/>
      <c r="BA49" s="141"/>
      <c r="BD49" s="196" t="s">
        <v>564</v>
      </c>
      <c r="BE49" s="138">
        <v>5</v>
      </c>
      <c r="BF49" s="141">
        <v>0</v>
      </c>
      <c r="BG49" s="138"/>
      <c r="BH49" s="28"/>
      <c r="BI49" s="141"/>
      <c r="BJ49" s="138"/>
      <c r="BK49" s="141"/>
      <c r="BL49" s="138"/>
      <c r="BM49" s="28"/>
      <c r="BN49" s="141"/>
    </row>
    <row r="50" spans="10:67" x14ac:dyDescent="0.3">
      <c r="AR50" s="138" t="s">
        <v>125</v>
      </c>
      <c r="AS50" s="138">
        <v>0</v>
      </c>
      <c r="AT50" s="141">
        <v>0</v>
      </c>
      <c r="AU50" s="138"/>
      <c r="AV50" s="141"/>
      <c r="AW50" s="28"/>
      <c r="AX50" s="43">
        <v>2</v>
      </c>
      <c r="AY50" s="28" t="s">
        <v>1067</v>
      </c>
      <c r="AZ50" s="28"/>
      <c r="BA50" s="141"/>
      <c r="BD50" s="196" t="s">
        <v>120</v>
      </c>
      <c r="BE50" s="138">
        <v>0</v>
      </c>
      <c r="BF50" s="141">
        <v>2</v>
      </c>
      <c r="BG50" s="138"/>
      <c r="BH50" s="28"/>
      <c r="BI50" s="141"/>
      <c r="BJ50" s="138"/>
      <c r="BK50" s="141"/>
      <c r="BL50" s="138"/>
      <c r="BM50" s="28"/>
      <c r="BN50" s="141"/>
    </row>
    <row r="51" spans="10:67" x14ac:dyDescent="0.3">
      <c r="AO51" t="s">
        <v>6</v>
      </c>
      <c r="AR51" s="138" t="s">
        <v>132</v>
      </c>
      <c r="AS51" s="138">
        <v>2</v>
      </c>
      <c r="AT51" s="141">
        <v>2</v>
      </c>
      <c r="AU51" s="138"/>
      <c r="AV51" s="141"/>
      <c r="AW51" s="28"/>
      <c r="AX51" s="43">
        <v>5</v>
      </c>
      <c r="AY51" s="28" t="s">
        <v>682</v>
      </c>
      <c r="AZ51" s="28"/>
      <c r="BA51" s="141"/>
      <c r="BD51" s="196" t="s">
        <v>218</v>
      </c>
      <c r="BE51" s="138">
        <v>0</v>
      </c>
      <c r="BF51" s="141">
        <v>39</v>
      </c>
      <c r="BG51" s="138"/>
      <c r="BH51" s="28">
        <v>0</v>
      </c>
      <c r="BI51" s="141"/>
      <c r="BJ51" s="138"/>
      <c r="BK51" s="141"/>
      <c r="BL51" s="138"/>
      <c r="BM51" s="28"/>
      <c r="BN51" s="141"/>
    </row>
    <row r="52" spans="10:67" x14ac:dyDescent="0.3">
      <c r="J52" t="s">
        <v>6</v>
      </c>
      <c r="AR52" s="138" t="s">
        <v>536</v>
      </c>
      <c r="AS52" s="138">
        <v>0</v>
      </c>
      <c r="AT52" s="141">
        <v>0</v>
      </c>
      <c r="AU52" s="138"/>
      <c r="AV52" s="141"/>
      <c r="AW52" s="28"/>
      <c r="AX52" s="43">
        <f>23+9+18+20</f>
        <v>70</v>
      </c>
      <c r="AY52" s="28" t="s">
        <v>555</v>
      </c>
      <c r="AZ52" s="28"/>
      <c r="BA52" s="141"/>
      <c r="BD52" s="196" t="s">
        <v>93</v>
      </c>
      <c r="BE52" s="138">
        <v>0</v>
      </c>
      <c r="BF52" s="141">
        <f>1+2</f>
        <v>3</v>
      </c>
      <c r="BG52" s="138"/>
      <c r="BH52" s="28"/>
      <c r="BI52" s="141"/>
      <c r="BJ52" s="138"/>
      <c r="BK52" s="141"/>
      <c r="BL52" s="138"/>
      <c r="BM52" s="28"/>
      <c r="BN52" s="141"/>
    </row>
    <row r="53" spans="10:67" ht="15" thickBot="1" x14ac:dyDescent="0.35">
      <c r="J53" t="s">
        <v>6</v>
      </c>
      <c r="AR53" s="138" t="s">
        <v>84</v>
      </c>
      <c r="AS53" s="138">
        <f>SUM(AS37:AS52)</f>
        <v>201</v>
      </c>
      <c r="AT53" s="141">
        <f>SUM(AT37:AT52)</f>
        <v>141</v>
      </c>
      <c r="AU53" s="138"/>
      <c r="AV53" s="141"/>
      <c r="AW53" s="28"/>
      <c r="AX53" s="28">
        <v>1</v>
      </c>
      <c r="AY53" s="28" t="s">
        <v>244</v>
      </c>
      <c r="AZ53" s="28"/>
      <c r="BA53" s="141">
        <f>SUM(AX38:AX53)</f>
        <v>122</v>
      </c>
      <c r="BD53" s="199" t="s">
        <v>84</v>
      </c>
      <c r="BE53" s="142">
        <f>SUM(BE28:BE52)</f>
        <v>141</v>
      </c>
      <c r="BF53" s="146">
        <f>SUM(BF28:BF52)</f>
        <v>192</v>
      </c>
      <c r="BG53" s="142">
        <v>0</v>
      </c>
      <c r="BH53" s="143">
        <f>SUM(BH28:BH52)</f>
        <v>0</v>
      </c>
      <c r="BI53" s="146">
        <f>SUM(BI28:BI52)</f>
        <v>8</v>
      </c>
      <c r="BJ53" s="142">
        <v>0</v>
      </c>
      <c r="BK53" s="146">
        <v>0</v>
      </c>
      <c r="BL53" s="142"/>
      <c r="BM53" s="143"/>
      <c r="BN53" s="146">
        <f>9+8+8+4+5+4+10+4+4+4+7+7+1</f>
        <v>75</v>
      </c>
    </row>
    <row r="54" spans="10:67" ht="15" thickBot="1" x14ac:dyDescent="0.35">
      <c r="AR54" s="171" t="s">
        <v>84</v>
      </c>
      <c r="AS54" s="207">
        <f>SUM(AS53+AS35+AS26+AS11)</f>
        <v>2040</v>
      </c>
      <c r="AT54" s="207">
        <f>SUM(AT53+AT35+AT26+AT11)</f>
        <v>2028</v>
      </c>
      <c r="AU54" s="207"/>
      <c r="AV54" s="208"/>
      <c r="AW54" s="170"/>
      <c r="AX54" s="170"/>
      <c r="AY54" s="170"/>
      <c r="AZ54" s="170"/>
      <c r="BA54" s="172">
        <f>SUM(BA11:BA53)</f>
        <v>356</v>
      </c>
      <c r="BD54" t="s">
        <v>223</v>
      </c>
      <c r="BE54">
        <f>SUM(BE53+BE27+BE22+BE17+BE14+BE12+BE24)</f>
        <v>3013</v>
      </c>
      <c r="BF54">
        <f>SUM(BF53+BF27+BF22+BF17+BF12+BF14+BF24)</f>
        <v>2875</v>
      </c>
      <c r="BG54">
        <v>0</v>
      </c>
      <c r="BH54">
        <f>SUM(BH53+BH27+BH22+BH17+BH14+BH10)</f>
        <v>0</v>
      </c>
      <c r="BI54">
        <v>0</v>
      </c>
      <c r="BJ54">
        <f>SUM(BJ53+BJ27+BJ22+BJ16+BJ14+BJ10)</f>
        <v>83265</v>
      </c>
      <c r="BK54">
        <f>SUM(BK53+BK27+BK22+BK16+BK14+BK10)</f>
        <v>19089</v>
      </c>
      <c r="BM54" t="s">
        <v>939</v>
      </c>
      <c r="BN54">
        <f>SUM(+BN27+BN22+BN17+BN14+BN12)</f>
        <v>189</v>
      </c>
    </row>
    <row r="55" spans="10:67" x14ac:dyDescent="0.3">
      <c r="BD55" t="s">
        <v>1340</v>
      </c>
      <c r="BF55">
        <f>SUM(BN53)</f>
        <v>75</v>
      </c>
    </row>
    <row r="56" spans="10:67" x14ac:dyDescent="0.3">
      <c r="BD56" t="s">
        <v>229</v>
      </c>
      <c r="BF56">
        <f>7+4+8+16</f>
        <v>35</v>
      </c>
    </row>
    <row r="57" spans="10:67" ht="15" thickBot="1" x14ac:dyDescent="0.35">
      <c r="BC57" t="s">
        <v>6</v>
      </c>
      <c r="BD57" t="s">
        <v>232</v>
      </c>
      <c r="BF57" t="s">
        <v>233</v>
      </c>
      <c r="BH57">
        <f>SUM(AS54)</f>
        <v>2040</v>
      </c>
      <c r="BJ57" t="s">
        <v>234</v>
      </c>
      <c r="BL57" t="s">
        <v>233</v>
      </c>
      <c r="BN57">
        <f>SUM(BE54)</f>
        <v>3013</v>
      </c>
    </row>
    <row r="58" spans="10:67" ht="15" thickBot="1" x14ac:dyDescent="0.35">
      <c r="AR58" s="317" t="s">
        <v>1532</v>
      </c>
      <c r="AS58" s="210">
        <v>2134</v>
      </c>
      <c r="AT58" s="318">
        <v>2199</v>
      </c>
      <c r="AU58" s="170"/>
      <c r="AV58" s="170"/>
      <c r="AW58" s="170"/>
      <c r="AX58" s="170"/>
      <c r="AY58" s="170"/>
      <c r="AZ58" s="170"/>
      <c r="BA58" s="172"/>
      <c r="BF58" t="s">
        <v>236</v>
      </c>
      <c r="BH58">
        <f>SUM(AT54)</f>
        <v>2028</v>
      </c>
      <c r="BL58" t="s">
        <v>236</v>
      </c>
      <c r="BN58">
        <f>SUM(BF54)</f>
        <v>2875</v>
      </c>
    </row>
    <row r="59" spans="10:67" x14ac:dyDescent="0.3">
      <c r="BD59" t="s">
        <v>238</v>
      </c>
      <c r="BE59" t="s">
        <v>239</v>
      </c>
      <c r="BG59" t="s">
        <v>240</v>
      </c>
      <c r="BH59" t="s">
        <v>241</v>
      </c>
      <c r="BK59" t="s">
        <v>242</v>
      </c>
      <c r="BL59" s="131" t="s">
        <v>243</v>
      </c>
    </row>
    <row r="60" spans="10:67" x14ac:dyDescent="0.3">
      <c r="BD60" t="s">
        <v>233</v>
      </c>
      <c r="BF60">
        <f>SUM(D44)</f>
        <v>52398</v>
      </c>
      <c r="BG60" s="236" t="s">
        <v>233</v>
      </c>
      <c r="BI60">
        <f>SUM(AE44)</f>
        <v>2645</v>
      </c>
      <c r="BJ60" t="s">
        <v>233</v>
      </c>
      <c r="BL60">
        <f>SUM(BI60+BE54)</f>
        <v>5658</v>
      </c>
      <c r="BM60" t="s">
        <v>245</v>
      </c>
      <c r="BN60">
        <f>SUM(BF60+BL60)</f>
        <v>58056</v>
      </c>
    </row>
    <row r="61" spans="10:67" ht="15" thickBot="1" x14ac:dyDescent="0.35">
      <c r="BD61" t="s">
        <v>236</v>
      </c>
      <c r="BF61">
        <f>SUM(E44)</f>
        <v>61128</v>
      </c>
      <c r="BG61" s="236" t="s">
        <v>236</v>
      </c>
      <c r="BI61">
        <f>SUM(AF44)</f>
        <v>2534</v>
      </c>
      <c r="BJ61" t="s">
        <v>236</v>
      </c>
      <c r="BL61">
        <f>SUM(BI61+BF54)</f>
        <v>5409</v>
      </c>
      <c r="BN61">
        <f>SUM(BF61+BL61)</f>
        <v>66537</v>
      </c>
      <c r="BO61">
        <f>SUM(BN60:BN61)</f>
        <v>124593</v>
      </c>
    </row>
    <row r="62" spans="10:67" x14ac:dyDescent="0.3">
      <c r="BD62" s="319" t="s">
        <v>1532</v>
      </c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5"/>
    </row>
    <row r="63" spans="10:67" x14ac:dyDescent="0.3">
      <c r="BD63" s="42" t="s">
        <v>238</v>
      </c>
      <c r="BE63" s="28" t="s">
        <v>239</v>
      </c>
      <c r="BF63" s="28"/>
      <c r="BG63" s="28" t="s">
        <v>240</v>
      </c>
      <c r="BH63" s="28" t="s">
        <v>241</v>
      </c>
      <c r="BI63" s="28"/>
      <c r="BJ63" s="28"/>
      <c r="BK63" s="28" t="s">
        <v>242</v>
      </c>
      <c r="BL63" s="257" t="s">
        <v>243</v>
      </c>
      <c r="BM63" s="28"/>
      <c r="BN63" s="28"/>
      <c r="BO63" s="40"/>
    </row>
    <row r="64" spans="10:67" x14ac:dyDescent="0.3">
      <c r="BD64" s="42" t="s">
        <v>233</v>
      </c>
      <c r="BE64" s="28"/>
      <c r="BF64" s="28">
        <v>46014</v>
      </c>
      <c r="BG64" s="218" t="s">
        <v>233</v>
      </c>
      <c r="BH64" s="28"/>
      <c r="BI64" s="28">
        <v>2266</v>
      </c>
      <c r="BJ64" s="28" t="s">
        <v>233</v>
      </c>
      <c r="BK64" s="28"/>
      <c r="BL64" s="28">
        <v>3963</v>
      </c>
      <c r="BM64" s="28" t="s">
        <v>245</v>
      </c>
      <c r="BN64" s="28">
        <f>SUM(BF64+BL64)</f>
        <v>49977</v>
      </c>
      <c r="BO64" s="40"/>
    </row>
    <row r="65" spans="3:67" ht="15" thickBot="1" x14ac:dyDescent="0.35">
      <c r="BD65" s="47" t="s">
        <v>236</v>
      </c>
      <c r="BE65" s="48"/>
      <c r="BF65" s="48">
        <v>52960</v>
      </c>
      <c r="BG65" s="320" t="s">
        <v>236</v>
      </c>
      <c r="BH65" s="48"/>
      <c r="BI65" s="48">
        <v>2007</v>
      </c>
      <c r="BJ65" s="48" t="s">
        <v>236</v>
      </c>
      <c r="BK65" s="48"/>
      <c r="BL65" s="48">
        <v>3552</v>
      </c>
      <c r="BM65" s="48"/>
      <c r="BN65" s="48">
        <f>SUM(BF65+BL65)</f>
        <v>56512</v>
      </c>
      <c r="BO65" s="49">
        <f>SUM(BN64:BN65)</f>
        <v>106489</v>
      </c>
    </row>
    <row r="70" spans="3:67" x14ac:dyDescent="0.3">
      <c r="E70" t="s">
        <v>0</v>
      </c>
      <c r="R70" t="s">
        <v>1</v>
      </c>
    </row>
    <row r="71" spans="3:67" x14ac:dyDescent="0.3">
      <c r="F71" t="s">
        <v>2</v>
      </c>
      <c r="S71" t="s">
        <v>3</v>
      </c>
      <c r="AH71" t="s">
        <v>0</v>
      </c>
      <c r="AU71" t="s">
        <v>4</v>
      </c>
      <c r="BH71" t="s">
        <v>5</v>
      </c>
    </row>
    <row r="72" spans="3:67" x14ac:dyDescent="0.3">
      <c r="C72" t="s">
        <v>6</v>
      </c>
      <c r="E72" t="s">
        <v>7</v>
      </c>
      <c r="Q72" t="s">
        <v>8</v>
      </c>
      <c r="AH72" t="s">
        <v>9</v>
      </c>
      <c r="AV72" t="s">
        <v>2</v>
      </c>
      <c r="BI72" t="s">
        <v>2</v>
      </c>
    </row>
    <row r="73" spans="3:67" x14ac:dyDescent="0.3">
      <c r="F73" t="s">
        <v>1533</v>
      </c>
      <c r="S73" t="s">
        <v>1533</v>
      </c>
      <c r="AH73" t="s">
        <v>11</v>
      </c>
      <c r="AT73" t="s">
        <v>12</v>
      </c>
      <c r="BB73" t="s">
        <v>6</v>
      </c>
      <c r="BG73" t="s">
        <v>13</v>
      </c>
    </row>
    <row r="74" spans="3:67" x14ac:dyDescent="0.3">
      <c r="K74" s="194" t="s">
        <v>949</v>
      </c>
      <c r="W74" t="s">
        <v>15</v>
      </c>
      <c r="AI74" t="s">
        <v>1533</v>
      </c>
      <c r="AV74" t="s">
        <v>1533</v>
      </c>
      <c r="BI74" t="s">
        <v>1533</v>
      </c>
      <c r="BM74" s="194" t="s">
        <v>950</v>
      </c>
    </row>
    <row r="75" spans="3:67" x14ac:dyDescent="0.3">
      <c r="C75" s="134" t="s">
        <v>17</v>
      </c>
      <c r="D75" s="134" t="s">
        <v>18</v>
      </c>
      <c r="E75" s="136"/>
      <c r="F75" s="135" t="s">
        <v>19</v>
      </c>
      <c r="G75" s="135"/>
      <c r="H75" s="135"/>
      <c r="I75" s="195" t="s">
        <v>20</v>
      </c>
      <c r="J75" s="135" t="s">
        <v>21</v>
      </c>
      <c r="K75" s="135"/>
      <c r="L75" s="136"/>
      <c r="N75" s="134" t="s">
        <v>17</v>
      </c>
      <c r="O75" s="135" t="s">
        <v>22</v>
      </c>
      <c r="P75" s="135"/>
      <c r="Q75" s="135" t="s">
        <v>23</v>
      </c>
      <c r="R75" s="135"/>
      <c r="S75" s="135"/>
      <c r="T75" s="135" t="s">
        <v>24</v>
      </c>
      <c r="U75" s="135"/>
      <c r="V75" s="135" t="s">
        <v>21</v>
      </c>
      <c r="W75" s="136"/>
      <c r="AN75" s="28" t="s">
        <v>25</v>
      </c>
      <c r="AZ75" s="194" t="s">
        <v>951</v>
      </c>
      <c r="BD75" s="195" t="s">
        <v>17</v>
      </c>
      <c r="BE75" s="134" t="s">
        <v>27</v>
      </c>
      <c r="BF75" s="136"/>
      <c r="BG75" s="135" t="s">
        <v>28</v>
      </c>
      <c r="BH75" s="135"/>
      <c r="BI75" s="135"/>
      <c r="BJ75" s="135" t="s">
        <v>29</v>
      </c>
      <c r="BK75" s="135" t="s">
        <v>30</v>
      </c>
      <c r="BL75" s="135" t="s">
        <v>31</v>
      </c>
      <c r="BM75" s="135"/>
      <c r="BN75" s="136"/>
    </row>
    <row r="76" spans="3:67" x14ac:dyDescent="0.3">
      <c r="C76" s="138" t="s">
        <v>32</v>
      </c>
      <c r="D76" s="138"/>
      <c r="E76" s="141"/>
      <c r="F76" s="28"/>
      <c r="G76" s="28"/>
      <c r="H76" s="28"/>
      <c r="I76" s="196"/>
      <c r="J76" s="28" t="s">
        <v>33</v>
      </c>
      <c r="K76" s="28"/>
      <c r="L76" s="141"/>
      <c r="N76" s="138"/>
      <c r="O76" s="28"/>
      <c r="P76" s="28"/>
      <c r="Q76" s="28"/>
      <c r="R76" s="28"/>
      <c r="S76" s="28"/>
      <c r="T76" s="28"/>
      <c r="U76" s="28"/>
      <c r="V76" s="28" t="s">
        <v>33</v>
      </c>
      <c r="W76" s="141"/>
      <c r="AD76" s="134" t="s">
        <v>34</v>
      </c>
      <c r="AE76" s="134" t="s">
        <v>35</v>
      </c>
      <c r="AF76" s="136"/>
      <c r="AG76" s="135" t="s">
        <v>36</v>
      </c>
      <c r="AH76" s="135"/>
      <c r="AI76" s="135"/>
      <c r="AJ76" s="134" t="s">
        <v>37</v>
      </c>
      <c r="AK76" s="136"/>
      <c r="AL76" s="135" t="s">
        <v>30</v>
      </c>
      <c r="AM76" s="134" t="s">
        <v>38</v>
      </c>
      <c r="AN76" s="135"/>
      <c r="AO76" s="136"/>
      <c r="AR76" s="134" t="s">
        <v>17</v>
      </c>
      <c r="AS76" s="134" t="s">
        <v>39</v>
      </c>
      <c r="AT76" s="136"/>
      <c r="AU76" s="134" t="s">
        <v>29</v>
      </c>
      <c r="AV76" s="136" t="s">
        <v>30</v>
      </c>
      <c r="AW76" s="135" t="s">
        <v>40</v>
      </c>
      <c r="AX76" s="135"/>
      <c r="AY76" s="135"/>
      <c r="AZ76" s="135"/>
      <c r="BA76" s="136"/>
      <c r="BD76" s="196"/>
      <c r="BE76" s="138"/>
      <c r="BF76" s="141"/>
      <c r="BG76" s="28"/>
      <c r="BH76" s="28"/>
      <c r="BI76" s="28"/>
      <c r="BJ76" s="28"/>
      <c r="BK76" s="28" t="s">
        <v>6</v>
      </c>
      <c r="BL76" s="28" t="s">
        <v>41</v>
      </c>
      <c r="BM76" s="28"/>
      <c r="BN76" s="141"/>
    </row>
    <row r="77" spans="3:67" ht="15" thickBot="1" x14ac:dyDescent="0.35">
      <c r="C77" s="142" t="s">
        <v>42</v>
      </c>
      <c r="D77" s="142" t="s">
        <v>43</v>
      </c>
      <c r="E77" s="143" t="s">
        <v>44</v>
      </c>
      <c r="F77" s="197" t="s">
        <v>45</v>
      </c>
      <c r="G77" s="198" t="s">
        <v>46</v>
      </c>
      <c r="H77" s="198" t="s">
        <v>47</v>
      </c>
      <c r="I77" s="199" t="s">
        <v>48</v>
      </c>
      <c r="J77" s="143" t="s">
        <v>49</v>
      </c>
      <c r="K77" s="143"/>
      <c r="L77" s="146"/>
      <c r="N77" s="142" t="s">
        <v>50</v>
      </c>
      <c r="O77" s="143" t="s">
        <v>43</v>
      </c>
      <c r="P77" s="143" t="s">
        <v>44</v>
      </c>
      <c r="Q77" s="143" t="s">
        <v>43</v>
      </c>
      <c r="R77" s="143" t="s">
        <v>51</v>
      </c>
      <c r="S77" s="143" t="s">
        <v>44</v>
      </c>
      <c r="T77" s="143" t="s">
        <v>43</v>
      </c>
      <c r="U77" s="143" t="s">
        <v>44</v>
      </c>
      <c r="V77" s="143" t="s">
        <v>49</v>
      </c>
      <c r="W77" s="146"/>
      <c r="AD77" s="138" t="s">
        <v>50</v>
      </c>
      <c r="AE77" s="138" t="s">
        <v>43</v>
      </c>
      <c r="AF77" s="141" t="s">
        <v>44</v>
      </c>
      <c r="AG77" s="28" t="s">
        <v>45</v>
      </c>
      <c r="AH77" s="28" t="s">
        <v>46</v>
      </c>
      <c r="AI77" s="28" t="s">
        <v>52</v>
      </c>
      <c r="AJ77" s="138" t="s">
        <v>43</v>
      </c>
      <c r="AK77" s="141" t="s">
        <v>44</v>
      </c>
      <c r="AL77" s="28" t="s">
        <v>43</v>
      </c>
      <c r="AM77" s="138" t="s">
        <v>53</v>
      </c>
      <c r="AN77" s="28"/>
      <c r="AO77" s="141"/>
      <c r="AR77" s="138" t="s">
        <v>42</v>
      </c>
      <c r="AS77" s="138" t="s">
        <v>43</v>
      </c>
      <c r="AT77" s="141" t="s">
        <v>44</v>
      </c>
      <c r="AU77" s="138" t="s">
        <v>43</v>
      </c>
      <c r="AV77" s="141" t="s">
        <v>44</v>
      </c>
      <c r="AW77" s="28"/>
      <c r="AX77" s="28"/>
      <c r="AY77" s="28"/>
      <c r="AZ77" s="28"/>
      <c r="BA77" s="141"/>
      <c r="BD77" s="199" t="s">
        <v>42</v>
      </c>
      <c r="BE77" s="142" t="s">
        <v>43</v>
      </c>
      <c r="BF77" s="146" t="s">
        <v>44</v>
      </c>
      <c r="BG77" s="143" t="s">
        <v>45</v>
      </c>
      <c r="BH77" s="143" t="s">
        <v>46</v>
      </c>
      <c r="BI77" s="143" t="s">
        <v>52</v>
      </c>
      <c r="BJ77" s="143" t="s">
        <v>43</v>
      </c>
      <c r="BK77" s="143" t="s">
        <v>44</v>
      </c>
      <c r="BL77" s="143" t="s">
        <v>54</v>
      </c>
      <c r="BM77" s="143"/>
      <c r="BN77" s="146"/>
    </row>
    <row r="78" spans="3:67" x14ac:dyDescent="0.3">
      <c r="C78" s="134"/>
      <c r="D78" s="134"/>
      <c r="E78" s="135"/>
      <c r="F78" s="134"/>
      <c r="G78" s="135"/>
      <c r="H78" s="135"/>
      <c r="I78" s="195"/>
      <c r="J78" s="135" t="s">
        <v>396</v>
      </c>
      <c r="K78" s="135"/>
      <c r="L78" s="136"/>
      <c r="N78" s="134"/>
      <c r="O78" s="134"/>
      <c r="P78" s="195"/>
      <c r="Q78" s="134"/>
      <c r="R78" s="195"/>
      <c r="S78" s="136"/>
      <c r="T78" s="134"/>
      <c r="U78" s="195"/>
      <c r="V78" s="134" t="s">
        <v>396</v>
      </c>
      <c r="W78" s="136"/>
      <c r="AD78" s="33"/>
      <c r="AE78" s="33"/>
      <c r="AF78" s="35"/>
      <c r="AG78" s="34"/>
      <c r="AH78" s="34"/>
      <c r="AI78" s="34"/>
      <c r="AJ78" s="33"/>
      <c r="AK78" s="35"/>
      <c r="AL78" s="32"/>
      <c r="AM78" s="33" t="s">
        <v>62</v>
      </c>
      <c r="AN78" s="34"/>
      <c r="AO78" s="35"/>
      <c r="AR78" s="134"/>
      <c r="AS78" s="134"/>
      <c r="AT78" s="136"/>
      <c r="AU78" s="134"/>
      <c r="AV78" s="136"/>
      <c r="AW78" s="135"/>
      <c r="AX78" s="135"/>
      <c r="AY78" s="135"/>
      <c r="AZ78" s="135"/>
      <c r="BA78" s="136"/>
      <c r="BD78" s="195" t="s">
        <v>6</v>
      </c>
      <c r="BE78" s="135"/>
      <c r="BF78" s="135"/>
      <c r="BG78" s="134"/>
      <c r="BH78" s="135"/>
      <c r="BI78" s="135"/>
      <c r="BJ78" s="134"/>
      <c r="BK78" s="136"/>
      <c r="BL78" s="135" t="s">
        <v>58</v>
      </c>
      <c r="BM78" s="135"/>
      <c r="BN78" s="136"/>
    </row>
    <row r="79" spans="3:67" x14ac:dyDescent="0.3">
      <c r="C79" s="138" t="s">
        <v>59</v>
      </c>
      <c r="D79" s="138">
        <v>1084</v>
      </c>
      <c r="E79" s="28">
        <v>1031</v>
      </c>
      <c r="F79" s="138"/>
      <c r="G79" s="28" t="s">
        <v>60</v>
      </c>
      <c r="H79" s="28"/>
      <c r="I79" s="196">
        <v>1195</v>
      </c>
      <c r="J79" s="28">
        <v>4</v>
      </c>
      <c r="K79" s="28" t="s">
        <v>61</v>
      </c>
      <c r="L79" s="141"/>
      <c r="N79" s="138" t="s">
        <v>59</v>
      </c>
      <c r="O79" s="138">
        <v>2038</v>
      </c>
      <c r="P79" s="196">
        <v>26120</v>
      </c>
      <c r="Q79" s="138">
        <v>0</v>
      </c>
      <c r="R79" s="196">
        <v>0</v>
      </c>
      <c r="S79" s="141">
        <v>0</v>
      </c>
      <c r="T79" s="138">
        <v>0</v>
      </c>
      <c r="U79" s="196">
        <v>0</v>
      </c>
      <c r="V79" s="138"/>
      <c r="W79" s="141"/>
      <c r="AD79" s="42"/>
      <c r="AE79" s="42"/>
      <c r="AF79" s="40"/>
      <c r="AG79" s="28"/>
      <c r="AH79" s="28"/>
      <c r="AI79" s="28"/>
      <c r="AJ79" s="42"/>
      <c r="AK79" s="40"/>
      <c r="AL79" s="41"/>
      <c r="AM79" s="42">
        <v>1</v>
      </c>
      <c r="AN79" s="28" t="s">
        <v>1290</v>
      </c>
      <c r="AO79" s="40"/>
      <c r="AR79" s="138"/>
      <c r="AS79" s="138" t="s">
        <v>6</v>
      </c>
      <c r="AT79" s="141" t="s">
        <v>6</v>
      </c>
      <c r="AU79" s="138"/>
      <c r="AV79" s="141"/>
      <c r="AW79" s="28"/>
      <c r="AX79" s="28" t="s">
        <v>91</v>
      </c>
      <c r="AY79" s="28"/>
      <c r="AZ79" s="28"/>
      <c r="BA79" s="141"/>
      <c r="BD79" s="196" t="s">
        <v>64</v>
      </c>
      <c r="BE79" s="28">
        <f>75+33</f>
        <v>108</v>
      </c>
      <c r="BF79" s="28">
        <v>120</v>
      </c>
      <c r="BG79" s="138">
        <v>0</v>
      </c>
      <c r="BH79" s="28">
        <v>0</v>
      </c>
      <c r="BI79" s="28">
        <v>0</v>
      </c>
      <c r="BJ79" s="138">
        <v>0</v>
      </c>
      <c r="BK79" s="141">
        <v>0</v>
      </c>
      <c r="BL79" s="43">
        <v>18</v>
      </c>
      <c r="BM79" s="28" t="s">
        <v>474</v>
      </c>
      <c r="BN79" s="141" t="s">
        <v>6</v>
      </c>
    </row>
    <row r="80" spans="3:67" x14ac:dyDescent="0.3">
      <c r="C80" s="138" t="s">
        <v>6</v>
      </c>
      <c r="D80" s="138"/>
      <c r="E80" s="28"/>
      <c r="F80" s="138"/>
      <c r="G80" s="28"/>
      <c r="H80" s="28"/>
      <c r="I80" s="196"/>
      <c r="J80" s="28"/>
      <c r="K80" s="28" t="s">
        <v>528</v>
      </c>
      <c r="L80" s="141">
        <f>SUM(J79)</f>
        <v>4</v>
      </c>
      <c r="N80" s="142"/>
      <c r="O80" s="142"/>
      <c r="P80" s="199"/>
      <c r="Q80" s="142"/>
      <c r="R80" s="199"/>
      <c r="S80" s="146"/>
      <c r="T80" s="142"/>
      <c r="U80" s="199"/>
      <c r="V80" s="142"/>
      <c r="W80" s="146"/>
      <c r="AD80" s="42" t="s">
        <v>59</v>
      </c>
      <c r="AE80" s="42">
        <v>1840</v>
      </c>
      <c r="AF80" s="40">
        <v>1803</v>
      </c>
      <c r="AG80" s="28">
        <v>0</v>
      </c>
      <c r="AH80" s="28">
        <v>0</v>
      </c>
      <c r="AI80" s="28">
        <v>0</v>
      </c>
      <c r="AJ80" s="42">
        <v>0</v>
      </c>
      <c r="AK80" s="40">
        <v>0</v>
      </c>
      <c r="AL80" s="41">
        <v>0</v>
      </c>
      <c r="AM80" s="42">
        <v>4</v>
      </c>
      <c r="AN80" s="28" t="s">
        <v>66</v>
      </c>
      <c r="AO80" s="40"/>
      <c r="AR80" s="138" t="s">
        <v>56</v>
      </c>
      <c r="AS80" s="138">
        <f>1362+6</f>
        <v>1368</v>
      </c>
      <c r="AT80" s="141">
        <f>1413+8</f>
        <v>1421</v>
      </c>
      <c r="AU80" s="138"/>
      <c r="AV80" s="141"/>
      <c r="AW80" s="28"/>
      <c r="AX80" s="28"/>
      <c r="AY80" s="28"/>
      <c r="AZ80" s="28"/>
      <c r="BA80" s="141"/>
      <c r="BD80" s="196" t="s">
        <v>108</v>
      </c>
      <c r="BE80">
        <v>20</v>
      </c>
      <c r="BF80">
        <v>16</v>
      </c>
      <c r="BG80" s="138">
        <v>0</v>
      </c>
      <c r="BH80" s="28">
        <v>0</v>
      </c>
      <c r="BI80" s="28">
        <v>0</v>
      </c>
      <c r="BJ80" s="138">
        <v>0</v>
      </c>
      <c r="BK80" s="141">
        <v>0</v>
      </c>
      <c r="BL80" s="43">
        <v>1</v>
      </c>
      <c r="BM80" s="28" t="s">
        <v>1045</v>
      </c>
      <c r="BN80" s="141"/>
    </row>
    <row r="81" spans="3:67" ht="15" thickBot="1" x14ac:dyDescent="0.35">
      <c r="C81" s="134"/>
      <c r="D81" s="134"/>
      <c r="E81" s="135"/>
      <c r="F81" s="134"/>
      <c r="G81" s="135"/>
      <c r="H81" s="135"/>
      <c r="I81" s="195"/>
      <c r="J81" s="135" t="s">
        <v>70</v>
      </c>
      <c r="K81" s="135"/>
      <c r="L81" s="136"/>
      <c r="N81" s="134"/>
      <c r="O81" s="134"/>
      <c r="P81" s="195"/>
      <c r="Q81" s="134"/>
      <c r="R81" s="195"/>
      <c r="S81" s="136"/>
      <c r="T81" s="134"/>
      <c r="U81" s="195"/>
      <c r="V81" s="134"/>
      <c r="W81" s="136"/>
      <c r="AD81" s="244"/>
      <c r="AE81" s="244"/>
      <c r="AF81" s="245"/>
      <c r="AG81" s="143"/>
      <c r="AH81" s="143"/>
      <c r="AI81" s="143"/>
      <c r="AJ81" s="244"/>
      <c r="AK81" s="245"/>
      <c r="AL81" s="313"/>
      <c r="AM81" s="47">
        <v>3</v>
      </c>
      <c r="AN81" s="48" t="s">
        <v>436</v>
      </c>
      <c r="AO81" s="49"/>
      <c r="AR81" s="142" t="s">
        <v>6</v>
      </c>
      <c r="AS81" s="142"/>
      <c r="AT81" s="146"/>
      <c r="AU81" s="142"/>
      <c r="AV81" s="146"/>
      <c r="AW81" s="143"/>
      <c r="AX81" s="143">
        <v>98</v>
      </c>
      <c r="AY81" s="143" t="s">
        <v>73</v>
      </c>
      <c r="AZ81" s="143"/>
      <c r="BA81" s="146">
        <f>SUM(AX81)</f>
        <v>98</v>
      </c>
      <c r="BD81" s="199" t="s">
        <v>84</v>
      </c>
      <c r="BE81" s="143">
        <f>SUM(BE78:BE80)</f>
        <v>128</v>
      </c>
      <c r="BF81" s="143">
        <f>SUM(BF78:BF80)</f>
        <v>136</v>
      </c>
      <c r="BG81" s="138">
        <v>0</v>
      </c>
      <c r="BH81" s="28">
        <v>0</v>
      </c>
      <c r="BI81" s="28">
        <v>0</v>
      </c>
      <c r="BJ81" s="138">
        <v>0</v>
      </c>
      <c r="BK81" s="141">
        <v>0</v>
      </c>
      <c r="BL81" s="143"/>
      <c r="BM81" s="143" t="s">
        <v>69</v>
      </c>
      <c r="BN81" s="146">
        <f>SUM(BL79:BL81)</f>
        <v>19</v>
      </c>
    </row>
    <row r="82" spans="3:67" x14ac:dyDescent="0.3">
      <c r="C82" s="138" t="s">
        <v>74</v>
      </c>
      <c r="D82" s="138">
        <v>1179</v>
      </c>
      <c r="E82" s="28">
        <v>2078</v>
      </c>
      <c r="F82" s="138"/>
      <c r="G82" s="28" t="s">
        <v>60</v>
      </c>
      <c r="H82" s="28"/>
      <c r="I82" s="196">
        <v>2571</v>
      </c>
      <c r="J82" s="28">
        <v>1</v>
      </c>
      <c r="K82" s="28" t="s">
        <v>75</v>
      </c>
      <c r="L82" s="141"/>
      <c r="N82" s="138"/>
      <c r="O82" s="138"/>
      <c r="P82" s="196"/>
      <c r="Q82" s="138"/>
      <c r="R82" s="196"/>
      <c r="S82" s="141"/>
      <c r="T82" s="138"/>
      <c r="U82" s="196"/>
      <c r="V82" s="138" t="s">
        <v>80</v>
      </c>
      <c r="W82" s="141"/>
      <c r="AD82" s="278" t="s">
        <v>6</v>
      </c>
      <c r="AE82" s="278"/>
      <c r="AF82" s="279"/>
      <c r="AG82" s="135"/>
      <c r="AH82" s="135"/>
      <c r="AI82" s="135"/>
      <c r="AJ82" s="278"/>
      <c r="AK82" s="279"/>
      <c r="AL82" s="314"/>
      <c r="AM82" s="28" t="s">
        <v>952</v>
      </c>
      <c r="AN82" s="28"/>
      <c r="AO82" s="40"/>
      <c r="AR82" s="134"/>
      <c r="AS82" s="134"/>
      <c r="AT82" s="136"/>
      <c r="AU82" s="134"/>
      <c r="AV82" s="136"/>
      <c r="AW82" s="135"/>
      <c r="AX82" s="135"/>
      <c r="AY82" s="135"/>
      <c r="AZ82" s="135"/>
      <c r="BA82" s="136"/>
      <c r="BD82" s="195" t="s">
        <v>6</v>
      </c>
      <c r="BE82" s="134" t="s">
        <v>6</v>
      </c>
      <c r="BF82" s="136"/>
      <c r="BG82" s="135"/>
      <c r="BH82" s="135">
        <v>0</v>
      </c>
      <c r="BI82" s="135"/>
      <c r="BJ82" s="134"/>
      <c r="BK82" s="136"/>
      <c r="BL82" s="135" t="s">
        <v>1092</v>
      </c>
      <c r="BM82" s="135"/>
      <c r="BN82" s="136"/>
    </row>
    <row r="83" spans="3:67" ht="15" thickBot="1" x14ac:dyDescent="0.35">
      <c r="C83" s="138"/>
      <c r="D83" s="138"/>
      <c r="E83" s="28"/>
      <c r="F83" s="138"/>
      <c r="G83" s="28"/>
      <c r="H83" s="28"/>
      <c r="I83" s="196"/>
      <c r="J83" s="28">
        <v>11</v>
      </c>
      <c r="K83" s="28" t="s">
        <v>79</v>
      </c>
      <c r="L83" s="141"/>
      <c r="N83" s="138" t="s">
        <v>74</v>
      </c>
      <c r="O83" s="138">
        <v>5984</v>
      </c>
      <c r="P83" s="196">
        <v>352</v>
      </c>
      <c r="Q83" s="138">
        <v>0</v>
      </c>
      <c r="R83" s="196">
        <v>0</v>
      </c>
      <c r="S83" s="141">
        <v>0</v>
      </c>
      <c r="T83" s="138">
        <v>249</v>
      </c>
      <c r="U83" s="196">
        <v>0</v>
      </c>
      <c r="V83" s="138"/>
      <c r="W83" s="141"/>
      <c r="AD83" s="42" t="s">
        <v>76</v>
      </c>
      <c r="AE83" s="42">
        <v>0</v>
      </c>
      <c r="AF83" s="40">
        <v>0</v>
      </c>
      <c r="AG83" s="28">
        <v>0</v>
      </c>
      <c r="AH83" s="28">
        <v>0</v>
      </c>
      <c r="AI83" s="28">
        <v>0</v>
      </c>
      <c r="AJ83" s="42">
        <v>0</v>
      </c>
      <c r="AK83" s="40">
        <v>0</v>
      </c>
      <c r="AL83" s="41">
        <v>0</v>
      </c>
      <c r="AM83" s="28"/>
      <c r="AN83" s="28" t="s">
        <v>780</v>
      </c>
      <c r="AO83" s="40"/>
      <c r="AR83" s="138" t="s">
        <v>63</v>
      </c>
      <c r="AS83" s="138">
        <v>181</v>
      </c>
      <c r="AT83" s="141">
        <v>151</v>
      </c>
      <c r="AU83" s="138"/>
      <c r="AV83" s="141"/>
      <c r="AW83" s="28"/>
      <c r="AX83" s="28" t="s">
        <v>110</v>
      </c>
      <c r="AY83" s="28" t="s">
        <v>111</v>
      </c>
      <c r="AZ83" s="28" t="s">
        <v>112</v>
      </c>
      <c r="BA83" s="141"/>
      <c r="BD83" s="199" t="s">
        <v>108</v>
      </c>
      <c r="BE83" s="142">
        <v>511</v>
      </c>
      <c r="BF83" s="146">
        <v>584</v>
      </c>
      <c r="BG83" s="143"/>
      <c r="BH83" s="143">
        <v>0</v>
      </c>
      <c r="BI83" s="143">
        <v>0</v>
      </c>
      <c r="BJ83" s="142">
        <v>0</v>
      </c>
      <c r="BK83" s="146">
        <v>0</v>
      </c>
      <c r="BL83" s="143">
        <v>16</v>
      </c>
      <c r="BM83" s="143" t="s">
        <v>780</v>
      </c>
      <c r="BN83" s="146">
        <f>SUM(BL83)</f>
        <v>16</v>
      </c>
    </row>
    <row r="84" spans="3:67" x14ac:dyDescent="0.3">
      <c r="C84" s="142"/>
      <c r="D84" s="142"/>
      <c r="E84" s="143"/>
      <c r="F84" s="142"/>
      <c r="G84" s="143"/>
      <c r="H84" s="143"/>
      <c r="I84" s="199"/>
      <c r="J84" s="143">
        <v>4</v>
      </c>
      <c r="K84" s="143" t="s">
        <v>83</v>
      </c>
      <c r="L84" s="146">
        <f>SUM(J82:J84)</f>
        <v>16</v>
      </c>
      <c r="N84" s="142"/>
      <c r="O84" s="142"/>
      <c r="P84" s="199"/>
      <c r="Q84" s="142"/>
      <c r="R84" s="199"/>
      <c r="S84" s="146"/>
      <c r="T84" s="142"/>
      <c r="U84" s="199"/>
      <c r="V84" s="142"/>
      <c r="W84" s="146"/>
      <c r="AD84" s="33"/>
      <c r="AE84" s="33"/>
      <c r="AF84" s="35"/>
      <c r="AG84" s="34"/>
      <c r="AH84" s="34"/>
      <c r="AI84" s="34"/>
      <c r="AJ84" s="33"/>
      <c r="AK84" s="35"/>
      <c r="AL84" s="32"/>
      <c r="AM84" s="34" t="s">
        <v>1298</v>
      </c>
      <c r="AN84" s="34"/>
      <c r="AO84" s="35"/>
      <c r="AR84" s="138" t="s">
        <v>115</v>
      </c>
      <c r="AS84" s="138">
        <v>78</v>
      </c>
      <c r="AT84" s="141">
        <v>27</v>
      </c>
      <c r="AU84" s="138"/>
      <c r="AV84" s="141"/>
      <c r="AW84" s="28"/>
      <c r="AX84" s="28"/>
      <c r="AY84" s="28"/>
      <c r="AZ84" s="28"/>
      <c r="BA84" s="141"/>
      <c r="BD84" s="195" t="s">
        <v>107</v>
      </c>
      <c r="BE84" s="134">
        <v>0</v>
      </c>
      <c r="BF84" s="136">
        <v>0</v>
      </c>
      <c r="BG84" s="135"/>
      <c r="BH84" s="135"/>
      <c r="BI84" s="135"/>
      <c r="BJ84" s="134"/>
      <c r="BK84" s="136"/>
      <c r="BL84" s="135"/>
      <c r="BM84" s="135" t="s">
        <v>92</v>
      </c>
      <c r="BN84" s="136"/>
    </row>
    <row r="85" spans="3:67" ht="15" thickBot="1" x14ac:dyDescent="0.35">
      <c r="C85" s="134"/>
      <c r="D85" s="134"/>
      <c r="E85" s="135"/>
      <c r="F85" s="134"/>
      <c r="G85" s="135"/>
      <c r="H85" s="135"/>
      <c r="I85" s="195"/>
      <c r="J85" s="135" t="s">
        <v>87</v>
      </c>
      <c r="K85" s="135"/>
      <c r="L85" s="136"/>
      <c r="N85" s="134" t="s">
        <v>88</v>
      </c>
      <c r="O85" s="134">
        <v>0</v>
      </c>
      <c r="P85" s="195">
        <v>0</v>
      </c>
      <c r="Q85" s="134"/>
      <c r="R85" s="195"/>
      <c r="S85" s="136"/>
      <c r="T85" s="134"/>
      <c r="U85" s="195"/>
      <c r="V85" s="134" t="s">
        <v>6</v>
      </c>
      <c r="W85" s="136"/>
      <c r="AD85" s="47" t="s">
        <v>1300</v>
      </c>
      <c r="AE85" s="47">
        <v>215</v>
      </c>
      <c r="AF85" s="49">
        <v>195</v>
      </c>
      <c r="AG85" s="48"/>
      <c r="AH85" s="48"/>
      <c r="AI85" s="48"/>
      <c r="AJ85" s="47"/>
      <c r="AK85" s="49"/>
      <c r="AL85" s="46"/>
      <c r="AM85" s="48">
        <v>8</v>
      </c>
      <c r="AN85" s="48" t="s">
        <v>145</v>
      </c>
      <c r="AO85" s="49"/>
      <c r="AR85" s="138" t="s">
        <v>72</v>
      </c>
      <c r="AS85" s="138">
        <v>8</v>
      </c>
      <c r="AT85" s="141">
        <v>11</v>
      </c>
      <c r="AU85" s="138"/>
      <c r="AV85" s="141"/>
      <c r="AW85" s="28"/>
      <c r="AX85" s="28"/>
      <c r="AY85" s="28"/>
      <c r="AZ85" s="28"/>
      <c r="BA85" s="141"/>
      <c r="BD85" s="196" t="s">
        <v>99</v>
      </c>
      <c r="BE85" s="138">
        <v>0</v>
      </c>
      <c r="BF85" s="141">
        <v>0</v>
      </c>
      <c r="BG85" s="28">
        <v>0</v>
      </c>
      <c r="BH85" s="28">
        <v>0</v>
      </c>
      <c r="BI85" s="28">
        <v>0</v>
      </c>
      <c r="BJ85" s="138">
        <v>64543</v>
      </c>
      <c r="BK85" s="141">
        <v>16353</v>
      </c>
      <c r="BL85" s="43">
        <v>22</v>
      </c>
      <c r="BM85" s="28" t="s">
        <v>100</v>
      </c>
      <c r="BN85" s="141"/>
    </row>
    <row r="86" spans="3:67" x14ac:dyDescent="0.3">
      <c r="C86" s="138" t="s">
        <v>93</v>
      </c>
      <c r="D86" s="138">
        <v>3206</v>
      </c>
      <c r="E86" s="28">
        <v>4022</v>
      </c>
      <c r="F86" s="138"/>
      <c r="G86" s="28" t="s">
        <v>60</v>
      </c>
      <c r="H86" s="28"/>
      <c r="I86" s="196">
        <v>4819</v>
      </c>
      <c r="J86" s="28"/>
      <c r="K86" s="28" t="s">
        <v>94</v>
      </c>
      <c r="L86" s="141"/>
      <c r="N86" s="138" t="s">
        <v>95</v>
      </c>
      <c r="O86" s="138">
        <v>0</v>
      </c>
      <c r="P86" s="196">
        <v>0</v>
      </c>
      <c r="Q86" s="138"/>
      <c r="R86" s="196"/>
      <c r="S86" s="141"/>
      <c r="T86" s="138"/>
      <c r="U86" s="196"/>
      <c r="V86" s="138" t="s">
        <v>96</v>
      </c>
      <c r="W86" s="141"/>
      <c r="AD86" s="42" t="s">
        <v>89</v>
      </c>
      <c r="AE86" s="42">
        <v>35</v>
      </c>
      <c r="AF86" s="40">
        <v>26</v>
      </c>
      <c r="AG86" s="28"/>
      <c r="AH86" s="28"/>
      <c r="AI86" s="28"/>
      <c r="AJ86" s="42"/>
      <c r="AK86" s="40"/>
      <c r="AL86" s="41"/>
      <c r="AM86" s="28" t="s">
        <v>90</v>
      </c>
      <c r="AN86" s="28"/>
      <c r="AO86" s="40"/>
      <c r="AR86" s="138" t="s">
        <v>78</v>
      </c>
      <c r="AS86" s="138">
        <v>15</v>
      </c>
      <c r="AT86" s="141">
        <v>45</v>
      </c>
      <c r="AU86" s="138"/>
      <c r="AV86" s="141"/>
      <c r="AW86" s="28"/>
      <c r="AX86" s="28"/>
      <c r="AY86" s="28"/>
      <c r="AZ86" s="28"/>
      <c r="BA86" s="141"/>
      <c r="BB86" t="s">
        <v>6</v>
      </c>
      <c r="BD86" s="199" t="s">
        <v>84</v>
      </c>
      <c r="BE86" s="138">
        <f>SUM(BE84:BE85)</f>
        <v>0</v>
      </c>
      <c r="BF86" s="141">
        <f>SUM(BF84:BF85)</f>
        <v>0</v>
      </c>
      <c r="BG86" s="143"/>
      <c r="BH86" s="143"/>
      <c r="BI86" s="143"/>
      <c r="BJ86" s="142"/>
      <c r="BK86" s="146"/>
      <c r="BL86" s="143">
        <v>0</v>
      </c>
      <c r="BM86" s="143" t="s">
        <v>506</v>
      </c>
      <c r="BN86" s="146">
        <f>SUM(BL85:BL86)</f>
        <v>22</v>
      </c>
    </row>
    <row r="87" spans="3:67" x14ac:dyDescent="0.3">
      <c r="C87" s="142"/>
      <c r="D87" s="142"/>
      <c r="E87" s="143"/>
      <c r="F87" s="142"/>
      <c r="G87" s="143"/>
      <c r="H87" s="143"/>
      <c r="I87" s="199"/>
      <c r="J87" s="143">
        <v>27</v>
      </c>
      <c r="K87" s="143" t="s">
        <v>101</v>
      </c>
      <c r="L87" s="146">
        <f>SUM(J86:J87)</f>
        <v>27</v>
      </c>
      <c r="N87" s="138" t="s">
        <v>102</v>
      </c>
      <c r="O87" s="138">
        <v>0</v>
      </c>
      <c r="P87" s="196">
        <v>0</v>
      </c>
      <c r="Q87" s="138"/>
      <c r="R87" s="196"/>
      <c r="S87" s="141"/>
      <c r="T87" s="138"/>
      <c r="U87" s="196"/>
      <c r="V87" s="138"/>
      <c r="W87" s="141"/>
      <c r="AD87" s="42" t="s">
        <v>137</v>
      </c>
      <c r="AE87" s="42"/>
      <c r="AF87" s="40"/>
      <c r="AG87" s="28">
        <v>0</v>
      </c>
      <c r="AH87" s="28">
        <v>0</v>
      </c>
      <c r="AI87" s="28">
        <v>0</v>
      </c>
      <c r="AJ87" s="42">
        <v>0</v>
      </c>
      <c r="AK87" s="40">
        <v>0</v>
      </c>
      <c r="AL87" s="41">
        <v>0</v>
      </c>
      <c r="AM87" s="28"/>
      <c r="AN87" s="28" t="s">
        <v>529</v>
      </c>
      <c r="AO87" s="40"/>
      <c r="AR87" s="138" t="s">
        <v>122</v>
      </c>
      <c r="AS87" s="138">
        <v>11</v>
      </c>
      <c r="AT87" s="141">
        <v>4</v>
      </c>
      <c r="AU87" s="138"/>
      <c r="AV87" s="141"/>
      <c r="AW87" s="28"/>
      <c r="AX87" s="28">
        <v>35</v>
      </c>
      <c r="AY87" s="28" t="s">
        <v>123</v>
      </c>
      <c r="AZ87" s="28"/>
      <c r="BA87" s="141"/>
      <c r="BD87" s="138" t="s">
        <v>89</v>
      </c>
      <c r="BE87" s="134">
        <v>671</v>
      </c>
      <c r="BF87" s="136">
        <v>821</v>
      </c>
      <c r="BJ87" s="134"/>
      <c r="BK87" s="135"/>
      <c r="BL87" s="134"/>
      <c r="BM87" s="135" t="s">
        <v>91</v>
      </c>
      <c r="BN87" s="136"/>
    </row>
    <row r="88" spans="3:67" x14ac:dyDescent="0.3">
      <c r="C88" s="138" t="s">
        <v>108</v>
      </c>
      <c r="D88" s="138">
        <v>0</v>
      </c>
      <c r="E88" s="28">
        <v>0</v>
      </c>
      <c r="F88" s="138"/>
      <c r="G88" s="28">
        <v>1135</v>
      </c>
      <c r="H88" s="28"/>
      <c r="I88" s="196"/>
      <c r="J88" s="28" t="s">
        <v>104</v>
      </c>
      <c r="K88" s="28"/>
      <c r="L88" s="141"/>
      <c r="N88" s="142" t="s">
        <v>84</v>
      </c>
      <c r="O88" s="142">
        <v>0</v>
      </c>
      <c r="P88" s="199">
        <v>0</v>
      </c>
      <c r="Q88" s="142">
        <v>0</v>
      </c>
      <c r="R88" s="199">
        <v>0</v>
      </c>
      <c r="S88" s="146">
        <v>0</v>
      </c>
      <c r="T88" s="142">
        <v>0</v>
      </c>
      <c r="U88" s="199">
        <v>0</v>
      </c>
      <c r="V88" s="142"/>
      <c r="W88" s="146"/>
      <c r="AD88" s="244" t="s">
        <v>84</v>
      </c>
      <c r="AE88" s="244">
        <f>SUM(AE86:AE87)</f>
        <v>35</v>
      </c>
      <c r="AF88" s="245">
        <f>SUM(AF86:AF87)</f>
        <v>26</v>
      </c>
      <c r="AG88" s="143"/>
      <c r="AH88" s="143"/>
      <c r="AI88" s="143"/>
      <c r="AJ88" s="244"/>
      <c r="AK88" s="245"/>
      <c r="AL88" s="313"/>
      <c r="AM88" s="143">
        <v>2</v>
      </c>
      <c r="AN88" s="143" t="s">
        <v>98</v>
      </c>
      <c r="AO88" s="245"/>
      <c r="AR88" s="138" t="s">
        <v>125</v>
      </c>
      <c r="AS88" s="138">
        <v>0</v>
      </c>
      <c r="AT88" s="141">
        <v>6</v>
      </c>
      <c r="AU88" s="138"/>
      <c r="AV88" s="141"/>
      <c r="AW88" s="28"/>
      <c r="AX88" s="28">
        <v>50</v>
      </c>
      <c r="AY88" s="28" t="s">
        <v>126</v>
      </c>
      <c r="AZ88" s="28"/>
      <c r="BA88" s="141"/>
      <c r="BC88" t="s">
        <v>6</v>
      </c>
      <c r="BD88" s="138" t="s">
        <v>137</v>
      </c>
      <c r="BE88" s="138">
        <v>351</v>
      </c>
      <c r="BF88" s="141">
        <v>324</v>
      </c>
      <c r="BJ88" s="138"/>
      <c r="BK88" s="28"/>
      <c r="BL88" s="212">
        <v>15</v>
      </c>
      <c r="BM88" s="43" t="s">
        <v>101</v>
      </c>
      <c r="BN88" s="141"/>
    </row>
    <row r="89" spans="3:67" x14ac:dyDescent="0.3">
      <c r="C89" s="138" t="s">
        <v>109</v>
      </c>
      <c r="D89" s="138">
        <v>1153</v>
      </c>
      <c r="E89" s="28">
        <f>1331+232</f>
        <v>1563</v>
      </c>
      <c r="F89" s="138"/>
      <c r="G89" s="28">
        <v>0</v>
      </c>
      <c r="H89" s="28"/>
      <c r="I89" s="196"/>
      <c r="J89" s="28">
        <v>8</v>
      </c>
      <c r="K89" s="28" t="s">
        <v>114</v>
      </c>
      <c r="L89" s="141"/>
      <c r="N89" s="134"/>
      <c r="O89" s="134"/>
      <c r="P89" s="195"/>
      <c r="Q89" s="134"/>
      <c r="R89" s="195"/>
      <c r="S89" s="136"/>
      <c r="T89" s="134"/>
      <c r="U89" s="195"/>
      <c r="V89" s="134" t="s">
        <v>104</v>
      </c>
      <c r="W89" s="136"/>
      <c r="AD89" s="278"/>
      <c r="AE89" s="278"/>
      <c r="AF89" s="279"/>
      <c r="AG89" s="135"/>
      <c r="AH89" s="135"/>
      <c r="AI89" s="135"/>
      <c r="AJ89" s="278"/>
      <c r="AK89" s="279"/>
      <c r="AL89" s="314"/>
      <c r="AM89" s="135" t="s">
        <v>1284</v>
      </c>
      <c r="AN89" s="135" t="s">
        <v>6</v>
      </c>
      <c r="AO89" s="279"/>
      <c r="AR89" s="138" t="s">
        <v>128</v>
      </c>
      <c r="AS89" s="138">
        <v>0</v>
      </c>
      <c r="AT89" s="141">
        <v>0</v>
      </c>
      <c r="AU89" s="138"/>
      <c r="AV89" s="141"/>
      <c r="AW89" s="28"/>
      <c r="AX89" s="28">
        <v>30</v>
      </c>
      <c r="AY89" s="28" t="s">
        <v>129</v>
      </c>
      <c r="AZ89" s="28"/>
      <c r="BA89" s="141"/>
      <c r="BC89" t="s">
        <v>6</v>
      </c>
      <c r="BD89" s="138" t="s">
        <v>113</v>
      </c>
      <c r="BE89" s="138">
        <v>607</v>
      </c>
      <c r="BF89" s="141">
        <v>692</v>
      </c>
      <c r="BJ89" s="138"/>
      <c r="BK89" s="28"/>
      <c r="BL89" s="212">
        <v>53</v>
      </c>
      <c r="BM89" s="28" t="s">
        <v>73</v>
      </c>
      <c r="BN89" s="141"/>
    </row>
    <row r="90" spans="3:67" x14ac:dyDescent="0.3">
      <c r="C90" s="142" t="s">
        <v>84</v>
      </c>
      <c r="D90" s="142">
        <f>SUM(D88:D89)</f>
        <v>1153</v>
      </c>
      <c r="E90" s="143">
        <f>SUM(E88:E89)</f>
        <v>1563</v>
      </c>
      <c r="F90" s="142"/>
      <c r="G90" s="143">
        <f>SUM(G88:G89)</f>
        <v>1135</v>
      </c>
      <c r="H90" s="143"/>
      <c r="I90" s="199">
        <v>3000</v>
      </c>
      <c r="J90" s="143"/>
      <c r="K90" s="143"/>
      <c r="L90" s="146">
        <f>SUM(J89)</f>
        <v>8</v>
      </c>
      <c r="N90" s="138" t="s">
        <v>109</v>
      </c>
      <c r="O90" s="138">
        <v>2122</v>
      </c>
      <c r="P90" s="196">
        <v>0</v>
      </c>
      <c r="Q90" s="138">
        <v>0</v>
      </c>
      <c r="R90" s="196">
        <v>0</v>
      </c>
      <c r="S90" s="141">
        <v>0</v>
      </c>
      <c r="T90" s="138">
        <v>0</v>
      </c>
      <c r="U90" s="196">
        <v>0</v>
      </c>
      <c r="V90" s="138"/>
      <c r="W90" s="141"/>
      <c r="AD90" s="42" t="s">
        <v>817</v>
      </c>
      <c r="AE90" s="42"/>
      <c r="AF90" s="40">
        <v>1989</v>
      </c>
      <c r="AG90" s="28">
        <v>0</v>
      </c>
      <c r="AH90" s="28">
        <v>0</v>
      </c>
      <c r="AI90" s="28">
        <v>0</v>
      </c>
      <c r="AJ90" s="42"/>
      <c r="AK90" s="40"/>
      <c r="AL90" s="41">
        <v>0</v>
      </c>
      <c r="AM90" s="28"/>
      <c r="AN90" s="28" t="s">
        <v>6</v>
      </c>
      <c r="AO90" s="40"/>
      <c r="AR90" s="138" t="s">
        <v>132</v>
      </c>
      <c r="AS90" s="138">
        <v>0</v>
      </c>
      <c r="AT90" s="141">
        <v>0</v>
      </c>
      <c r="AU90" s="138"/>
      <c r="AV90" s="141"/>
      <c r="AW90" s="28"/>
      <c r="AX90" s="28"/>
      <c r="AY90" s="28"/>
      <c r="AZ90" s="28"/>
      <c r="BA90" s="141"/>
      <c r="BD90" s="212" t="s">
        <v>97</v>
      </c>
      <c r="BE90" s="212">
        <v>109</v>
      </c>
      <c r="BF90" s="209">
        <v>120</v>
      </c>
      <c r="BJ90" s="138"/>
      <c r="BK90" s="28"/>
      <c r="BL90" s="138">
        <v>1</v>
      </c>
      <c r="BM90" s="43" t="s">
        <v>433</v>
      </c>
      <c r="BN90" s="141"/>
    </row>
    <row r="91" spans="3:67" x14ac:dyDescent="0.3">
      <c r="C91" s="195" t="s">
        <v>785</v>
      </c>
      <c r="D91">
        <v>0</v>
      </c>
      <c r="E91" s="43">
        <v>0</v>
      </c>
      <c r="F91" s="134"/>
      <c r="G91" s="135"/>
      <c r="H91" s="136"/>
      <c r="I91" t="s">
        <v>6</v>
      </c>
      <c r="J91" s="134"/>
      <c r="K91" s="135"/>
      <c r="L91" s="136"/>
      <c r="N91" s="142"/>
      <c r="O91" s="142"/>
      <c r="P91" s="199"/>
      <c r="Q91" s="142"/>
      <c r="R91" s="199"/>
      <c r="S91" s="146"/>
      <c r="T91" s="142"/>
      <c r="U91" s="199"/>
      <c r="V91" s="142"/>
      <c r="W91" s="146"/>
      <c r="AD91" s="42" t="s">
        <v>164</v>
      </c>
      <c r="AE91" s="42">
        <v>85</v>
      </c>
      <c r="AF91" s="40"/>
      <c r="AG91" s="28">
        <v>0</v>
      </c>
      <c r="AH91" s="28">
        <v>3</v>
      </c>
      <c r="AI91" s="28">
        <v>0</v>
      </c>
      <c r="AJ91" s="42"/>
      <c r="AK91" s="40"/>
      <c r="AL91" s="41"/>
      <c r="AM91" s="28">
        <v>18</v>
      </c>
      <c r="AN91" s="43" t="s">
        <v>1285</v>
      </c>
      <c r="AO91" s="40"/>
      <c r="AR91" s="138" t="s">
        <v>81</v>
      </c>
      <c r="AS91" s="138">
        <v>12</v>
      </c>
      <c r="AT91" s="141">
        <v>11</v>
      </c>
      <c r="AU91" s="138"/>
      <c r="AV91" s="141"/>
      <c r="AW91" s="28"/>
      <c r="AX91" s="28"/>
      <c r="AY91" s="28"/>
      <c r="AZ91" s="28"/>
      <c r="BA91" s="141"/>
      <c r="BC91" t="s">
        <v>6</v>
      </c>
      <c r="BD91" s="212" t="s">
        <v>250</v>
      </c>
      <c r="BE91" s="212">
        <v>18</v>
      </c>
      <c r="BF91" s="209">
        <v>0</v>
      </c>
      <c r="BJ91" s="138"/>
      <c r="BK91" s="28"/>
      <c r="BL91" s="138">
        <v>1</v>
      </c>
      <c r="BM91" s="43" t="s">
        <v>145</v>
      </c>
      <c r="BN91" s="28"/>
      <c r="BO91" s="138"/>
    </row>
    <row r="92" spans="3:67" ht="15" thickBot="1" x14ac:dyDescent="0.35">
      <c r="C92" s="196" t="s">
        <v>93</v>
      </c>
      <c r="D92" s="28">
        <v>5339</v>
      </c>
      <c r="E92" s="43">
        <v>5867</v>
      </c>
      <c r="F92" s="138"/>
      <c r="G92" s="28"/>
      <c r="H92" s="141"/>
      <c r="I92" s="28">
        <v>6451</v>
      </c>
      <c r="J92" s="138" t="s">
        <v>118</v>
      </c>
      <c r="K92" s="28"/>
      <c r="L92" s="141"/>
      <c r="N92" s="134" t="s">
        <v>93</v>
      </c>
      <c r="O92" s="134">
        <v>0</v>
      </c>
      <c r="P92" s="195">
        <v>0</v>
      </c>
      <c r="Q92" s="134"/>
      <c r="R92" s="195"/>
      <c r="S92" s="136"/>
      <c r="T92" s="134">
        <v>0</v>
      </c>
      <c r="U92" s="195">
        <v>0</v>
      </c>
      <c r="V92" s="134" t="s">
        <v>116</v>
      </c>
      <c r="W92" s="136"/>
      <c r="AD92" s="42" t="s">
        <v>84</v>
      </c>
      <c r="AE92" s="42">
        <f>SUM(AE90:AE91)</f>
        <v>85</v>
      </c>
      <c r="AF92" s="40">
        <f>SUM(AF90:AF91)</f>
        <v>1989</v>
      </c>
      <c r="AG92" s="28">
        <v>0</v>
      </c>
      <c r="AH92" s="28">
        <v>0</v>
      </c>
      <c r="AI92" s="28">
        <v>0</v>
      </c>
      <c r="AJ92" s="42"/>
      <c r="AK92" s="40"/>
      <c r="AL92" s="41"/>
      <c r="AM92" s="28"/>
      <c r="AN92" s="28"/>
      <c r="AO92" s="40"/>
      <c r="AR92" s="138" t="s">
        <v>138</v>
      </c>
      <c r="AS92" s="138">
        <v>0</v>
      </c>
      <c r="AT92" s="141">
        <v>0</v>
      </c>
      <c r="AU92" s="138"/>
      <c r="AV92" s="141"/>
      <c r="AW92" s="28"/>
      <c r="AX92" s="28"/>
      <c r="AY92" s="28"/>
      <c r="AZ92" s="28"/>
      <c r="BA92" s="141"/>
      <c r="BD92" s="138" t="s">
        <v>84</v>
      </c>
      <c r="BE92" s="138">
        <f>SUM(BE87:BE91)</f>
        <v>1756</v>
      </c>
      <c r="BF92" s="141">
        <f>SUM(BF87:BF91)</f>
        <v>1957</v>
      </c>
      <c r="BG92">
        <v>0</v>
      </c>
      <c r="BH92">
        <v>0</v>
      </c>
      <c r="BI92">
        <v>0</v>
      </c>
      <c r="BJ92" s="142">
        <v>0</v>
      </c>
      <c r="BK92" s="143">
        <v>0</v>
      </c>
      <c r="BL92" s="142"/>
      <c r="BM92" s="143" t="s">
        <v>780</v>
      </c>
      <c r="BN92" s="146">
        <f>SUM(BL88:BL92)</f>
        <v>70</v>
      </c>
    </row>
    <row r="93" spans="3:67" x14ac:dyDescent="0.3">
      <c r="C93" s="196" t="s">
        <v>120</v>
      </c>
      <c r="D93" s="43">
        <v>3784</v>
      </c>
      <c r="E93" s="43">
        <v>4099</v>
      </c>
      <c r="F93" s="138"/>
      <c r="G93" s="28" t="s">
        <v>60</v>
      </c>
      <c r="H93" s="141"/>
      <c r="I93" s="28">
        <v>4710</v>
      </c>
      <c r="J93" s="138">
        <v>57</v>
      </c>
      <c r="K93" s="28" t="s">
        <v>101</v>
      </c>
      <c r="L93" s="141"/>
      <c r="N93" s="138" t="s">
        <v>99</v>
      </c>
      <c r="O93" s="138">
        <v>13380</v>
      </c>
      <c r="P93" s="196">
        <v>11094</v>
      </c>
      <c r="Q93" s="138"/>
      <c r="R93" s="196"/>
      <c r="S93" s="141"/>
      <c r="T93" s="138">
        <v>2540</v>
      </c>
      <c r="U93" s="196">
        <v>1768</v>
      </c>
      <c r="V93" s="138"/>
      <c r="W93" s="141"/>
      <c r="AD93" s="33"/>
      <c r="AE93" s="33"/>
      <c r="AF93" s="35"/>
      <c r="AG93" s="34"/>
      <c r="AH93" s="34"/>
      <c r="AI93" s="34"/>
      <c r="AJ93" s="33"/>
      <c r="AK93" s="35"/>
      <c r="AL93" s="32"/>
      <c r="AM93" s="34"/>
      <c r="AN93" s="34" t="s">
        <v>117</v>
      </c>
      <c r="AO93" s="35"/>
      <c r="AR93" s="138" t="s">
        <v>56</v>
      </c>
      <c r="AS93" s="138">
        <v>0</v>
      </c>
      <c r="AT93" s="141">
        <v>0</v>
      </c>
      <c r="AU93" s="138"/>
      <c r="AV93" s="141"/>
      <c r="AW93" s="28"/>
      <c r="AX93" s="28"/>
      <c r="AY93" s="28"/>
      <c r="AZ93" s="28"/>
      <c r="BA93" s="141"/>
      <c r="BD93" s="134"/>
      <c r="BE93" s="134"/>
      <c r="BF93" s="136"/>
      <c r="BG93" s="135"/>
      <c r="BH93" s="135"/>
      <c r="BI93" s="135"/>
      <c r="BJ93" s="134"/>
      <c r="BK93" s="136"/>
      <c r="BL93" s="135" t="s">
        <v>1025</v>
      </c>
      <c r="BM93" s="135"/>
      <c r="BN93" s="136"/>
    </row>
    <row r="94" spans="3:67" x14ac:dyDescent="0.3">
      <c r="C94" s="199" t="s">
        <v>84</v>
      </c>
      <c r="D94" s="143">
        <f>SUM(D91:D93)</f>
        <v>9123</v>
      </c>
      <c r="E94" s="143">
        <f>SUM(E91:E93)</f>
        <v>9966</v>
      </c>
      <c r="F94" s="142"/>
      <c r="G94" s="143"/>
      <c r="H94" s="146"/>
      <c r="I94" s="143">
        <f>SUM(I91:I93)</f>
        <v>11161</v>
      </c>
      <c r="J94" s="142">
        <v>13</v>
      </c>
      <c r="K94" s="143" t="s">
        <v>927</v>
      </c>
      <c r="L94" s="146">
        <f>SUM(J93:J94)</f>
        <v>70</v>
      </c>
      <c r="N94" s="138" t="s">
        <v>120</v>
      </c>
      <c r="O94" s="138">
        <v>69</v>
      </c>
      <c r="P94" s="196">
        <v>13985</v>
      </c>
      <c r="Q94" s="138"/>
      <c r="R94" s="196"/>
      <c r="S94" s="141"/>
      <c r="T94" s="138">
        <v>0</v>
      </c>
      <c r="U94" s="196">
        <v>0</v>
      </c>
      <c r="V94" s="138"/>
      <c r="W94" s="141"/>
      <c r="AD94" s="42"/>
      <c r="AE94" s="42"/>
      <c r="AF94" s="40"/>
      <c r="AG94" s="28"/>
      <c r="AH94" s="28"/>
      <c r="AI94" s="28"/>
      <c r="AJ94" s="42"/>
      <c r="AK94" s="40"/>
      <c r="AL94" s="41"/>
      <c r="AM94" s="28"/>
      <c r="AN94" s="28" t="s">
        <v>558</v>
      </c>
      <c r="AO94" s="40"/>
      <c r="AR94" s="138" t="s">
        <v>67</v>
      </c>
      <c r="AS94" s="138">
        <v>72</v>
      </c>
      <c r="AT94" s="141">
        <v>72</v>
      </c>
      <c r="AU94" s="138"/>
      <c r="AV94" s="141"/>
      <c r="AW94" s="28"/>
      <c r="AX94" s="28"/>
      <c r="AY94" s="28"/>
      <c r="AZ94" s="28"/>
      <c r="BA94" s="141"/>
      <c r="BD94" s="142" t="s">
        <v>64</v>
      </c>
      <c r="BE94" s="142">
        <v>52</v>
      </c>
      <c r="BF94" s="146">
        <v>45</v>
      </c>
      <c r="BG94" s="143">
        <v>0</v>
      </c>
      <c r="BH94" s="143">
        <v>0</v>
      </c>
      <c r="BI94" s="143">
        <v>0</v>
      </c>
      <c r="BJ94" s="142">
        <v>0</v>
      </c>
      <c r="BK94" s="146">
        <v>0</v>
      </c>
      <c r="BL94" s="143">
        <v>7</v>
      </c>
      <c r="BM94" s="143" t="s">
        <v>1026</v>
      </c>
      <c r="BN94" s="146">
        <f>SUM(BL94)</f>
        <v>7</v>
      </c>
      <c r="BO94" t="s">
        <v>6</v>
      </c>
    </row>
    <row r="95" spans="3:67" x14ac:dyDescent="0.3">
      <c r="C95" s="195" t="s">
        <v>99</v>
      </c>
      <c r="D95" s="43">
        <v>0</v>
      </c>
      <c r="E95" s="43">
        <v>246</v>
      </c>
      <c r="F95" s="134"/>
      <c r="G95" s="135"/>
      <c r="H95" s="136"/>
      <c r="I95" s="43">
        <v>635</v>
      </c>
      <c r="J95" s="134" t="s">
        <v>131</v>
      </c>
      <c r="K95" s="135"/>
      <c r="L95" s="136"/>
      <c r="N95" s="142" t="s">
        <v>84</v>
      </c>
      <c r="O95" s="142">
        <f>SUM(O92:O94)</f>
        <v>13449</v>
      </c>
      <c r="P95" s="199">
        <f>SUM(P92:P94)</f>
        <v>25079</v>
      </c>
      <c r="Q95" s="142">
        <v>0</v>
      </c>
      <c r="R95" s="199">
        <v>0</v>
      </c>
      <c r="S95" s="146">
        <v>0</v>
      </c>
      <c r="T95" s="142">
        <f>SUM(T92:T94)</f>
        <v>2540</v>
      </c>
      <c r="U95" s="199">
        <f>SUM(U92:U94)</f>
        <v>1768</v>
      </c>
      <c r="V95" s="142"/>
      <c r="W95" s="146"/>
      <c r="AD95" s="42"/>
      <c r="AE95" s="42"/>
      <c r="AF95" s="40"/>
      <c r="AG95" s="28"/>
      <c r="AH95" s="28"/>
      <c r="AI95" s="28"/>
      <c r="AJ95" s="42"/>
      <c r="AK95" s="40"/>
      <c r="AL95" s="41"/>
      <c r="AM95" s="28"/>
      <c r="AN95" s="28" t="s">
        <v>401</v>
      </c>
      <c r="AO95" s="40"/>
      <c r="AR95" s="142" t="s">
        <v>84</v>
      </c>
      <c r="AS95" s="142">
        <f>SUM(AS83:AS94)</f>
        <v>377</v>
      </c>
      <c r="AT95" s="146">
        <f>SUM(AT83:AT94)</f>
        <v>327</v>
      </c>
      <c r="AU95" s="142"/>
      <c r="AV95" s="146">
        <v>0</v>
      </c>
      <c r="AW95" s="143"/>
      <c r="AX95" s="143"/>
      <c r="AY95" s="143"/>
      <c r="AZ95" s="143"/>
      <c r="BA95" s="146">
        <f>SUM(AX87:AX89)</f>
        <v>115</v>
      </c>
      <c r="BD95" s="138" t="s">
        <v>113</v>
      </c>
      <c r="BE95" s="138">
        <v>438</v>
      </c>
      <c r="BF95" s="141">
        <v>440</v>
      </c>
      <c r="BG95" s="28"/>
      <c r="BH95" s="28"/>
      <c r="BI95" s="28"/>
      <c r="BJ95" s="138"/>
      <c r="BK95" s="141"/>
      <c r="BL95" s="28" t="s">
        <v>994</v>
      </c>
      <c r="BM95" s="28"/>
      <c r="BN95" s="141"/>
    </row>
    <row r="96" spans="3:67" ht="15" thickBot="1" x14ac:dyDescent="0.35">
      <c r="C96" s="196" t="s">
        <v>88</v>
      </c>
      <c r="D96" s="28">
        <v>195</v>
      </c>
      <c r="E96" s="28">
        <v>587</v>
      </c>
      <c r="F96" s="138"/>
      <c r="G96" s="28">
        <v>0</v>
      </c>
      <c r="H96" s="141"/>
      <c r="I96" s="43">
        <v>796</v>
      </c>
      <c r="J96" s="138">
        <v>2</v>
      </c>
      <c r="K96" s="28" t="s">
        <v>1072</v>
      </c>
      <c r="L96" s="141"/>
      <c r="N96" s="134"/>
      <c r="O96" s="134"/>
      <c r="P96" s="195"/>
      <c r="Q96" s="134"/>
      <c r="R96" s="195"/>
      <c r="S96" s="136"/>
      <c r="T96" s="134"/>
      <c r="U96" s="195"/>
      <c r="V96" s="134"/>
      <c r="W96" s="136"/>
      <c r="AD96" s="47"/>
      <c r="AE96" s="47"/>
      <c r="AF96" s="49"/>
      <c r="AG96" s="48"/>
      <c r="AH96" s="48"/>
      <c r="AI96" s="48"/>
      <c r="AJ96" s="47"/>
      <c r="AK96" s="49"/>
      <c r="AL96" s="46"/>
      <c r="AM96" s="48"/>
      <c r="AN96" s="48" t="s">
        <v>124</v>
      </c>
      <c r="AO96" s="49"/>
      <c r="AR96" s="134"/>
      <c r="AS96" s="134"/>
      <c r="AT96" s="136"/>
      <c r="AU96" s="134"/>
      <c r="AV96" s="136"/>
      <c r="AW96" s="135"/>
      <c r="AX96" s="135"/>
      <c r="AY96" s="135"/>
      <c r="AZ96" s="135"/>
      <c r="BA96" s="136"/>
      <c r="BD96" s="138" t="s">
        <v>93</v>
      </c>
      <c r="BE96" s="138">
        <v>0</v>
      </c>
      <c r="BF96" s="141">
        <v>0</v>
      </c>
      <c r="BG96" s="28"/>
      <c r="BH96" s="28"/>
      <c r="BI96" s="28"/>
      <c r="BJ96" s="138"/>
      <c r="BK96" s="141"/>
      <c r="BL96" s="28">
        <v>17</v>
      </c>
      <c r="BM96" s="28" t="s">
        <v>100</v>
      </c>
      <c r="BN96" s="141"/>
    </row>
    <row r="97" spans="3:66" x14ac:dyDescent="0.3">
      <c r="C97" s="196" t="s">
        <v>102</v>
      </c>
      <c r="D97" s="28">
        <v>120</v>
      </c>
      <c r="E97" s="43">
        <v>233</v>
      </c>
      <c r="F97" s="138"/>
      <c r="G97" s="28">
        <v>0</v>
      </c>
      <c r="H97" s="141"/>
      <c r="I97" s="43">
        <v>617</v>
      </c>
      <c r="J97" s="138">
        <v>4</v>
      </c>
      <c r="K97" s="28" t="s">
        <v>134</v>
      </c>
      <c r="L97" s="141" t="s">
        <v>1134</v>
      </c>
      <c r="N97" s="138" t="s">
        <v>105</v>
      </c>
      <c r="O97" s="138">
        <v>701</v>
      </c>
      <c r="P97" s="196">
        <v>0</v>
      </c>
      <c r="Q97" s="138" t="s">
        <v>6</v>
      </c>
      <c r="R97" s="196"/>
      <c r="S97" s="141"/>
      <c r="T97" s="138">
        <v>26</v>
      </c>
      <c r="U97" s="196">
        <v>0</v>
      </c>
      <c r="V97" s="138"/>
      <c r="W97" s="141"/>
      <c r="AD97" s="33" t="s">
        <v>97</v>
      </c>
      <c r="AE97" s="33">
        <v>84</v>
      </c>
      <c r="AF97" s="35">
        <v>142</v>
      </c>
      <c r="AG97" s="34"/>
      <c r="AH97" s="34"/>
      <c r="AI97" s="34"/>
      <c r="AJ97" s="33"/>
      <c r="AK97" s="35"/>
      <c r="AL97" s="32"/>
      <c r="AM97" s="34"/>
      <c r="AN97" s="34"/>
      <c r="AO97" s="35"/>
      <c r="AR97" s="138" t="s">
        <v>63</v>
      </c>
      <c r="AS97" s="138">
        <v>0</v>
      </c>
      <c r="AT97" s="141">
        <v>0</v>
      </c>
      <c r="AU97" s="138"/>
      <c r="AV97" s="141"/>
      <c r="AW97" s="28"/>
      <c r="AX97" s="28"/>
      <c r="AY97" s="28"/>
      <c r="AZ97" s="28"/>
      <c r="BA97" s="141"/>
      <c r="BD97" s="142" t="s">
        <v>84</v>
      </c>
      <c r="BE97" s="142">
        <f>SUM(BE95:BE96)</f>
        <v>438</v>
      </c>
      <c r="BF97" s="146">
        <f>SUM(BF95:BF96)</f>
        <v>440</v>
      </c>
      <c r="BG97" s="143">
        <v>0</v>
      </c>
      <c r="BH97" s="143">
        <v>0</v>
      </c>
      <c r="BI97" s="143">
        <v>0</v>
      </c>
      <c r="BJ97" s="142">
        <v>0</v>
      </c>
      <c r="BK97" s="146">
        <v>0</v>
      </c>
      <c r="BL97" s="43">
        <v>23</v>
      </c>
      <c r="BM97" s="43" t="s">
        <v>73</v>
      </c>
      <c r="BN97" s="146">
        <f>SUM(BL96:BL97)</f>
        <v>40</v>
      </c>
    </row>
    <row r="98" spans="3:66" x14ac:dyDescent="0.3">
      <c r="C98" s="196" t="s">
        <v>84</v>
      </c>
      <c r="D98" s="28">
        <f>SUM(D95:D97)</f>
        <v>315</v>
      </c>
      <c r="E98" s="28">
        <f>SUM(E95:E97)</f>
        <v>1066</v>
      </c>
      <c r="F98" s="138"/>
      <c r="G98" s="28">
        <v>0</v>
      </c>
      <c r="H98" s="141"/>
      <c r="I98" s="28"/>
      <c r="J98" s="138">
        <v>11</v>
      </c>
      <c r="K98" s="257" t="s">
        <v>815</v>
      </c>
      <c r="L98" s="141" t="s">
        <v>6</v>
      </c>
      <c r="N98" s="138" t="s">
        <v>99</v>
      </c>
      <c r="O98" s="138">
        <v>6</v>
      </c>
      <c r="P98" s="196">
        <v>0</v>
      </c>
      <c r="Q98" s="138"/>
      <c r="R98" s="196"/>
      <c r="S98" s="141"/>
      <c r="T98" s="138">
        <v>0</v>
      </c>
      <c r="U98" s="196">
        <v>0</v>
      </c>
      <c r="V98" s="138" t="s">
        <v>135</v>
      </c>
      <c r="W98" s="141"/>
      <c r="AD98" s="42" t="s">
        <v>89</v>
      </c>
      <c r="AE98" s="42">
        <v>412</v>
      </c>
      <c r="AF98" s="40">
        <v>343</v>
      </c>
      <c r="AG98" s="28"/>
      <c r="AH98" s="28"/>
      <c r="AI98" s="28"/>
      <c r="AJ98" s="42"/>
      <c r="AK98" s="40"/>
      <c r="AL98" s="41"/>
      <c r="AM98" s="28" t="s">
        <v>953</v>
      </c>
      <c r="AN98" s="28"/>
      <c r="AO98" s="40"/>
      <c r="AR98" s="138" t="s">
        <v>536</v>
      </c>
      <c r="AS98" s="138">
        <v>0</v>
      </c>
      <c r="AT98" s="141">
        <v>0</v>
      </c>
      <c r="AU98" s="138"/>
      <c r="AV98" s="141"/>
      <c r="AW98" s="28"/>
      <c r="AX98" s="28"/>
      <c r="AY98" s="28"/>
      <c r="AZ98" s="28"/>
      <c r="BA98" s="141"/>
      <c r="BD98" s="196" t="s">
        <v>214</v>
      </c>
      <c r="BE98" s="138">
        <v>1</v>
      </c>
      <c r="BF98" s="141">
        <v>0</v>
      </c>
      <c r="BG98" s="134"/>
      <c r="BH98" s="135"/>
      <c r="BI98" s="136"/>
      <c r="BJ98" s="138"/>
      <c r="BK98" s="141"/>
      <c r="BL98" s="134" t="s">
        <v>140</v>
      </c>
      <c r="BM98" s="135"/>
      <c r="BN98" s="136"/>
    </row>
    <row r="99" spans="3:66" x14ac:dyDescent="0.3">
      <c r="C99" s="199"/>
      <c r="F99" s="142"/>
      <c r="G99" s="143"/>
      <c r="H99" s="146"/>
      <c r="I99">
        <v>4306</v>
      </c>
      <c r="J99" s="142">
        <v>4</v>
      </c>
      <c r="K99" s="143" t="s">
        <v>1829</v>
      </c>
      <c r="L99" s="141">
        <f>SUM(J96:J99)</f>
        <v>21</v>
      </c>
      <c r="N99" s="138"/>
      <c r="O99" s="138"/>
      <c r="P99" s="196"/>
      <c r="Q99" s="138"/>
      <c r="R99" s="196"/>
      <c r="S99" s="141"/>
      <c r="T99" s="138"/>
      <c r="U99" s="196"/>
      <c r="V99" s="138"/>
      <c r="W99" s="141"/>
      <c r="AD99" s="42" t="s">
        <v>137</v>
      </c>
      <c r="AE99" s="42">
        <v>218</v>
      </c>
      <c r="AF99" s="40">
        <v>182</v>
      </c>
      <c r="AG99" s="28"/>
      <c r="AH99" s="28"/>
      <c r="AI99" s="28"/>
      <c r="AJ99" s="42"/>
      <c r="AK99" s="40"/>
      <c r="AL99" s="41"/>
      <c r="AM99" s="28">
        <v>3</v>
      </c>
      <c r="AN99" s="28" t="s">
        <v>884</v>
      </c>
      <c r="AO99" s="40"/>
      <c r="AR99" s="138" t="s">
        <v>56</v>
      </c>
      <c r="AS99" s="138">
        <v>0</v>
      </c>
      <c r="AT99" s="141">
        <v>0</v>
      </c>
      <c r="AU99" s="138"/>
      <c r="AV99" s="141"/>
      <c r="AW99" s="28"/>
      <c r="AX99" s="28" t="s">
        <v>173</v>
      </c>
      <c r="AY99" s="28"/>
      <c r="AZ99" s="28"/>
      <c r="BA99" s="141"/>
      <c r="BD99" s="196" t="s">
        <v>1255</v>
      </c>
      <c r="BE99" s="138">
        <v>2</v>
      </c>
      <c r="BF99" s="141">
        <v>2</v>
      </c>
      <c r="BG99" s="138"/>
      <c r="BH99" s="28"/>
      <c r="BI99" s="141"/>
      <c r="BJ99" s="138"/>
      <c r="BK99" s="141"/>
      <c r="BL99" s="138"/>
      <c r="BM99" s="28"/>
      <c r="BN99" s="141"/>
    </row>
    <row r="100" spans="3:66" x14ac:dyDescent="0.3">
      <c r="C100" s="134" t="s">
        <v>93</v>
      </c>
      <c r="D100" s="134">
        <v>6329</v>
      </c>
      <c r="E100" s="135">
        <v>7245</v>
      </c>
      <c r="F100" s="134"/>
      <c r="G100" s="135" t="s">
        <v>60</v>
      </c>
      <c r="H100" s="135"/>
      <c r="I100" s="195">
        <v>8684</v>
      </c>
      <c r="J100" s="135" t="s">
        <v>116</v>
      </c>
      <c r="K100" s="135"/>
      <c r="L100" s="136"/>
      <c r="N100" s="142" t="s">
        <v>84</v>
      </c>
      <c r="O100" s="142">
        <f>SUM(O97:O99)</f>
        <v>707</v>
      </c>
      <c r="P100" s="199">
        <f>SUM(P97:P99)</f>
        <v>0</v>
      </c>
      <c r="Q100" s="142">
        <v>0</v>
      </c>
      <c r="R100" s="199">
        <v>0</v>
      </c>
      <c r="S100" s="146">
        <v>0</v>
      </c>
      <c r="T100" s="142">
        <f>SUM(T97:T99)</f>
        <v>26</v>
      </c>
      <c r="U100" s="199">
        <v>0</v>
      </c>
      <c r="V100" s="142"/>
      <c r="W100" s="146"/>
      <c r="AD100" s="42" t="s">
        <v>84</v>
      </c>
      <c r="AE100" s="42">
        <f>SUM(AE97:AE99)</f>
        <v>714</v>
      </c>
      <c r="AF100" s="40">
        <f>SUM(AF97:AF99)</f>
        <v>667</v>
      </c>
      <c r="AG100" s="28">
        <v>0</v>
      </c>
      <c r="AH100" s="28">
        <v>0</v>
      </c>
      <c r="AI100" s="28">
        <v>0</v>
      </c>
      <c r="AJ100" s="42">
        <v>0</v>
      </c>
      <c r="AK100" s="40">
        <v>0</v>
      </c>
      <c r="AL100" s="41">
        <v>0</v>
      </c>
      <c r="AM100" s="43">
        <v>14</v>
      </c>
      <c r="AN100" s="28" t="s">
        <v>141</v>
      </c>
      <c r="AO100" s="40"/>
      <c r="AR100" s="138" t="s">
        <v>67</v>
      </c>
      <c r="AS100" s="138">
        <v>0</v>
      </c>
      <c r="AT100" s="141">
        <v>0</v>
      </c>
      <c r="AU100" s="138"/>
      <c r="AV100" s="141"/>
      <c r="AW100" s="28"/>
      <c r="AX100" s="28"/>
      <c r="AY100" s="28"/>
      <c r="AZ100" s="28"/>
      <c r="BA100" s="141"/>
      <c r="BD100" s="196" t="s">
        <v>211</v>
      </c>
      <c r="BE100" s="138">
        <v>8</v>
      </c>
      <c r="BF100" s="141">
        <v>0</v>
      </c>
      <c r="BG100" s="138"/>
      <c r="BH100" s="28"/>
      <c r="BI100" s="141"/>
      <c r="BJ100" s="138"/>
      <c r="BK100" s="141"/>
      <c r="BL100" s="138"/>
      <c r="BM100" s="28"/>
      <c r="BN100" s="141"/>
    </row>
    <row r="101" spans="3:66" ht="15" thickBot="1" x14ac:dyDescent="0.35">
      <c r="C101" s="138" t="s">
        <v>99</v>
      </c>
      <c r="D101" s="138">
        <v>8763</v>
      </c>
      <c r="E101" s="43">
        <v>9564</v>
      </c>
      <c r="F101" s="138"/>
      <c r="G101" s="28" t="s">
        <v>60</v>
      </c>
      <c r="H101" s="28"/>
      <c r="I101" s="196">
        <v>12174</v>
      </c>
      <c r="J101" s="43">
        <v>120</v>
      </c>
      <c r="K101" s="28" t="s">
        <v>144</v>
      </c>
      <c r="L101" s="141"/>
      <c r="N101" s="138"/>
      <c r="O101" s="138"/>
      <c r="P101" s="196"/>
      <c r="Q101" s="138"/>
      <c r="R101" s="196"/>
      <c r="S101" s="141"/>
      <c r="T101" s="138"/>
      <c r="U101" s="196"/>
      <c r="V101" s="138"/>
      <c r="W101" s="141"/>
      <c r="AD101" s="47"/>
      <c r="AE101" s="47"/>
      <c r="AF101" s="49"/>
      <c r="AG101" s="48"/>
      <c r="AH101" s="48"/>
      <c r="AI101" s="48"/>
      <c r="AJ101" s="47"/>
      <c r="AK101" s="49"/>
      <c r="AL101" s="46"/>
      <c r="AM101" s="48">
        <v>0</v>
      </c>
      <c r="AN101" s="48" t="s">
        <v>145</v>
      </c>
      <c r="AO101" s="49"/>
      <c r="AR101" s="138" t="s">
        <v>78</v>
      </c>
      <c r="AS101" s="138">
        <v>0</v>
      </c>
      <c r="AT101" s="141">
        <v>0</v>
      </c>
      <c r="AU101" s="138"/>
      <c r="AV101" s="141"/>
      <c r="AW101" s="28"/>
      <c r="AX101" s="28">
        <v>0</v>
      </c>
      <c r="AY101" s="28" t="s">
        <v>183</v>
      </c>
      <c r="AZ101" s="28"/>
      <c r="BA101" s="141"/>
      <c r="BC101" t="s">
        <v>6</v>
      </c>
      <c r="BD101" s="196" t="s">
        <v>113</v>
      </c>
      <c r="BE101" s="138">
        <f>1+22</f>
        <v>23</v>
      </c>
      <c r="BF101" s="141">
        <f>16+1+1</f>
        <v>18</v>
      </c>
      <c r="BG101" s="138"/>
      <c r="BH101" s="28"/>
      <c r="BI101" s="141" t="s">
        <v>6</v>
      </c>
      <c r="BJ101" s="138"/>
      <c r="BK101" s="141"/>
      <c r="BL101" s="138" t="s">
        <v>142</v>
      </c>
      <c r="BM101" s="28"/>
      <c r="BN101" s="141" t="s">
        <v>730</v>
      </c>
    </row>
    <row r="102" spans="3:66" x14ac:dyDescent="0.3">
      <c r="C102" s="138" t="s">
        <v>120</v>
      </c>
      <c r="D102" s="138">
        <v>3375</v>
      </c>
      <c r="E102" s="43">
        <v>3675</v>
      </c>
      <c r="F102" s="138"/>
      <c r="G102" s="28" t="s">
        <v>60</v>
      </c>
      <c r="H102" s="28"/>
      <c r="I102" s="196">
        <v>4345</v>
      </c>
      <c r="J102" s="43">
        <v>0</v>
      </c>
      <c r="K102" s="28" t="s">
        <v>148</v>
      </c>
      <c r="L102" s="141"/>
      <c r="N102" s="138"/>
      <c r="O102" s="138"/>
      <c r="P102" s="196"/>
      <c r="Q102" s="138"/>
      <c r="R102" s="196"/>
      <c r="S102" s="141"/>
      <c r="T102" s="138"/>
      <c r="U102" s="196"/>
      <c r="V102" s="138"/>
      <c r="W102" s="141"/>
      <c r="AD102" s="42"/>
      <c r="AE102" s="42"/>
      <c r="AF102" s="40"/>
      <c r="AG102" s="28"/>
      <c r="AH102" s="28"/>
      <c r="AI102" s="28"/>
      <c r="AJ102" s="42"/>
      <c r="AK102" s="40"/>
      <c r="AL102" s="41"/>
      <c r="AM102" s="28" t="s">
        <v>149</v>
      </c>
      <c r="AN102" s="28"/>
      <c r="AO102" s="40"/>
      <c r="AP102" t="s">
        <v>6</v>
      </c>
      <c r="AR102" s="138" t="s">
        <v>115</v>
      </c>
      <c r="AS102" s="138">
        <v>0</v>
      </c>
      <c r="AT102" s="141">
        <v>0</v>
      </c>
      <c r="AU102" s="138"/>
      <c r="AV102" s="141"/>
      <c r="AW102" s="28"/>
      <c r="AX102" s="28" t="s">
        <v>6</v>
      </c>
      <c r="AY102" s="28"/>
      <c r="AZ102" s="28"/>
      <c r="BA102" s="141"/>
      <c r="BD102" s="196" t="s">
        <v>108</v>
      </c>
      <c r="BE102" s="138">
        <v>2</v>
      </c>
      <c r="BF102" s="141">
        <v>2</v>
      </c>
      <c r="BG102" s="138"/>
      <c r="BH102" s="28"/>
      <c r="BI102" s="141">
        <v>2</v>
      </c>
      <c r="BJ102" s="138"/>
      <c r="BK102" s="141"/>
      <c r="BL102" s="138" t="s">
        <v>146</v>
      </c>
      <c r="BM102" s="28"/>
      <c r="BN102" s="141" t="s">
        <v>955</v>
      </c>
    </row>
    <row r="103" spans="3:66" x14ac:dyDescent="0.3">
      <c r="C103" s="138" t="s">
        <v>84</v>
      </c>
      <c r="D103" s="138">
        <f>SUM(D100:D102)</f>
        <v>18467</v>
      </c>
      <c r="E103" s="28">
        <f>SUM(E100:E102)</f>
        <v>20484</v>
      </c>
      <c r="F103" s="138"/>
      <c r="G103" s="28" t="s">
        <v>60</v>
      </c>
      <c r="H103" s="28"/>
      <c r="I103" s="196">
        <f>SUM(I100:I102)</f>
        <v>25203</v>
      </c>
      <c r="J103" s="43">
        <v>30</v>
      </c>
      <c r="K103" s="28" t="s">
        <v>152</v>
      </c>
      <c r="L103" s="141"/>
      <c r="N103" s="138"/>
      <c r="O103" s="138"/>
      <c r="P103" s="196"/>
      <c r="Q103" s="138"/>
      <c r="R103" s="196"/>
      <c r="S103" s="141"/>
      <c r="T103" s="138"/>
      <c r="U103" s="196"/>
      <c r="V103" s="138"/>
      <c r="W103" s="141"/>
      <c r="AA103" t="s">
        <v>6</v>
      </c>
      <c r="AD103" s="42" t="s">
        <v>99</v>
      </c>
      <c r="AE103" s="42">
        <v>0</v>
      </c>
      <c r="AF103" s="40">
        <v>0</v>
      </c>
      <c r="AG103" s="28">
        <v>0</v>
      </c>
      <c r="AH103" s="28">
        <v>0</v>
      </c>
      <c r="AI103" s="28">
        <v>0</v>
      </c>
      <c r="AJ103" s="42">
        <v>41125</v>
      </c>
      <c r="AK103" s="40">
        <v>7330</v>
      </c>
      <c r="AL103" s="41">
        <v>0</v>
      </c>
      <c r="AM103" s="43">
        <v>4</v>
      </c>
      <c r="AN103" s="28" t="s">
        <v>153</v>
      </c>
      <c r="AO103" s="40"/>
      <c r="AR103" s="138" t="s">
        <v>72</v>
      </c>
      <c r="AS103" s="138">
        <v>0</v>
      </c>
      <c r="AT103" s="141">
        <v>0</v>
      </c>
      <c r="AU103" s="138"/>
      <c r="AV103" s="141"/>
      <c r="AW103" s="28"/>
      <c r="AX103" s="28"/>
      <c r="AY103" s="28"/>
      <c r="AZ103" s="28"/>
      <c r="BA103" s="141"/>
      <c r="BD103" s="196" t="s">
        <v>133</v>
      </c>
      <c r="BE103" s="138">
        <f>8+6+5</f>
        <v>19</v>
      </c>
      <c r="BF103" s="141">
        <f>9+6+3</f>
        <v>18</v>
      </c>
      <c r="BG103" s="138"/>
      <c r="BH103" s="28"/>
      <c r="BI103" s="141"/>
      <c r="BJ103" s="138"/>
      <c r="BK103" s="141"/>
      <c r="BL103" s="138"/>
      <c r="BM103" s="28"/>
      <c r="BN103" s="141"/>
    </row>
    <row r="104" spans="3:66" x14ac:dyDescent="0.3">
      <c r="C104" s="142"/>
      <c r="D104" s="142"/>
      <c r="E104" s="143"/>
      <c r="F104" s="142"/>
      <c r="G104" s="143"/>
      <c r="H104" s="143"/>
      <c r="I104" s="199"/>
      <c r="J104" s="143">
        <v>0</v>
      </c>
      <c r="K104" s="143" t="s">
        <v>958</v>
      </c>
      <c r="L104" s="146">
        <f>SUM(J101:J104)</f>
        <v>150</v>
      </c>
      <c r="N104" s="138"/>
      <c r="O104" s="138"/>
      <c r="P104" s="196"/>
      <c r="Q104" s="138"/>
      <c r="R104" s="196"/>
      <c r="S104" s="141"/>
      <c r="T104" s="138"/>
      <c r="U104" s="196"/>
      <c r="V104" s="138"/>
      <c r="W104" s="141"/>
      <c r="AD104" s="42"/>
      <c r="AE104" s="42"/>
      <c r="AF104" s="40"/>
      <c r="AG104" s="28"/>
      <c r="AH104" s="28"/>
      <c r="AI104" s="28"/>
      <c r="AJ104" s="42"/>
      <c r="AK104" s="40"/>
      <c r="AL104" s="41"/>
      <c r="AM104" s="28"/>
      <c r="AN104" s="28"/>
      <c r="AO104" s="40"/>
      <c r="AR104" s="142" t="s">
        <v>84</v>
      </c>
      <c r="AS104" s="142">
        <f>SUM(AS97:AS103)</f>
        <v>0</v>
      </c>
      <c r="AT104" s="146">
        <f>SUM(AT97:AT103)</f>
        <v>0</v>
      </c>
      <c r="AU104" s="142"/>
      <c r="AV104" s="146"/>
      <c r="AW104" s="143"/>
      <c r="AX104" s="143"/>
      <c r="AY104" s="143"/>
      <c r="AZ104" s="143"/>
      <c r="BA104" s="146">
        <f>SUM(AX101)</f>
        <v>0</v>
      </c>
      <c r="BD104" s="196" t="s">
        <v>99</v>
      </c>
      <c r="BE104" s="138">
        <v>1</v>
      </c>
      <c r="BF104" s="141">
        <f>2+3</f>
        <v>5</v>
      </c>
      <c r="BG104" s="138" t="s">
        <v>150</v>
      </c>
      <c r="BH104" s="28"/>
      <c r="BI104" s="141" t="s">
        <v>6</v>
      </c>
      <c r="BJ104" s="138"/>
      <c r="BK104" s="141"/>
      <c r="BL104" s="138" t="s">
        <v>151</v>
      </c>
      <c r="BM104" s="28"/>
      <c r="BN104" s="141"/>
    </row>
    <row r="105" spans="3:66" x14ac:dyDescent="0.3">
      <c r="C105" s="134" t="s">
        <v>105</v>
      </c>
      <c r="D105" s="134">
        <v>1207</v>
      </c>
      <c r="E105" s="135">
        <v>1383</v>
      </c>
      <c r="F105" s="134"/>
      <c r="G105" s="135">
        <v>1246</v>
      </c>
      <c r="H105" s="135"/>
      <c r="I105" s="195"/>
      <c r="J105" s="135" t="s">
        <v>162</v>
      </c>
      <c r="K105" s="135"/>
      <c r="L105" s="136"/>
      <c r="N105" s="138"/>
      <c r="O105" s="138"/>
      <c r="P105" s="196"/>
      <c r="Q105" s="138"/>
      <c r="R105" s="196"/>
      <c r="S105" s="141"/>
      <c r="T105" s="138"/>
      <c r="U105" s="196"/>
      <c r="V105" s="138"/>
      <c r="W105" s="141"/>
      <c r="AD105" s="278" t="s">
        <v>99</v>
      </c>
      <c r="AE105" s="278">
        <v>0</v>
      </c>
      <c r="AF105" s="279">
        <v>0</v>
      </c>
      <c r="AG105" s="135">
        <v>0</v>
      </c>
      <c r="AH105" s="135">
        <v>0</v>
      </c>
      <c r="AI105" s="135">
        <v>0</v>
      </c>
      <c r="AJ105" s="278">
        <v>159021</v>
      </c>
      <c r="AK105" s="279">
        <v>64107</v>
      </c>
      <c r="AL105" s="314">
        <v>0</v>
      </c>
      <c r="AM105" s="135" t="s">
        <v>157</v>
      </c>
      <c r="AN105" s="135"/>
      <c r="AO105" s="279"/>
      <c r="AR105" s="134"/>
      <c r="AS105" s="134"/>
      <c r="AT105" s="136"/>
      <c r="AU105" s="134"/>
      <c r="AV105" s="136"/>
      <c r="AW105" s="135"/>
      <c r="AX105" s="135"/>
      <c r="AY105" s="135"/>
      <c r="AZ105" s="135"/>
      <c r="BA105" s="136"/>
      <c r="BD105" s="196" t="s">
        <v>85</v>
      </c>
      <c r="BE105" s="138">
        <v>4</v>
      </c>
      <c r="BF105" s="141">
        <v>4</v>
      </c>
      <c r="BG105" s="138"/>
      <c r="BH105" s="28"/>
      <c r="BI105" s="141"/>
      <c r="BJ105" s="138"/>
      <c r="BK105" s="141"/>
      <c r="BL105" s="316" t="s">
        <v>980</v>
      </c>
      <c r="BM105" s="257" t="s">
        <v>1534</v>
      </c>
      <c r="BN105" s="141" t="s">
        <v>264</v>
      </c>
    </row>
    <row r="106" spans="3:66" x14ac:dyDescent="0.3">
      <c r="C106" s="138" t="s">
        <v>99</v>
      </c>
      <c r="D106" s="138">
        <v>1034</v>
      </c>
      <c r="E106" s="43">
        <v>879</v>
      </c>
      <c r="F106" s="138"/>
      <c r="G106" s="28">
        <v>859</v>
      </c>
      <c r="H106" s="28"/>
      <c r="I106" s="196"/>
      <c r="J106" s="28"/>
      <c r="K106" s="28"/>
      <c r="L106" s="141"/>
      <c r="N106" s="142" t="s">
        <v>84</v>
      </c>
      <c r="O106" s="142">
        <f t="shared" ref="O106:U106" si="1">SUM(O100+O95+O90+O88+O83+O79)</f>
        <v>24300</v>
      </c>
      <c r="P106" s="199">
        <f t="shared" si="1"/>
        <v>51551</v>
      </c>
      <c r="Q106" s="142">
        <f t="shared" si="1"/>
        <v>0</v>
      </c>
      <c r="R106" s="199">
        <f t="shared" si="1"/>
        <v>0</v>
      </c>
      <c r="S106" s="143">
        <f t="shared" si="1"/>
        <v>0</v>
      </c>
      <c r="T106" s="142">
        <f t="shared" si="1"/>
        <v>2815</v>
      </c>
      <c r="U106" s="199">
        <f t="shared" si="1"/>
        <v>1768</v>
      </c>
      <c r="V106" s="142"/>
      <c r="W106" s="146"/>
      <c r="AD106" s="42" t="s">
        <v>6</v>
      </c>
      <c r="AE106" s="42"/>
      <c r="AF106" s="40"/>
      <c r="AG106" s="28"/>
      <c r="AH106" s="28"/>
      <c r="AI106" s="28"/>
      <c r="AJ106" s="42"/>
      <c r="AK106" s="40"/>
      <c r="AL106" s="41"/>
      <c r="AM106" s="28">
        <v>12</v>
      </c>
      <c r="AN106" s="28" t="s">
        <v>153</v>
      </c>
      <c r="AO106" s="40"/>
      <c r="AR106" s="138" t="s">
        <v>63</v>
      </c>
      <c r="AS106" s="138">
        <v>23</v>
      </c>
      <c r="AT106" s="141">
        <v>29</v>
      </c>
      <c r="AU106" s="138"/>
      <c r="AV106" s="141"/>
      <c r="AW106" s="28"/>
      <c r="AX106" s="28" t="s">
        <v>140</v>
      </c>
      <c r="AY106" s="28"/>
      <c r="AZ106" s="28"/>
      <c r="BA106" s="141"/>
      <c r="BD106" s="196" t="s">
        <v>1535</v>
      </c>
      <c r="BE106" s="138">
        <v>1</v>
      </c>
      <c r="BF106" s="141">
        <v>1</v>
      </c>
      <c r="BG106" s="138"/>
      <c r="BH106" s="28"/>
      <c r="BI106" s="141"/>
      <c r="BJ106" s="138"/>
      <c r="BK106" s="141"/>
      <c r="BL106" s="138" t="s">
        <v>819</v>
      </c>
      <c r="BM106" s="28" t="s">
        <v>1536</v>
      </c>
      <c r="BN106" s="141" t="s">
        <v>1323</v>
      </c>
    </row>
    <row r="107" spans="3:66" ht="15" thickBot="1" x14ac:dyDescent="0.35">
      <c r="C107" s="138"/>
      <c r="D107" s="138"/>
      <c r="E107" s="28"/>
      <c r="F107" s="138"/>
      <c r="G107" s="28"/>
      <c r="H107" s="28"/>
      <c r="I107" s="196"/>
      <c r="J107" s="43">
        <v>40</v>
      </c>
      <c r="K107" s="28" t="s">
        <v>101</v>
      </c>
      <c r="L107" s="141"/>
      <c r="AD107" s="42" t="s">
        <v>6</v>
      </c>
      <c r="AE107" s="42"/>
      <c r="AF107" s="40"/>
      <c r="AG107" s="28"/>
      <c r="AH107" s="28"/>
      <c r="AI107" s="28"/>
      <c r="AJ107" s="42"/>
      <c r="AK107" s="40"/>
      <c r="AL107" s="41"/>
      <c r="AM107" s="28"/>
      <c r="AN107" s="28"/>
      <c r="AO107" s="40"/>
      <c r="AR107" s="138" t="s">
        <v>78</v>
      </c>
      <c r="AS107" s="138">
        <f>2+58+7</f>
        <v>67</v>
      </c>
      <c r="AT107" s="141">
        <f>4+53+7</f>
        <v>64</v>
      </c>
      <c r="AU107" s="138"/>
      <c r="AV107" s="141"/>
      <c r="AW107" s="28"/>
      <c r="AX107" s="28"/>
      <c r="AY107" s="28" t="s">
        <v>471</v>
      </c>
      <c r="AZ107" s="28"/>
      <c r="BA107" s="141"/>
      <c r="BD107" s="196" t="s">
        <v>164</v>
      </c>
      <c r="BE107" s="138">
        <v>1</v>
      </c>
      <c r="BF107" s="141">
        <v>1</v>
      </c>
      <c r="BG107" s="138"/>
      <c r="BH107" s="28"/>
      <c r="BI107" s="141"/>
      <c r="BJ107" s="138"/>
      <c r="BK107" s="141"/>
      <c r="BL107" s="138" t="s">
        <v>1040</v>
      </c>
      <c r="BM107" s="28" t="s">
        <v>651</v>
      </c>
      <c r="BN107" s="141" t="s">
        <v>1537</v>
      </c>
    </row>
    <row r="108" spans="3:66" x14ac:dyDescent="0.3">
      <c r="C108" s="138" t="s">
        <v>84</v>
      </c>
      <c r="D108" s="142">
        <f>SUM(D105:D107)</f>
        <v>2241</v>
      </c>
      <c r="E108" s="143">
        <f>SUM(E105:E107)</f>
        <v>2262</v>
      </c>
      <c r="F108" s="142"/>
      <c r="G108" s="143">
        <f>SUM(G105:G107)</f>
        <v>2105</v>
      </c>
      <c r="H108" s="143"/>
      <c r="I108" s="199">
        <v>3316</v>
      </c>
      <c r="J108" s="143"/>
      <c r="K108" s="143"/>
      <c r="L108" s="146">
        <f>SUM(J107)</f>
        <v>40</v>
      </c>
      <c r="N108" t="s">
        <v>6</v>
      </c>
      <c r="AD108" s="33"/>
      <c r="AE108" s="33"/>
      <c r="AF108" s="35"/>
      <c r="AG108" s="34"/>
      <c r="AH108" s="34"/>
      <c r="AI108" s="34"/>
      <c r="AJ108" s="33"/>
      <c r="AK108" s="35"/>
      <c r="AL108" s="32"/>
      <c r="AM108" s="34"/>
      <c r="AN108" s="34"/>
      <c r="AO108" s="35"/>
      <c r="AR108" s="138" t="s">
        <v>209</v>
      </c>
      <c r="AS108" s="138">
        <v>0</v>
      </c>
      <c r="AT108" s="141">
        <v>0</v>
      </c>
      <c r="AU108" s="138"/>
      <c r="AV108" s="141"/>
      <c r="AW108" s="28"/>
      <c r="AX108" s="28">
        <v>1</v>
      </c>
      <c r="AY108" s="28" t="s">
        <v>1517</v>
      </c>
      <c r="AZ108" s="28"/>
      <c r="BA108" s="141"/>
      <c r="BD108" s="196" t="s">
        <v>169</v>
      </c>
      <c r="BE108" s="138">
        <f>1+0+14</f>
        <v>15</v>
      </c>
      <c r="BF108" s="141">
        <f>3+2+14</f>
        <v>19</v>
      </c>
      <c r="BG108" s="138"/>
      <c r="BH108" s="28"/>
      <c r="BI108" s="141"/>
      <c r="BJ108" s="138"/>
      <c r="BK108" s="141"/>
      <c r="BL108" s="138" t="s">
        <v>1538</v>
      </c>
      <c r="BM108" s="43" t="s">
        <v>522</v>
      </c>
      <c r="BN108" s="141" t="s">
        <v>254</v>
      </c>
    </row>
    <row r="109" spans="3:66" ht="15" thickBot="1" x14ac:dyDescent="0.35">
      <c r="C109" s="195" t="s">
        <v>181</v>
      </c>
      <c r="D109" s="135">
        <v>3729</v>
      </c>
      <c r="E109" s="135">
        <v>3541</v>
      </c>
      <c r="F109" s="134"/>
      <c r="G109" s="135" t="s">
        <v>60</v>
      </c>
      <c r="H109" s="136"/>
      <c r="I109" s="135"/>
      <c r="J109" s="134" t="s">
        <v>182</v>
      </c>
      <c r="K109" s="135"/>
      <c r="L109" s="136"/>
      <c r="AD109" s="47"/>
      <c r="AE109" s="47"/>
      <c r="AF109" s="49"/>
      <c r="AG109" s="48"/>
      <c r="AH109" s="48"/>
      <c r="AI109" s="48"/>
      <c r="AJ109" s="47"/>
      <c r="AK109" s="49"/>
      <c r="AL109" s="46"/>
      <c r="AM109" s="48"/>
      <c r="AN109" s="48"/>
      <c r="AO109" s="49"/>
      <c r="AR109" s="138" t="s">
        <v>168</v>
      </c>
      <c r="AS109" s="138">
        <v>0</v>
      </c>
      <c r="AT109" s="141">
        <v>0</v>
      </c>
      <c r="AU109" s="138"/>
      <c r="AV109" s="141"/>
      <c r="AW109" s="28"/>
      <c r="AX109" s="28">
        <f>2+1+17+10</f>
        <v>30</v>
      </c>
      <c r="AY109" s="28" t="s">
        <v>213</v>
      </c>
      <c r="AZ109" s="28" t="s">
        <v>6</v>
      </c>
      <c r="BA109" s="141"/>
      <c r="BD109" s="196" t="s">
        <v>1539</v>
      </c>
      <c r="BE109" s="138">
        <v>2</v>
      </c>
      <c r="BF109" s="141">
        <v>0</v>
      </c>
      <c r="BG109" s="138"/>
      <c r="BH109" s="28"/>
      <c r="BI109" s="141"/>
      <c r="BJ109" s="138"/>
      <c r="BK109" s="141"/>
      <c r="BL109" s="138" t="s">
        <v>269</v>
      </c>
      <c r="BM109" s="43" t="s">
        <v>1540</v>
      </c>
      <c r="BN109" s="141" t="s">
        <v>563</v>
      </c>
    </row>
    <row r="110" spans="3:66" x14ac:dyDescent="0.3">
      <c r="C110" s="196"/>
      <c r="D110" s="28"/>
      <c r="E110" s="28"/>
      <c r="F110" s="138"/>
      <c r="G110" s="28" t="s">
        <v>60</v>
      </c>
      <c r="H110" s="141"/>
      <c r="I110" s="28"/>
      <c r="J110" s="138"/>
      <c r="K110" s="28" t="s">
        <v>94</v>
      </c>
      <c r="L110" s="141"/>
      <c r="AD110" s="33"/>
      <c r="AE110" s="33"/>
      <c r="AF110" s="35"/>
      <c r="AG110" s="34"/>
      <c r="AH110" s="34"/>
      <c r="AI110" s="34"/>
      <c r="AJ110" s="33"/>
      <c r="AK110" s="35"/>
      <c r="AL110" s="32"/>
      <c r="AM110" s="34"/>
      <c r="AN110" s="34"/>
      <c r="AO110" s="35"/>
      <c r="AR110" s="138" t="s">
        <v>81</v>
      </c>
      <c r="AS110" s="138">
        <v>5</v>
      </c>
      <c r="AT110" s="141">
        <v>6</v>
      </c>
      <c r="AU110" s="138"/>
      <c r="AV110" s="141"/>
      <c r="AW110" s="28"/>
      <c r="AX110" s="28">
        <v>3</v>
      </c>
      <c r="AY110" s="28" t="s">
        <v>123</v>
      </c>
      <c r="AZ110" s="28"/>
      <c r="BA110" s="141" t="s">
        <v>6</v>
      </c>
      <c r="BD110" s="196" t="s">
        <v>523</v>
      </c>
      <c r="BE110" s="138">
        <v>3</v>
      </c>
      <c r="BF110" s="141">
        <v>2</v>
      </c>
      <c r="BG110" s="138"/>
      <c r="BH110" s="28"/>
      <c r="BI110" s="141"/>
      <c r="BJ110" s="138"/>
      <c r="BK110" s="141"/>
      <c r="BL110" s="315" t="s">
        <v>1214</v>
      </c>
      <c r="BM110" s="215" t="s">
        <v>207</v>
      </c>
      <c r="BN110" s="141" t="s">
        <v>890</v>
      </c>
    </row>
    <row r="111" spans="3:66" x14ac:dyDescent="0.3">
      <c r="C111" s="196" t="s">
        <v>84</v>
      </c>
      <c r="D111" s="28">
        <f>SUM(D109:D110)</f>
        <v>3729</v>
      </c>
      <c r="E111" s="28">
        <f>SUM(E109:E110)</f>
        <v>3541</v>
      </c>
      <c r="F111" s="138"/>
      <c r="G111" s="28" t="s">
        <v>60</v>
      </c>
      <c r="H111" s="141"/>
      <c r="I111" s="28">
        <v>4664</v>
      </c>
      <c r="J111" s="138">
        <v>28</v>
      </c>
      <c r="K111" s="28" t="s">
        <v>101</v>
      </c>
      <c r="L111" s="141"/>
      <c r="AD111" s="42"/>
      <c r="AE111" s="42"/>
      <c r="AF111" s="40"/>
      <c r="AG111" s="28"/>
      <c r="AH111" s="28"/>
      <c r="AI111" s="28"/>
      <c r="AJ111" s="42"/>
      <c r="AK111" s="40"/>
      <c r="AL111" s="41"/>
      <c r="AM111" s="28"/>
      <c r="AN111" s="28"/>
      <c r="AO111" s="40"/>
      <c r="AR111" s="138" t="s">
        <v>72</v>
      </c>
      <c r="AS111" s="138">
        <f>2+11+2</f>
        <v>15</v>
      </c>
      <c r="AT111" s="141">
        <f>2+37+6</f>
        <v>45</v>
      </c>
      <c r="AU111" s="138"/>
      <c r="AV111" s="141"/>
      <c r="AW111" s="28"/>
      <c r="AX111" s="43">
        <v>76</v>
      </c>
      <c r="AY111" s="28" t="s">
        <v>216</v>
      </c>
      <c r="AZ111" s="28"/>
      <c r="BA111" s="141"/>
      <c r="BD111" s="196" t="s">
        <v>64</v>
      </c>
      <c r="BE111" s="138">
        <v>6</v>
      </c>
      <c r="BF111" s="141">
        <v>0</v>
      </c>
      <c r="BG111" s="138"/>
      <c r="BH111" s="28"/>
      <c r="BI111" s="141"/>
      <c r="BJ111" s="138"/>
      <c r="BK111" s="141"/>
      <c r="BL111" s="316" t="s">
        <v>1541</v>
      </c>
      <c r="BM111" s="43" t="s">
        <v>1522</v>
      </c>
      <c r="BN111" s="209" t="s">
        <v>362</v>
      </c>
    </row>
    <row r="112" spans="3:66" ht="15" thickBot="1" x14ac:dyDescent="0.35">
      <c r="C112" s="199"/>
      <c r="D112" s="28"/>
      <c r="E112" s="28"/>
      <c r="F112" s="142"/>
      <c r="G112" s="143"/>
      <c r="H112" s="146"/>
      <c r="I112" s="28"/>
      <c r="J112" s="142"/>
      <c r="K112" s="143" t="s">
        <v>284</v>
      </c>
      <c r="L112" s="146">
        <f>SUM(J110:J111)</f>
        <v>28</v>
      </c>
      <c r="AD112" s="47"/>
      <c r="AE112" s="47"/>
      <c r="AF112" s="49"/>
      <c r="AG112" s="48"/>
      <c r="AH112" s="48"/>
      <c r="AI112" s="48"/>
      <c r="AJ112" s="47"/>
      <c r="AK112" s="49"/>
      <c r="AL112" s="46"/>
      <c r="AM112" s="48"/>
      <c r="AN112" s="48"/>
      <c r="AO112" s="49"/>
      <c r="AR112" s="138" t="s">
        <v>115</v>
      </c>
      <c r="AS112" s="138">
        <f>3+11</f>
        <v>14</v>
      </c>
      <c r="AT112" s="141">
        <f>3+8</f>
        <v>11</v>
      </c>
      <c r="AU112" s="138"/>
      <c r="AV112" s="141"/>
      <c r="AW112" s="28"/>
      <c r="AX112" s="43">
        <v>2</v>
      </c>
      <c r="AY112" s="28" t="s">
        <v>217</v>
      </c>
      <c r="AZ112" s="28"/>
      <c r="BA112" s="141"/>
      <c r="BD112" s="196" t="s">
        <v>137</v>
      </c>
      <c r="BE112" s="138">
        <v>36</v>
      </c>
      <c r="BF112" s="141">
        <v>119</v>
      </c>
      <c r="BG112" s="138"/>
      <c r="BH112" s="28"/>
      <c r="BI112" s="141"/>
      <c r="BJ112" s="138"/>
      <c r="BK112" s="141"/>
      <c r="BL112" s="138" t="s">
        <v>1542</v>
      </c>
      <c r="BM112" s="43" t="s">
        <v>1097</v>
      </c>
      <c r="BN112" s="261" t="s">
        <v>1543</v>
      </c>
    </row>
    <row r="113" spans="3:66" ht="15" thickBot="1" x14ac:dyDescent="0.35">
      <c r="C113" s="47" t="s">
        <v>84</v>
      </c>
      <c r="D113" s="253">
        <f>SUM(D111+D108+D103+D98+D94+D90+D86+D82+D79)</f>
        <v>40497</v>
      </c>
      <c r="E113" s="253">
        <f>SUM(E111+E108+E103+E98+E94+E90+E86+E82+E79)</f>
        <v>46013</v>
      </c>
      <c r="F113" s="202"/>
      <c r="G113" s="48">
        <f>SUM(G108+G90)</f>
        <v>3240</v>
      </c>
      <c r="H113" s="203"/>
      <c r="I113" s="206">
        <f>SUM(I111+I108+I103+I99+I94+I90+I86+I82+I79)</f>
        <v>60235</v>
      </c>
      <c r="J113" s="48" t="s">
        <v>199</v>
      </c>
      <c r="K113" s="48"/>
      <c r="L113" s="49">
        <f>SUM(L78:L112)</f>
        <v>364</v>
      </c>
      <c r="AD113" s="47" t="s">
        <v>84</v>
      </c>
      <c r="AE113" s="202">
        <f>SUM(AE105+AE103+AE100+AE88+AE83+AE80)</f>
        <v>2589</v>
      </c>
      <c r="AF113" s="203">
        <f>SUM(AF105+AF103+AF100+AF88+AF83+AF80)</f>
        <v>2496</v>
      </c>
      <c r="AG113" s="48">
        <v>0</v>
      </c>
      <c r="AH113" s="48">
        <v>0</v>
      </c>
      <c r="AI113" s="48">
        <v>0</v>
      </c>
      <c r="AJ113" s="202">
        <f>SUM(AJ106+AJ105+AJ103+AJ80)</f>
        <v>200146</v>
      </c>
      <c r="AK113" s="203">
        <f>SUM(AK105+AK103+AK80)</f>
        <v>71437</v>
      </c>
      <c r="AL113" s="48">
        <v>0</v>
      </c>
      <c r="AM113" s="202" t="s">
        <v>189</v>
      </c>
      <c r="AN113" s="48"/>
      <c r="AO113" s="49">
        <f>SUM(AM79:AM112)</f>
        <v>69</v>
      </c>
      <c r="AR113" s="138" t="s">
        <v>56</v>
      </c>
      <c r="AS113" s="138">
        <f>2+2+5</f>
        <v>9</v>
      </c>
      <c r="AT113" s="141">
        <f>2+4+3</f>
        <v>9</v>
      </c>
      <c r="AU113" s="138"/>
      <c r="AV113" s="141"/>
      <c r="AW113" s="28"/>
      <c r="AX113" s="43">
        <v>1</v>
      </c>
      <c r="AY113" s="28" t="s">
        <v>1544</v>
      </c>
      <c r="AZ113" s="28"/>
      <c r="BA113" s="141"/>
      <c r="BD113" s="196" t="s">
        <v>89</v>
      </c>
      <c r="BE113" s="138">
        <v>0</v>
      </c>
      <c r="BF113" s="141">
        <v>7</v>
      </c>
      <c r="BG113" s="138"/>
      <c r="BH113" s="28"/>
      <c r="BI113" s="141"/>
      <c r="BJ113" s="138"/>
      <c r="BK113" s="141"/>
      <c r="BL113" s="138" t="s">
        <v>1034</v>
      </c>
      <c r="BM113" s="228" t="s">
        <v>918</v>
      </c>
      <c r="BN113" s="141" t="s">
        <v>820</v>
      </c>
    </row>
    <row r="114" spans="3:66" ht="15.6" x14ac:dyDescent="0.3">
      <c r="F114" s="28"/>
      <c r="G114" s="28"/>
      <c r="H114" s="28"/>
      <c r="AD114" t="s">
        <v>193</v>
      </c>
      <c r="AO114" t="s">
        <v>6</v>
      </c>
      <c r="AR114" s="138" t="s">
        <v>138</v>
      </c>
      <c r="AS114" s="138">
        <v>0</v>
      </c>
      <c r="AT114" s="141">
        <v>0</v>
      </c>
      <c r="AU114" s="138"/>
      <c r="AV114" s="141"/>
      <c r="AW114" s="28"/>
      <c r="AX114" s="43">
        <v>1</v>
      </c>
      <c r="AY114" s="28" t="s">
        <v>221</v>
      </c>
      <c r="AZ114" s="28"/>
      <c r="BA114" s="141"/>
      <c r="BD114" s="259" t="s">
        <v>1118</v>
      </c>
      <c r="BE114" s="138">
        <v>11</v>
      </c>
      <c r="BF114" s="141">
        <v>12</v>
      </c>
      <c r="BG114" s="138"/>
      <c r="BH114" s="28"/>
      <c r="BI114" s="141">
        <v>12</v>
      </c>
      <c r="BJ114" s="138"/>
      <c r="BK114" s="141"/>
      <c r="BL114" s="138" t="s">
        <v>891</v>
      </c>
      <c r="BM114" s="228" t="s">
        <v>1545</v>
      </c>
      <c r="BN114" s="141" t="s">
        <v>1546</v>
      </c>
    </row>
    <row r="115" spans="3:66" ht="15" thickBot="1" x14ac:dyDescent="0.35">
      <c r="AR115" s="138" t="s">
        <v>67</v>
      </c>
      <c r="AS115" s="138">
        <f>2+32</f>
        <v>34</v>
      </c>
      <c r="AT115" s="141">
        <f>3+36</f>
        <v>39</v>
      </c>
      <c r="AU115" s="138"/>
      <c r="AV115" s="141"/>
      <c r="AW115" s="28"/>
      <c r="AX115" s="43">
        <v>5</v>
      </c>
      <c r="AY115" s="28" t="s">
        <v>653</v>
      </c>
      <c r="AZ115" s="28"/>
      <c r="BA115" s="141"/>
      <c r="BD115" s="196" t="s">
        <v>1547</v>
      </c>
      <c r="BE115" s="138">
        <v>3</v>
      </c>
      <c r="BF115" s="141">
        <v>0</v>
      </c>
      <c r="BG115" s="138"/>
      <c r="BH115" s="28"/>
      <c r="BI115" s="141"/>
      <c r="BJ115" s="138"/>
      <c r="BK115" s="141"/>
      <c r="BL115" s="138" t="s">
        <v>180</v>
      </c>
      <c r="BM115" s="186" t="s">
        <v>886</v>
      </c>
      <c r="BN115" s="141" t="s">
        <v>172</v>
      </c>
    </row>
    <row r="116" spans="3:66" ht="15" thickBot="1" x14ac:dyDescent="0.35">
      <c r="C116" s="171" t="s">
        <v>1830</v>
      </c>
      <c r="D116" s="205">
        <v>38463</v>
      </c>
      <c r="E116" s="205">
        <v>43973</v>
      </c>
      <c r="F116" s="170"/>
      <c r="G116" s="205">
        <v>2797</v>
      </c>
      <c r="H116" s="170"/>
      <c r="I116" s="205">
        <v>74812</v>
      </c>
      <c r="J116" s="170" t="s">
        <v>199</v>
      </c>
      <c r="K116" s="170"/>
      <c r="L116" s="172">
        <v>418</v>
      </c>
      <c r="N116" s="171" t="s">
        <v>1830</v>
      </c>
      <c r="O116" s="170">
        <v>37776</v>
      </c>
      <c r="P116" s="170">
        <v>83763</v>
      </c>
      <c r="Q116" s="170"/>
      <c r="R116" s="170"/>
      <c r="S116" s="170"/>
      <c r="T116" s="170">
        <v>1980</v>
      </c>
      <c r="U116" s="170">
        <v>0</v>
      </c>
      <c r="V116" s="170"/>
      <c r="W116" s="172"/>
      <c r="AD116" s="171" t="s">
        <v>1830</v>
      </c>
      <c r="AE116" s="170">
        <v>2269</v>
      </c>
      <c r="AF116" s="170">
        <v>2291</v>
      </c>
      <c r="AG116" s="170"/>
      <c r="AH116" s="170"/>
      <c r="AI116" s="170"/>
      <c r="AJ116" s="170">
        <v>220968</v>
      </c>
      <c r="AK116" s="170">
        <v>146030</v>
      </c>
      <c r="AL116" s="170"/>
      <c r="AM116" s="170" t="s">
        <v>743</v>
      </c>
      <c r="AN116" s="170"/>
      <c r="AO116" s="172">
        <v>45</v>
      </c>
      <c r="AR116" s="138" t="s">
        <v>122</v>
      </c>
      <c r="AS116" s="138">
        <v>19</v>
      </c>
      <c r="AT116" s="141">
        <v>3</v>
      </c>
      <c r="AU116" s="138"/>
      <c r="AV116" s="141"/>
      <c r="AW116" s="28"/>
      <c r="AX116" s="28">
        <v>7</v>
      </c>
      <c r="AY116" s="28" t="s">
        <v>618</v>
      </c>
      <c r="AZ116" s="28"/>
      <c r="BA116" s="141"/>
      <c r="BD116" s="196" t="s">
        <v>1041</v>
      </c>
      <c r="BE116" s="138">
        <v>2</v>
      </c>
      <c r="BF116" s="141">
        <v>0</v>
      </c>
      <c r="BG116" s="138"/>
      <c r="BH116" s="28"/>
      <c r="BI116" s="141"/>
      <c r="BJ116" s="138"/>
      <c r="BK116" s="141"/>
      <c r="BL116" s="138" t="s">
        <v>1548</v>
      </c>
      <c r="BM116" s="28"/>
      <c r="BN116" s="141"/>
    </row>
    <row r="117" spans="3:66" x14ac:dyDescent="0.3">
      <c r="AR117" s="138" t="s">
        <v>227</v>
      </c>
      <c r="AS117" s="138">
        <v>0</v>
      </c>
      <c r="AT117" s="141">
        <v>0</v>
      </c>
      <c r="AU117" s="138"/>
      <c r="AV117" s="141"/>
      <c r="AW117" s="28"/>
      <c r="AX117" s="43">
        <v>1</v>
      </c>
      <c r="AY117" s="28" t="s">
        <v>1238</v>
      </c>
      <c r="AZ117" s="28"/>
      <c r="BA117" s="141"/>
      <c r="BD117" s="196" t="s">
        <v>200</v>
      </c>
      <c r="BE117" s="138">
        <v>2</v>
      </c>
      <c r="BF117" s="141">
        <v>5</v>
      </c>
      <c r="BG117" s="138"/>
      <c r="BH117" s="28"/>
      <c r="BI117" s="141"/>
      <c r="BJ117" s="138"/>
      <c r="BK117" s="141"/>
      <c r="BL117" s="138"/>
      <c r="BM117" s="28"/>
      <c r="BN117" s="141"/>
    </row>
    <row r="118" spans="3:66" x14ac:dyDescent="0.3">
      <c r="AR118" s="138" t="s">
        <v>230</v>
      </c>
      <c r="AS118" s="138">
        <v>14</v>
      </c>
      <c r="AT118" s="141">
        <v>14</v>
      </c>
      <c r="AU118" s="138"/>
      <c r="AV118" s="141"/>
      <c r="AW118" s="28"/>
      <c r="AX118" s="28">
        <v>9</v>
      </c>
      <c r="AY118" s="28" t="s">
        <v>655</v>
      </c>
      <c r="AZ118" s="28"/>
      <c r="BA118" s="141"/>
      <c r="BD118" s="196" t="s">
        <v>564</v>
      </c>
      <c r="BE118" s="138">
        <v>3</v>
      </c>
      <c r="BF118" s="141">
        <v>0</v>
      </c>
      <c r="BG118" s="138"/>
      <c r="BH118" s="28"/>
      <c r="BI118" s="141"/>
      <c r="BJ118" s="138"/>
      <c r="BK118" s="141"/>
      <c r="BL118" s="138"/>
      <c r="BM118" s="28"/>
      <c r="BN118" s="141"/>
    </row>
    <row r="119" spans="3:66" x14ac:dyDescent="0.3">
      <c r="AR119" s="138" t="s">
        <v>125</v>
      </c>
      <c r="AS119" s="138">
        <v>0</v>
      </c>
      <c r="AT119" s="141">
        <v>0</v>
      </c>
      <c r="AU119" s="138"/>
      <c r="AV119" s="141"/>
      <c r="AW119" s="28"/>
      <c r="AX119" s="43">
        <v>2</v>
      </c>
      <c r="AY119" s="28" t="s">
        <v>1067</v>
      </c>
      <c r="AZ119" s="28"/>
      <c r="BA119" s="141"/>
      <c r="BD119" s="196" t="s">
        <v>613</v>
      </c>
      <c r="BE119" s="138">
        <v>0</v>
      </c>
      <c r="BF119" s="141">
        <v>8</v>
      </c>
      <c r="BG119" s="138"/>
      <c r="BH119" s="28"/>
      <c r="BI119" s="141"/>
      <c r="BJ119" s="138"/>
      <c r="BK119" s="141"/>
      <c r="BL119" s="138"/>
      <c r="BM119" s="28"/>
      <c r="BN119" s="141"/>
    </row>
    <row r="120" spans="3:66" x14ac:dyDescent="0.3">
      <c r="AO120" t="s">
        <v>6</v>
      </c>
      <c r="AR120" s="138" t="s">
        <v>132</v>
      </c>
      <c r="AS120" s="138">
        <v>2</v>
      </c>
      <c r="AT120" s="141">
        <v>1</v>
      </c>
      <c r="AU120" s="138"/>
      <c r="AV120" s="141"/>
      <c r="AW120" s="28"/>
      <c r="AX120" s="43">
        <v>1</v>
      </c>
      <c r="AY120" s="28" t="s">
        <v>682</v>
      </c>
      <c r="AZ120" s="28"/>
      <c r="BA120" s="141"/>
      <c r="BD120" s="196" t="s">
        <v>218</v>
      </c>
      <c r="BE120" s="138">
        <v>0</v>
      </c>
      <c r="BF120" s="141">
        <v>24</v>
      </c>
      <c r="BG120" s="138"/>
      <c r="BH120" s="28">
        <v>0</v>
      </c>
      <c r="BI120" s="141"/>
      <c r="BJ120" s="138"/>
      <c r="BK120" s="141"/>
      <c r="BL120" s="138"/>
      <c r="BM120" s="28"/>
      <c r="BN120" s="141"/>
    </row>
    <row r="121" spans="3:66" x14ac:dyDescent="0.3">
      <c r="J121" t="s">
        <v>6</v>
      </c>
      <c r="AR121" s="138" t="s">
        <v>536</v>
      </c>
      <c r="AS121" s="138">
        <v>0</v>
      </c>
      <c r="AT121" s="141">
        <v>0</v>
      </c>
      <c r="AU121" s="138"/>
      <c r="AV121" s="141"/>
      <c r="AW121" s="28"/>
      <c r="AX121" s="43"/>
      <c r="AY121" s="28" t="s">
        <v>555</v>
      </c>
      <c r="AZ121" s="28"/>
      <c r="BA121" s="141"/>
      <c r="BD121" s="196" t="s">
        <v>93</v>
      </c>
      <c r="BE121" s="138">
        <v>0</v>
      </c>
      <c r="BF121" s="141">
        <v>0</v>
      </c>
      <c r="BG121" s="138"/>
      <c r="BH121" s="28"/>
      <c r="BI121" s="141"/>
      <c r="BJ121" s="138"/>
      <c r="BK121" s="141"/>
      <c r="BL121" s="138"/>
      <c r="BM121" s="28"/>
      <c r="BN121" s="141"/>
    </row>
    <row r="122" spans="3:66" ht="15" thickBot="1" x14ac:dyDescent="0.35">
      <c r="J122" t="s">
        <v>6</v>
      </c>
      <c r="AR122" s="138" t="s">
        <v>84</v>
      </c>
      <c r="AS122" s="138">
        <f>SUM(AS106:AS121)</f>
        <v>202</v>
      </c>
      <c r="AT122" s="141">
        <f>SUM(AT106:AT121)</f>
        <v>221</v>
      </c>
      <c r="AU122" s="138"/>
      <c r="AV122" s="141"/>
      <c r="AW122" s="28"/>
      <c r="AX122" s="28">
        <v>2</v>
      </c>
      <c r="AY122" s="28" t="s">
        <v>244</v>
      </c>
      <c r="AZ122" s="28"/>
      <c r="BA122" s="141">
        <f>SUM(AX107:AX122)</f>
        <v>141</v>
      </c>
      <c r="BD122" s="199" t="s">
        <v>84</v>
      </c>
      <c r="BE122" s="142">
        <f>SUM(BE98:BE121)</f>
        <v>145</v>
      </c>
      <c r="BF122" s="146">
        <f>SUM(BF98:BF121)</f>
        <v>247</v>
      </c>
      <c r="BG122" s="142">
        <v>0</v>
      </c>
      <c r="BH122" s="143">
        <f>SUM(BH98:BH121)</f>
        <v>0</v>
      </c>
      <c r="BI122" s="146">
        <f>SUM(BI98:BI121)</f>
        <v>14</v>
      </c>
      <c r="BJ122" s="142">
        <v>0</v>
      </c>
      <c r="BK122" s="146">
        <v>0</v>
      </c>
      <c r="BL122" s="142"/>
      <c r="BM122" s="143"/>
      <c r="BN122" s="146">
        <f>5+4+9+3+4+3+3+5+7+4+3+7+4+1</f>
        <v>62</v>
      </c>
    </row>
    <row r="123" spans="3:66" ht="15" thickBot="1" x14ac:dyDescent="0.35">
      <c r="AR123" s="171" t="s">
        <v>84</v>
      </c>
      <c r="AS123" s="207">
        <f>SUM(AS122+AS104+AS95+AS80)</f>
        <v>1947</v>
      </c>
      <c r="AT123" s="207">
        <f>SUM(AT122+AT104+AT95+AT80)</f>
        <v>1969</v>
      </c>
      <c r="AU123" s="207"/>
      <c r="AV123" s="208"/>
      <c r="AW123" s="170"/>
      <c r="AX123" s="170"/>
      <c r="AY123" s="170"/>
      <c r="AZ123" s="170"/>
      <c r="BA123" s="172">
        <f>SUM(BA80:BA122)</f>
        <v>354</v>
      </c>
      <c r="BD123" t="s">
        <v>223</v>
      </c>
      <c r="BE123">
        <f>SUM(BE122+BE97+BE92+BE86+BE83+BE81+BE94)</f>
        <v>3030</v>
      </c>
      <c r="BF123">
        <f>SUM(BF122+BF97+BF92+BF86+BF81+BF83+BF94)</f>
        <v>3409</v>
      </c>
      <c r="BG123">
        <v>0</v>
      </c>
      <c r="BH123">
        <f>SUM(BH122+BH97+BH92+BH86+BH83+BH79)</f>
        <v>0</v>
      </c>
      <c r="BI123">
        <f>SUM(BI122)</f>
        <v>14</v>
      </c>
      <c r="BJ123">
        <f>SUM(BJ122+BJ97+BJ92+BJ85+BJ83+BJ79)</f>
        <v>64543</v>
      </c>
      <c r="BK123">
        <f>SUM(BK122+BK97+BK92+BK85+BK83+BK79)</f>
        <v>16353</v>
      </c>
      <c r="BM123" t="s">
        <v>939</v>
      </c>
      <c r="BN123">
        <f>SUM(+BN97+BN92+BN86+BN83+BN81)</f>
        <v>167</v>
      </c>
    </row>
    <row r="124" spans="3:66" x14ac:dyDescent="0.3">
      <c r="BD124" t="s">
        <v>1340</v>
      </c>
      <c r="BF124">
        <f>SUM(BN122)</f>
        <v>62</v>
      </c>
    </row>
    <row r="125" spans="3:66" x14ac:dyDescent="0.3">
      <c r="BD125" t="s">
        <v>229</v>
      </c>
      <c r="BF125">
        <v>17</v>
      </c>
    </row>
    <row r="126" spans="3:66" ht="15" thickBot="1" x14ac:dyDescent="0.35">
      <c r="BC126" t="s">
        <v>6</v>
      </c>
      <c r="BD126" t="s">
        <v>232</v>
      </c>
      <c r="BF126" t="s">
        <v>233</v>
      </c>
      <c r="BH126">
        <f>SUM(AS123)</f>
        <v>1947</v>
      </c>
      <c r="BJ126" t="s">
        <v>234</v>
      </c>
      <c r="BL126" t="s">
        <v>233</v>
      </c>
      <c r="BN126">
        <f>SUM(BE123)</f>
        <v>3030</v>
      </c>
    </row>
    <row r="127" spans="3:66" ht="15" thickBot="1" x14ac:dyDescent="0.35">
      <c r="AR127" s="317" t="s">
        <v>1532</v>
      </c>
      <c r="AS127" s="210">
        <v>1683</v>
      </c>
      <c r="AT127" s="318">
        <v>1792</v>
      </c>
      <c r="AU127" s="170"/>
      <c r="AV127" s="170"/>
      <c r="AW127" s="170"/>
      <c r="AX127" s="170"/>
      <c r="AY127" s="170"/>
      <c r="AZ127" s="170"/>
      <c r="BA127" s="172">
        <v>334</v>
      </c>
      <c r="BF127" t="s">
        <v>236</v>
      </c>
      <c r="BH127">
        <f>SUM(AT123)</f>
        <v>1969</v>
      </c>
      <c r="BL127" t="s">
        <v>236</v>
      </c>
      <c r="BN127">
        <f>SUM(BF123)</f>
        <v>3409</v>
      </c>
    </row>
    <row r="128" spans="3:66" x14ac:dyDescent="0.3">
      <c r="BD128" t="s">
        <v>238</v>
      </c>
      <c r="BE128" t="s">
        <v>239</v>
      </c>
      <c r="BG128" t="s">
        <v>240</v>
      </c>
      <c r="BH128" t="s">
        <v>241</v>
      </c>
      <c r="BK128" t="s">
        <v>242</v>
      </c>
      <c r="BL128" s="131" t="s">
        <v>243</v>
      </c>
    </row>
    <row r="129" spans="3:67" x14ac:dyDescent="0.3">
      <c r="BD129" t="s">
        <v>233</v>
      </c>
      <c r="BF129">
        <f>SUM(D113)</f>
        <v>40497</v>
      </c>
      <c r="BG129" s="236" t="s">
        <v>233</v>
      </c>
      <c r="BI129">
        <f>SUM(AE113)</f>
        <v>2589</v>
      </c>
      <c r="BJ129" t="s">
        <v>233</v>
      </c>
      <c r="BL129">
        <f>SUM(BI129+BE123)</f>
        <v>5619</v>
      </c>
      <c r="BM129" t="s">
        <v>245</v>
      </c>
      <c r="BN129">
        <f>SUM(BF129+BL129)</f>
        <v>46116</v>
      </c>
    </row>
    <row r="130" spans="3:67" ht="15" thickBot="1" x14ac:dyDescent="0.35">
      <c r="BD130" t="s">
        <v>236</v>
      </c>
      <c r="BF130">
        <f>SUM(E113)</f>
        <v>46013</v>
      </c>
      <c r="BG130" s="236" t="s">
        <v>236</v>
      </c>
      <c r="BI130">
        <f>SUM(AF113)</f>
        <v>2496</v>
      </c>
      <c r="BJ130" t="s">
        <v>236</v>
      </c>
      <c r="BL130">
        <f>SUM(BI130+BF123)</f>
        <v>5905</v>
      </c>
      <c r="BN130">
        <f>SUM(BF130+BL130)</f>
        <v>51918</v>
      </c>
      <c r="BO130">
        <f>SUM(BN129:BN130)</f>
        <v>98034</v>
      </c>
    </row>
    <row r="131" spans="3:67" ht="15.6" x14ac:dyDescent="0.3">
      <c r="BD131" s="321" t="s">
        <v>1532</v>
      </c>
      <c r="BE131" s="34"/>
      <c r="BF131" s="34"/>
      <c r="BG131" s="34"/>
      <c r="BH131" s="34"/>
      <c r="BI131" s="34"/>
      <c r="BJ131" s="34"/>
      <c r="BK131" s="34"/>
      <c r="BL131" s="34"/>
      <c r="BM131" s="34"/>
      <c r="BN131" s="34"/>
      <c r="BO131" s="35"/>
    </row>
    <row r="132" spans="3:67" x14ac:dyDescent="0.3">
      <c r="BD132" s="42" t="s">
        <v>238</v>
      </c>
      <c r="BE132" s="28" t="s">
        <v>239</v>
      </c>
      <c r="BF132" s="28"/>
      <c r="BG132" s="28" t="s">
        <v>240</v>
      </c>
      <c r="BH132" s="28" t="s">
        <v>241</v>
      </c>
      <c r="BI132" s="28"/>
      <c r="BJ132" s="28"/>
      <c r="BK132" s="28" t="s">
        <v>242</v>
      </c>
      <c r="BL132" s="257" t="s">
        <v>243</v>
      </c>
      <c r="BM132" s="28"/>
      <c r="BN132" s="28"/>
      <c r="BO132" s="40"/>
    </row>
    <row r="133" spans="3:67" x14ac:dyDescent="0.3">
      <c r="BD133" s="42" t="s">
        <v>233</v>
      </c>
      <c r="BE133" s="28"/>
      <c r="BF133" s="28">
        <v>38463</v>
      </c>
      <c r="BG133" s="218" t="s">
        <v>233</v>
      </c>
      <c r="BH133" s="28"/>
      <c r="BI133" s="28">
        <v>2269</v>
      </c>
      <c r="BJ133" s="28" t="s">
        <v>233</v>
      </c>
      <c r="BK133" s="28"/>
      <c r="BL133" s="28">
        <f>2269+1595</f>
        <v>3864</v>
      </c>
      <c r="BM133" s="28" t="s">
        <v>245</v>
      </c>
      <c r="BN133" s="28">
        <f>SUM(BF133+BL133)</f>
        <v>42327</v>
      </c>
      <c r="BO133" s="40"/>
    </row>
    <row r="134" spans="3:67" ht="15" thickBot="1" x14ac:dyDescent="0.35">
      <c r="BD134" s="47" t="s">
        <v>236</v>
      </c>
      <c r="BE134" s="48"/>
      <c r="BF134" s="48">
        <v>43973</v>
      </c>
      <c r="BG134" s="320" t="s">
        <v>236</v>
      </c>
      <c r="BH134" s="48"/>
      <c r="BI134" s="48">
        <v>2291</v>
      </c>
      <c r="BJ134" s="48" t="s">
        <v>236</v>
      </c>
      <c r="BK134" s="48"/>
      <c r="BL134" s="48">
        <f>2291+1730</f>
        <v>4021</v>
      </c>
      <c r="BM134" s="48"/>
      <c r="BN134" s="48">
        <f>SUM(BF134+BL134)</f>
        <v>47994</v>
      </c>
      <c r="BO134" s="49">
        <f>SUM(BN133:BN134)</f>
        <v>90321</v>
      </c>
    </row>
    <row r="139" spans="3:67" x14ac:dyDescent="0.3">
      <c r="E139" t="s">
        <v>0</v>
      </c>
      <c r="R139" t="s">
        <v>1</v>
      </c>
    </row>
    <row r="140" spans="3:67" x14ac:dyDescent="0.3">
      <c r="F140" t="s">
        <v>2</v>
      </c>
      <c r="S140" t="s">
        <v>3</v>
      </c>
      <c r="AH140" t="s">
        <v>0</v>
      </c>
      <c r="AU140" t="s">
        <v>4</v>
      </c>
      <c r="BH140" t="s">
        <v>5</v>
      </c>
    </row>
    <row r="141" spans="3:67" x14ac:dyDescent="0.3">
      <c r="C141" t="s">
        <v>6</v>
      </c>
      <c r="E141" t="s">
        <v>7</v>
      </c>
      <c r="Q141" t="s">
        <v>8</v>
      </c>
      <c r="AH141" t="s">
        <v>9</v>
      </c>
      <c r="AV141" t="s">
        <v>2</v>
      </c>
      <c r="BI141" t="s">
        <v>2</v>
      </c>
    </row>
    <row r="142" spans="3:67" x14ac:dyDescent="0.3">
      <c r="F142" t="s">
        <v>1549</v>
      </c>
      <c r="S142" t="s">
        <v>1549</v>
      </c>
      <c r="AH142" t="s">
        <v>11</v>
      </c>
      <c r="AT142" t="s">
        <v>12</v>
      </c>
      <c r="BB142" t="s">
        <v>6</v>
      </c>
      <c r="BG142" t="s">
        <v>13</v>
      </c>
    </row>
    <row r="143" spans="3:67" x14ac:dyDescent="0.3">
      <c r="K143" s="194" t="s">
        <v>949</v>
      </c>
      <c r="W143" t="s">
        <v>15</v>
      </c>
      <c r="AI143" t="s">
        <v>1549</v>
      </c>
      <c r="AV143" t="s">
        <v>1549</v>
      </c>
      <c r="BI143" t="s">
        <v>1549</v>
      </c>
      <c r="BM143" s="194" t="s">
        <v>950</v>
      </c>
    </row>
    <row r="144" spans="3:67" x14ac:dyDescent="0.3">
      <c r="C144" s="134" t="s">
        <v>17</v>
      </c>
      <c r="D144" s="134" t="s">
        <v>18</v>
      </c>
      <c r="E144" s="136"/>
      <c r="F144" s="135" t="s">
        <v>19</v>
      </c>
      <c r="G144" s="135"/>
      <c r="H144" s="135"/>
      <c r="I144" s="195" t="s">
        <v>20</v>
      </c>
      <c r="J144" s="135" t="s">
        <v>21</v>
      </c>
      <c r="K144" s="135"/>
      <c r="L144" s="136"/>
      <c r="N144" s="134" t="s">
        <v>17</v>
      </c>
      <c r="O144" s="135" t="s">
        <v>22</v>
      </c>
      <c r="P144" s="135"/>
      <c r="Q144" s="135" t="s">
        <v>23</v>
      </c>
      <c r="R144" s="135"/>
      <c r="S144" s="135"/>
      <c r="T144" s="135" t="s">
        <v>24</v>
      </c>
      <c r="U144" s="135"/>
      <c r="V144" s="135" t="s">
        <v>21</v>
      </c>
      <c r="W144" s="136"/>
      <c r="AN144" s="28" t="s">
        <v>25</v>
      </c>
      <c r="AZ144" s="194" t="s">
        <v>951</v>
      </c>
      <c r="BD144" s="195" t="s">
        <v>17</v>
      </c>
      <c r="BE144" s="134" t="s">
        <v>27</v>
      </c>
      <c r="BF144" s="136"/>
      <c r="BG144" s="135" t="s">
        <v>28</v>
      </c>
      <c r="BH144" s="135"/>
      <c r="BI144" s="135"/>
      <c r="BJ144" s="135" t="s">
        <v>29</v>
      </c>
      <c r="BK144" s="135" t="s">
        <v>30</v>
      </c>
      <c r="BL144" s="135" t="s">
        <v>31</v>
      </c>
      <c r="BM144" s="135"/>
      <c r="BN144" s="136"/>
    </row>
    <row r="145" spans="3:67" x14ac:dyDescent="0.3">
      <c r="C145" s="138" t="s">
        <v>32</v>
      </c>
      <c r="D145" s="138"/>
      <c r="E145" s="141"/>
      <c r="F145" s="28"/>
      <c r="G145" s="28"/>
      <c r="H145" s="28"/>
      <c r="I145" s="196"/>
      <c r="J145" s="28" t="s">
        <v>33</v>
      </c>
      <c r="K145" s="28"/>
      <c r="L145" s="141"/>
      <c r="N145" s="138"/>
      <c r="O145" s="28"/>
      <c r="P145" s="28"/>
      <c r="Q145" s="28"/>
      <c r="R145" s="28"/>
      <c r="S145" s="28"/>
      <c r="T145" s="28"/>
      <c r="U145" s="28"/>
      <c r="V145" s="28" t="s">
        <v>33</v>
      </c>
      <c r="W145" s="141"/>
      <c r="AD145" s="134" t="s">
        <v>34</v>
      </c>
      <c r="AE145" s="134" t="s">
        <v>35</v>
      </c>
      <c r="AF145" s="136"/>
      <c r="AG145" s="135" t="s">
        <v>36</v>
      </c>
      <c r="AH145" s="135"/>
      <c r="AI145" s="135"/>
      <c r="AJ145" s="134" t="s">
        <v>37</v>
      </c>
      <c r="AK145" s="136"/>
      <c r="AL145" s="135" t="s">
        <v>30</v>
      </c>
      <c r="AM145" s="134" t="s">
        <v>38</v>
      </c>
      <c r="AN145" s="135"/>
      <c r="AO145" s="136"/>
      <c r="AR145" s="134" t="s">
        <v>17</v>
      </c>
      <c r="AS145" s="134" t="s">
        <v>39</v>
      </c>
      <c r="AT145" s="136"/>
      <c r="AU145" s="134" t="s">
        <v>29</v>
      </c>
      <c r="AV145" s="136" t="s">
        <v>30</v>
      </c>
      <c r="AW145" s="135" t="s">
        <v>40</v>
      </c>
      <c r="AX145" s="135"/>
      <c r="AY145" s="135"/>
      <c r="AZ145" s="135"/>
      <c r="BA145" s="136"/>
      <c r="BD145" s="196"/>
      <c r="BE145" s="138"/>
      <c r="BF145" s="141"/>
      <c r="BG145" s="28"/>
      <c r="BH145" s="28"/>
      <c r="BI145" s="28"/>
      <c r="BJ145" s="28"/>
      <c r="BK145" s="28" t="s">
        <v>6</v>
      </c>
      <c r="BL145" s="28" t="s">
        <v>41</v>
      </c>
      <c r="BM145" s="28"/>
      <c r="BN145" s="141"/>
    </row>
    <row r="146" spans="3:67" ht="15" thickBot="1" x14ac:dyDescent="0.35">
      <c r="C146" s="142" t="s">
        <v>42</v>
      </c>
      <c r="D146" s="142" t="s">
        <v>43</v>
      </c>
      <c r="E146" s="143" t="s">
        <v>44</v>
      </c>
      <c r="F146" s="197" t="s">
        <v>45</v>
      </c>
      <c r="G146" s="198" t="s">
        <v>46</v>
      </c>
      <c r="H146" s="198" t="s">
        <v>47</v>
      </c>
      <c r="I146" s="199" t="s">
        <v>48</v>
      </c>
      <c r="J146" s="143" t="s">
        <v>49</v>
      </c>
      <c r="K146" s="143"/>
      <c r="L146" s="146"/>
      <c r="N146" s="142" t="s">
        <v>50</v>
      </c>
      <c r="O146" s="143" t="s">
        <v>43</v>
      </c>
      <c r="P146" s="143" t="s">
        <v>44</v>
      </c>
      <c r="Q146" s="143" t="s">
        <v>43</v>
      </c>
      <c r="R146" s="143" t="s">
        <v>51</v>
      </c>
      <c r="S146" s="143" t="s">
        <v>44</v>
      </c>
      <c r="T146" s="143" t="s">
        <v>43</v>
      </c>
      <c r="U146" s="143" t="s">
        <v>44</v>
      </c>
      <c r="V146" s="143" t="s">
        <v>49</v>
      </c>
      <c r="W146" s="146"/>
      <c r="AD146" s="138" t="s">
        <v>50</v>
      </c>
      <c r="AE146" s="138" t="s">
        <v>43</v>
      </c>
      <c r="AF146" s="141" t="s">
        <v>44</v>
      </c>
      <c r="AG146" s="28" t="s">
        <v>45</v>
      </c>
      <c r="AH146" s="28" t="s">
        <v>46</v>
      </c>
      <c r="AI146" s="28" t="s">
        <v>52</v>
      </c>
      <c r="AJ146" s="138" t="s">
        <v>43</v>
      </c>
      <c r="AK146" s="141" t="s">
        <v>44</v>
      </c>
      <c r="AL146" s="28" t="s">
        <v>43</v>
      </c>
      <c r="AM146" s="138" t="s">
        <v>53</v>
      </c>
      <c r="AN146" s="28"/>
      <c r="AO146" s="141"/>
      <c r="AR146" s="138" t="s">
        <v>42</v>
      </c>
      <c r="AS146" s="138" t="s">
        <v>43</v>
      </c>
      <c r="AT146" s="141" t="s">
        <v>44</v>
      </c>
      <c r="AU146" s="138" t="s">
        <v>43</v>
      </c>
      <c r="AV146" s="141" t="s">
        <v>44</v>
      </c>
      <c r="AW146" s="28"/>
      <c r="AX146" s="28"/>
      <c r="AY146" s="28"/>
      <c r="AZ146" s="28"/>
      <c r="BA146" s="141"/>
      <c r="BD146" s="199" t="s">
        <v>42</v>
      </c>
      <c r="BE146" s="142" t="s">
        <v>43</v>
      </c>
      <c r="BF146" s="146" t="s">
        <v>44</v>
      </c>
      <c r="BG146" s="143" t="s">
        <v>45</v>
      </c>
      <c r="BH146" s="143" t="s">
        <v>46</v>
      </c>
      <c r="BI146" s="143" t="s">
        <v>52</v>
      </c>
      <c r="BJ146" s="143" t="s">
        <v>43</v>
      </c>
      <c r="BK146" s="143" t="s">
        <v>44</v>
      </c>
      <c r="BL146" s="143" t="s">
        <v>54</v>
      </c>
      <c r="BM146" s="143"/>
      <c r="BN146" s="146"/>
    </row>
    <row r="147" spans="3:67" x14ac:dyDescent="0.3">
      <c r="C147" s="134"/>
      <c r="D147" s="134"/>
      <c r="E147" s="135"/>
      <c r="F147" s="134"/>
      <c r="G147" s="135"/>
      <c r="H147" s="135"/>
      <c r="I147" s="195"/>
      <c r="J147" s="135" t="s">
        <v>396</v>
      </c>
      <c r="K147" s="135"/>
      <c r="L147" s="136"/>
      <c r="N147" s="134"/>
      <c r="O147" s="134"/>
      <c r="P147" s="195"/>
      <c r="Q147" s="134"/>
      <c r="R147" s="195"/>
      <c r="S147" s="136"/>
      <c r="T147" s="134"/>
      <c r="U147" s="195"/>
      <c r="V147" s="134" t="s">
        <v>396</v>
      </c>
      <c r="W147" s="136"/>
      <c r="AD147" s="33"/>
      <c r="AE147" s="33"/>
      <c r="AF147" s="35"/>
      <c r="AG147" s="34"/>
      <c r="AH147" s="34"/>
      <c r="AI147" s="34"/>
      <c r="AJ147" s="33"/>
      <c r="AK147" s="35"/>
      <c r="AL147" s="32"/>
      <c r="AM147" s="33" t="s">
        <v>62</v>
      </c>
      <c r="AN147" s="34"/>
      <c r="AO147" s="35"/>
      <c r="AR147" s="134"/>
      <c r="AS147" s="134"/>
      <c r="AT147" s="136"/>
      <c r="AU147" s="134"/>
      <c r="AV147" s="136"/>
      <c r="AW147" s="135"/>
      <c r="AX147" s="135"/>
      <c r="AY147" s="135"/>
      <c r="AZ147" s="135"/>
      <c r="BA147" s="136"/>
      <c r="BD147" s="195" t="s">
        <v>6</v>
      </c>
      <c r="BE147" s="135"/>
      <c r="BF147" s="135"/>
      <c r="BG147" s="134"/>
      <c r="BH147" s="135"/>
      <c r="BI147" s="135"/>
      <c r="BJ147" s="134"/>
      <c r="BK147" s="136"/>
      <c r="BL147" s="135" t="s">
        <v>58</v>
      </c>
      <c r="BM147" s="135"/>
      <c r="BN147" s="136"/>
    </row>
    <row r="148" spans="3:67" x14ac:dyDescent="0.3">
      <c r="C148" s="138" t="s">
        <v>59</v>
      </c>
      <c r="D148" s="138">
        <v>773</v>
      </c>
      <c r="E148" s="28">
        <v>1096</v>
      </c>
      <c r="F148" s="138"/>
      <c r="G148" s="28" t="s">
        <v>60</v>
      </c>
      <c r="H148" s="28"/>
      <c r="I148" s="196">
        <v>1135</v>
      </c>
      <c r="J148" s="28">
        <v>4</v>
      </c>
      <c r="K148" s="28" t="s">
        <v>61</v>
      </c>
      <c r="L148" s="141"/>
      <c r="N148" s="138" t="s">
        <v>59</v>
      </c>
      <c r="O148" s="138">
        <v>4360</v>
      </c>
      <c r="P148" s="196">
        <v>29395</v>
      </c>
      <c r="Q148" s="138">
        <v>0</v>
      </c>
      <c r="R148" s="196">
        <v>0</v>
      </c>
      <c r="S148" s="141">
        <v>0</v>
      </c>
      <c r="T148" s="138">
        <v>0</v>
      </c>
      <c r="U148" s="196">
        <v>0</v>
      </c>
      <c r="V148" s="138"/>
      <c r="W148" s="141"/>
      <c r="AD148" s="42"/>
      <c r="AE148" s="42"/>
      <c r="AF148" s="40"/>
      <c r="AG148" s="28"/>
      <c r="AH148" s="28"/>
      <c r="AI148" s="28"/>
      <c r="AJ148" s="42"/>
      <c r="AK148" s="40"/>
      <c r="AL148" s="41"/>
      <c r="AM148" s="42">
        <v>1</v>
      </c>
      <c r="AN148" s="28" t="s">
        <v>1290</v>
      </c>
      <c r="AO148" s="40"/>
      <c r="AR148" s="138"/>
      <c r="AS148" s="138" t="s">
        <v>6</v>
      </c>
      <c r="AT148" s="141" t="s">
        <v>6</v>
      </c>
      <c r="AU148" s="138"/>
      <c r="AV148" s="141"/>
      <c r="AW148" s="28"/>
      <c r="AX148" s="28" t="s">
        <v>91</v>
      </c>
      <c r="AY148" s="28"/>
      <c r="AZ148" s="28"/>
      <c r="BA148" s="141"/>
      <c r="BD148" s="196" t="s">
        <v>64</v>
      </c>
      <c r="BE148" s="28">
        <v>101</v>
      </c>
      <c r="BF148" s="28">
        <v>92</v>
      </c>
      <c r="BG148" s="138">
        <v>0</v>
      </c>
      <c r="BH148" s="28">
        <v>0</v>
      </c>
      <c r="BI148" s="28">
        <v>0</v>
      </c>
      <c r="BJ148" s="138">
        <v>0</v>
      </c>
      <c r="BK148" s="141">
        <v>0</v>
      </c>
      <c r="BL148" s="43">
        <v>12</v>
      </c>
      <c r="BM148" s="28" t="s">
        <v>474</v>
      </c>
      <c r="BN148" s="141" t="s">
        <v>6</v>
      </c>
    </row>
    <row r="149" spans="3:67" x14ac:dyDescent="0.3">
      <c r="C149" s="138" t="s">
        <v>6</v>
      </c>
      <c r="D149" s="138"/>
      <c r="E149" s="28"/>
      <c r="F149" s="138"/>
      <c r="G149" s="28"/>
      <c r="H149" s="28"/>
      <c r="I149" s="196"/>
      <c r="J149" s="28"/>
      <c r="K149" s="28" t="s">
        <v>528</v>
      </c>
      <c r="L149" s="141">
        <f>SUM(J148)</f>
        <v>4</v>
      </c>
      <c r="N149" s="142"/>
      <c r="O149" s="142"/>
      <c r="P149" s="199"/>
      <c r="Q149" s="142"/>
      <c r="R149" s="199"/>
      <c r="S149" s="146"/>
      <c r="T149" s="142"/>
      <c r="U149" s="199"/>
      <c r="V149" s="142"/>
      <c r="W149" s="146"/>
      <c r="AD149" s="42" t="s">
        <v>59</v>
      </c>
      <c r="AE149" s="42">
        <v>2051</v>
      </c>
      <c r="AF149" s="40">
        <v>2118</v>
      </c>
      <c r="AG149" s="28">
        <v>0</v>
      </c>
      <c r="AH149" s="28">
        <v>0</v>
      </c>
      <c r="AI149" s="28">
        <v>0</v>
      </c>
      <c r="AJ149" s="42">
        <v>0</v>
      </c>
      <c r="AK149" s="40">
        <v>0</v>
      </c>
      <c r="AL149" s="41">
        <v>0</v>
      </c>
      <c r="AM149" s="42">
        <v>5</v>
      </c>
      <c r="AN149" s="28" t="s">
        <v>66</v>
      </c>
      <c r="AO149" s="40"/>
      <c r="AR149" s="138" t="s">
        <v>56</v>
      </c>
      <c r="AS149" s="138">
        <f>1580+19</f>
        <v>1599</v>
      </c>
      <c r="AT149" s="141">
        <v>1633</v>
      </c>
      <c r="AU149" s="138"/>
      <c r="AV149" s="141"/>
      <c r="AW149" s="28"/>
      <c r="AX149" s="28"/>
      <c r="AY149" s="28"/>
      <c r="AZ149" s="28"/>
      <c r="BA149" s="141"/>
      <c r="BD149" s="196" t="s">
        <v>108</v>
      </c>
      <c r="BG149" s="138">
        <v>0</v>
      </c>
      <c r="BH149" s="28">
        <v>0</v>
      </c>
      <c r="BI149" s="28">
        <v>0</v>
      </c>
      <c r="BJ149" s="138">
        <v>0</v>
      </c>
      <c r="BK149" s="141">
        <v>0</v>
      </c>
      <c r="BL149" s="43">
        <v>2</v>
      </c>
      <c r="BM149" s="28" t="s">
        <v>1045</v>
      </c>
      <c r="BN149" s="141"/>
    </row>
    <row r="150" spans="3:67" ht="15" thickBot="1" x14ac:dyDescent="0.35">
      <c r="C150" s="134"/>
      <c r="D150" s="134"/>
      <c r="E150" s="135"/>
      <c r="F150" s="134"/>
      <c r="G150" s="135"/>
      <c r="H150" s="135"/>
      <c r="I150" s="195"/>
      <c r="J150" s="135" t="s">
        <v>70</v>
      </c>
      <c r="K150" s="135"/>
      <c r="L150" s="136"/>
      <c r="N150" s="134"/>
      <c r="O150" s="134"/>
      <c r="P150" s="195"/>
      <c r="Q150" s="134"/>
      <c r="R150" s="195"/>
      <c r="S150" s="136"/>
      <c r="T150" s="134"/>
      <c r="U150" s="195"/>
      <c r="V150" s="134"/>
      <c r="W150" s="136"/>
      <c r="AD150" s="244"/>
      <c r="AE150" s="244"/>
      <c r="AF150" s="245"/>
      <c r="AG150" s="143"/>
      <c r="AH150" s="143"/>
      <c r="AI150" s="143"/>
      <c r="AJ150" s="244"/>
      <c r="AK150" s="245"/>
      <c r="AL150" s="313"/>
      <c r="AM150" s="47">
        <v>3</v>
      </c>
      <c r="AN150" s="48" t="s">
        <v>436</v>
      </c>
      <c r="AO150" s="49"/>
      <c r="AR150" s="142" t="s">
        <v>6</v>
      </c>
      <c r="AS150" s="142"/>
      <c r="AT150" s="146"/>
      <c r="AU150" s="142"/>
      <c r="AV150" s="146"/>
      <c r="AW150" s="143"/>
      <c r="AX150" s="143">
        <v>104</v>
      </c>
      <c r="AY150" s="143" t="s">
        <v>73</v>
      </c>
      <c r="AZ150" s="143"/>
      <c r="BA150" s="146">
        <f>SUM(AX150)</f>
        <v>104</v>
      </c>
      <c r="BD150" s="199" t="s">
        <v>84</v>
      </c>
      <c r="BE150" s="143">
        <f>SUM(BE147:BE149)</f>
        <v>101</v>
      </c>
      <c r="BF150" s="143">
        <f>SUM(BF147:BF149)</f>
        <v>92</v>
      </c>
      <c r="BG150" s="138">
        <v>0</v>
      </c>
      <c r="BH150" s="28">
        <v>0</v>
      </c>
      <c r="BI150" s="28">
        <v>0</v>
      </c>
      <c r="BJ150" s="138">
        <v>0</v>
      </c>
      <c r="BK150" s="141">
        <v>0</v>
      </c>
      <c r="BL150" s="143">
        <v>3</v>
      </c>
      <c r="BM150" s="143" t="s">
        <v>69</v>
      </c>
      <c r="BN150" s="146">
        <f>SUM(BL148:BL150)</f>
        <v>17</v>
      </c>
    </row>
    <row r="151" spans="3:67" x14ac:dyDescent="0.3">
      <c r="C151" s="138" t="s">
        <v>74</v>
      </c>
      <c r="D151" s="138">
        <v>1310</v>
      </c>
      <c r="E151" s="28">
        <v>2287</v>
      </c>
      <c r="F151" s="138"/>
      <c r="G151" s="28" t="s">
        <v>60</v>
      </c>
      <c r="H151" s="28"/>
      <c r="I151" s="196">
        <v>2932</v>
      </c>
      <c r="J151" s="28"/>
      <c r="K151" s="28" t="s">
        <v>75</v>
      </c>
      <c r="L151" s="141"/>
      <c r="N151" s="138"/>
      <c r="O151" s="138"/>
      <c r="P151" s="196"/>
      <c r="Q151" s="138"/>
      <c r="R151" s="196"/>
      <c r="S151" s="141"/>
      <c r="T151" s="138"/>
      <c r="U151" s="196"/>
      <c r="V151" s="138" t="s">
        <v>80</v>
      </c>
      <c r="W151" s="141"/>
      <c r="AD151" s="278" t="s">
        <v>6</v>
      </c>
      <c r="AE151" s="278"/>
      <c r="AF151" s="279"/>
      <c r="AG151" s="135"/>
      <c r="AH151" s="135"/>
      <c r="AI151" s="135"/>
      <c r="AJ151" s="278"/>
      <c r="AK151" s="279"/>
      <c r="AL151" s="314"/>
      <c r="AM151" s="28" t="s">
        <v>952</v>
      </c>
      <c r="AN151" s="28"/>
      <c r="AO151" s="40"/>
      <c r="AR151" s="134"/>
      <c r="AS151" s="134"/>
      <c r="AT151" s="136"/>
      <c r="AU151" s="134"/>
      <c r="AV151" s="136"/>
      <c r="AW151" s="135"/>
      <c r="AX151" s="135"/>
      <c r="AY151" s="135"/>
      <c r="AZ151" s="135"/>
      <c r="BA151" s="136"/>
      <c r="BD151" s="195" t="s">
        <v>6</v>
      </c>
      <c r="BE151" s="134" t="s">
        <v>6</v>
      </c>
      <c r="BF151" s="136"/>
      <c r="BG151" s="135"/>
      <c r="BH151" s="135">
        <v>0</v>
      </c>
      <c r="BI151" s="135"/>
      <c r="BJ151" s="134"/>
      <c r="BK151" s="136"/>
      <c r="BL151" s="135" t="s">
        <v>1092</v>
      </c>
      <c r="BM151" s="135"/>
      <c r="BN151" s="136"/>
    </row>
    <row r="152" spans="3:67" ht="15" thickBot="1" x14ac:dyDescent="0.35">
      <c r="C152" s="138"/>
      <c r="D152" s="138"/>
      <c r="E152" s="28"/>
      <c r="F152" s="138"/>
      <c r="G152" s="28"/>
      <c r="H152" s="28"/>
      <c r="I152" s="196"/>
      <c r="J152" s="28">
        <v>2</v>
      </c>
      <c r="K152" s="28" t="s">
        <v>79</v>
      </c>
      <c r="L152" s="141"/>
      <c r="N152" s="138" t="s">
        <v>74</v>
      </c>
      <c r="O152" s="138">
        <v>6666</v>
      </c>
      <c r="P152" s="196">
        <v>14</v>
      </c>
      <c r="Q152" s="138">
        <v>0</v>
      </c>
      <c r="R152" s="196">
        <v>0</v>
      </c>
      <c r="S152" s="141">
        <v>0</v>
      </c>
      <c r="T152" s="138">
        <v>109</v>
      </c>
      <c r="U152" s="196">
        <v>0</v>
      </c>
      <c r="V152" s="138"/>
      <c r="W152" s="141"/>
      <c r="AD152" s="42" t="s">
        <v>76</v>
      </c>
      <c r="AE152" s="42">
        <v>0</v>
      </c>
      <c r="AF152" s="40">
        <v>0</v>
      </c>
      <c r="AG152" s="28">
        <v>0</v>
      </c>
      <c r="AH152" s="28">
        <v>0</v>
      </c>
      <c r="AI152" s="28">
        <v>0</v>
      </c>
      <c r="AJ152" s="42">
        <v>0</v>
      </c>
      <c r="AK152" s="40">
        <v>0</v>
      </c>
      <c r="AL152" s="41">
        <v>0</v>
      </c>
      <c r="AM152" s="43">
        <v>2</v>
      </c>
      <c r="AN152" s="28" t="s">
        <v>780</v>
      </c>
      <c r="AO152" s="40"/>
      <c r="AR152" s="138" t="s">
        <v>63</v>
      </c>
      <c r="AS152" s="138">
        <v>47</v>
      </c>
      <c r="AT152" s="141">
        <v>79</v>
      </c>
      <c r="AU152" s="138"/>
      <c r="AV152" s="141"/>
      <c r="AW152" s="28"/>
      <c r="AX152" s="28" t="s">
        <v>110</v>
      </c>
      <c r="AY152" s="28" t="s">
        <v>111</v>
      </c>
      <c r="AZ152" s="28" t="s">
        <v>112</v>
      </c>
      <c r="BA152" s="141"/>
      <c r="BD152" s="199" t="s">
        <v>108</v>
      </c>
      <c r="BE152" s="142">
        <v>637</v>
      </c>
      <c r="BF152" s="146">
        <v>525</v>
      </c>
      <c r="BG152" s="143"/>
      <c r="BH152" s="143">
        <v>0</v>
      </c>
      <c r="BI152" s="143">
        <v>0</v>
      </c>
      <c r="BJ152" s="142">
        <v>0</v>
      </c>
      <c r="BK152" s="146">
        <v>0</v>
      </c>
      <c r="BL152" s="143">
        <v>13</v>
      </c>
      <c r="BM152" s="143" t="s">
        <v>780</v>
      </c>
      <c r="BN152" s="146">
        <f>SUM(BL152)</f>
        <v>13</v>
      </c>
    </row>
    <row r="153" spans="3:67" x14ac:dyDescent="0.3">
      <c r="C153" s="142"/>
      <c r="D153" s="142"/>
      <c r="E153" s="143"/>
      <c r="F153" s="142"/>
      <c r="G153" s="143"/>
      <c r="H153" s="143"/>
      <c r="I153" s="199"/>
      <c r="J153" s="143">
        <v>16</v>
      </c>
      <c r="K153" s="143" t="s">
        <v>83</v>
      </c>
      <c r="L153" s="146">
        <f>SUM(J151:J153)</f>
        <v>18</v>
      </c>
      <c r="N153" s="142"/>
      <c r="O153" s="142"/>
      <c r="P153" s="199"/>
      <c r="Q153" s="142"/>
      <c r="R153" s="199"/>
      <c r="S153" s="146"/>
      <c r="T153" s="142"/>
      <c r="U153" s="199"/>
      <c r="V153" s="142"/>
      <c r="W153" s="146"/>
      <c r="AD153" s="33"/>
      <c r="AE153" s="33"/>
      <c r="AF153" s="35"/>
      <c r="AG153" s="34"/>
      <c r="AH153" s="34"/>
      <c r="AI153" s="34"/>
      <c r="AJ153" s="33"/>
      <c r="AK153" s="35"/>
      <c r="AL153" s="32"/>
      <c r="AM153" s="34" t="s">
        <v>1298</v>
      </c>
      <c r="AN153" s="34"/>
      <c r="AO153" s="35"/>
      <c r="AR153" s="138" t="s">
        <v>115</v>
      </c>
      <c r="AS153" s="138">
        <v>20</v>
      </c>
      <c r="AT153" s="141">
        <v>14</v>
      </c>
      <c r="AU153" s="138"/>
      <c r="AV153" s="141"/>
      <c r="AW153" s="28"/>
      <c r="AX153" s="28"/>
      <c r="AY153" s="28"/>
      <c r="AZ153" s="28"/>
      <c r="BA153" s="141"/>
      <c r="BD153" s="195" t="s">
        <v>107</v>
      </c>
      <c r="BE153" s="134">
        <v>0</v>
      </c>
      <c r="BF153" s="136">
        <v>0</v>
      </c>
      <c r="BG153" s="135"/>
      <c r="BH153" s="135"/>
      <c r="BI153" s="135"/>
      <c r="BJ153" s="134"/>
      <c r="BK153" s="136"/>
      <c r="BL153" s="135"/>
      <c r="BM153" s="135" t="s">
        <v>92</v>
      </c>
      <c r="BN153" s="136"/>
    </row>
    <row r="154" spans="3:67" ht="15" thickBot="1" x14ac:dyDescent="0.35">
      <c r="C154" s="134"/>
      <c r="D154" s="134"/>
      <c r="E154" s="135"/>
      <c r="F154" s="134"/>
      <c r="G154" s="135"/>
      <c r="H154" s="135"/>
      <c r="I154" s="195"/>
      <c r="J154" s="135" t="s">
        <v>87</v>
      </c>
      <c r="K154" s="135"/>
      <c r="L154" s="136"/>
      <c r="N154" s="134" t="s">
        <v>88</v>
      </c>
      <c r="O154" s="134">
        <v>0</v>
      </c>
      <c r="P154" s="195">
        <v>0</v>
      </c>
      <c r="Q154" s="134"/>
      <c r="R154" s="195"/>
      <c r="S154" s="136"/>
      <c r="T154" s="134"/>
      <c r="U154" s="195"/>
      <c r="V154" s="134" t="s">
        <v>6</v>
      </c>
      <c r="W154" s="136"/>
      <c r="AD154" s="47" t="s">
        <v>1300</v>
      </c>
      <c r="AE154" s="47">
        <v>290</v>
      </c>
      <c r="AF154" s="49">
        <v>233</v>
      </c>
      <c r="AG154" s="48"/>
      <c r="AH154" s="48"/>
      <c r="AI154" s="48"/>
      <c r="AJ154" s="47"/>
      <c r="AK154" s="49"/>
      <c r="AL154" s="46"/>
      <c r="AM154" s="48">
        <v>9</v>
      </c>
      <c r="AN154" s="48" t="s">
        <v>145</v>
      </c>
      <c r="AO154" s="49"/>
      <c r="AR154" s="138" t="s">
        <v>72</v>
      </c>
      <c r="AS154" s="138">
        <v>23</v>
      </c>
      <c r="AT154" s="141">
        <v>12</v>
      </c>
      <c r="AU154" s="138"/>
      <c r="AV154" s="141"/>
      <c r="AW154" s="28"/>
      <c r="AX154" s="28"/>
      <c r="AY154" s="28"/>
      <c r="AZ154" s="28"/>
      <c r="BA154" s="141"/>
      <c r="BD154" s="196" t="s">
        <v>99</v>
      </c>
      <c r="BE154" s="138">
        <v>0</v>
      </c>
      <c r="BF154" s="141">
        <v>0</v>
      </c>
      <c r="BG154" s="28">
        <v>0</v>
      </c>
      <c r="BH154" s="28">
        <v>0</v>
      </c>
      <c r="BI154" s="28">
        <v>0</v>
      </c>
      <c r="BJ154" s="138">
        <v>89821</v>
      </c>
      <c r="BK154" s="141">
        <v>20907</v>
      </c>
      <c r="BL154" s="43">
        <v>29</v>
      </c>
      <c r="BM154" s="28" t="s">
        <v>100</v>
      </c>
      <c r="BN154" s="141"/>
    </row>
    <row r="155" spans="3:67" x14ac:dyDescent="0.3">
      <c r="C155" s="138" t="s">
        <v>93</v>
      </c>
      <c r="D155" s="138">
        <v>4349</v>
      </c>
      <c r="E155" s="28">
        <v>5255</v>
      </c>
      <c r="F155" s="138"/>
      <c r="G155" s="28" t="s">
        <v>60</v>
      </c>
      <c r="H155" s="28"/>
      <c r="I155" s="196">
        <v>5537</v>
      </c>
      <c r="J155" s="28"/>
      <c r="K155" s="28" t="s">
        <v>94</v>
      </c>
      <c r="L155" s="141"/>
      <c r="N155" s="138" t="s">
        <v>95</v>
      </c>
      <c r="O155" s="138">
        <v>0</v>
      </c>
      <c r="P155" s="196">
        <v>0</v>
      </c>
      <c r="Q155" s="138"/>
      <c r="R155" s="196"/>
      <c r="S155" s="141"/>
      <c r="T155" s="138"/>
      <c r="U155" s="196"/>
      <c r="V155" s="138" t="s">
        <v>96</v>
      </c>
      <c r="W155" s="141"/>
      <c r="AD155" s="42" t="s">
        <v>89</v>
      </c>
      <c r="AE155" s="42">
        <v>42</v>
      </c>
      <c r="AF155" s="40">
        <v>32</v>
      </c>
      <c r="AG155" s="28"/>
      <c r="AH155" s="28"/>
      <c r="AI155" s="28"/>
      <c r="AJ155" s="42"/>
      <c r="AK155" s="40"/>
      <c r="AL155" s="41"/>
      <c r="AM155" s="28" t="s">
        <v>90</v>
      </c>
      <c r="AN155" s="28"/>
      <c r="AO155" s="40"/>
      <c r="AR155" s="138" t="s">
        <v>78</v>
      </c>
      <c r="AS155" s="138">
        <v>49</v>
      </c>
      <c r="AT155" s="141">
        <v>43</v>
      </c>
      <c r="AU155" s="138"/>
      <c r="AV155" s="141"/>
      <c r="AW155" s="28"/>
      <c r="AX155" s="28"/>
      <c r="AY155" s="28"/>
      <c r="AZ155" s="28"/>
      <c r="BA155" s="141"/>
      <c r="BB155" t="s">
        <v>6</v>
      </c>
      <c r="BD155" s="199" t="s">
        <v>84</v>
      </c>
      <c r="BE155" s="138">
        <f>SUM(BE153:BE154)</f>
        <v>0</v>
      </c>
      <c r="BF155" s="141">
        <f>SUM(BF153:BF154)</f>
        <v>0</v>
      </c>
      <c r="BG155" s="143"/>
      <c r="BH155" s="143"/>
      <c r="BI155" s="143"/>
      <c r="BJ155" s="142"/>
      <c r="BK155" s="146"/>
      <c r="BL155" s="143">
        <v>0</v>
      </c>
      <c r="BM155" s="143" t="s">
        <v>506</v>
      </c>
      <c r="BN155" s="146">
        <f>SUM(BL154:BL155)</f>
        <v>29</v>
      </c>
    </row>
    <row r="156" spans="3:67" x14ac:dyDescent="0.3">
      <c r="C156" s="142"/>
      <c r="D156" s="142"/>
      <c r="E156" s="143"/>
      <c r="F156" s="142"/>
      <c r="G156" s="143"/>
      <c r="H156" s="143"/>
      <c r="I156" s="199"/>
      <c r="J156" s="143">
        <v>31</v>
      </c>
      <c r="K156" s="143" t="s">
        <v>101</v>
      </c>
      <c r="L156" s="146">
        <f>SUM(J155:J156)</f>
        <v>31</v>
      </c>
      <c r="N156" s="138" t="s">
        <v>102</v>
      </c>
      <c r="O156" s="138">
        <v>0</v>
      </c>
      <c r="P156" s="196">
        <v>0</v>
      </c>
      <c r="Q156" s="138"/>
      <c r="R156" s="196"/>
      <c r="S156" s="141"/>
      <c r="T156" s="138"/>
      <c r="U156" s="196"/>
      <c r="V156" s="138"/>
      <c r="W156" s="141"/>
      <c r="AD156" s="42" t="s">
        <v>137</v>
      </c>
      <c r="AE156" s="42"/>
      <c r="AF156" s="40"/>
      <c r="AG156" s="28">
        <v>0</v>
      </c>
      <c r="AH156" s="28">
        <v>0</v>
      </c>
      <c r="AI156" s="28">
        <v>0</v>
      </c>
      <c r="AJ156" s="42">
        <v>0</v>
      </c>
      <c r="AK156" s="40">
        <v>0</v>
      </c>
      <c r="AL156" s="41">
        <v>0</v>
      </c>
      <c r="AM156" s="28"/>
      <c r="AN156" s="28" t="s">
        <v>529</v>
      </c>
      <c r="AO156" s="40"/>
      <c r="AR156" s="138" t="s">
        <v>122</v>
      </c>
      <c r="AS156" s="138">
        <v>40</v>
      </c>
      <c r="AT156" s="141">
        <v>36</v>
      </c>
      <c r="AU156" s="138"/>
      <c r="AV156" s="141"/>
      <c r="AW156" s="28"/>
      <c r="AX156" s="28">
        <v>32</v>
      </c>
      <c r="AY156" s="28" t="s">
        <v>123</v>
      </c>
      <c r="AZ156" s="28" t="s">
        <v>6</v>
      </c>
      <c r="BA156" s="141"/>
      <c r="BD156" s="138" t="s">
        <v>89</v>
      </c>
      <c r="BE156" s="134">
        <v>1001</v>
      </c>
      <c r="BF156" s="136">
        <v>1074</v>
      </c>
      <c r="BJ156" s="134"/>
      <c r="BK156" s="135"/>
      <c r="BL156" s="134"/>
      <c r="BM156" s="135" t="s">
        <v>91</v>
      </c>
      <c r="BN156" s="136"/>
    </row>
    <row r="157" spans="3:67" x14ac:dyDescent="0.3">
      <c r="C157" s="138" t="s">
        <v>108</v>
      </c>
      <c r="D157" s="138">
        <v>0</v>
      </c>
      <c r="E157" s="28">
        <v>0</v>
      </c>
      <c r="F157" s="138"/>
      <c r="G157" s="28">
        <v>527</v>
      </c>
      <c r="H157" s="28"/>
      <c r="I157" s="196"/>
      <c r="J157" s="28" t="s">
        <v>104</v>
      </c>
      <c r="K157" s="28"/>
      <c r="L157" s="141"/>
      <c r="N157" s="142" t="s">
        <v>84</v>
      </c>
      <c r="O157" s="142">
        <v>0</v>
      </c>
      <c r="P157" s="199">
        <v>0</v>
      </c>
      <c r="Q157" s="142">
        <v>0</v>
      </c>
      <c r="R157" s="199">
        <v>0</v>
      </c>
      <c r="S157" s="146">
        <v>0</v>
      </c>
      <c r="T157" s="142">
        <v>0</v>
      </c>
      <c r="U157" s="199">
        <v>0</v>
      </c>
      <c r="V157" s="142"/>
      <c r="W157" s="146"/>
      <c r="AD157" s="244" t="s">
        <v>84</v>
      </c>
      <c r="AE157" s="244">
        <f>SUM(AE155:AE156)</f>
        <v>42</v>
      </c>
      <c r="AF157" s="245">
        <f>SUM(AF155:AF156)</f>
        <v>32</v>
      </c>
      <c r="AG157" s="143"/>
      <c r="AH157" s="143"/>
      <c r="AI157" s="143"/>
      <c r="AJ157" s="244"/>
      <c r="AK157" s="245"/>
      <c r="AL157" s="313"/>
      <c r="AM157" s="143">
        <v>1</v>
      </c>
      <c r="AN157" s="143" t="s">
        <v>98</v>
      </c>
      <c r="AO157" s="245"/>
      <c r="AR157" s="138" t="s">
        <v>125</v>
      </c>
      <c r="AS157" s="138">
        <v>13</v>
      </c>
      <c r="AT157" s="141">
        <v>0</v>
      </c>
      <c r="AU157" s="138"/>
      <c r="AV157" s="141"/>
      <c r="AW157" s="28"/>
      <c r="AX157" s="28">
        <v>58</v>
      </c>
      <c r="AY157" s="28" t="s">
        <v>126</v>
      </c>
      <c r="AZ157" s="28"/>
      <c r="BA157" s="141"/>
      <c r="BC157" t="s">
        <v>6</v>
      </c>
      <c r="BD157" s="138" t="s">
        <v>137</v>
      </c>
      <c r="BE157" s="138">
        <v>394</v>
      </c>
      <c r="BF157" s="141">
        <v>448</v>
      </c>
      <c r="BJ157" s="138"/>
      <c r="BK157" s="28"/>
      <c r="BL157" s="212">
        <v>27</v>
      </c>
      <c r="BM157" s="43" t="s">
        <v>101</v>
      </c>
      <c r="BN157" s="141"/>
    </row>
    <row r="158" spans="3:67" x14ac:dyDescent="0.3">
      <c r="C158" s="138" t="s">
        <v>109</v>
      </c>
      <c r="D158" s="138">
        <v>1188</v>
      </c>
      <c r="E158" s="28">
        <v>1566</v>
      </c>
      <c r="F158" s="138"/>
      <c r="G158" s="28">
        <v>0</v>
      </c>
      <c r="H158" s="28"/>
      <c r="I158" s="196"/>
      <c r="J158" s="28">
        <v>8</v>
      </c>
      <c r="K158" s="28" t="s">
        <v>114</v>
      </c>
      <c r="L158" s="141"/>
      <c r="N158" s="134"/>
      <c r="O158" s="134"/>
      <c r="P158" s="195"/>
      <c r="Q158" s="134"/>
      <c r="R158" s="195"/>
      <c r="S158" s="136"/>
      <c r="T158" s="134"/>
      <c r="U158" s="195"/>
      <c r="V158" s="134" t="s">
        <v>104</v>
      </c>
      <c r="W158" s="136"/>
      <c r="AD158" s="278"/>
      <c r="AE158" s="278"/>
      <c r="AF158" s="279"/>
      <c r="AG158" s="135"/>
      <c r="AH158" s="135"/>
      <c r="AI158" s="135"/>
      <c r="AJ158" s="278"/>
      <c r="AK158" s="279"/>
      <c r="AL158" s="314"/>
      <c r="AM158" s="135" t="s">
        <v>1284</v>
      </c>
      <c r="AO158" s="279"/>
      <c r="AR158" s="138" t="s">
        <v>128</v>
      </c>
      <c r="AS158" s="138">
        <v>0</v>
      </c>
      <c r="AT158" s="141">
        <v>0</v>
      </c>
      <c r="AU158" s="138"/>
      <c r="AV158" s="141"/>
      <c r="AW158" s="28"/>
      <c r="AX158" s="28">
        <v>9</v>
      </c>
      <c r="AY158" s="28" t="s">
        <v>129</v>
      </c>
      <c r="AZ158" s="28" t="s">
        <v>6</v>
      </c>
      <c r="BA158" s="141"/>
      <c r="BC158" t="s">
        <v>6</v>
      </c>
      <c r="BD158" s="138" t="s">
        <v>113</v>
      </c>
      <c r="BE158" s="138">
        <v>712</v>
      </c>
      <c r="BF158" s="141">
        <v>689</v>
      </c>
      <c r="BJ158" s="138"/>
      <c r="BK158" s="28"/>
      <c r="BL158" s="212">
        <v>61</v>
      </c>
      <c r="BM158" s="28" t="s">
        <v>73</v>
      </c>
      <c r="BN158" s="141"/>
    </row>
    <row r="159" spans="3:67" x14ac:dyDescent="0.3">
      <c r="C159" s="142" t="s">
        <v>84</v>
      </c>
      <c r="D159" s="142">
        <f>SUM(D157:D158)</f>
        <v>1188</v>
      </c>
      <c r="E159" s="143">
        <f>SUM(E157:E158)</f>
        <v>1566</v>
      </c>
      <c r="F159" s="142"/>
      <c r="G159" s="143">
        <f>SUM(G157:G158)</f>
        <v>527</v>
      </c>
      <c r="H159" s="143"/>
      <c r="I159" s="199">
        <v>5625</v>
      </c>
      <c r="J159" s="143"/>
      <c r="K159" s="143"/>
      <c r="L159" s="146">
        <f>SUM(J158)</f>
        <v>8</v>
      </c>
      <c r="N159" s="138" t="s">
        <v>109</v>
      </c>
      <c r="O159" s="138">
        <v>1255</v>
      </c>
      <c r="P159" s="196">
        <v>0</v>
      </c>
      <c r="Q159" s="138">
        <v>0</v>
      </c>
      <c r="R159" s="196">
        <v>0</v>
      </c>
      <c r="S159" s="141">
        <v>0</v>
      </c>
      <c r="T159" s="138">
        <v>0</v>
      </c>
      <c r="U159" s="196">
        <v>0</v>
      </c>
      <c r="V159" s="138"/>
      <c r="W159" s="141"/>
      <c r="AD159" s="42" t="s">
        <v>817</v>
      </c>
      <c r="AE159" s="42">
        <v>151</v>
      </c>
      <c r="AF159" s="40">
        <v>3022</v>
      </c>
      <c r="AG159" s="28">
        <v>0</v>
      </c>
      <c r="AH159" s="28">
        <v>0</v>
      </c>
      <c r="AI159" s="28">
        <v>0</v>
      </c>
      <c r="AJ159" s="42"/>
      <c r="AK159" s="40"/>
      <c r="AL159" s="41">
        <v>0</v>
      </c>
      <c r="AM159" s="28"/>
      <c r="AN159" s="28" t="s">
        <v>6</v>
      </c>
      <c r="AO159" s="40"/>
      <c r="AR159" s="138" t="s">
        <v>132</v>
      </c>
      <c r="AS159" s="138">
        <v>0</v>
      </c>
      <c r="AT159" s="141">
        <v>0</v>
      </c>
      <c r="AU159" s="138"/>
      <c r="AV159" s="141"/>
      <c r="AW159" s="28"/>
      <c r="AX159" s="28"/>
      <c r="AY159" s="28"/>
      <c r="AZ159" s="28"/>
      <c r="BA159" s="141"/>
      <c r="BB159" t="s">
        <v>6</v>
      </c>
      <c r="BD159" s="212" t="s">
        <v>97</v>
      </c>
      <c r="BE159" s="212">
        <v>410</v>
      </c>
      <c r="BF159" s="209">
        <v>454</v>
      </c>
      <c r="BJ159" s="138"/>
      <c r="BK159" s="28"/>
      <c r="BL159" s="138"/>
      <c r="BM159" s="43" t="s">
        <v>433</v>
      </c>
      <c r="BN159" s="141"/>
    </row>
    <row r="160" spans="3:67" x14ac:dyDescent="0.3">
      <c r="C160" s="195" t="s">
        <v>785</v>
      </c>
      <c r="D160">
        <v>0</v>
      </c>
      <c r="E160" s="43">
        <v>0</v>
      </c>
      <c r="F160" s="134"/>
      <c r="G160" s="135"/>
      <c r="H160" s="136"/>
      <c r="I160" t="s">
        <v>6</v>
      </c>
      <c r="J160" s="134"/>
      <c r="K160" s="135"/>
      <c r="L160" s="136"/>
      <c r="N160" s="142"/>
      <c r="O160" s="142"/>
      <c r="P160" s="199"/>
      <c r="Q160" s="142"/>
      <c r="R160" s="199"/>
      <c r="S160" s="146"/>
      <c r="T160" s="142"/>
      <c r="U160" s="199"/>
      <c r="V160" s="142"/>
      <c r="W160" s="146"/>
      <c r="AD160" s="42" t="s">
        <v>164</v>
      </c>
      <c r="AE160" s="42"/>
      <c r="AF160" s="40"/>
      <c r="AG160" s="28">
        <v>0</v>
      </c>
      <c r="AH160" s="28"/>
      <c r="AI160" s="28">
        <v>0</v>
      </c>
      <c r="AJ160" s="42"/>
      <c r="AK160" s="40"/>
      <c r="AL160" s="41"/>
      <c r="AM160" s="28">
        <v>24</v>
      </c>
      <c r="AN160" s="43" t="s">
        <v>1285</v>
      </c>
      <c r="AO160" s="40"/>
      <c r="AR160" s="138" t="s">
        <v>81</v>
      </c>
      <c r="AS160" s="138">
        <v>12</v>
      </c>
      <c r="AT160" s="141">
        <v>20</v>
      </c>
      <c r="AU160" s="138"/>
      <c r="AV160" s="141"/>
      <c r="AW160" s="28"/>
      <c r="AX160" s="28"/>
      <c r="AY160" s="28"/>
      <c r="AZ160" s="28"/>
      <c r="BA160" s="141" t="s">
        <v>6</v>
      </c>
      <c r="BC160" t="s">
        <v>6</v>
      </c>
      <c r="BD160" s="212" t="s">
        <v>1550</v>
      </c>
      <c r="BE160" s="212">
        <v>0</v>
      </c>
      <c r="BF160" s="209">
        <v>154</v>
      </c>
      <c r="BJ160" s="138"/>
      <c r="BK160" s="28"/>
      <c r="BL160" s="138">
        <v>1</v>
      </c>
      <c r="BM160" s="43" t="s">
        <v>1551</v>
      </c>
      <c r="BN160" s="28"/>
      <c r="BO160" s="138"/>
    </row>
    <row r="161" spans="3:67" ht="15" thickBot="1" x14ac:dyDescent="0.35">
      <c r="C161" s="196" t="s">
        <v>93</v>
      </c>
      <c r="D161" s="28">
        <v>8192</v>
      </c>
      <c r="E161" s="43">
        <v>8336</v>
      </c>
      <c r="F161" s="138"/>
      <c r="G161" s="28"/>
      <c r="H161" s="141"/>
      <c r="I161" s="28">
        <v>9550</v>
      </c>
      <c r="J161" s="138" t="s">
        <v>118</v>
      </c>
      <c r="K161" s="28"/>
      <c r="L161" s="141"/>
      <c r="N161" s="134" t="s">
        <v>93</v>
      </c>
      <c r="O161" s="134">
        <v>0</v>
      </c>
      <c r="P161" s="195">
        <v>0</v>
      </c>
      <c r="Q161" s="134"/>
      <c r="R161" s="195"/>
      <c r="S161" s="136"/>
      <c r="T161" s="134">
        <v>0</v>
      </c>
      <c r="U161" s="195">
        <v>0</v>
      </c>
      <c r="V161" s="134" t="s">
        <v>116</v>
      </c>
      <c r="W161" s="136"/>
      <c r="AD161" s="42" t="s">
        <v>84</v>
      </c>
      <c r="AE161" s="42">
        <f>SUM(AE159:AE160)</f>
        <v>151</v>
      </c>
      <c r="AF161" s="40">
        <f>SUM(AF159:AF160)</f>
        <v>3022</v>
      </c>
      <c r="AG161" s="28">
        <v>0</v>
      </c>
      <c r="AH161" s="28">
        <v>0</v>
      </c>
      <c r="AI161" s="28">
        <v>0</v>
      </c>
      <c r="AJ161" s="42"/>
      <c r="AK161" s="40"/>
      <c r="AL161" s="41"/>
      <c r="AM161" s="28"/>
      <c r="AN161" s="28"/>
      <c r="AO161" s="40"/>
      <c r="AR161" s="138" t="s">
        <v>138</v>
      </c>
      <c r="AS161" s="138">
        <v>4</v>
      </c>
      <c r="AT161" s="141">
        <v>5</v>
      </c>
      <c r="AU161" s="138"/>
      <c r="AV161" s="141"/>
      <c r="AW161" s="28"/>
      <c r="AX161" s="28"/>
      <c r="AY161" s="28"/>
      <c r="AZ161" s="28"/>
      <c r="BA161" s="141"/>
      <c r="BD161" s="138" t="s">
        <v>84</v>
      </c>
      <c r="BE161" s="138">
        <f>SUM(BE156:BE160)</f>
        <v>2517</v>
      </c>
      <c r="BF161" s="141">
        <f>SUM(BF156:BF160)</f>
        <v>2819</v>
      </c>
      <c r="BG161">
        <v>0</v>
      </c>
      <c r="BH161">
        <v>0</v>
      </c>
      <c r="BI161">
        <v>0</v>
      </c>
      <c r="BJ161" s="142">
        <v>0</v>
      </c>
      <c r="BK161" s="143">
        <v>0</v>
      </c>
      <c r="BL161" s="142"/>
      <c r="BM161" s="143" t="s">
        <v>6</v>
      </c>
      <c r="BN161" s="146">
        <f>SUM(BL157:BL161)</f>
        <v>89</v>
      </c>
    </row>
    <row r="162" spans="3:67" x14ac:dyDescent="0.3">
      <c r="C162" s="196" t="s">
        <v>120</v>
      </c>
      <c r="D162" s="43">
        <v>4676</v>
      </c>
      <c r="E162" s="43">
        <v>5401</v>
      </c>
      <c r="F162" s="138"/>
      <c r="G162" s="28" t="s">
        <v>60</v>
      </c>
      <c r="H162" s="141"/>
      <c r="I162" s="28">
        <v>5971</v>
      </c>
      <c r="J162" s="138">
        <v>61</v>
      </c>
      <c r="K162" s="28" t="s">
        <v>101</v>
      </c>
      <c r="L162" s="141"/>
      <c r="N162" s="138" t="s">
        <v>99</v>
      </c>
      <c r="O162" s="138">
        <v>19626</v>
      </c>
      <c r="P162" s="196">
        <v>10994</v>
      </c>
      <c r="Q162" s="138"/>
      <c r="R162" s="196"/>
      <c r="S162" s="141"/>
      <c r="T162" s="138">
        <v>2627</v>
      </c>
      <c r="U162" s="196">
        <v>289</v>
      </c>
      <c r="V162" s="138"/>
      <c r="W162" s="141"/>
      <c r="AD162" s="33"/>
      <c r="AE162" s="33"/>
      <c r="AF162" s="35"/>
      <c r="AG162" s="34"/>
      <c r="AH162" s="34"/>
      <c r="AI162" s="34"/>
      <c r="AJ162" s="33"/>
      <c r="AK162" s="35"/>
      <c r="AL162" s="32"/>
      <c r="AM162" s="34"/>
      <c r="AN162" s="34" t="s">
        <v>117</v>
      </c>
      <c r="AO162" s="35"/>
      <c r="AR162" s="138" t="s">
        <v>56</v>
      </c>
      <c r="AS162" s="138">
        <v>19</v>
      </c>
      <c r="AT162" s="141">
        <v>25</v>
      </c>
      <c r="AU162" s="138"/>
      <c r="AV162" s="141"/>
      <c r="AW162" s="28"/>
      <c r="AX162" s="28"/>
      <c r="AY162" s="28"/>
      <c r="AZ162" s="28"/>
      <c r="BA162" s="141"/>
      <c r="BD162" s="134"/>
      <c r="BE162" s="134"/>
      <c r="BF162" s="136"/>
      <c r="BG162" s="135"/>
      <c r="BH162" s="135"/>
      <c r="BI162" s="135"/>
      <c r="BJ162" s="134"/>
      <c r="BK162" s="136"/>
      <c r="BL162" s="135" t="s">
        <v>1025</v>
      </c>
      <c r="BM162" s="135"/>
      <c r="BN162" s="136"/>
    </row>
    <row r="163" spans="3:67" x14ac:dyDescent="0.3">
      <c r="C163" s="199" t="s">
        <v>84</v>
      </c>
      <c r="D163" s="143">
        <f>SUM(D160:D162)</f>
        <v>12868</v>
      </c>
      <c r="E163" s="143">
        <f>SUM(E160:E162)</f>
        <v>13737</v>
      </c>
      <c r="F163" s="142"/>
      <c r="G163" s="143"/>
      <c r="H163" s="146"/>
      <c r="I163" s="143">
        <f>SUM(I160:I162)</f>
        <v>15521</v>
      </c>
      <c r="J163" s="142">
        <v>31</v>
      </c>
      <c r="K163" s="143" t="s">
        <v>927</v>
      </c>
      <c r="L163" s="146">
        <f>SUM(J162:J163)</f>
        <v>92</v>
      </c>
      <c r="N163" s="138" t="s">
        <v>120</v>
      </c>
      <c r="O163" s="138">
        <v>92</v>
      </c>
      <c r="P163" s="196">
        <v>14707</v>
      </c>
      <c r="Q163" s="138"/>
      <c r="R163" s="196"/>
      <c r="S163" s="141"/>
      <c r="T163" s="138">
        <v>0</v>
      </c>
      <c r="U163" s="196">
        <v>0</v>
      </c>
      <c r="V163" s="138"/>
      <c r="W163" s="141"/>
      <c r="AD163" s="42"/>
      <c r="AE163" s="42"/>
      <c r="AF163" s="40"/>
      <c r="AG163" s="28"/>
      <c r="AH163" s="28"/>
      <c r="AI163" s="28"/>
      <c r="AJ163" s="42"/>
      <c r="AK163" s="40"/>
      <c r="AL163" s="41"/>
      <c r="AM163" s="28"/>
      <c r="AN163" s="28" t="s">
        <v>558</v>
      </c>
      <c r="AO163" s="40"/>
      <c r="AR163" s="138" t="s">
        <v>67</v>
      </c>
      <c r="AS163" s="138">
        <v>131</v>
      </c>
      <c r="AT163" s="141">
        <v>96</v>
      </c>
      <c r="AU163" s="138"/>
      <c r="AV163" s="141"/>
      <c r="AW163" s="28"/>
      <c r="AX163" s="28"/>
      <c r="AY163" s="28"/>
      <c r="AZ163" s="28"/>
      <c r="BA163" s="141"/>
      <c r="BD163" s="142" t="s">
        <v>64</v>
      </c>
      <c r="BE163" s="142">
        <v>47</v>
      </c>
      <c r="BF163" s="146">
        <v>57</v>
      </c>
      <c r="BG163" s="143">
        <v>0</v>
      </c>
      <c r="BH163" s="143">
        <v>0</v>
      </c>
      <c r="BI163" s="143">
        <v>0</v>
      </c>
      <c r="BJ163" s="142">
        <v>0</v>
      </c>
      <c r="BK163" s="146">
        <v>0</v>
      </c>
      <c r="BL163" s="143">
        <v>8</v>
      </c>
      <c r="BM163" s="143" t="s">
        <v>1026</v>
      </c>
      <c r="BN163" s="146">
        <f>SUM(BL163)</f>
        <v>8</v>
      </c>
      <c r="BO163" t="s">
        <v>6</v>
      </c>
    </row>
    <row r="164" spans="3:67" x14ac:dyDescent="0.3">
      <c r="C164" s="195" t="s">
        <v>99</v>
      </c>
      <c r="D164" s="43">
        <v>0</v>
      </c>
      <c r="E164" s="43">
        <v>0</v>
      </c>
      <c r="F164" s="134"/>
      <c r="G164" s="135"/>
      <c r="H164" s="136"/>
      <c r="I164" s="43"/>
      <c r="J164" s="134" t="s">
        <v>131</v>
      </c>
      <c r="K164" s="135"/>
      <c r="L164" s="136"/>
      <c r="N164" s="142" t="s">
        <v>84</v>
      </c>
      <c r="O164" s="142">
        <f>SUM(O161:O163)</f>
        <v>19718</v>
      </c>
      <c r="P164" s="199">
        <f>SUM(P161:P163)</f>
        <v>25701</v>
      </c>
      <c r="Q164" s="142">
        <v>0</v>
      </c>
      <c r="R164" s="199">
        <v>0</v>
      </c>
      <c r="S164" s="146">
        <v>0</v>
      </c>
      <c r="T164" s="142">
        <f>SUM(T161:T163)</f>
        <v>2627</v>
      </c>
      <c r="U164" s="199">
        <f>SUM(U161:U163)</f>
        <v>289</v>
      </c>
      <c r="V164" s="142"/>
      <c r="W164" s="146"/>
      <c r="AD164" s="42"/>
      <c r="AE164" s="42"/>
      <c r="AF164" s="40"/>
      <c r="AG164" s="28"/>
      <c r="AH164" s="28"/>
      <c r="AI164" s="28"/>
      <c r="AJ164" s="42"/>
      <c r="AK164" s="40"/>
      <c r="AL164" s="41"/>
      <c r="AM164" s="28"/>
      <c r="AN164" s="28" t="s">
        <v>401</v>
      </c>
      <c r="AO164" s="40"/>
      <c r="AR164" s="142" t="s">
        <v>84</v>
      </c>
      <c r="AS164" s="142">
        <f>SUM(AS152:AS163)</f>
        <v>358</v>
      </c>
      <c r="AT164" s="146">
        <f>SUM(AT152:AT163)</f>
        <v>330</v>
      </c>
      <c r="AU164" s="142"/>
      <c r="AV164" s="146">
        <v>0</v>
      </c>
      <c r="AW164" s="143"/>
      <c r="AX164" s="143"/>
      <c r="AY164" s="143"/>
      <c r="AZ164" s="143"/>
      <c r="BA164" s="146">
        <f>SUM(AX156:AX158)</f>
        <v>99</v>
      </c>
      <c r="BD164" s="138" t="s">
        <v>113</v>
      </c>
      <c r="BE164" s="138">
        <v>489</v>
      </c>
      <c r="BF164" s="141">
        <v>462</v>
      </c>
      <c r="BG164" s="28"/>
      <c r="BH164" s="28"/>
      <c r="BI164" s="28"/>
      <c r="BJ164" s="138"/>
      <c r="BK164" s="141"/>
      <c r="BL164" s="28" t="s">
        <v>994</v>
      </c>
      <c r="BM164" s="28"/>
      <c r="BN164" s="141"/>
    </row>
    <row r="165" spans="3:67" ht="15" thickBot="1" x14ac:dyDescent="0.35">
      <c r="C165" s="196" t="s">
        <v>88</v>
      </c>
      <c r="D165" s="28">
        <v>30</v>
      </c>
      <c r="E165" s="28">
        <v>152</v>
      </c>
      <c r="F165" s="138"/>
      <c r="G165" s="28">
        <v>0</v>
      </c>
      <c r="H165" s="141"/>
      <c r="I165" s="43">
        <v>236</v>
      </c>
      <c r="J165" s="138"/>
      <c r="K165" s="28"/>
      <c r="L165" s="141"/>
      <c r="N165" s="134"/>
      <c r="O165" s="134"/>
      <c r="P165" s="195"/>
      <c r="Q165" s="134"/>
      <c r="R165" s="195"/>
      <c r="S165" s="136"/>
      <c r="T165" s="134"/>
      <c r="U165" s="195"/>
      <c r="V165" s="134"/>
      <c r="W165" s="136"/>
      <c r="AD165" s="47"/>
      <c r="AE165" s="47"/>
      <c r="AF165" s="49"/>
      <c r="AG165" s="48"/>
      <c r="AH165" s="48"/>
      <c r="AI165" s="48"/>
      <c r="AJ165" s="47"/>
      <c r="AK165" s="49"/>
      <c r="AL165" s="46"/>
      <c r="AM165" s="48">
        <v>2</v>
      </c>
      <c r="AN165" s="48" t="s">
        <v>124</v>
      </c>
      <c r="AO165" s="49"/>
      <c r="AR165" s="134"/>
      <c r="AS165" s="134"/>
      <c r="AT165" s="136"/>
      <c r="AU165" s="134"/>
      <c r="AV165" s="136"/>
      <c r="AW165" s="135"/>
      <c r="AX165" s="135"/>
      <c r="AY165" s="135"/>
      <c r="AZ165" s="135"/>
      <c r="BA165" s="136"/>
      <c r="BD165" s="138" t="s">
        <v>133</v>
      </c>
      <c r="BE165" s="138">
        <v>0</v>
      </c>
      <c r="BF165" s="141">
        <v>0</v>
      </c>
      <c r="BG165" s="28"/>
      <c r="BH165" s="28"/>
      <c r="BI165" s="28"/>
      <c r="BJ165" s="138"/>
      <c r="BK165" s="141"/>
      <c r="BL165" s="28">
        <v>23</v>
      </c>
      <c r="BM165" s="28" t="s">
        <v>100</v>
      </c>
      <c r="BN165" s="141"/>
    </row>
    <row r="166" spans="3:67" x14ac:dyDescent="0.3">
      <c r="C166" s="196" t="s">
        <v>102</v>
      </c>
      <c r="D166" s="28">
        <v>16</v>
      </c>
      <c r="E166" s="43">
        <v>14</v>
      </c>
      <c r="F166" s="138"/>
      <c r="G166" s="28">
        <v>0</v>
      </c>
      <c r="H166" s="141"/>
      <c r="I166" s="43">
        <v>160</v>
      </c>
      <c r="J166" s="138">
        <v>1</v>
      </c>
      <c r="K166" s="28" t="s">
        <v>134</v>
      </c>
      <c r="L166" s="141"/>
      <c r="N166" s="138" t="s">
        <v>105</v>
      </c>
      <c r="O166" s="138">
        <v>1695</v>
      </c>
      <c r="P166" s="196">
        <v>189</v>
      </c>
      <c r="Q166" s="138" t="s">
        <v>6</v>
      </c>
      <c r="R166" s="196"/>
      <c r="S166" s="141"/>
      <c r="T166" s="138">
        <v>24</v>
      </c>
      <c r="U166" s="196">
        <v>5</v>
      </c>
      <c r="V166" s="138"/>
      <c r="W166" s="141"/>
      <c r="AD166" s="33" t="s">
        <v>97</v>
      </c>
      <c r="AE166" s="33">
        <v>89</v>
      </c>
      <c r="AF166" s="35">
        <v>134</v>
      </c>
      <c r="AG166" s="34"/>
      <c r="AH166" s="34"/>
      <c r="AI166" s="34"/>
      <c r="AJ166" s="33"/>
      <c r="AK166" s="35"/>
      <c r="AL166" s="32"/>
      <c r="AM166" s="34"/>
      <c r="AN166" s="34"/>
      <c r="AO166" s="35"/>
      <c r="AR166" s="138" t="s">
        <v>63</v>
      </c>
      <c r="AS166" s="138">
        <v>0</v>
      </c>
      <c r="AT166" s="141">
        <v>0</v>
      </c>
      <c r="AU166" s="138"/>
      <c r="AV166" s="141"/>
      <c r="AW166" s="28"/>
      <c r="AX166" s="28"/>
      <c r="AY166" s="28"/>
      <c r="AZ166" s="28"/>
      <c r="BA166" s="141"/>
      <c r="BD166" s="142" t="s">
        <v>84</v>
      </c>
      <c r="BE166" s="142">
        <f>SUM(BE164:BE165)</f>
        <v>489</v>
      </c>
      <c r="BF166" s="146">
        <f>SUM(BF164:BF165)</f>
        <v>462</v>
      </c>
      <c r="BG166" s="143">
        <v>0</v>
      </c>
      <c r="BH166" s="143">
        <v>0</v>
      </c>
      <c r="BI166" s="143">
        <v>0</v>
      </c>
      <c r="BJ166" s="142">
        <v>0</v>
      </c>
      <c r="BK166" s="146">
        <v>0</v>
      </c>
      <c r="BL166" s="43">
        <v>23</v>
      </c>
      <c r="BM166" s="43" t="s">
        <v>73</v>
      </c>
      <c r="BN166" s="146">
        <f>SUM(BL165:BL166)</f>
        <v>46</v>
      </c>
    </row>
    <row r="167" spans="3:67" x14ac:dyDescent="0.3">
      <c r="C167" s="196" t="s">
        <v>84</v>
      </c>
      <c r="D167" s="28">
        <f>SUM(D164:D166)</f>
        <v>46</v>
      </c>
      <c r="E167" s="28">
        <f>SUM(E164:E166)</f>
        <v>166</v>
      </c>
      <c r="F167" s="138"/>
      <c r="G167" s="28">
        <v>0</v>
      </c>
      <c r="H167" s="141"/>
      <c r="I167" s="28"/>
      <c r="J167" s="138">
        <v>3</v>
      </c>
      <c r="K167" s="257" t="s">
        <v>815</v>
      </c>
      <c r="L167" s="141" t="s">
        <v>6</v>
      </c>
      <c r="N167" s="138" t="s">
        <v>99</v>
      </c>
      <c r="O167" s="138"/>
      <c r="P167" s="196">
        <v>0</v>
      </c>
      <c r="Q167" s="138"/>
      <c r="R167" s="196"/>
      <c r="S167" s="141"/>
      <c r="T167" s="138">
        <v>0</v>
      </c>
      <c r="U167" s="196">
        <v>0</v>
      </c>
      <c r="V167" s="138" t="s">
        <v>135</v>
      </c>
      <c r="W167" s="141"/>
      <c r="AD167" s="42" t="s">
        <v>89</v>
      </c>
      <c r="AE167" s="42">
        <v>240</v>
      </c>
      <c r="AF167" s="40">
        <v>196</v>
      </c>
      <c r="AG167" s="28"/>
      <c r="AH167" s="28"/>
      <c r="AI167" s="28"/>
      <c r="AJ167" s="42"/>
      <c r="AK167" s="40"/>
      <c r="AL167" s="41"/>
      <c r="AM167" s="28" t="s">
        <v>953</v>
      </c>
      <c r="AN167" s="28"/>
      <c r="AO167" s="40"/>
      <c r="AR167" s="138" t="s">
        <v>536</v>
      </c>
      <c r="AS167" s="138">
        <v>0</v>
      </c>
      <c r="AT167" s="141">
        <v>0</v>
      </c>
      <c r="AU167" s="138"/>
      <c r="AV167" s="141"/>
      <c r="AW167" s="28"/>
      <c r="AX167" s="28"/>
      <c r="AY167" s="28"/>
      <c r="AZ167" s="28"/>
      <c r="BA167" s="141"/>
      <c r="BD167" s="196" t="s">
        <v>214</v>
      </c>
      <c r="BE167" s="138">
        <v>0</v>
      </c>
      <c r="BF167" s="141">
        <v>2</v>
      </c>
      <c r="BG167" s="134"/>
      <c r="BH167" s="135"/>
      <c r="BI167" s="136"/>
      <c r="BJ167" s="138"/>
      <c r="BK167" s="141"/>
      <c r="BL167" s="134" t="s">
        <v>140</v>
      </c>
      <c r="BM167" s="135"/>
      <c r="BN167" s="136"/>
    </row>
    <row r="168" spans="3:67" x14ac:dyDescent="0.3">
      <c r="C168" s="199"/>
      <c r="F168" s="142"/>
      <c r="G168" s="143"/>
      <c r="H168" s="146"/>
      <c r="I168">
        <f>SUM(I165:I167)</f>
        <v>396</v>
      </c>
      <c r="J168" s="142">
        <v>1</v>
      </c>
      <c r="K168" s="143" t="s">
        <v>1829</v>
      </c>
      <c r="L168" s="141">
        <f>SUM(J165:J168)</f>
        <v>5</v>
      </c>
      <c r="N168" s="138"/>
      <c r="O168" s="138"/>
      <c r="P168" s="196"/>
      <c r="Q168" s="138"/>
      <c r="R168" s="196"/>
      <c r="S168" s="141"/>
      <c r="T168" s="138"/>
      <c r="U168" s="196"/>
      <c r="V168" s="138"/>
      <c r="W168" s="141"/>
      <c r="AD168" s="42" t="s">
        <v>137</v>
      </c>
      <c r="AE168" s="42">
        <v>370</v>
      </c>
      <c r="AF168" s="40">
        <v>372</v>
      </c>
      <c r="AG168" s="28"/>
      <c r="AH168" s="28"/>
      <c r="AI168" s="28"/>
      <c r="AJ168" s="42"/>
      <c r="AK168" s="40"/>
      <c r="AL168" s="41"/>
      <c r="AM168" s="28">
        <v>4</v>
      </c>
      <c r="AN168" s="28" t="s">
        <v>884</v>
      </c>
      <c r="AO168" s="40"/>
      <c r="AR168" s="138" t="s">
        <v>56</v>
      </c>
      <c r="AS168" s="138">
        <v>0</v>
      </c>
      <c r="AT168" s="141">
        <v>0</v>
      </c>
      <c r="AU168" s="138"/>
      <c r="AV168" s="141"/>
      <c r="AW168" s="28"/>
      <c r="AX168" s="28" t="s">
        <v>173</v>
      </c>
      <c r="AY168" s="28"/>
      <c r="AZ168" s="28"/>
      <c r="BA168" s="141"/>
      <c r="BD168" s="196" t="s">
        <v>1552</v>
      </c>
      <c r="BE168" s="138">
        <v>0</v>
      </c>
      <c r="BF168" s="141">
        <v>1</v>
      </c>
      <c r="BG168" s="138"/>
      <c r="BH168" s="28"/>
      <c r="BI168" s="141"/>
      <c r="BJ168" s="138"/>
      <c r="BK168" s="141"/>
      <c r="BL168" s="138"/>
      <c r="BM168" s="28"/>
      <c r="BN168" s="141"/>
    </row>
    <row r="169" spans="3:67" x14ac:dyDescent="0.3">
      <c r="C169" s="134" t="s">
        <v>93</v>
      </c>
      <c r="D169" s="134">
        <v>8631</v>
      </c>
      <c r="E169" s="135">
        <v>8595</v>
      </c>
      <c r="F169" s="134"/>
      <c r="G169" s="135" t="s">
        <v>60</v>
      </c>
      <c r="H169" s="135"/>
      <c r="I169" s="195">
        <v>10024</v>
      </c>
      <c r="J169" s="135" t="s">
        <v>116</v>
      </c>
      <c r="K169" s="135"/>
      <c r="L169" s="136"/>
      <c r="N169" s="142" t="s">
        <v>84</v>
      </c>
      <c r="O169" s="142">
        <f>SUM(O166:O168)</f>
        <v>1695</v>
      </c>
      <c r="P169" s="199">
        <f>SUM(P166:P168)</f>
        <v>189</v>
      </c>
      <c r="Q169" s="142">
        <v>0</v>
      </c>
      <c r="R169" s="199">
        <v>0</v>
      </c>
      <c r="S169" s="146">
        <v>0</v>
      </c>
      <c r="T169" s="142">
        <f>SUM(T166:T168)</f>
        <v>24</v>
      </c>
      <c r="U169" s="199">
        <v>0</v>
      </c>
      <c r="V169" s="142"/>
      <c r="W169" s="146"/>
      <c r="AD169" s="42" t="s">
        <v>84</v>
      </c>
      <c r="AE169" s="42">
        <f>SUM(AE166:AE168)</f>
        <v>699</v>
      </c>
      <c r="AF169" s="40">
        <f>SUM(AF166:AF168)</f>
        <v>702</v>
      </c>
      <c r="AG169" s="28">
        <v>0</v>
      </c>
      <c r="AH169" s="28">
        <v>0</v>
      </c>
      <c r="AI169" s="28">
        <v>0</v>
      </c>
      <c r="AJ169" s="42">
        <v>0</v>
      </c>
      <c r="AK169" s="40">
        <v>0</v>
      </c>
      <c r="AL169" s="41">
        <v>0</v>
      </c>
      <c r="AM169" s="43">
        <v>18</v>
      </c>
      <c r="AN169" s="28" t="s">
        <v>141</v>
      </c>
      <c r="AO169" s="40"/>
      <c r="AR169" s="138" t="s">
        <v>67</v>
      </c>
      <c r="AS169" s="138">
        <v>0</v>
      </c>
      <c r="AT169" s="141">
        <v>0</v>
      </c>
      <c r="AU169" s="138"/>
      <c r="AV169" s="141"/>
      <c r="AW169" s="28"/>
      <c r="AX169" s="28"/>
      <c r="AY169" s="28"/>
      <c r="AZ169" s="28"/>
      <c r="BA169" s="141"/>
      <c r="BD169" s="196" t="s">
        <v>211</v>
      </c>
      <c r="BE169" s="138">
        <v>17</v>
      </c>
      <c r="BF169" s="141">
        <f>3+35</f>
        <v>38</v>
      </c>
      <c r="BG169" s="138"/>
      <c r="BH169" s="28"/>
      <c r="BI169" s="141"/>
      <c r="BJ169" s="138"/>
      <c r="BK169" s="141"/>
      <c r="BL169" s="138"/>
      <c r="BM169" s="28"/>
      <c r="BN169" s="141"/>
    </row>
    <row r="170" spans="3:67" ht="15" thickBot="1" x14ac:dyDescent="0.35">
      <c r="C170" s="138" t="s">
        <v>99</v>
      </c>
      <c r="D170" s="138">
        <v>11453</v>
      </c>
      <c r="E170" s="43">
        <v>11930</v>
      </c>
      <c r="F170" s="138"/>
      <c r="G170" s="28" t="s">
        <v>60</v>
      </c>
      <c r="H170" s="28"/>
      <c r="I170" s="196">
        <v>14868</v>
      </c>
      <c r="J170" s="43">
        <v>183</v>
      </c>
      <c r="K170" s="28" t="s">
        <v>144</v>
      </c>
      <c r="L170" s="141"/>
      <c r="N170" s="138"/>
      <c r="O170" s="138"/>
      <c r="P170" s="196"/>
      <c r="Q170" s="138"/>
      <c r="R170" s="196"/>
      <c r="S170" s="141"/>
      <c r="T170" s="138"/>
      <c r="U170" s="196"/>
      <c r="V170" s="138"/>
      <c r="W170" s="141"/>
      <c r="AD170" s="47"/>
      <c r="AE170" s="47"/>
      <c r="AF170" s="49"/>
      <c r="AG170" s="48"/>
      <c r="AH170" s="48"/>
      <c r="AI170" s="48"/>
      <c r="AJ170" s="47"/>
      <c r="AK170" s="49"/>
      <c r="AL170" s="46"/>
      <c r="AM170" s="48">
        <v>0</v>
      </c>
      <c r="AN170" s="48" t="s">
        <v>145</v>
      </c>
      <c r="AO170" s="49"/>
      <c r="AR170" s="138" t="s">
        <v>78</v>
      </c>
      <c r="AS170" s="138">
        <v>0</v>
      </c>
      <c r="AT170" s="141">
        <v>0</v>
      </c>
      <c r="AU170" s="138"/>
      <c r="AV170" s="141"/>
      <c r="AW170" s="28"/>
      <c r="AX170" s="28">
        <v>0</v>
      </c>
      <c r="AY170" s="28" t="s">
        <v>183</v>
      </c>
      <c r="AZ170" s="28"/>
      <c r="BA170" s="141"/>
      <c r="BC170" t="s">
        <v>6</v>
      </c>
      <c r="BD170" s="196" t="s">
        <v>113</v>
      </c>
      <c r="BE170" s="138">
        <f>1+42</f>
        <v>43</v>
      </c>
      <c r="BF170" s="141">
        <f>5+31</f>
        <v>36</v>
      </c>
      <c r="BG170" s="138"/>
      <c r="BH170" s="28"/>
      <c r="BI170" s="141" t="s">
        <v>6</v>
      </c>
      <c r="BJ170" s="138"/>
      <c r="BK170" s="141"/>
      <c r="BL170" s="138" t="s">
        <v>142</v>
      </c>
      <c r="BM170" s="28"/>
      <c r="BN170" s="141" t="s">
        <v>730</v>
      </c>
    </row>
    <row r="171" spans="3:67" x14ac:dyDescent="0.3">
      <c r="C171" s="138" t="s">
        <v>120</v>
      </c>
      <c r="D171" s="138">
        <v>3395</v>
      </c>
      <c r="E171" s="43">
        <v>4103</v>
      </c>
      <c r="F171" s="138"/>
      <c r="G171" s="28" t="s">
        <v>60</v>
      </c>
      <c r="H171" s="28"/>
      <c r="I171" s="196">
        <v>4679</v>
      </c>
      <c r="J171" s="43"/>
      <c r="K171" s="28" t="s">
        <v>148</v>
      </c>
      <c r="L171" s="141"/>
      <c r="N171" s="138"/>
      <c r="O171" s="138"/>
      <c r="P171" s="196"/>
      <c r="Q171" s="138"/>
      <c r="R171" s="196"/>
      <c r="S171" s="141"/>
      <c r="T171" s="138"/>
      <c r="U171" s="196"/>
      <c r="V171" s="138"/>
      <c r="W171" s="141"/>
      <c r="AD171" s="42"/>
      <c r="AE171" s="42"/>
      <c r="AF171" s="40"/>
      <c r="AG171" s="28"/>
      <c r="AH171" s="28"/>
      <c r="AI171" s="28"/>
      <c r="AJ171" s="42"/>
      <c r="AK171" s="40"/>
      <c r="AL171" s="41"/>
      <c r="AM171" s="28" t="s">
        <v>149</v>
      </c>
      <c r="AN171" s="28"/>
      <c r="AO171" s="40"/>
      <c r="AP171" t="s">
        <v>6</v>
      </c>
      <c r="AR171" s="138" t="s">
        <v>115</v>
      </c>
      <c r="AS171" s="138">
        <v>0</v>
      </c>
      <c r="AT171" s="141">
        <v>0</v>
      </c>
      <c r="AU171" s="138"/>
      <c r="AV171" s="141"/>
      <c r="AW171" s="28"/>
      <c r="AX171" s="28" t="s">
        <v>6</v>
      </c>
      <c r="AY171" s="28"/>
      <c r="AZ171" s="28"/>
      <c r="BA171" s="141"/>
      <c r="BD171" s="196" t="s">
        <v>108</v>
      </c>
      <c r="BE171" s="138">
        <f>3+2</f>
        <v>5</v>
      </c>
      <c r="BF171" s="141">
        <v>6</v>
      </c>
      <c r="BG171" s="138"/>
      <c r="BH171" s="28"/>
      <c r="BI171" s="141"/>
      <c r="BJ171" s="138"/>
      <c r="BK171" s="141"/>
      <c r="BL171" s="138" t="s">
        <v>146</v>
      </c>
      <c r="BM171" s="28"/>
      <c r="BN171" s="141" t="s">
        <v>1553</v>
      </c>
    </row>
    <row r="172" spans="3:67" x14ac:dyDescent="0.3">
      <c r="C172" s="138" t="s">
        <v>84</v>
      </c>
      <c r="D172" s="138">
        <f>SUM(D169:D171)</f>
        <v>23479</v>
      </c>
      <c r="E172" s="28">
        <f>SUM(E169:E171)</f>
        <v>24628</v>
      </c>
      <c r="F172" s="138"/>
      <c r="G172" s="28" t="s">
        <v>60</v>
      </c>
      <c r="H172" s="28"/>
      <c r="I172" s="196">
        <f>SUM(I169:I171)</f>
        <v>29571</v>
      </c>
      <c r="J172" s="43"/>
      <c r="K172" s="28" t="s">
        <v>152</v>
      </c>
      <c r="L172" s="141"/>
      <c r="N172" s="138"/>
      <c r="O172" s="138"/>
      <c r="P172" s="196"/>
      <c r="Q172" s="138"/>
      <c r="R172" s="196"/>
      <c r="S172" s="141"/>
      <c r="T172" s="138"/>
      <c r="U172" s="196"/>
      <c r="V172" s="138"/>
      <c r="W172" s="141"/>
      <c r="AA172" t="s">
        <v>6</v>
      </c>
      <c r="AD172" s="42" t="s">
        <v>99</v>
      </c>
      <c r="AE172" s="42">
        <v>0</v>
      </c>
      <c r="AF172" s="40">
        <v>0</v>
      </c>
      <c r="AG172" s="28">
        <v>0</v>
      </c>
      <c r="AH172" s="28">
        <v>0</v>
      </c>
      <c r="AI172" s="28">
        <v>0</v>
      </c>
      <c r="AJ172" s="42">
        <v>43642</v>
      </c>
      <c r="AK172" s="40">
        <v>75871</v>
      </c>
      <c r="AL172" s="41">
        <v>0</v>
      </c>
      <c r="AM172" s="43">
        <v>4</v>
      </c>
      <c r="AN172" s="28" t="s">
        <v>153</v>
      </c>
      <c r="AO172" s="40"/>
      <c r="AR172" s="138" t="s">
        <v>72</v>
      </c>
      <c r="AS172" s="138">
        <v>0</v>
      </c>
      <c r="AT172" s="141">
        <v>0</v>
      </c>
      <c r="AU172" s="138"/>
      <c r="AV172" s="141"/>
      <c r="AW172" s="28"/>
      <c r="AX172" s="28"/>
      <c r="AY172" s="28"/>
      <c r="AZ172" s="28"/>
      <c r="BA172" s="141"/>
      <c r="BD172" s="196" t="s">
        <v>133</v>
      </c>
      <c r="BE172" s="138">
        <f>10+17</f>
        <v>27</v>
      </c>
      <c r="BF172" s="141">
        <f>14+17</f>
        <v>31</v>
      </c>
      <c r="BG172" s="138"/>
      <c r="BH172" s="28"/>
      <c r="BI172" s="141"/>
      <c r="BJ172" s="138"/>
      <c r="BK172" s="141"/>
      <c r="BL172" s="138"/>
      <c r="BM172" s="28"/>
      <c r="BN172" s="141"/>
    </row>
    <row r="173" spans="3:67" x14ac:dyDescent="0.3">
      <c r="C173" s="142"/>
      <c r="D173" s="142"/>
      <c r="E173" s="143"/>
      <c r="F173" s="142"/>
      <c r="G173" s="143"/>
      <c r="H173" s="143"/>
      <c r="I173" s="199"/>
      <c r="J173" s="143">
        <v>0</v>
      </c>
      <c r="K173" s="143" t="s">
        <v>958</v>
      </c>
      <c r="L173" s="146">
        <f>SUM(J170:J173)</f>
        <v>183</v>
      </c>
      <c r="N173" s="138"/>
      <c r="O173" s="138"/>
      <c r="P173" s="196"/>
      <c r="Q173" s="138"/>
      <c r="R173" s="196"/>
      <c r="S173" s="141"/>
      <c r="T173" s="138"/>
      <c r="U173" s="196"/>
      <c r="V173" s="138"/>
      <c r="W173" s="141"/>
      <c r="AD173" s="42"/>
      <c r="AE173" s="42"/>
      <c r="AF173" s="40"/>
      <c r="AG173" s="28"/>
      <c r="AH173" s="28"/>
      <c r="AI173" s="28"/>
      <c r="AJ173" s="42"/>
      <c r="AK173" s="40"/>
      <c r="AL173" s="41"/>
      <c r="AM173" s="28"/>
      <c r="AN173" s="28"/>
      <c r="AO173" s="40"/>
      <c r="AR173" s="142" t="s">
        <v>84</v>
      </c>
      <c r="AS173" s="142">
        <f>SUM(AS166:AS172)</f>
        <v>0</v>
      </c>
      <c r="AT173" s="146">
        <f>SUM(AT166:AT172)</f>
        <v>0</v>
      </c>
      <c r="AU173" s="142"/>
      <c r="AV173" s="146"/>
      <c r="AW173" s="143"/>
      <c r="AX173" s="143"/>
      <c r="AY173" s="143"/>
      <c r="AZ173" s="143"/>
      <c r="BA173" s="146">
        <f>SUM(AX170)</f>
        <v>0</v>
      </c>
      <c r="BD173" s="196" t="s">
        <v>99</v>
      </c>
      <c r="BE173" s="138">
        <v>1</v>
      </c>
      <c r="BF173" s="141">
        <v>1</v>
      </c>
      <c r="BG173" s="138" t="s">
        <v>150</v>
      </c>
      <c r="BH173" s="28"/>
      <c r="BI173" s="141"/>
      <c r="BJ173" s="138"/>
      <c r="BK173" s="141"/>
      <c r="BL173" s="138" t="s">
        <v>151</v>
      </c>
      <c r="BM173" s="28"/>
      <c r="BN173" s="141"/>
    </row>
    <row r="174" spans="3:67" x14ac:dyDescent="0.3">
      <c r="C174" s="134" t="s">
        <v>105</v>
      </c>
      <c r="D174" s="134">
        <v>1547</v>
      </c>
      <c r="E174" s="135">
        <v>1460</v>
      </c>
      <c r="F174" s="134"/>
      <c r="G174" s="135">
        <v>789</v>
      </c>
      <c r="H174" s="135"/>
      <c r="I174" s="195"/>
      <c r="J174" s="135" t="s">
        <v>162</v>
      </c>
      <c r="K174" s="135"/>
      <c r="L174" s="136"/>
      <c r="N174" s="138"/>
      <c r="O174" s="138"/>
      <c r="P174" s="196"/>
      <c r="Q174" s="138"/>
      <c r="R174" s="196"/>
      <c r="S174" s="141"/>
      <c r="T174" s="138"/>
      <c r="U174" s="196"/>
      <c r="V174" s="138"/>
      <c r="W174" s="141"/>
      <c r="AD174" s="278" t="s">
        <v>99</v>
      </c>
      <c r="AE174" s="278">
        <v>0</v>
      </c>
      <c r="AF174" s="279">
        <v>0</v>
      </c>
      <c r="AG174" s="135">
        <v>0</v>
      </c>
      <c r="AH174" s="135">
        <v>0</v>
      </c>
      <c r="AI174" s="135">
        <v>0</v>
      </c>
      <c r="AJ174" s="278">
        <v>187492</v>
      </c>
      <c r="AK174" s="279">
        <v>89633</v>
      </c>
      <c r="AL174" s="314">
        <v>0</v>
      </c>
      <c r="AM174" s="135" t="s">
        <v>157</v>
      </c>
      <c r="AN174" s="135"/>
      <c r="AO174" s="279"/>
      <c r="AR174" s="134"/>
      <c r="AS174" s="134"/>
      <c r="AT174" s="136"/>
      <c r="AU174" s="134"/>
      <c r="AV174" s="136"/>
      <c r="AW174" s="135"/>
      <c r="AX174" s="135"/>
      <c r="AY174" s="135"/>
      <c r="AZ174" s="135"/>
      <c r="BA174" s="136"/>
      <c r="BD174" s="196" t="s">
        <v>85</v>
      </c>
      <c r="BE174" s="138">
        <f>12+8</f>
        <v>20</v>
      </c>
      <c r="BF174" s="141">
        <f>8+7</f>
        <v>15</v>
      </c>
      <c r="BG174" s="138"/>
      <c r="BH174" s="28"/>
      <c r="BI174" s="141"/>
      <c r="BJ174" s="138"/>
      <c r="BK174" s="141"/>
      <c r="BL174" s="316" t="s">
        <v>283</v>
      </c>
      <c r="BM174" s="257" t="s">
        <v>1554</v>
      </c>
      <c r="BN174" s="141" t="s">
        <v>1534</v>
      </c>
    </row>
    <row r="175" spans="3:67" x14ac:dyDescent="0.3">
      <c r="C175" s="138" t="s">
        <v>99</v>
      </c>
      <c r="D175" s="138">
        <v>1441</v>
      </c>
      <c r="E175" s="43">
        <v>1537</v>
      </c>
      <c r="F175" s="138"/>
      <c r="G175" s="28">
        <v>1091</v>
      </c>
      <c r="H175" s="28"/>
      <c r="I175" s="196"/>
      <c r="J175" s="28"/>
      <c r="K175" s="28"/>
      <c r="L175" s="141"/>
      <c r="N175" s="142" t="s">
        <v>84</v>
      </c>
      <c r="O175" s="142">
        <f t="shared" ref="O175:U175" si="2">SUM(O169+O164+O159+O157+O152+O148)</f>
        <v>33694</v>
      </c>
      <c r="P175" s="199">
        <f t="shared" si="2"/>
        <v>55299</v>
      </c>
      <c r="Q175" s="142">
        <f t="shared" si="2"/>
        <v>0</v>
      </c>
      <c r="R175" s="199">
        <f t="shared" si="2"/>
        <v>0</v>
      </c>
      <c r="S175" s="143">
        <f t="shared" si="2"/>
        <v>0</v>
      </c>
      <c r="T175" s="142">
        <f t="shared" si="2"/>
        <v>2760</v>
      </c>
      <c r="U175" s="199">
        <f t="shared" si="2"/>
        <v>289</v>
      </c>
      <c r="V175" s="142"/>
      <c r="W175" s="146"/>
      <c r="AD175" s="42" t="s">
        <v>6</v>
      </c>
      <c r="AE175" s="42"/>
      <c r="AF175" s="40"/>
      <c r="AG175" s="28"/>
      <c r="AH175" s="28"/>
      <c r="AI175" s="28"/>
      <c r="AJ175" s="42"/>
      <c r="AK175" s="40"/>
      <c r="AL175" s="41"/>
      <c r="AM175" s="28">
        <v>15</v>
      </c>
      <c r="AN175" s="28" t="s">
        <v>153</v>
      </c>
      <c r="AO175" s="40"/>
      <c r="AR175" s="138" t="s">
        <v>63</v>
      </c>
      <c r="AS175" s="138">
        <f>5+11</f>
        <v>16</v>
      </c>
      <c r="AT175" s="141">
        <f>9+17</f>
        <v>26</v>
      </c>
      <c r="AU175" s="138"/>
      <c r="AV175" s="141"/>
      <c r="AW175" s="28"/>
      <c r="AX175" s="28" t="s">
        <v>140</v>
      </c>
      <c r="AY175" s="28"/>
      <c r="AZ175" s="28"/>
      <c r="BA175" s="141"/>
      <c r="BD175" s="196" t="s">
        <v>403</v>
      </c>
      <c r="BE175" s="138">
        <v>0</v>
      </c>
      <c r="BF175" s="141">
        <v>3</v>
      </c>
      <c r="BG175" s="138"/>
      <c r="BH175" s="28"/>
      <c r="BI175" s="141"/>
      <c r="BJ175" s="138"/>
      <c r="BK175" s="141"/>
      <c r="BL175" s="138" t="s">
        <v>823</v>
      </c>
      <c r="BM175" s="28" t="s">
        <v>819</v>
      </c>
      <c r="BN175" s="141" t="s">
        <v>1555</v>
      </c>
    </row>
    <row r="176" spans="3:67" ht="15" thickBot="1" x14ac:dyDescent="0.35">
      <c r="C176" s="138"/>
      <c r="D176" s="138"/>
      <c r="E176" s="28"/>
      <c r="F176" s="138"/>
      <c r="G176" s="28"/>
      <c r="H176" s="28"/>
      <c r="I176" s="196"/>
      <c r="J176" s="43">
        <v>43</v>
      </c>
      <c r="K176" s="28" t="s">
        <v>101</v>
      </c>
      <c r="L176" s="141"/>
      <c r="AD176" s="42" t="s">
        <v>6</v>
      </c>
      <c r="AE176" s="42"/>
      <c r="AF176" s="40"/>
      <c r="AG176" s="28"/>
      <c r="AH176" s="28"/>
      <c r="AI176" s="28"/>
      <c r="AJ176" s="42"/>
      <c r="AK176" s="40"/>
      <c r="AL176" s="41"/>
      <c r="AM176" s="28"/>
      <c r="AN176" s="28"/>
      <c r="AO176" s="40"/>
      <c r="AR176" s="138" t="s">
        <v>78</v>
      </c>
      <c r="AS176" s="138">
        <f>7+52</f>
        <v>59</v>
      </c>
      <c r="AT176" s="141">
        <f>5+78</f>
        <v>83</v>
      </c>
      <c r="AU176" s="138"/>
      <c r="AV176" s="141"/>
      <c r="AW176" s="28"/>
      <c r="AX176" s="28"/>
      <c r="AY176" s="28" t="s">
        <v>471</v>
      </c>
      <c r="AZ176" s="28"/>
      <c r="BA176" s="141"/>
      <c r="BD176" s="196" t="s">
        <v>158</v>
      </c>
      <c r="BE176" s="138">
        <v>23</v>
      </c>
      <c r="BF176" s="141">
        <v>23</v>
      </c>
      <c r="BG176" s="138"/>
      <c r="BH176" s="28"/>
      <c r="BI176" s="141"/>
      <c r="BJ176" s="138"/>
      <c r="BK176" s="141"/>
      <c r="BL176" s="138" t="s">
        <v>287</v>
      </c>
      <c r="BM176" s="28" t="s">
        <v>1556</v>
      </c>
      <c r="BN176" s="141" t="s">
        <v>602</v>
      </c>
    </row>
    <row r="177" spans="3:66" x14ac:dyDescent="0.3">
      <c r="C177" s="138" t="s">
        <v>84</v>
      </c>
      <c r="D177" s="142">
        <f>SUM(D174:D176)</f>
        <v>2988</v>
      </c>
      <c r="E177" s="143">
        <f>SUM(E174:E176)</f>
        <v>2997</v>
      </c>
      <c r="F177" s="142"/>
      <c r="G177" s="143">
        <f>SUM(G174:G176)</f>
        <v>1880</v>
      </c>
      <c r="H177" s="143"/>
      <c r="I177" s="199">
        <v>3790</v>
      </c>
      <c r="J177" s="143"/>
      <c r="K177" s="143"/>
      <c r="L177" s="146">
        <f>SUM(J176)</f>
        <v>43</v>
      </c>
      <c r="N177" t="s">
        <v>6</v>
      </c>
      <c r="AD177" s="33"/>
      <c r="AE177" s="33"/>
      <c r="AF177" s="35"/>
      <c r="AG177" s="34"/>
      <c r="AH177" s="34"/>
      <c r="AI177" s="34"/>
      <c r="AJ177" s="33"/>
      <c r="AK177" s="35"/>
      <c r="AL177" s="32"/>
      <c r="AM177" s="34"/>
      <c r="AN177" s="34"/>
      <c r="AO177" s="35"/>
      <c r="AR177" s="138" t="s">
        <v>209</v>
      </c>
      <c r="AS177" s="138">
        <v>0</v>
      </c>
      <c r="AT177" s="141">
        <v>0</v>
      </c>
      <c r="AU177" s="138"/>
      <c r="AV177" s="141"/>
      <c r="AW177" s="28"/>
      <c r="AX177" s="28">
        <v>1</v>
      </c>
      <c r="AY177" s="28" t="s">
        <v>1517</v>
      </c>
      <c r="AZ177" s="28"/>
      <c r="BA177" s="141"/>
      <c r="BD177" s="196" t="s">
        <v>169</v>
      </c>
      <c r="BE177" s="138">
        <v>9</v>
      </c>
      <c r="BF177" s="141">
        <v>3</v>
      </c>
      <c r="BG177" s="138"/>
      <c r="BH177" s="28"/>
      <c r="BI177" s="141"/>
      <c r="BJ177" s="138"/>
      <c r="BK177" s="141"/>
      <c r="BL177" s="138" t="s">
        <v>500</v>
      </c>
      <c r="BM177" s="43" t="s">
        <v>1557</v>
      </c>
      <c r="BN177" s="141" t="s">
        <v>1558</v>
      </c>
    </row>
    <row r="178" spans="3:66" ht="15" thickBot="1" x14ac:dyDescent="0.35">
      <c r="C178" s="195" t="s">
        <v>181</v>
      </c>
      <c r="D178" s="135">
        <v>4336</v>
      </c>
      <c r="E178" s="135">
        <v>4474</v>
      </c>
      <c r="F178" s="134"/>
      <c r="G178" s="135" t="s">
        <v>60</v>
      </c>
      <c r="H178" s="136"/>
      <c r="I178" s="135"/>
      <c r="J178" s="134" t="s">
        <v>182</v>
      </c>
      <c r="K178" s="135"/>
      <c r="L178" s="136"/>
      <c r="AD178" s="47"/>
      <c r="AE178" s="47"/>
      <c r="AF178" s="49"/>
      <c r="AG178" s="48"/>
      <c r="AH178" s="48"/>
      <c r="AI178" s="48"/>
      <c r="AJ178" s="47"/>
      <c r="AK178" s="49"/>
      <c r="AL178" s="46"/>
      <c r="AM178" s="48"/>
      <c r="AN178" s="48"/>
      <c r="AO178" s="49"/>
      <c r="AR178" s="138" t="s">
        <v>168</v>
      </c>
      <c r="AS178" s="138">
        <v>0</v>
      </c>
      <c r="AT178" s="141">
        <v>0</v>
      </c>
      <c r="AU178" s="138"/>
      <c r="AV178" s="141"/>
      <c r="AW178" s="28"/>
      <c r="AX178" s="28">
        <f>1+27+14</f>
        <v>42</v>
      </c>
      <c r="AY178" s="28" t="s">
        <v>213</v>
      </c>
      <c r="AZ178" s="28" t="s">
        <v>6</v>
      </c>
      <c r="BA178" s="141"/>
      <c r="BD178" s="196" t="s">
        <v>783</v>
      </c>
      <c r="BE178" s="138">
        <v>0</v>
      </c>
      <c r="BF178" s="141">
        <v>3</v>
      </c>
      <c r="BG178" s="138"/>
      <c r="BH178" s="28"/>
      <c r="BI178" s="141"/>
      <c r="BJ178" s="138"/>
      <c r="BK178" s="141"/>
      <c r="BL178" s="138" t="s">
        <v>1559</v>
      </c>
      <c r="BM178" s="43" t="s">
        <v>456</v>
      </c>
      <c r="BN178" s="141" t="s">
        <v>1274</v>
      </c>
    </row>
    <row r="179" spans="3:66" x14ac:dyDescent="0.3">
      <c r="C179" s="196"/>
      <c r="D179" s="28"/>
      <c r="E179" s="28"/>
      <c r="F179" s="138"/>
      <c r="G179" s="28" t="s">
        <v>60</v>
      </c>
      <c r="H179" s="141"/>
      <c r="I179" s="28"/>
      <c r="J179" s="138">
        <v>1</v>
      </c>
      <c r="K179" s="28" t="s">
        <v>94</v>
      </c>
      <c r="L179" s="141"/>
      <c r="AD179" s="33"/>
      <c r="AE179" s="33"/>
      <c r="AF179" s="35"/>
      <c r="AG179" s="34"/>
      <c r="AH179" s="34"/>
      <c r="AI179" s="34"/>
      <c r="AJ179" s="33"/>
      <c r="AK179" s="35"/>
      <c r="AL179" s="32"/>
      <c r="AM179" s="34"/>
      <c r="AN179" s="34"/>
      <c r="AO179" s="35"/>
      <c r="AR179" s="138" t="s">
        <v>81</v>
      </c>
      <c r="AS179" s="138">
        <v>8</v>
      </c>
      <c r="AT179" s="141">
        <v>37</v>
      </c>
      <c r="AU179" s="138"/>
      <c r="AV179" s="141"/>
      <c r="AW179" s="28"/>
      <c r="AX179" s="28">
        <v>5</v>
      </c>
      <c r="AY179" s="28" t="s">
        <v>123</v>
      </c>
      <c r="AZ179" s="28"/>
      <c r="BA179" s="141" t="s">
        <v>6</v>
      </c>
      <c r="BC179" t="s">
        <v>6</v>
      </c>
      <c r="BD179" s="196" t="s">
        <v>468</v>
      </c>
      <c r="BE179" s="138">
        <v>5</v>
      </c>
      <c r="BF179" s="141">
        <v>0</v>
      </c>
      <c r="BG179" s="138"/>
      <c r="BH179" s="28"/>
      <c r="BI179" s="141"/>
      <c r="BJ179" s="138"/>
      <c r="BK179" s="141"/>
      <c r="BL179" s="315" t="s">
        <v>1560</v>
      </c>
      <c r="BM179" s="215" t="s">
        <v>1561</v>
      </c>
      <c r="BN179" s="141" t="s">
        <v>1562</v>
      </c>
    </row>
    <row r="180" spans="3:66" x14ac:dyDescent="0.3">
      <c r="C180" s="196" t="s">
        <v>84</v>
      </c>
      <c r="D180" s="28">
        <f>SUM(D178:D179)</f>
        <v>4336</v>
      </c>
      <c r="E180" s="28">
        <f>SUM(E178:E179)</f>
        <v>4474</v>
      </c>
      <c r="F180" s="138"/>
      <c r="G180" s="28" t="s">
        <v>60</v>
      </c>
      <c r="H180" s="141"/>
      <c r="I180" s="28">
        <v>5194</v>
      </c>
      <c r="J180" s="138">
        <v>30</v>
      </c>
      <c r="K180" s="28" t="s">
        <v>101</v>
      </c>
      <c r="L180" s="141"/>
      <c r="AD180" s="42"/>
      <c r="AE180" s="42"/>
      <c r="AF180" s="40"/>
      <c r="AG180" s="28"/>
      <c r="AH180" s="28"/>
      <c r="AI180" s="28"/>
      <c r="AJ180" s="42"/>
      <c r="AK180" s="40"/>
      <c r="AL180" s="41"/>
      <c r="AM180" s="28"/>
      <c r="AN180" s="28"/>
      <c r="AO180" s="40"/>
      <c r="AR180" s="138" t="s">
        <v>72</v>
      </c>
      <c r="AS180" s="138">
        <f>3+7+10+17</f>
        <v>37</v>
      </c>
      <c r="AT180" s="141">
        <f>4+1+10+27</f>
        <v>42</v>
      </c>
      <c r="AU180" s="138"/>
      <c r="AV180" s="141"/>
      <c r="AW180" s="28"/>
      <c r="AX180" s="43">
        <v>2</v>
      </c>
      <c r="AY180" s="28" t="s">
        <v>216</v>
      </c>
      <c r="AZ180" s="28"/>
      <c r="BA180" s="141"/>
      <c r="BD180" s="196" t="s">
        <v>64</v>
      </c>
      <c r="BE180" s="138">
        <f>1+2</f>
        <v>3</v>
      </c>
      <c r="BF180" s="141">
        <v>4</v>
      </c>
      <c r="BG180" s="138"/>
      <c r="BH180" s="28"/>
      <c r="BI180" s="141"/>
      <c r="BJ180" s="138"/>
      <c r="BK180" s="141"/>
      <c r="BL180" s="316" t="s">
        <v>1563</v>
      </c>
      <c r="BM180" s="43" t="s">
        <v>822</v>
      </c>
      <c r="BN180" s="209" t="s">
        <v>1564</v>
      </c>
    </row>
    <row r="181" spans="3:66" ht="16.2" thickBot="1" x14ac:dyDescent="0.35">
      <c r="C181" s="199"/>
      <c r="D181" s="28"/>
      <c r="E181" s="28"/>
      <c r="F181" s="142"/>
      <c r="G181" s="143"/>
      <c r="H181" s="146"/>
      <c r="I181" s="28"/>
      <c r="J181" s="142"/>
      <c r="K181" s="143" t="s">
        <v>284</v>
      </c>
      <c r="L181" s="146">
        <f>SUM(J179:J180)</f>
        <v>31</v>
      </c>
      <c r="AD181" s="47"/>
      <c r="AE181" s="47"/>
      <c r="AF181" s="49"/>
      <c r="AG181" s="48"/>
      <c r="AH181" s="48"/>
      <c r="AI181" s="48"/>
      <c r="AJ181" s="47"/>
      <c r="AK181" s="49"/>
      <c r="AL181" s="46"/>
      <c r="AM181" s="48"/>
      <c r="AN181" s="48"/>
      <c r="AO181" s="49"/>
      <c r="AR181" s="138" t="s">
        <v>115</v>
      </c>
      <c r="AS181" s="138">
        <f>4+12</f>
        <v>16</v>
      </c>
      <c r="AT181" s="141">
        <f>4+20</f>
        <v>24</v>
      </c>
      <c r="AU181" s="138"/>
      <c r="AV181" s="141"/>
      <c r="AW181" s="28"/>
      <c r="AX181" s="43">
        <v>10</v>
      </c>
      <c r="AY181" s="28" t="s">
        <v>217</v>
      </c>
      <c r="AZ181" s="28"/>
      <c r="BA181" s="141"/>
      <c r="BD181" s="196" t="s">
        <v>196</v>
      </c>
      <c r="BE181" s="138">
        <v>1</v>
      </c>
      <c r="BF181" s="141">
        <v>3</v>
      </c>
      <c r="BG181" s="138"/>
      <c r="BH181" s="28"/>
      <c r="BI181" s="141"/>
      <c r="BJ181" s="138"/>
      <c r="BK181" s="141"/>
      <c r="BL181" s="138" t="s">
        <v>1521</v>
      </c>
      <c r="BM181" s="258" t="s">
        <v>886</v>
      </c>
      <c r="BN181" s="261" t="s">
        <v>1565</v>
      </c>
    </row>
    <row r="182" spans="3:66" ht="16.2" thickBot="1" x14ac:dyDescent="0.35">
      <c r="C182" s="47" t="s">
        <v>84</v>
      </c>
      <c r="D182" s="253">
        <f>SUM(D180+D177+D172+D167+D163+D159+D155+D151+D148)</f>
        <v>51337</v>
      </c>
      <c r="E182" s="253">
        <f>SUM(E180+E177+E172+E167+E163+E159+E155+E151+E148)</f>
        <v>56206</v>
      </c>
      <c r="F182" s="202"/>
      <c r="G182" s="48">
        <f>SUM(G177+G159)</f>
        <v>2407</v>
      </c>
      <c r="H182" s="203"/>
      <c r="I182" s="206">
        <f>SUM(I180+I177+I172+I168+I163+I159+I155+I151+I148)</f>
        <v>69701</v>
      </c>
      <c r="J182" s="48" t="s">
        <v>199</v>
      </c>
      <c r="K182" s="48"/>
      <c r="L182" s="49">
        <f>SUM(L147:L181)</f>
        <v>415</v>
      </c>
      <c r="AD182" s="47" t="s">
        <v>84</v>
      </c>
      <c r="AE182" s="202">
        <f>SUM(AE169+AE161+AE157+AE154+AE152+AE149)</f>
        <v>3233</v>
      </c>
      <c r="AF182" s="203">
        <f>SUM(AF169+AF161+AF157+AF154+AF152+AF149)</f>
        <v>6107</v>
      </c>
      <c r="AG182" s="48">
        <v>0</v>
      </c>
      <c r="AH182" s="48">
        <v>0</v>
      </c>
      <c r="AI182" s="48">
        <v>0</v>
      </c>
      <c r="AJ182" s="202">
        <f>SUM(AJ175+AJ174+AJ172+AJ149)</f>
        <v>231134</v>
      </c>
      <c r="AK182" s="203">
        <f>SUM(AK174+AK172+AK149)</f>
        <v>165504</v>
      </c>
      <c r="AL182" s="48">
        <v>0</v>
      </c>
      <c r="AM182" s="202" t="s">
        <v>189</v>
      </c>
      <c r="AN182" s="48"/>
      <c r="AO182" s="49">
        <f>SUM(AM148:AM181)</f>
        <v>88</v>
      </c>
      <c r="AR182" s="138" t="s">
        <v>56</v>
      </c>
      <c r="AS182" s="138">
        <f>1+5+6</f>
        <v>12</v>
      </c>
      <c r="AT182" s="141">
        <f>5+4+1+7</f>
        <v>17</v>
      </c>
      <c r="AU182" s="138"/>
      <c r="AV182" s="141"/>
      <c r="AW182" s="28"/>
      <c r="AX182" s="43">
        <v>1</v>
      </c>
      <c r="AY182" s="28" t="s">
        <v>1159</v>
      </c>
      <c r="AZ182" s="28"/>
      <c r="BA182" s="141"/>
      <c r="BD182" s="196" t="s">
        <v>523</v>
      </c>
      <c r="BE182" s="138">
        <v>0</v>
      </c>
      <c r="BF182" s="141">
        <v>3</v>
      </c>
      <c r="BG182" s="138"/>
      <c r="BH182" s="28"/>
      <c r="BI182" s="141"/>
      <c r="BJ182" s="138"/>
      <c r="BK182" s="141"/>
      <c r="BL182" s="138" t="s">
        <v>1097</v>
      </c>
      <c r="BM182" s="258" t="s">
        <v>713</v>
      </c>
      <c r="BN182" s="141" t="s">
        <v>1566</v>
      </c>
    </row>
    <row r="183" spans="3:66" ht="15.6" x14ac:dyDescent="0.3">
      <c r="F183" s="28"/>
      <c r="G183" s="28"/>
      <c r="H183" s="28"/>
      <c r="AD183" t="s">
        <v>193</v>
      </c>
      <c r="AO183" t="s">
        <v>6</v>
      </c>
      <c r="AR183" s="138" t="s">
        <v>138</v>
      </c>
      <c r="AS183" s="138">
        <v>0</v>
      </c>
      <c r="AT183" s="141">
        <v>0</v>
      </c>
      <c r="AU183" s="138"/>
      <c r="AV183" s="141"/>
      <c r="AW183" s="28"/>
      <c r="AX183" s="43">
        <v>4</v>
      </c>
      <c r="AY183" s="28" t="s">
        <v>1294</v>
      </c>
      <c r="AZ183" s="28"/>
      <c r="BA183" s="141"/>
      <c r="BD183" s="259" t="s">
        <v>1567</v>
      </c>
      <c r="BE183" s="138">
        <v>1</v>
      </c>
      <c r="BF183" s="141">
        <f>3+5</f>
        <v>8</v>
      </c>
      <c r="BG183" s="138"/>
      <c r="BH183" s="28"/>
      <c r="BI183" s="141"/>
      <c r="BJ183" s="138"/>
      <c r="BK183" s="141"/>
      <c r="BL183" s="138" t="s">
        <v>1108</v>
      </c>
      <c r="BM183" s="258" t="s">
        <v>1568</v>
      </c>
      <c r="BN183" s="141" t="s">
        <v>1569</v>
      </c>
    </row>
    <row r="184" spans="3:66" ht="16.2" thickBot="1" x14ac:dyDescent="0.35">
      <c r="AR184" s="138" t="s">
        <v>67</v>
      </c>
      <c r="AS184" s="138">
        <f>2+3+33</f>
        <v>38</v>
      </c>
      <c r="AT184" s="141">
        <f>2+3+46</f>
        <v>51</v>
      </c>
      <c r="AU184" s="138"/>
      <c r="AV184" s="141"/>
      <c r="AW184" s="28"/>
      <c r="AX184" s="43">
        <v>2</v>
      </c>
      <c r="AY184" s="28" t="s">
        <v>653</v>
      </c>
      <c r="AZ184" s="28"/>
      <c r="BA184" s="141"/>
      <c r="BD184" s="196" t="s">
        <v>445</v>
      </c>
      <c r="BE184" s="138">
        <v>1</v>
      </c>
      <c r="BF184" s="141">
        <v>0</v>
      </c>
      <c r="BG184" s="138"/>
      <c r="BH184" s="28"/>
      <c r="BI184" s="141"/>
      <c r="BJ184" s="138"/>
      <c r="BK184" s="141"/>
      <c r="BL184" s="138" t="s">
        <v>1570</v>
      </c>
      <c r="BM184" s="258" t="s">
        <v>1571</v>
      </c>
      <c r="BN184" s="141"/>
    </row>
    <row r="185" spans="3:66" ht="15" thickBot="1" x14ac:dyDescent="0.35">
      <c r="C185" s="171" t="s">
        <v>1830</v>
      </c>
      <c r="D185" s="205">
        <v>52150</v>
      </c>
      <c r="E185" s="205">
        <v>55867</v>
      </c>
      <c r="F185" s="170"/>
      <c r="G185" s="205">
        <v>2473</v>
      </c>
      <c r="H185" s="170"/>
      <c r="I185" s="205">
        <v>81050</v>
      </c>
      <c r="J185" s="170" t="s">
        <v>199</v>
      </c>
      <c r="K185" s="170"/>
      <c r="L185" s="172">
        <v>430</v>
      </c>
      <c r="N185" s="171" t="s">
        <v>1830</v>
      </c>
      <c r="O185" s="170">
        <v>54177</v>
      </c>
      <c r="P185" s="170">
        <v>85646</v>
      </c>
      <c r="Q185" s="170"/>
      <c r="R185" s="170"/>
      <c r="S185" s="170"/>
      <c r="T185" s="170">
        <v>5490</v>
      </c>
      <c r="U185" s="170">
        <v>196</v>
      </c>
      <c r="V185" s="170"/>
      <c r="W185" s="172"/>
      <c r="AD185" s="171" t="s">
        <v>1830</v>
      </c>
      <c r="AE185" s="170">
        <v>2753</v>
      </c>
      <c r="AF185" s="170">
        <v>2760</v>
      </c>
      <c r="AG185" s="170"/>
      <c r="AH185" s="170"/>
      <c r="AI185" s="170" t="s">
        <v>6</v>
      </c>
      <c r="AJ185" s="170">
        <v>192588</v>
      </c>
      <c r="AK185" s="170">
        <v>122798</v>
      </c>
      <c r="AL185" s="170"/>
      <c r="AM185" s="170" t="s">
        <v>743</v>
      </c>
      <c r="AN185" s="170">
        <v>47</v>
      </c>
      <c r="AO185" s="172">
        <v>45</v>
      </c>
      <c r="AR185" s="138" t="s">
        <v>122</v>
      </c>
      <c r="AS185" s="138">
        <v>23</v>
      </c>
      <c r="AT185" s="141">
        <f>3+1</f>
        <v>4</v>
      </c>
      <c r="AU185" s="138"/>
      <c r="AV185" s="141"/>
      <c r="AW185" s="28"/>
      <c r="AX185" s="28"/>
      <c r="AY185" s="28" t="s">
        <v>618</v>
      </c>
      <c r="AZ185" s="28"/>
      <c r="BA185" s="141"/>
      <c r="BD185" s="196" t="s">
        <v>862</v>
      </c>
      <c r="BE185" s="138">
        <v>3</v>
      </c>
      <c r="BF185" s="141">
        <v>0</v>
      </c>
      <c r="BG185" s="138"/>
      <c r="BH185" s="28"/>
      <c r="BI185" s="141"/>
      <c r="BJ185" s="138"/>
      <c r="BK185" s="141"/>
      <c r="BL185" s="138" t="s">
        <v>680</v>
      </c>
      <c r="BM185" s="28"/>
      <c r="BN185" s="141"/>
    </row>
    <row r="186" spans="3:66" x14ac:dyDescent="0.3">
      <c r="AR186" s="138" t="s">
        <v>227</v>
      </c>
      <c r="AS186" s="138">
        <v>0</v>
      </c>
      <c r="AT186" s="141">
        <v>0</v>
      </c>
      <c r="AU186" s="138"/>
      <c r="AV186" s="141"/>
      <c r="AW186" s="28"/>
      <c r="AX186" s="43">
        <v>1</v>
      </c>
      <c r="AY186" s="28" t="s">
        <v>1572</v>
      </c>
      <c r="AZ186" s="28"/>
      <c r="BA186" s="141"/>
      <c r="BD186" s="196" t="s">
        <v>200</v>
      </c>
      <c r="BE186" s="138">
        <v>3</v>
      </c>
      <c r="BF186" s="141">
        <v>9</v>
      </c>
      <c r="BG186" s="138"/>
      <c r="BH186" s="28"/>
      <c r="BI186" s="141"/>
      <c r="BJ186" s="138"/>
      <c r="BK186" s="141"/>
      <c r="BL186" s="138"/>
      <c r="BM186" s="28"/>
      <c r="BN186" s="141"/>
    </row>
    <row r="187" spans="3:66" x14ac:dyDescent="0.3">
      <c r="AR187" s="138" t="s">
        <v>230</v>
      </c>
      <c r="AS187" s="138">
        <f>1+5</f>
        <v>6</v>
      </c>
      <c r="AT187" s="141">
        <f>2+4</f>
        <v>6</v>
      </c>
      <c r="AU187" s="138"/>
      <c r="AV187" s="141"/>
      <c r="AW187" s="28"/>
      <c r="AX187" s="28">
        <f>1+16</f>
        <v>17</v>
      </c>
      <c r="AY187" s="28" t="s">
        <v>655</v>
      </c>
      <c r="AZ187" s="28"/>
      <c r="BA187" s="141"/>
      <c r="BD187" s="196" t="s">
        <v>1573</v>
      </c>
      <c r="BE187" s="138">
        <v>2</v>
      </c>
      <c r="BF187" s="141">
        <v>2</v>
      </c>
      <c r="BG187" s="138"/>
      <c r="BH187" s="28"/>
      <c r="BI187" s="141"/>
      <c r="BJ187" s="138"/>
      <c r="BK187" s="141"/>
      <c r="BL187" s="138"/>
      <c r="BM187" s="28"/>
      <c r="BN187" s="141"/>
    </row>
    <row r="188" spans="3:66" x14ac:dyDescent="0.3">
      <c r="AR188" s="138" t="s">
        <v>125</v>
      </c>
      <c r="AS188" s="138">
        <v>4</v>
      </c>
      <c r="AT188" s="141">
        <v>0</v>
      </c>
      <c r="AU188" s="138"/>
      <c r="AV188" s="141"/>
      <c r="AW188" s="28"/>
      <c r="AX188" s="43">
        <v>3</v>
      </c>
      <c r="AY188" s="28" t="s">
        <v>1067</v>
      </c>
      <c r="AZ188" s="28"/>
      <c r="BA188" s="141"/>
      <c r="BD188" s="196" t="s">
        <v>1574</v>
      </c>
      <c r="BE188" s="138">
        <v>1</v>
      </c>
      <c r="BF188" s="141">
        <v>2</v>
      </c>
      <c r="BG188" s="138"/>
      <c r="BH188" s="28"/>
      <c r="BI188" s="141"/>
      <c r="BJ188" s="138"/>
      <c r="BK188" s="141"/>
      <c r="BL188" s="138"/>
      <c r="BM188" s="28"/>
      <c r="BN188" s="141"/>
    </row>
    <row r="189" spans="3:66" x14ac:dyDescent="0.3">
      <c r="AO189" t="s">
        <v>6</v>
      </c>
      <c r="AR189" s="138" t="s">
        <v>132</v>
      </c>
      <c r="AS189" s="138">
        <v>2</v>
      </c>
      <c r="AT189" s="141">
        <v>4</v>
      </c>
      <c r="AU189" s="138"/>
      <c r="AV189" s="141"/>
      <c r="AW189" s="28"/>
      <c r="AX189" s="43">
        <v>6</v>
      </c>
      <c r="AY189" s="28" t="s">
        <v>682</v>
      </c>
      <c r="AZ189" s="28"/>
      <c r="BA189" s="141"/>
      <c r="BD189" s="196" t="s">
        <v>218</v>
      </c>
      <c r="BE189" s="138">
        <v>0</v>
      </c>
      <c r="BF189" s="141">
        <v>34</v>
      </c>
      <c r="BG189" s="138"/>
      <c r="BH189" s="28">
        <v>0</v>
      </c>
      <c r="BI189" s="141"/>
      <c r="BJ189" s="138"/>
      <c r="BK189" s="141"/>
      <c r="BL189" s="138"/>
      <c r="BM189" s="28"/>
      <c r="BN189" s="141"/>
    </row>
    <row r="190" spans="3:66" x14ac:dyDescent="0.3">
      <c r="J190" t="s">
        <v>6</v>
      </c>
      <c r="AR190" s="138" t="s">
        <v>536</v>
      </c>
      <c r="AS190" s="138">
        <v>0</v>
      </c>
      <c r="AT190" s="141">
        <v>0</v>
      </c>
      <c r="AU190" s="138"/>
      <c r="AV190" s="141"/>
      <c r="AW190" s="28"/>
      <c r="AX190" s="43">
        <f>2+2+5+7+5+20+14+19+9</f>
        <v>83</v>
      </c>
      <c r="AY190" s="28" t="s">
        <v>555</v>
      </c>
      <c r="AZ190" s="28"/>
      <c r="BA190" s="141"/>
      <c r="BD190" s="196" t="s">
        <v>93</v>
      </c>
      <c r="BE190" s="138">
        <v>6</v>
      </c>
      <c r="BF190" s="141">
        <f>1+5</f>
        <v>6</v>
      </c>
      <c r="BG190" s="138"/>
      <c r="BH190" s="28"/>
      <c r="BI190" s="141"/>
      <c r="BJ190" s="138"/>
      <c r="BK190" s="141"/>
      <c r="BL190" s="138"/>
      <c r="BM190" s="28"/>
      <c r="BN190" s="141"/>
    </row>
    <row r="191" spans="3:66" ht="15" thickBot="1" x14ac:dyDescent="0.35">
      <c r="J191" t="s">
        <v>6</v>
      </c>
      <c r="AR191" s="138" t="s">
        <v>84</v>
      </c>
      <c r="AS191" s="138">
        <f>SUM(AS175:AS190)</f>
        <v>221</v>
      </c>
      <c r="AT191" s="141">
        <f>SUM(AT175:AT190)</f>
        <v>294</v>
      </c>
      <c r="AU191" s="138"/>
      <c r="AV191" s="141"/>
      <c r="AW191" s="28"/>
      <c r="AX191" s="28">
        <v>5</v>
      </c>
      <c r="AY191" s="28" t="s">
        <v>244</v>
      </c>
      <c r="AZ191" s="28"/>
      <c r="BA191" s="141">
        <f>SUM(AX176:AX191)</f>
        <v>182</v>
      </c>
      <c r="BD191" s="199" t="s">
        <v>84</v>
      </c>
      <c r="BE191" s="142">
        <f>SUM(BE167:BE190)</f>
        <v>171</v>
      </c>
      <c r="BF191" s="146">
        <f>SUM(BF167:BF190)</f>
        <v>233</v>
      </c>
      <c r="BG191" s="142">
        <v>0</v>
      </c>
      <c r="BH191" s="143">
        <f>SUM(BH167:BH190)</f>
        <v>0</v>
      </c>
      <c r="BI191" s="146">
        <f>SUM(BI167:BI190)</f>
        <v>0</v>
      </c>
      <c r="BJ191" s="142">
        <v>0</v>
      </c>
      <c r="BK191" s="146">
        <v>0</v>
      </c>
      <c r="BL191" s="142"/>
      <c r="BM191" s="143"/>
      <c r="BN191" s="146">
        <f>11+5+7+6+4+8+1+6+6+5+4+3+6+4+1</f>
        <v>77</v>
      </c>
    </row>
    <row r="192" spans="3:66" ht="15" thickBot="1" x14ac:dyDescent="0.35">
      <c r="AR192" s="171" t="s">
        <v>84</v>
      </c>
      <c r="AS192" s="207">
        <f>SUM(AS191+AS173+AS164+AS149)</f>
        <v>2178</v>
      </c>
      <c r="AT192" s="207">
        <f>SUM(AT191+AT173+AT164+AT149)</f>
        <v>2257</v>
      </c>
      <c r="AU192" s="207"/>
      <c r="AV192" s="208"/>
      <c r="AW192" s="170"/>
      <c r="AX192" s="170"/>
      <c r="AY192" s="170"/>
      <c r="AZ192" s="170"/>
      <c r="BA192" s="172">
        <f>SUM(BA149:BA191)</f>
        <v>385</v>
      </c>
      <c r="BD192" t="s">
        <v>223</v>
      </c>
      <c r="BE192">
        <f>SUM(BE191+BE166+BE161+BE155+BE152+BE150+BE163)</f>
        <v>3962</v>
      </c>
      <c r="BF192">
        <f>SUM(BF191+BF166+BF161+BF155+BF150+BF152+BF163)</f>
        <v>4188</v>
      </c>
      <c r="BG192">
        <v>0</v>
      </c>
      <c r="BH192">
        <f>SUM(BH191+BH166+BH161+BH155+BH152+BH148)</f>
        <v>0</v>
      </c>
      <c r="BI192">
        <f>SUM(BI191)</f>
        <v>0</v>
      </c>
      <c r="BJ192">
        <f>SUM(BJ191+BJ166+BJ161+BJ154+BJ152+BJ148)</f>
        <v>89821</v>
      </c>
      <c r="BK192">
        <f>SUM(BK191+BK166+BK161+BK154+BK152+BK148)</f>
        <v>20907</v>
      </c>
      <c r="BM192" t="s">
        <v>939</v>
      </c>
      <c r="BN192">
        <f>SUM(+BN166+BN161+BN155+BN152+BN150)</f>
        <v>194</v>
      </c>
    </row>
    <row r="193" spans="44:67" x14ac:dyDescent="0.3">
      <c r="BD193" t="s">
        <v>1340</v>
      </c>
      <c r="BF193">
        <f>SUM(BN191)</f>
        <v>77</v>
      </c>
      <c r="BH193" t="s">
        <v>1575</v>
      </c>
    </row>
    <row r="194" spans="44:67" x14ac:dyDescent="0.3">
      <c r="BD194" t="s">
        <v>229</v>
      </c>
      <c r="BF194">
        <f>4+1+4+3+13</f>
        <v>25</v>
      </c>
    </row>
    <row r="195" spans="44:67" ht="15" thickBot="1" x14ac:dyDescent="0.35">
      <c r="BC195" t="s">
        <v>6</v>
      </c>
      <c r="BD195" t="s">
        <v>232</v>
      </c>
      <c r="BF195" t="s">
        <v>233</v>
      </c>
      <c r="BH195">
        <f>SUM(AS192)</f>
        <v>2178</v>
      </c>
      <c r="BJ195" t="s">
        <v>234</v>
      </c>
      <c r="BL195" t="s">
        <v>233</v>
      </c>
      <c r="BN195">
        <f>SUM(BE192)</f>
        <v>3962</v>
      </c>
    </row>
    <row r="196" spans="44:67" ht="15" thickBot="1" x14ac:dyDescent="0.35">
      <c r="AR196" s="317" t="s">
        <v>1532</v>
      </c>
      <c r="AS196" s="210">
        <v>1951</v>
      </c>
      <c r="AT196" s="318">
        <v>2100</v>
      </c>
      <c r="AU196" s="170"/>
      <c r="AV196" s="170"/>
      <c r="AW196" s="170"/>
      <c r="AX196" s="170"/>
      <c r="AY196" s="170"/>
      <c r="AZ196" s="170"/>
      <c r="BA196" s="172">
        <v>418</v>
      </c>
      <c r="BF196" t="s">
        <v>236</v>
      </c>
      <c r="BH196">
        <f>SUM(AT192)</f>
        <v>2257</v>
      </c>
      <c r="BL196" t="s">
        <v>236</v>
      </c>
      <c r="BN196">
        <f>SUM(BF192)</f>
        <v>4188</v>
      </c>
    </row>
    <row r="197" spans="44:67" x14ac:dyDescent="0.3">
      <c r="BD197" t="s">
        <v>238</v>
      </c>
      <c r="BE197" t="s">
        <v>239</v>
      </c>
      <c r="BG197" t="s">
        <v>240</v>
      </c>
      <c r="BH197" t="s">
        <v>241</v>
      </c>
      <c r="BK197" t="s">
        <v>242</v>
      </c>
      <c r="BL197" s="131" t="s">
        <v>243</v>
      </c>
    </row>
    <row r="198" spans="44:67" x14ac:dyDescent="0.3">
      <c r="BD198" t="s">
        <v>233</v>
      </c>
      <c r="BF198">
        <f>SUM(D182)</f>
        <v>51337</v>
      </c>
      <c r="BG198" s="236" t="s">
        <v>233</v>
      </c>
      <c r="BI198">
        <f>SUM(AE182)</f>
        <v>3233</v>
      </c>
      <c r="BJ198" t="s">
        <v>233</v>
      </c>
      <c r="BL198">
        <f>SUM(BI198+BE192)</f>
        <v>7195</v>
      </c>
      <c r="BM198" t="s">
        <v>245</v>
      </c>
      <c r="BN198">
        <f>SUM(BF198+BL198)</f>
        <v>58532</v>
      </c>
    </row>
    <row r="199" spans="44:67" ht="15" thickBot="1" x14ac:dyDescent="0.35">
      <c r="BD199" t="s">
        <v>236</v>
      </c>
      <c r="BF199">
        <f>SUM(E182)</f>
        <v>56206</v>
      </c>
      <c r="BG199" s="236" t="s">
        <v>236</v>
      </c>
      <c r="BI199">
        <f>SUM(AF182)</f>
        <v>6107</v>
      </c>
      <c r="BJ199" t="s">
        <v>236</v>
      </c>
      <c r="BL199">
        <f>SUM(BI199+BF192)</f>
        <v>10295</v>
      </c>
      <c r="BN199">
        <f>SUM(BF199+BL199)</f>
        <v>66501</v>
      </c>
      <c r="BO199">
        <f>SUM(BN198:BN199)</f>
        <v>125033</v>
      </c>
    </row>
    <row r="200" spans="44:67" ht="15.6" x14ac:dyDescent="0.3">
      <c r="BD200" s="321" t="s">
        <v>1532</v>
      </c>
      <c r="BE200" s="34"/>
      <c r="BF200" s="34"/>
      <c r="BG200" s="34"/>
      <c r="BH200" s="34"/>
      <c r="BI200" s="34"/>
      <c r="BJ200" s="34"/>
      <c r="BK200" s="34"/>
      <c r="BL200" s="34"/>
      <c r="BM200" s="34"/>
      <c r="BN200" s="34"/>
      <c r="BO200" s="35"/>
    </row>
    <row r="201" spans="44:67" x14ac:dyDescent="0.3">
      <c r="BD201" s="42" t="s">
        <v>238</v>
      </c>
      <c r="BE201" s="28" t="s">
        <v>239</v>
      </c>
      <c r="BF201" s="28"/>
      <c r="BG201" s="28" t="s">
        <v>240</v>
      </c>
      <c r="BH201" s="28" t="s">
        <v>241</v>
      </c>
      <c r="BI201" s="28"/>
      <c r="BJ201" s="28"/>
      <c r="BK201" s="28" t="s">
        <v>242</v>
      </c>
      <c r="BL201" s="257" t="s">
        <v>243</v>
      </c>
      <c r="BM201" s="28"/>
      <c r="BN201" s="28"/>
      <c r="BO201" s="40"/>
    </row>
    <row r="202" spans="44:67" x14ac:dyDescent="0.3">
      <c r="BD202" s="42" t="s">
        <v>233</v>
      </c>
      <c r="BE202" s="28"/>
      <c r="BF202" s="28">
        <v>52150</v>
      </c>
      <c r="BG202" s="218" t="s">
        <v>233</v>
      </c>
      <c r="BH202" s="28"/>
      <c r="BI202" s="28">
        <v>2753</v>
      </c>
      <c r="BJ202" s="28" t="s">
        <v>233</v>
      </c>
      <c r="BK202" s="28"/>
      <c r="BL202" s="28">
        <f>2753+1771</f>
        <v>4524</v>
      </c>
      <c r="BM202" s="28" t="s">
        <v>245</v>
      </c>
      <c r="BN202" s="28">
        <f>SUM(BF202+BL202)</f>
        <v>56674</v>
      </c>
      <c r="BO202" s="40"/>
    </row>
    <row r="203" spans="44:67" ht="15" thickBot="1" x14ac:dyDescent="0.35">
      <c r="BD203" s="47" t="s">
        <v>236</v>
      </c>
      <c r="BE203" s="48"/>
      <c r="BF203" s="48">
        <v>55867</v>
      </c>
      <c r="BG203" s="320" t="s">
        <v>236</v>
      </c>
      <c r="BH203" s="48"/>
      <c r="BI203" s="48">
        <v>2760</v>
      </c>
      <c r="BJ203" s="48" t="s">
        <v>236</v>
      </c>
      <c r="BK203" s="48"/>
      <c r="BL203" s="48">
        <f>1730+2760</f>
        <v>4490</v>
      </c>
      <c r="BM203" s="48"/>
      <c r="BN203" s="48">
        <f>SUM(BF203+BL203)</f>
        <v>60357</v>
      </c>
      <c r="BO203" s="49">
        <f>SUM(BN202:BN203)</f>
        <v>117031</v>
      </c>
    </row>
    <row r="209" spans="3:66" x14ac:dyDescent="0.3">
      <c r="E209" t="s">
        <v>0</v>
      </c>
      <c r="R209" t="s">
        <v>1</v>
      </c>
    </row>
    <row r="210" spans="3:66" x14ac:dyDescent="0.3">
      <c r="F210" t="s">
        <v>2</v>
      </c>
      <c r="S210" t="s">
        <v>3</v>
      </c>
      <c r="AH210" t="s">
        <v>0</v>
      </c>
      <c r="AU210" t="s">
        <v>4</v>
      </c>
      <c r="BH210" t="s">
        <v>5</v>
      </c>
    </row>
    <row r="211" spans="3:66" x14ac:dyDescent="0.3">
      <c r="C211" t="s">
        <v>6</v>
      </c>
      <c r="E211" t="s">
        <v>7</v>
      </c>
      <c r="Q211" t="s">
        <v>8</v>
      </c>
      <c r="AH211" t="s">
        <v>9</v>
      </c>
      <c r="AV211" t="s">
        <v>2</v>
      </c>
      <c r="BI211" t="s">
        <v>2</v>
      </c>
    </row>
    <row r="212" spans="3:66" x14ac:dyDescent="0.3">
      <c r="F212" t="s">
        <v>1576</v>
      </c>
      <c r="S212" t="s">
        <v>1576</v>
      </c>
      <c r="AH212" t="s">
        <v>11</v>
      </c>
      <c r="AT212" t="s">
        <v>12</v>
      </c>
      <c r="BB212" t="s">
        <v>6</v>
      </c>
      <c r="BG212" t="s">
        <v>13</v>
      </c>
    </row>
    <row r="213" spans="3:66" x14ac:dyDescent="0.3">
      <c r="K213" s="194" t="s">
        <v>949</v>
      </c>
      <c r="W213" t="s">
        <v>15</v>
      </c>
      <c r="AI213" t="s">
        <v>1576</v>
      </c>
      <c r="AV213" t="s">
        <v>1576</v>
      </c>
      <c r="BI213" t="s">
        <v>1576</v>
      </c>
      <c r="BM213" s="194" t="s">
        <v>950</v>
      </c>
    </row>
    <row r="214" spans="3:66" x14ac:dyDescent="0.3">
      <c r="C214" s="134" t="s">
        <v>17</v>
      </c>
      <c r="D214" s="134" t="s">
        <v>18</v>
      </c>
      <c r="E214" s="136"/>
      <c r="F214" s="135" t="s">
        <v>19</v>
      </c>
      <c r="G214" s="135"/>
      <c r="H214" s="135"/>
      <c r="I214" s="195" t="s">
        <v>20</v>
      </c>
      <c r="J214" s="135" t="s">
        <v>21</v>
      </c>
      <c r="K214" s="135"/>
      <c r="L214" s="136"/>
      <c r="N214" s="134" t="s">
        <v>17</v>
      </c>
      <c r="O214" s="135" t="s">
        <v>22</v>
      </c>
      <c r="P214" s="135"/>
      <c r="Q214" s="135" t="s">
        <v>23</v>
      </c>
      <c r="R214" s="135"/>
      <c r="S214" s="135"/>
      <c r="T214" s="135" t="s">
        <v>24</v>
      </c>
      <c r="U214" s="135"/>
      <c r="V214" s="135" t="s">
        <v>21</v>
      </c>
      <c r="W214" s="136"/>
      <c r="AN214" s="28" t="s">
        <v>25</v>
      </c>
      <c r="AZ214" s="194" t="s">
        <v>951</v>
      </c>
      <c r="BD214" s="195" t="s">
        <v>17</v>
      </c>
      <c r="BE214" s="134" t="s">
        <v>27</v>
      </c>
      <c r="BF214" s="136"/>
      <c r="BG214" s="135" t="s">
        <v>28</v>
      </c>
      <c r="BH214" s="135"/>
      <c r="BI214" s="135"/>
      <c r="BJ214" s="135" t="s">
        <v>29</v>
      </c>
      <c r="BK214" s="135" t="s">
        <v>30</v>
      </c>
      <c r="BL214" s="135" t="s">
        <v>31</v>
      </c>
      <c r="BM214" s="135"/>
      <c r="BN214" s="136"/>
    </row>
    <row r="215" spans="3:66" x14ac:dyDescent="0.3">
      <c r="C215" s="138" t="s">
        <v>32</v>
      </c>
      <c r="D215" s="138"/>
      <c r="E215" s="141"/>
      <c r="F215" s="28"/>
      <c r="G215" s="28"/>
      <c r="H215" s="28"/>
      <c r="I215" s="196"/>
      <c r="J215" s="28" t="s">
        <v>33</v>
      </c>
      <c r="K215" s="28"/>
      <c r="L215" s="141"/>
      <c r="N215" s="138"/>
      <c r="O215" s="28"/>
      <c r="P215" s="28"/>
      <c r="Q215" s="28"/>
      <c r="R215" s="28"/>
      <c r="S215" s="28"/>
      <c r="T215" s="28"/>
      <c r="U215" s="28"/>
      <c r="V215" s="28" t="s">
        <v>33</v>
      </c>
      <c r="W215" s="141"/>
      <c r="AD215" s="134" t="s">
        <v>34</v>
      </c>
      <c r="AE215" s="134" t="s">
        <v>35</v>
      </c>
      <c r="AF215" s="136"/>
      <c r="AG215" s="135" t="s">
        <v>36</v>
      </c>
      <c r="AH215" s="135"/>
      <c r="AI215" s="135"/>
      <c r="AJ215" s="134" t="s">
        <v>37</v>
      </c>
      <c r="AK215" s="136"/>
      <c r="AL215" s="135" t="s">
        <v>30</v>
      </c>
      <c r="AM215" s="134" t="s">
        <v>38</v>
      </c>
      <c r="AN215" s="135"/>
      <c r="AO215" s="136"/>
      <c r="AR215" s="134" t="s">
        <v>17</v>
      </c>
      <c r="AS215" s="134" t="s">
        <v>39</v>
      </c>
      <c r="AT215" s="136"/>
      <c r="AU215" s="134" t="s">
        <v>29</v>
      </c>
      <c r="AV215" s="136" t="s">
        <v>30</v>
      </c>
      <c r="AW215" s="135" t="s">
        <v>40</v>
      </c>
      <c r="AX215" s="135"/>
      <c r="AY215" s="135"/>
      <c r="AZ215" s="135"/>
      <c r="BA215" s="136"/>
      <c r="BD215" s="196"/>
      <c r="BE215" s="138"/>
      <c r="BF215" s="141"/>
      <c r="BG215" s="28"/>
      <c r="BH215" s="28"/>
      <c r="BI215" s="28"/>
      <c r="BJ215" s="28"/>
      <c r="BK215" s="28" t="s">
        <v>6</v>
      </c>
      <c r="BL215" s="28" t="s">
        <v>41</v>
      </c>
      <c r="BM215" s="28"/>
      <c r="BN215" s="141"/>
    </row>
    <row r="216" spans="3:66" ht="15" thickBot="1" x14ac:dyDescent="0.35">
      <c r="C216" s="142" t="s">
        <v>42</v>
      </c>
      <c r="D216" s="142" t="s">
        <v>43</v>
      </c>
      <c r="E216" s="143" t="s">
        <v>44</v>
      </c>
      <c r="F216" s="197" t="s">
        <v>45</v>
      </c>
      <c r="G216" s="198" t="s">
        <v>46</v>
      </c>
      <c r="H216" s="198" t="s">
        <v>47</v>
      </c>
      <c r="I216" s="199" t="s">
        <v>48</v>
      </c>
      <c r="J216" s="143" t="s">
        <v>49</v>
      </c>
      <c r="K216" s="143"/>
      <c r="L216" s="146"/>
      <c r="N216" s="142" t="s">
        <v>50</v>
      </c>
      <c r="O216" s="143" t="s">
        <v>43</v>
      </c>
      <c r="P216" s="143" t="s">
        <v>44</v>
      </c>
      <c r="Q216" s="143" t="s">
        <v>43</v>
      </c>
      <c r="R216" s="143" t="s">
        <v>51</v>
      </c>
      <c r="S216" s="143" t="s">
        <v>44</v>
      </c>
      <c r="T216" s="143" t="s">
        <v>43</v>
      </c>
      <c r="U216" s="143" t="s">
        <v>44</v>
      </c>
      <c r="V216" s="143" t="s">
        <v>49</v>
      </c>
      <c r="W216" s="146"/>
      <c r="AD216" s="138" t="s">
        <v>50</v>
      </c>
      <c r="AE216" s="138" t="s">
        <v>43</v>
      </c>
      <c r="AF216" s="141" t="s">
        <v>44</v>
      </c>
      <c r="AG216" s="28" t="s">
        <v>45</v>
      </c>
      <c r="AH216" s="28" t="s">
        <v>46</v>
      </c>
      <c r="AI216" s="28" t="s">
        <v>52</v>
      </c>
      <c r="AJ216" s="138" t="s">
        <v>43</v>
      </c>
      <c r="AK216" s="141" t="s">
        <v>44</v>
      </c>
      <c r="AL216" s="28" t="s">
        <v>43</v>
      </c>
      <c r="AM216" s="138" t="s">
        <v>53</v>
      </c>
      <c r="AN216" s="28"/>
      <c r="AO216" s="141"/>
      <c r="AR216" s="138" t="s">
        <v>42</v>
      </c>
      <c r="AS216" s="138" t="s">
        <v>43</v>
      </c>
      <c r="AT216" s="141" t="s">
        <v>44</v>
      </c>
      <c r="AU216" s="138" t="s">
        <v>43</v>
      </c>
      <c r="AV216" s="141" t="s">
        <v>44</v>
      </c>
      <c r="AW216" s="28"/>
      <c r="AX216" s="28"/>
      <c r="AY216" s="28"/>
      <c r="AZ216" s="28"/>
      <c r="BA216" s="141"/>
      <c r="BD216" s="199" t="s">
        <v>42</v>
      </c>
      <c r="BE216" s="142" t="s">
        <v>43</v>
      </c>
      <c r="BF216" s="146" t="s">
        <v>44</v>
      </c>
      <c r="BG216" s="143" t="s">
        <v>45</v>
      </c>
      <c r="BH216" s="143" t="s">
        <v>46</v>
      </c>
      <c r="BI216" s="143" t="s">
        <v>52</v>
      </c>
      <c r="BJ216" s="143" t="s">
        <v>43</v>
      </c>
      <c r="BK216" s="143" t="s">
        <v>44</v>
      </c>
      <c r="BL216" s="143" t="s">
        <v>54</v>
      </c>
      <c r="BM216" s="143"/>
      <c r="BN216" s="146"/>
    </row>
    <row r="217" spans="3:66" x14ac:dyDescent="0.3">
      <c r="C217" s="134"/>
      <c r="D217" s="134"/>
      <c r="E217" s="135"/>
      <c r="F217" s="134"/>
      <c r="G217" s="135"/>
      <c r="H217" s="135"/>
      <c r="I217" s="195"/>
      <c r="J217" s="135" t="s">
        <v>396</v>
      </c>
      <c r="K217" s="135"/>
      <c r="L217" s="136"/>
      <c r="N217" s="134"/>
      <c r="O217" s="134"/>
      <c r="P217" s="195"/>
      <c r="Q217" s="134"/>
      <c r="R217" s="195"/>
      <c r="S217" s="136"/>
      <c r="T217" s="134"/>
      <c r="U217" s="195"/>
      <c r="V217" s="134" t="s">
        <v>396</v>
      </c>
      <c r="W217" s="136"/>
      <c r="AD217" s="33"/>
      <c r="AE217" s="33"/>
      <c r="AF217" s="35"/>
      <c r="AG217" s="34"/>
      <c r="AH217" s="34"/>
      <c r="AI217" s="34"/>
      <c r="AJ217" s="33"/>
      <c r="AK217" s="35"/>
      <c r="AL217" s="32"/>
      <c r="AM217" s="33" t="s">
        <v>62</v>
      </c>
      <c r="AN217" s="34"/>
      <c r="AO217" s="35"/>
      <c r="AR217" s="134"/>
      <c r="AS217" s="134"/>
      <c r="AT217" s="136"/>
      <c r="AU217" s="134"/>
      <c r="AV217" s="136"/>
      <c r="AW217" s="135"/>
      <c r="AX217" s="135"/>
      <c r="AY217" s="135"/>
      <c r="AZ217" s="135"/>
      <c r="BA217" s="136"/>
      <c r="BD217" s="195" t="s">
        <v>6</v>
      </c>
      <c r="BE217" s="135" t="s">
        <v>6</v>
      </c>
      <c r="BF217" s="135"/>
      <c r="BG217" s="134"/>
      <c r="BH217" s="135"/>
      <c r="BI217" s="135"/>
      <c r="BJ217" s="134"/>
      <c r="BK217" s="136"/>
      <c r="BL217" s="135" t="s">
        <v>58</v>
      </c>
      <c r="BM217" s="135"/>
      <c r="BN217" s="136"/>
    </row>
    <row r="218" spans="3:66" x14ac:dyDescent="0.3">
      <c r="C218" s="138" t="s">
        <v>59</v>
      </c>
      <c r="D218" s="138">
        <v>851</v>
      </c>
      <c r="E218" s="28">
        <v>1108</v>
      </c>
      <c r="F218" s="138"/>
      <c r="G218" s="28" t="s">
        <v>60</v>
      </c>
      <c r="H218" s="28"/>
      <c r="I218" s="196">
        <v>1205</v>
      </c>
      <c r="J218" s="28">
        <v>4</v>
      </c>
      <c r="K218" s="28" t="s">
        <v>61</v>
      </c>
      <c r="L218" s="141"/>
      <c r="N218" s="138" t="s">
        <v>59</v>
      </c>
      <c r="O218" s="138">
        <v>9143</v>
      </c>
      <c r="P218" s="196">
        <v>38014</v>
      </c>
      <c r="Q218" s="138">
        <v>0</v>
      </c>
      <c r="R218" s="196">
        <v>0</v>
      </c>
      <c r="S218" s="141">
        <v>0</v>
      </c>
      <c r="T218" s="138">
        <v>0</v>
      </c>
      <c r="U218" s="196">
        <v>0</v>
      </c>
      <c r="V218" s="138"/>
      <c r="W218" s="141"/>
      <c r="AD218" s="42"/>
      <c r="AE218" s="42"/>
      <c r="AF218" s="40"/>
      <c r="AG218" s="28"/>
      <c r="AH218" s="28"/>
      <c r="AI218" s="28"/>
      <c r="AJ218" s="42"/>
      <c r="AK218" s="40"/>
      <c r="AL218" s="41"/>
      <c r="AM218" s="42">
        <v>1</v>
      </c>
      <c r="AN218" s="28" t="s">
        <v>1290</v>
      </c>
      <c r="AO218" s="40"/>
      <c r="AR218" s="138"/>
      <c r="AS218" s="138" t="s">
        <v>6</v>
      </c>
      <c r="AT218" s="141" t="s">
        <v>6</v>
      </c>
      <c r="AU218" s="138"/>
      <c r="AV218" s="141"/>
      <c r="AW218" s="28"/>
      <c r="AX218" s="28" t="s">
        <v>91</v>
      </c>
      <c r="AY218" s="28"/>
      <c r="AZ218" s="28"/>
      <c r="BA218" s="141"/>
      <c r="BD218" s="196" t="s">
        <v>64</v>
      </c>
      <c r="BE218" s="28">
        <f>182+4</f>
        <v>186</v>
      </c>
      <c r="BF218" s="28">
        <v>146</v>
      </c>
      <c r="BG218" s="138">
        <v>0</v>
      </c>
      <c r="BH218" s="28">
        <v>0</v>
      </c>
      <c r="BI218" s="28">
        <v>0</v>
      </c>
      <c r="BJ218" s="138">
        <v>0</v>
      </c>
      <c r="BK218" s="141">
        <v>0</v>
      </c>
      <c r="BL218" s="43">
        <v>14</v>
      </c>
      <c r="BM218" s="28" t="s">
        <v>474</v>
      </c>
      <c r="BN218" s="141" t="s">
        <v>6</v>
      </c>
    </row>
    <row r="219" spans="3:66" x14ac:dyDescent="0.3">
      <c r="C219" s="138" t="s">
        <v>6</v>
      </c>
      <c r="D219" s="138"/>
      <c r="E219" s="28"/>
      <c r="F219" s="138"/>
      <c r="G219" s="28"/>
      <c r="H219" s="28"/>
      <c r="I219" s="196"/>
      <c r="J219" s="28"/>
      <c r="K219" s="28" t="s">
        <v>528</v>
      </c>
      <c r="L219" s="141">
        <f>SUM(J218)</f>
        <v>4</v>
      </c>
      <c r="N219" s="142"/>
      <c r="O219" s="142"/>
      <c r="P219" s="199"/>
      <c r="Q219" s="142"/>
      <c r="R219" s="199"/>
      <c r="S219" s="146"/>
      <c r="T219" s="142"/>
      <c r="U219" s="199"/>
      <c r="V219" s="142"/>
      <c r="W219" s="146"/>
      <c r="AD219" s="42" t="s">
        <v>59</v>
      </c>
      <c r="AE219" s="42">
        <v>1962</v>
      </c>
      <c r="AF219" s="40">
        <v>2123</v>
      </c>
      <c r="AG219" s="28">
        <v>0</v>
      </c>
      <c r="AH219" s="28">
        <v>0</v>
      </c>
      <c r="AI219" s="28">
        <v>0</v>
      </c>
      <c r="AJ219" s="42">
        <v>0</v>
      </c>
      <c r="AK219" s="40">
        <v>0</v>
      </c>
      <c r="AL219" s="41">
        <v>0</v>
      </c>
      <c r="AM219" s="42">
        <v>4</v>
      </c>
      <c r="AN219" s="28" t="s">
        <v>66</v>
      </c>
      <c r="AO219" s="40"/>
      <c r="AR219" s="138" t="s">
        <v>56</v>
      </c>
      <c r="AS219" s="138">
        <v>1476</v>
      </c>
      <c r="AT219" s="141">
        <v>1575</v>
      </c>
      <c r="AU219" s="138"/>
      <c r="AV219" s="141"/>
      <c r="AW219" s="28"/>
      <c r="AX219" s="28"/>
      <c r="AY219" s="28"/>
      <c r="AZ219" s="28"/>
      <c r="BA219" s="141"/>
      <c r="BD219" s="196" t="s">
        <v>108</v>
      </c>
      <c r="BE219">
        <v>0</v>
      </c>
      <c r="BF219">
        <v>0</v>
      </c>
      <c r="BG219" s="138">
        <v>0</v>
      </c>
      <c r="BH219" s="28">
        <v>0</v>
      </c>
      <c r="BI219" s="28">
        <v>0</v>
      </c>
      <c r="BJ219" s="138">
        <v>0</v>
      </c>
      <c r="BK219" s="141">
        <v>0</v>
      </c>
      <c r="BL219" s="43">
        <v>1</v>
      </c>
      <c r="BM219" s="28" t="s">
        <v>1045</v>
      </c>
      <c r="BN219" s="141"/>
    </row>
    <row r="220" spans="3:66" ht="15" thickBot="1" x14ac:dyDescent="0.35">
      <c r="C220" s="134"/>
      <c r="D220" s="134"/>
      <c r="E220" s="135"/>
      <c r="F220" s="134"/>
      <c r="G220" s="135"/>
      <c r="H220" s="135"/>
      <c r="I220" s="195"/>
      <c r="J220" s="135" t="s">
        <v>70</v>
      </c>
      <c r="K220" s="135"/>
      <c r="L220" s="136"/>
      <c r="N220" s="134"/>
      <c r="O220" s="134"/>
      <c r="P220" s="195"/>
      <c r="Q220" s="134"/>
      <c r="R220" s="195"/>
      <c r="S220" s="136"/>
      <c r="T220" s="134"/>
      <c r="U220" s="195"/>
      <c r="V220" s="134"/>
      <c r="W220" s="136"/>
      <c r="AD220" s="244"/>
      <c r="AE220" s="244"/>
      <c r="AF220" s="245"/>
      <c r="AG220" s="143"/>
      <c r="AH220" s="143"/>
      <c r="AI220" s="143"/>
      <c r="AJ220" s="244"/>
      <c r="AK220" s="245"/>
      <c r="AL220" s="313"/>
      <c r="AM220" s="47">
        <v>4</v>
      </c>
      <c r="AN220" s="48" t="s">
        <v>436</v>
      </c>
      <c r="AO220" s="49"/>
      <c r="AR220" s="142" t="s">
        <v>6</v>
      </c>
      <c r="AS220" s="142"/>
      <c r="AT220" s="146"/>
      <c r="AU220" s="142"/>
      <c r="AV220" s="146"/>
      <c r="AW220" s="143"/>
      <c r="AX220" s="143">
        <v>106</v>
      </c>
      <c r="AY220" s="143" t="s">
        <v>73</v>
      </c>
      <c r="AZ220" s="143"/>
      <c r="BA220" s="146">
        <f>SUM(AX220)</f>
        <v>106</v>
      </c>
      <c r="BD220" s="199" t="s">
        <v>84</v>
      </c>
      <c r="BE220" s="143">
        <f>SUM(BE217:BE219)</f>
        <v>186</v>
      </c>
      <c r="BF220" s="143">
        <f>SUM(BF217:BF219)</f>
        <v>146</v>
      </c>
      <c r="BG220" s="138">
        <v>0</v>
      </c>
      <c r="BH220" s="28">
        <v>0</v>
      </c>
      <c r="BI220" s="28">
        <v>0</v>
      </c>
      <c r="BJ220" s="138">
        <v>0</v>
      </c>
      <c r="BK220" s="141">
        <v>0</v>
      </c>
      <c r="BL220" s="143">
        <v>3</v>
      </c>
      <c r="BM220" s="143" t="s">
        <v>69</v>
      </c>
      <c r="BN220" s="146">
        <f>SUM(BL218:BL220)</f>
        <v>18</v>
      </c>
    </row>
    <row r="221" spans="3:66" x14ac:dyDescent="0.3">
      <c r="C221" s="138" t="s">
        <v>74</v>
      </c>
      <c r="D221" s="138">
        <v>1068</v>
      </c>
      <c r="E221" s="28">
        <v>2259</v>
      </c>
      <c r="F221" s="138"/>
      <c r="G221" s="28" t="s">
        <v>60</v>
      </c>
      <c r="H221" s="28"/>
      <c r="I221" s="196">
        <v>2772</v>
      </c>
      <c r="J221" s="28">
        <v>0</v>
      </c>
      <c r="K221" s="28" t="s">
        <v>75</v>
      </c>
      <c r="L221" s="141"/>
      <c r="N221" s="138"/>
      <c r="O221" s="138"/>
      <c r="P221" s="196"/>
      <c r="Q221" s="138"/>
      <c r="R221" s="196"/>
      <c r="S221" s="141"/>
      <c r="T221" s="138"/>
      <c r="U221" s="196"/>
      <c r="V221" s="138" t="s">
        <v>80</v>
      </c>
      <c r="W221" s="141"/>
      <c r="AD221" s="278" t="s">
        <v>6</v>
      </c>
      <c r="AE221" s="278"/>
      <c r="AF221" s="279"/>
      <c r="AG221" s="135"/>
      <c r="AH221" s="135"/>
      <c r="AI221" s="135"/>
      <c r="AJ221" s="278"/>
      <c r="AK221" s="279"/>
      <c r="AL221" s="314"/>
      <c r="AM221" s="28" t="s">
        <v>952</v>
      </c>
      <c r="AN221" s="28"/>
      <c r="AO221" s="40"/>
      <c r="AR221" s="134"/>
      <c r="AS221" s="134"/>
      <c r="AT221" s="136"/>
      <c r="AU221" s="134"/>
      <c r="AV221" s="136"/>
      <c r="AW221" s="135"/>
      <c r="AX221" s="135"/>
      <c r="AY221" s="135"/>
      <c r="AZ221" s="135"/>
      <c r="BA221" s="136"/>
      <c r="BD221" s="195" t="s">
        <v>6</v>
      </c>
      <c r="BE221" s="134" t="s">
        <v>6</v>
      </c>
      <c r="BF221" s="136"/>
      <c r="BG221" s="135"/>
      <c r="BH221" s="135">
        <v>0</v>
      </c>
      <c r="BI221" s="135"/>
      <c r="BJ221" s="134"/>
      <c r="BK221" s="136"/>
      <c r="BL221" s="135" t="s">
        <v>1092</v>
      </c>
      <c r="BM221" s="135"/>
      <c r="BN221" s="136"/>
    </row>
    <row r="222" spans="3:66" ht="15" thickBot="1" x14ac:dyDescent="0.35">
      <c r="C222" s="138"/>
      <c r="D222" s="138"/>
      <c r="E222" s="28"/>
      <c r="F222" s="138"/>
      <c r="G222" s="28"/>
      <c r="H222" s="28"/>
      <c r="I222" s="196"/>
      <c r="J222" s="28">
        <v>2</v>
      </c>
      <c r="K222" s="28" t="s">
        <v>79</v>
      </c>
      <c r="L222" s="141"/>
      <c r="N222" s="138" t="s">
        <v>74</v>
      </c>
      <c r="O222" s="138">
        <v>4156</v>
      </c>
      <c r="P222" s="196">
        <v>125</v>
      </c>
      <c r="Q222" s="138">
        <v>0</v>
      </c>
      <c r="R222" s="196">
        <v>0</v>
      </c>
      <c r="S222" s="141">
        <v>0</v>
      </c>
      <c r="T222" s="138">
        <v>37</v>
      </c>
      <c r="U222" s="196">
        <v>0</v>
      </c>
      <c r="V222" s="138"/>
      <c r="W222" s="141"/>
      <c r="AD222" s="42" t="s">
        <v>76</v>
      </c>
      <c r="AE222" s="42">
        <v>0</v>
      </c>
      <c r="AF222" s="40">
        <v>0</v>
      </c>
      <c r="AG222" s="28">
        <v>0</v>
      </c>
      <c r="AH222" s="28">
        <v>0</v>
      </c>
      <c r="AI222" s="28">
        <v>0</v>
      </c>
      <c r="AJ222" s="42">
        <v>0</v>
      </c>
      <c r="AK222" s="40">
        <v>0</v>
      </c>
      <c r="AL222" s="41">
        <v>0</v>
      </c>
      <c r="AM222" s="43"/>
      <c r="AN222" s="28" t="s">
        <v>780</v>
      </c>
      <c r="AO222" s="40"/>
      <c r="AR222" s="138" t="s">
        <v>63</v>
      </c>
      <c r="AS222" s="138">
        <v>89</v>
      </c>
      <c r="AT222" s="141">
        <v>64</v>
      </c>
      <c r="AU222" s="138"/>
      <c r="AV222" s="141"/>
      <c r="AW222" s="28"/>
      <c r="AX222" s="28" t="s">
        <v>110</v>
      </c>
      <c r="AY222" s="28" t="s">
        <v>111</v>
      </c>
      <c r="AZ222" s="28" t="s">
        <v>112</v>
      </c>
      <c r="BA222" s="141"/>
      <c r="BD222" s="199" t="s">
        <v>108</v>
      </c>
      <c r="BE222" s="142">
        <v>526</v>
      </c>
      <c r="BF222" s="146">
        <v>445</v>
      </c>
      <c r="BG222" s="143"/>
      <c r="BH222" s="143">
        <v>0</v>
      </c>
      <c r="BI222" s="143">
        <v>0</v>
      </c>
      <c r="BJ222" s="142">
        <v>0</v>
      </c>
      <c r="BK222" s="146">
        <v>0</v>
      </c>
      <c r="BL222" s="143">
        <v>8</v>
      </c>
      <c r="BM222" s="143" t="s">
        <v>780</v>
      </c>
      <c r="BN222" s="146">
        <f>SUM(BL222)</f>
        <v>8</v>
      </c>
    </row>
    <row r="223" spans="3:66" x14ac:dyDescent="0.3">
      <c r="C223" s="142"/>
      <c r="D223" s="142"/>
      <c r="E223" s="143"/>
      <c r="F223" s="142"/>
      <c r="G223" s="143"/>
      <c r="H223" s="143"/>
      <c r="I223" s="199"/>
      <c r="J223" s="143">
        <v>15</v>
      </c>
      <c r="K223" s="143" t="s">
        <v>83</v>
      </c>
      <c r="L223" s="146">
        <f>SUM(J221:J223)</f>
        <v>17</v>
      </c>
      <c r="N223" s="142"/>
      <c r="O223" s="142"/>
      <c r="P223" s="199"/>
      <c r="Q223" s="142"/>
      <c r="R223" s="199"/>
      <c r="S223" s="146"/>
      <c r="T223" s="142"/>
      <c r="U223" s="199"/>
      <c r="V223" s="142"/>
      <c r="W223" s="146"/>
      <c r="AD223" s="33"/>
      <c r="AE223" s="33"/>
      <c r="AF223" s="35"/>
      <c r="AG223" s="34"/>
      <c r="AH223" s="34"/>
      <c r="AI223" s="34"/>
      <c r="AJ223" s="33"/>
      <c r="AK223" s="35"/>
      <c r="AL223" s="32"/>
      <c r="AM223" s="34" t="s">
        <v>1298</v>
      </c>
      <c r="AN223" s="34"/>
      <c r="AO223" s="35"/>
      <c r="AR223" s="138" t="s">
        <v>115</v>
      </c>
      <c r="AS223" s="138">
        <v>13</v>
      </c>
      <c r="AT223" s="141">
        <v>23</v>
      </c>
      <c r="AU223" s="138"/>
      <c r="AV223" s="141"/>
      <c r="AW223" s="28"/>
      <c r="AX223" s="28"/>
      <c r="AY223" s="28"/>
      <c r="AZ223" s="28"/>
      <c r="BA223" s="141"/>
      <c r="BD223" s="195" t="s">
        <v>107</v>
      </c>
      <c r="BE223" s="134">
        <v>0</v>
      </c>
      <c r="BF223" s="136">
        <v>0</v>
      </c>
      <c r="BG223" s="135"/>
      <c r="BH223" s="135"/>
      <c r="BI223" s="135"/>
      <c r="BJ223" s="134"/>
      <c r="BK223" s="136"/>
      <c r="BL223" s="135"/>
      <c r="BM223" s="135" t="s">
        <v>92</v>
      </c>
      <c r="BN223" s="136"/>
    </row>
    <row r="224" spans="3:66" ht="15" thickBot="1" x14ac:dyDescent="0.35">
      <c r="C224" s="134"/>
      <c r="D224" s="134"/>
      <c r="E224" s="135"/>
      <c r="F224" s="134"/>
      <c r="G224" s="135"/>
      <c r="H224" s="135"/>
      <c r="I224" s="195"/>
      <c r="J224" s="135" t="s">
        <v>87</v>
      </c>
      <c r="K224" s="135"/>
      <c r="L224" s="136"/>
      <c r="N224" s="134" t="s">
        <v>88</v>
      </c>
      <c r="O224" s="134">
        <v>0</v>
      </c>
      <c r="P224" s="195">
        <v>0</v>
      </c>
      <c r="Q224" s="134"/>
      <c r="R224" s="195"/>
      <c r="S224" s="136"/>
      <c r="T224" s="134"/>
      <c r="U224" s="195"/>
      <c r="V224" s="134" t="s">
        <v>6</v>
      </c>
      <c r="W224" s="136"/>
      <c r="AD224" s="47" t="s">
        <v>1300</v>
      </c>
      <c r="AE224" s="47">
        <v>322</v>
      </c>
      <c r="AF224" s="49">
        <v>329</v>
      </c>
      <c r="AG224" s="48"/>
      <c r="AH224" s="48"/>
      <c r="AI224" s="48"/>
      <c r="AJ224" s="47"/>
      <c r="AK224" s="49"/>
      <c r="AL224" s="46"/>
      <c r="AM224" s="48">
        <v>9</v>
      </c>
      <c r="AN224" s="48" t="s">
        <v>145</v>
      </c>
      <c r="AO224" s="49"/>
      <c r="AR224" s="138" t="s">
        <v>72</v>
      </c>
      <c r="AS224" s="138">
        <v>31</v>
      </c>
      <c r="AT224" s="141">
        <v>11</v>
      </c>
      <c r="AU224" s="138"/>
      <c r="AV224" s="141"/>
      <c r="AW224" s="28"/>
      <c r="AX224" s="28"/>
      <c r="AY224" s="28"/>
      <c r="AZ224" s="28"/>
      <c r="BA224" s="141"/>
      <c r="BD224" s="196" t="s">
        <v>99</v>
      </c>
      <c r="BE224" s="138">
        <v>0</v>
      </c>
      <c r="BF224" s="141">
        <v>0</v>
      </c>
      <c r="BG224" s="28">
        <v>0</v>
      </c>
      <c r="BH224" s="28">
        <v>0</v>
      </c>
      <c r="BI224" s="28">
        <v>0</v>
      </c>
      <c r="BJ224" s="138">
        <v>77722</v>
      </c>
      <c r="BK224" s="141">
        <v>18180</v>
      </c>
      <c r="BL224" s="43">
        <v>26</v>
      </c>
      <c r="BM224" s="28" t="s">
        <v>100</v>
      </c>
      <c r="BN224" s="141"/>
    </row>
    <row r="225" spans="3:67" x14ac:dyDescent="0.3">
      <c r="C225" s="138" t="s">
        <v>93</v>
      </c>
      <c r="D225" s="138">
        <v>3968</v>
      </c>
      <c r="E225" s="28">
        <v>4969</v>
      </c>
      <c r="F225" s="138"/>
      <c r="G225" s="28" t="s">
        <v>60</v>
      </c>
      <c r="H225" s="28"/>
      <c r="I225" s="196">
        <v>5353</v>
      </c>
      <c r="J225" s="28"/>
      <c r="K225" s="28" t="s">
        <v>94</v>
      </c>
      <c r="L225" s="141"/>
      <c r="N225" s="138" t="s">
        <v>95</v>
      </c>
      <c r="O225" s="138">
        <v>0</v>
      </c>
      <c r="P225" s="196">
        <v>0</v>
      </c>
      <c r="Q225" s="138"/>
      <c r="R225" s="196"/>
      <c r="S225" s="141"/>
      <c r="T225" s="138"/>
      <c r="U225" s="196"/>
      <c r="V225" s="138"/>
      <c r="W225" s="141"/>
      <c r="AD225" s="42" t="s">
        <v>89</v>
      </c>
      <c r="AE225" s="42">
        <v>42</v>
      </c>
      <c r="AF225" s="40">
        <v>42</v>
      </c>
      <c r="AG225" s="28"/>
      <c r="AH225" s="28"/>
      <c r="AI225" s="28"/>
      <c r="AJ225" s="42"/>
      <c r="AK225" s="40"/>
      <c r="AL225" s="41"/>
      <c r="AM225" s="28" t="s">
        <v>90</v>
      </c>
      <c r="AN225" s="28"/>
      <c r="AO225" s="40"/>
      <c r="AR225" s="138" t="s">
        <v>78</v>
      </c>
      <c r="AS225" s="138">
        <v>31</v>
      </c>
      <c r="AT225" s="141">
        <f>21+6</f>
        <v>27</v>
      </c>
      <c r="AU225" s="138"/>
      <c r="AV225" s="141"/>
      <c r="AW225" s="28"/>
      <c r="AX225" s="28"/>
      <c r="AY225" s="28"/>
      <c r="AZ225" s="28"/>
      <c r="BA225" s="141"/>
      <c r="BB225" t="s">
        <v>6</v>
      </c>
      <c r="BD225" s="199" t="s">
        <v>84</v>
      </c>
      <c r="BE225" s="138">
        <f>SUM(BE223:BE224)</f>
        <v>0</v>
      </c>
      <c r="BF225" s="141">
        <f>SUM(BF223:BF224)</f>
        <v>0</v>
      </c>
      <c r="BG225" s="143"/>
      <c r="BH225" s="143"/>
      <c r="BI225" s="143"/>
      <c r="BJ225" s="142"/>
      <c r="BK225" s="146"/>
      <c r="BL225" s="143">
        <v>0</v>
      </c>
      <c r="BM225" s="143" t="s">
        <v>506</v>
      </c>
      <c r="BN225" s="146">
        <f>SUM(BL224:BL225)</f>
        <v>26</v>
      </c>
    </row>
    <row r="226" spans="3:67" x14ac:dyDescent="0.3">
      <c r="C226" s="142"/>
      <c r="D226" s="142"/>
      <c r="E226" s="143"/>
      <c r="F226" s="142"/>
      <c r="G226" s="143"/>
      <c r="H226" s="143"/>
      <c r="I226" s="199"/>
      <c r="J226" s="143">
        <v>30</v>
      </c>
      <c r="K226" s="143" t="s">
        <v>101</v>
      </c>
      <c r="L226" s="146">
        <f>SUM(J225:J226)</f>
        <v>30</v>
      </c>
      <c r="N226" s="138" t="s">
        <v>102</v>
      </c>
      <c r="O226" s="138">
        <v>0</v>
      </c>
      <c r="P226" s="196">
        <v>0</v>
      </c>
      <c r="Q226" s="138"/>
      <c r="R226" s="196"/>
      <c r="S226" s="141"/>
      <c r="T226" s="138"/>
      <c r="U226" s="196"/>
      <c r="V226" s="138"/>
      <c r="W226" s="141"/>
      <c r="AD226" s="42" t="s">
        <v>137</v>
      </c>
      <c r="AE226" s="42"/>
      <c r="AF226" s="40"/>
      <c r="AG226" s="28">
        <v>0</v>
      </c>
      <c r="AH226" s="28">
        <v>0</v>
      </c>
      <c r="AI226" s="28">
        <v>0</v>
      </c>
      <c r="AJ226" s="42">
        <v>0</v>
      </c>
      <c r="AK226" s="40">
        <v>0</v>
      </c>
      <c r="AL226" s="41">
        <v>0</v>
      </c>
      <c r="AM226" s="28"/>
      <c r="AN226" s="28" t="s">
        <v>529</v>
      </c>
      <c r="AO226" s="40"/>
      <c r="AR226" s="138" t="s">
        <v>122</v>
      </c>
      <c r="AS226" s="138">
        <v>25</v>
      </c>
      <c r="AT226" s="141">
        <v>17</v>
      </c>
      <c r="AU226" s="138"/>
      <c r="AV226" s="141"/>
      <c r="AW226" s="28"/>
      <c r="AX226" s="28">
        <v>28</v>
      </c>
      <c r="AY226" s="28" t="s">
        <v>123</v>
      </c>
      <c r="AZ226" s="28" t="s">
        <v>6</v>
      </c>
      <c r="BA226" s="141"/>
      <c r="BD226" s="138" t="s">
        <v>89</v>
      </c>
      <c r="BE226" s="134">
        <v>1039</v>
      </c>
      <c r="BF226" s="136">
        <v>925</v>
      </c>
      <c r="BJ226" s="134"/>
      <c r="BK226" s="135"/>
      <c r="BL226" s="134"/>
      <c r="BM226" s="135" t="s">
        <v>91</v>
      </c>
      <c r="BN226" s="136"/>
    </row>
    <row r="227" spans="3:67" ht="15" thickBot="1" x14ac:dyDescent="0.35">
      <c r="C227" s="138" t="s">
        <v>108</v>
      </c>
      <c r="D227" s="138">
        <v>0</v>
      </c>
      <c r="E227" s="28">
        <v>0</v>
      </c>
      <c r="F227" s="138"/>
      <c r="G227" s="28">
        <v>1425</v>
      </c>
      <c r="H227" s="28"/>
      <c r="I227" s="196"/>
      <c r="J227" s="28" t="s">
        <v>104</v>
      </c>
      <c r="K227" s="28"/>
      <c r="L227" s="141"/>
      <c r="N227" s="142" t="s">
        <v>84</v>
      </c>
      <c r="O227" s="142">
        <v>0</v>
      </c>
      <c r="P227" s="199">
        <v>0</v>
      </c>
      <c r="Q227" s="142">
        <v>0</v>
      </c>
      <c r="R227" s="199">
        <v>0</v>
      </c>
      <c r="S227" s="146">
        <v>0</v>
      </c>
      <c r="T227" s="142">
        <v>0</v>
      </c>
      <c r="U227" s="199">
        <v>0</v>
      </c>
      <c r="V227" s="142"/>
      <c r="W227" s="146"/>
      <c r="AD227" s="42" t="s">
        <v>84</v>
      </c>
      <c r="AE227" s="244">
        <f>SUM(AE225:AE226)</f>
        <v>42</v>
      </c>
      <c r="AF227" s="245">
        <f>SUM(AF225:AF226)</f>
        <v>42</v>
      </c>
      <c r="AG227" s="28"/>
      <c r="AH227" s="28"/>
      <c r="AI227" s="28"/>
      <c r="AJ227" s="244"/>
      <c r="AK227" s="245"/>
      <c r="AL227" s="41"/>
      <c r="AM227" s="28">
        <v>1</v>
      </c>
      <c r="AN227" s="28" t="s">
        <v>98</v>
      </c>
      <c r="AO227" s="40"/>
      <c r="AR227" s="138" t="s">
        <v>125</v>
      </c>
      <c r="AS227" s="138">
        <v>5</v>
      </c>
      <c r="AT227" s="141">
        <v>5</v>
      </c>
      <c r="AU227" s="138"/>
      <c r="AV227" s="141"/>
      <c r="AW227" s="28"/>
      <c r="AX227" s="28">
        <v>46</v>
      </c>
      <c r="AY227" s="28" t="s">
        <v>126</v>
      </c>
      <c r="AZ227" s="28"/>
      <c r="BA227" s="141"/>
      <c r="BC227" t="s">
        <v>6</v>
      </c>
      <c r="BD227" s="138" t="s">
        <v>137</v>
      </c>
      <c r="BE227" s="138">
        <v>693</v>
      </c>
      <c r="BF227" s="141">
        <v>634</v>
      </c>
      <c r="BJ227" s="138"/>
      <c r="BK227" s="28"/>
      <c r="BL227" s="212">
        <v>14</v>
      </c>
      <c r="BM227" s="43" t="s">
        <v>101</v>
      </c>
      <c r="BN227" s="141"/>
    </row>
    <row r="228" spans="3:67" x14ac:dyDescent="0.3">
      <c r="C228" s="138" t="s">
        <v>109</v>
      </c>
      <c r="D228" s="138">
        <v>1382</v>
      </c>
      <c r="E228" s="28">
        <v>1577</v>
      </c>
      <c r="F228" s="138"/>
      <c r="G228" s="28">
        <v>0</v>
      </c>
      <c r="H228" s="28"/>
      <c r="I228" s="196"/>
      <c r="J228" s="28">
        <v>9</v>
      </c>
      <c r="K228" s="28" t="s">
        <v>114</v>
      </c>
      <c r="L228" s="141"/>
      <c r="N228" s="134"/>
      <c r="O228" s="134"/>
      <c r="P228" s="195"/>
      <c r="Q228" s="134"/>
      <c r="R228" s="195"/>
      <c r="S228" s="136"/>
      <c r="T228" s="134"/>
      <c r="U228" s="195"/>
      <c r="V228" s="134" t="s">
        <v>104</v>
      </c>
      <c r="W228" s="136"/>
      <c r="AD228" s="32" t="s">
        <v>108</v>
      </c>
      <c r="AE228" s="135">
        <v>14</v>
      </c>
      <c r="AF228" s="135">
        <v>0</v>
      </c>
      <c r="AG228" s="33"/>
      <c r="AH228" s="34"/>
      <c r="AI228" s="35"/>
      <c r="AJ228" s="135"/>
      <c r="AK228" s="135"/>
      <c r="AL228" s="32"/>
      <c r="AM228" s="34" t="s">
        <v>1284</v>
      </c>
      <c r="AN228" s="34"/>
      <c r="AO228" s="35"/>
      <c r="AR228" s="138" t="s">
        <v>128</v>
      </c>
      <c r="AS228" s="138">
        <v>0</v>
      </c>
      <c r="AT228" s="141">
        <v>0</v>
      </c>
      <c r="AU228" s="138"/>
      <c r="AV228" s="141"/>
      <c r="AW228" s="28"/>
      <c r="AX228" s="28">
        <v>25</v>
      </c>
      <c r="AY228" s="28" t="s">
        <v>129</v>
      </c>
      <c r="AZ228" s="28" t="s">
        <v>6</v>
      </c>
      <c r="BA228" s="141"/>
      <c r="BC228" t="s">
        <v>6</v>
      </c>
      <c r="BD228" s="138" t="s">
        <v>113</v>
      </c>
      <c r="BE228" s="138">
        <f>496+18</f>
        <v>514</v>
      </c>
      <c r="BF228" s="141">
        <f>534+11</f>
        <v>545</v>
      </c>
      <c r="BJ228" s="138"/>
      <c r="BK228" s="28"/>
      <c r="BL228" s="212">
        <v>56</v>
      </c>
      <c r="BM228" s="28" t="s">
        <v>73</v>
      </c>
      <c r="BN228" s="141"/>
    </row>
    <row r="229" spans="3:67" x14ac:dyDescent="0.3">
      <c r="C229" s="142" t="s">
        <v>84</v>
      </c>
      <c r="D229" s="142">
        <f>SUM(D227:D228)</f>
        <v>1382</v>
      </c>
      <c r="E229" s="143">
        <f>SUM(E227:E228)</f>
        <v>1577</v>
      </c>
      <c r="F229" s="142"/>
      <c r="G229" s="143">
        <f>SUM(G227:G228)</f>
        <v>1425</v>
      </c>
      <c r="H229" s="143"/>
      <c r="I229" s="199">
        <v>3375</v>
      </c>
      <c r="J229" s="143"/>
      <c r="K229" s="143"/>
      <c r="L229" s="146">
        <f>SUM(J228)</f>
        <v>9</v>
      </c>
      <c r="N229" s="138" t="s">
        <v>109</v>
      </c>
      <c r="O229" s="138">
        <v>3634</v>
      </c>
      <c r="P229" s="196">
        <v>0</v>
      </c>
      <c r="Q229" s="138">
        <v>0</v>
      </c>
      <c r="R229" s="196">
        <v>0</v>
      </c>
      <c r="S229" s="141">
        <v>0</v>
      </c>
      <c r="T229" s="138">
        <v>0</v>
      </c>
      <c r="U229" s="196">
        <v>0</v>
      </c>
      <c r="V229" s="138"/>
      <c r="W229" s="141"/>
      <c r="AD229" s="41" t="s">
        <v>817</v>
      </c>
      <c r="AE229" s="28">
        <v>6</v>
      </c>
      <c r="AF229" s="43">
        <v>262</v>
      </c>
      <c r="AG229" s="42">
        <v>0</v>
      </c>
      <c r="AH229" s="28">
        <v>0</v>
      </c>
      <c r="AI229" s="40">
        <v>0</v>
      </c>
      <c r="AJ229" s="28"/>
      <c r="AK229" s="28"/>
      <c r="AL229" s="41">
        <v>0</v>
      </c>
      <c r="AM229" s="28"/>
      <c r="AN229" s="28" t="s">
        <v>6</v>
      </c>
      <c r="AO229" s="40"/>
      <c r="AR229" s="138" t="s">
        <v>132</v>
      </c>
      <c r="AS229" s="138">
        <v>0</v>
      </c>
      <c r="AT229" s="141">
        <v>0</v>
      </c>
      <c r="AU229" s="138"/>
      <c r="AV229" s="141"/>
      <c r="AW229" s="28"/>
      <c r="AX229" s="28"/>
      <c r="AY229" s="28"/>
      <c r="AZ229" s="28"/>
      <c r="BA229" s="141"/>
      <c r="BB229" t="s">
        <v>6</v>
      </c>
      <c r="BD229" s="212" t="s">
        <v>97</v>
      </c>
      <c r="BE229" s="212">
        <v>426</v>
      </c>
      <c r="BF229" s="209">
        <v>453</v>
      </c>
      <c r="BJ229" s="138"/>
      <c r="BK229" s="28"/>
      <c r="BL229" s="138"/>
      <c r="BM229" s="43" t="s">
        <v>433</v>
      </c>
      <c r="BN229" s="141"/>
    </row>
    <row r="230" spans="3:67" x14ac:dyDescent="0.3">
      <c r="C230" s="195" t="s">
        <v>785</v>
      </c>
      <c r="D230">
        <v>0</v>
      </c>
      <c r="E230" s="43">
        <v>0</v>
      </c>
      <c r="F230" s="134"/>
      <c r="G230" s="135"/>
      <c r="H230" s="136"/>
      <c r="I230" t="s">
        <v>6</v>
      </c>
      <c r="J230" s="134"/>
      <c r="K230" s="135"/>
      <c r="L230" s="136"/>
      <c r="N230" s="142"/>
      <c r="O230" s="142"/>
      <c r="P230" s="199"/>
      <c r="Q230" s="142"/>
      <c r="R230" s="199"/>
      <c r="S230" s="146"/>
      <c r="T230" s="142"/>
      <c r="U230" s="199"/>
      <c r="V230" s="142"/>
      <c r="W230" s="146"/>
      <c r="AD230" s="41" t="s">
        <v>164</v>
      </c>
      <c r="AE230" s="28">
        <v>199</v>
      </c>
      <c r="AF230" s="43">
        <v>0</v>
      </c>
      <c r="AG230" s="42">
        <v>0</v>
      </c>
      <c r="AH230" s="28"/>
      <c r="AI230" s="40">
        <v>0</v>
      </c>
      <c r="AJ230" s="28"/>
      <c r="AK230" s="28"/>
      <c r="AL230" s="41"/>
      <c r="AM230" s="28">
        <v>26</v>
      </c>
      <c r="AN230" s="43" t="s">
        <v>1285</v>
      </c>
      <c r="AO230" s="40"/>
      <c r="AR230" s="138" t="s">
        <v>81</v>
      </c>
      <c r="AS230" s="138">
        <v>2</v>
      </c>
      <c r="AT230" s="141">
        <v>3</v>
      </c>
      <c r="AU230" s="138"/>
      <c r="AV230" s="141"/>
      <c r="AW230" s="28"/>
      <c r="AX230" s="28"/>
      <c r="AY230" s="28"/>
      <c r="AZ230" s="28"/>
      <c r="BA230" s="141" t="s">
        <v>6</v>
      </c>
      <c r="BC230" t="s">
        <v>6</v>
      </c>
      <c r="BD230" s="212" t="s">
        <v>133</v>
      </c>
      <c r="BE230" s="212">
        <v>15</v>
      </c>
      <c r="BF230" s="209">
        <f>19+19</f>
        <v>38</v>
      </c>
      <c r="BJ230" s="138"/>
      <c r="BK230" s="28"/>
      <c r="BL230" s="138">
        <v>12</v>
      </c>
      <c r="BM230" s="43" t="s">
        <v>1577</v>
      </c>
      <c r="BN230" s="28"/>
      <c r="BO230" s="138"/>
    </row>
    <row r="231" spans="3:67" x14ac:dyDescent="0.3">
      <c r="C231" s="196" t="s">
        <v>93</v>
      </c>
      <c r="D231" s="28">
        <v>8029</v>
      </c>
      <c r="E231" s="43">
        <v>8380</v>
      </c>
      <c r="F231" s="138"/>
      <c r="G231" s="28"/>
      <c r="H231" s="141"/>
      <c r="I231" s="28">
        <v>8750</v>
      </c>
      <c r="J231" s="138" t="s">
        <v>118</v>
      </c>
      <c r="K231" s="28"/>
      <c r="L231" s="141"/>
      <c r="N231" s="134" t="s">
        <v>93</v>
      </c>
      <c r="O231" s="134">
        <v>0</v>
      </c>
      <c r="P231" s="195">
        <v>3935</v>
      </c>
      <c r="Q231" s="134"/>
      <c r="R231" s="195"/>
      <c r="S231" s="136"/>
      <c r="T231" s="134">
        <v>0</v>
      </c>
      <c r="U231" s="195">
        <v>0</v>
      </c>
      <c r="V231" s="134" t="s">
        <v>116</v>
      </c>
      <c r="W231" s="136"/>
      <c r="AD231" s="41" t="s">
        <v>1347</v>
      </c>
      <c r="AE231" s="43">
        <v>0</v>
      </c>
      <c r="AF231" s="43">
        <v>140</v>
      </c>
      <c r="AG231" s="42"/>
      <c r="AH231" s="28"/>
      <c r="AI231" s="40"/>
      <c r="AL231" s="41"/>
      <c r="AM231" s="28"/>
      <c r="AN231" s="28"/>
      <c r="AO231" s="40"/>
      <c r="AR231" s="138" t="s">
        <v>536</v>
      </c>
      <c r="AS231" s="138">
        <v>5</v>
      </c>
      <c r="AT231" s="141">
        <v>5</v>
      </c>
      <c r="AU231" s="138"/>
      <c r="AV231" s="141"/>
      <c r="AW231" s="28"/>
      <c r="AX231" s="28"/>
      <c r="AY231" s="28"/>
      <c r="AZ231" s="28"/>
      <c r="BA231" s="141"/>
      <c r="BD231" s="138" t="s">
        <v>84</v>
      </c>
      <c r="BE231" s="138">
        <f>SUM(BE226:BE230)</f>
        <v>2687</v>
      </c>
      <c r="BF231" s="141">
        <f>SUM(BF226:BF230)</f>
        <v>2595</v>
      </c>
      <c r="BG231">
        <v>0</v>
      </c>
      <c r="BH231">
        <v>0</v>
      </c>
      <c r="BI231">
        <v>0</v>
      </c>
      <c r="BJ231" s="142">
        <v>0</v>
      </c>
      <c r="BK231" s="143">
        <v>0</v>
      </c>
      <c r="BL231" s="142"/>
      <c r="BM231" s="143" t="s">
        <v>6</v>
      </c>
      <c r="BN231" s="146">
        <f>SUM(BL227:BL231)</f>
        <v>82</v>
      </c>
    </row>
    <row r="232" spans="3:67" ht="15" thickBot="1" x14ac:dyDescent="0.35">
      <c r="C232" s="196" t="s">
        <v>120</v>
      </c>
      <c r="D232" s="43">
        <v>4761</v>
      </c>
      <c r="E232" s="43">
        <v>5385</v>
      </c>
      <c r="F232" s="138"/>
      <c r="G232" s="28" t="s">
        <v>60</v>
      </c>
      <c r="H232" s="141"/>
      <c r="I232" s="28">
        <v>5980</v>
      </c>
      <c r="J232" s="138">
        <v>63</v>
      </c>
      <c r="K232" s="28" t="s">
        <v>101</v>
      </c>
      <c r="L232" s="141"/>
      <c r="N232" s="138" t="s">
        <v>99</v>
      </c>
      <c r="O232" s="138">
        <v>9756</v>
      </c>
      <c r="P232" s="196">
        <v>4512</v>
      </c>
      <c r="Q232" s="138"/>
      <c r="R232" s="196"/>
      <c r="S232" s="141"/>
      <c r="T232" s="138">
        <v>2381</v>
      </c>
      <c r="U232" s="196">
        <v>200</v>
      </c>
      <c r="V232" s="138"/>
      <c r="W232" s="141"/>
      <c r="AD232" s="46" t="s">
        <v>1120</v>
      </c>
      <c r="AE232">
        <v>0</v>
      </c>
      <c r="AF232" s="43">
        <v>3103</v>
      </c>
      <c r="AG232" s="42"/>
      <c r="AH232" s="28"/>
      <c r="AI232" s="40"/>
      <c r="AL232" s="41"/>
      <c r="AM232" s="28"/>
      <c r="AN232" s="28"/>
      <c r="AO232" s="40"/>
      <c r="AR232" s="138" t="s">
        <v>56</v>
      </c>
      <c r="AS232" s="138">
        <v>0</v>
      </c>
      <c r="AT232" s="141">
        <v>4</v>
      </c>
      <c r="AU232" s="138"/>
      <c r="AV232" s="141"/>
      <c r="AW232" s="28"/>
      <c r="AX232" s="28"/>
      <c r="AY232" s="28"/>
      <c r="AZ232" s="28"/>
      <c r="BA232" s="141"/>
      <c r="BD232" s="134"/>
      <c r="BE232" s="134"/>
      <c r="BF232" s="136"/>
      <c r="BG232" s="135"/>
      <c r="BH232" s="135"/>
      <c r="BI232" s="135"/>
      <c r="BJ232" s="134"/>
      <c r="BK232" s="136"/>
      <c r="BL232" s="135" t="s">
        <v>1025</v>
      </c>
      <c r="BM232" s="135"/>
      <c r="BN232" s="136"/>
    </row>
    <row r="233" spans="3:67" ht="15" thickBot="1" x14ac:dyDescent="0.35">
      <c r="C233" s="199" t="s">
        <v>84</v>
      </c>
      <c r="D233" s="143">
        <f>SUM(D230:D232)</f>
        <v>12790</v>
      </c>
      <c r="E233" s="143">
        <f>SUM(E230:E232)</f>
        <v>13765</v>
      </c>
      <c r="F233" s="142"/>
      <c r="G233" s="143"/>
      <c r="H233" s="146"/>
      <c r="I233" s="143">
        <f>SUM(I230:I232)</f>
        <v>14730</v>
      </c>
      <c r="J233" s="142">
        <v>27</v>
      </c>
      <c r="K233" s="143" t="s">
        <v>927</v>
      </c>
      <c r="L233" s="146">
        <f>SUM(J232:J233)</f>
        <v>90</v>
      </c>
      <c r="N233" s="138" t="s">
        <v>120</v>
      </c>
      <c r="O233" s="138">
        <v>92</v>
      </c>
      <c r="P233" s="196">
        <v>8526</v>
      </c>
      <c r="Q233" s="138"/>
      <c r="R233" s="196"/>
      <c r="S233" s="141"/>
      <c r="T233" s="138">
        <v>12</v>
      </c>
      <c r="U233" s="196">
        <v>0</v>
      </c>
      <c r="V233" s="138"/>
      <c r="W233" s="141"/>
      <c r="AD233" s="42" t="s">
        <v>84</v>
      </c>
      <c r="AE233" s="42">
        <f>SUM(AE228:AE232)</f>
        <v>219</v>
      </c>
      <c r="AF233" s="28">
        <f>SUM(AF228:AF232)</f>
        <v>3505</v>
      </c>
      <c r="AG233" s="47">
        <v>0</v>
      </c>
      <c r="AH233" s="48">
        <v>0</v>
      </c>
      <c r="AI233" s="49">
        <v>0</v>
      </c>
      <c r="AJ233" s="28"/>
      <c r="AK233" s="28"/>
      <c r="AL233" s="46"/>
      <c r="AM233" s="48"/>
      <c r="AN233" s="48"/>
      <c r="AO233" s="49"/>
      <c r="AR233" s="138" t="s">
        <v>67</v>
      </c>
      <c r="AS233" s="138">
        <f>133+9</f>
        <v>142</v>
      </c>
      <c r="AT233" s="141">
        <v>109</v>
      </c>
      <c r="AU233" s="138"/>
      <c r="AV233" s="141"/>
      <c r="AW233" s="28"/>
      <c r="AX233" s="28"/>
      <c r="AY233" s="28"/>
      <c r="AZ233" s="28"/>
      <c r="BA233" s="141"/>
      <c r="BD233" s="142" t="s">
        <v>64</v>
      </c>
      <c r="BE233" s="142">
        <v>76</v>
      </c>
      <c r="BF233" s="146">
        <v>74</v>
      </c>
      <c r="BG233" s="143">
        <v>0</v>
      </c>
      <c r="BH233" s="143">
        <v>0</v>
      </c>
      <c r="BI233" s="143">
        <v>0</v>
      </c>
      <c r="BJ233" s="142">
        <v>0</v>
      </c>
      <c r="BK233" s="146">
        <v>0</v>
      </c>
      <c r="BL233" s="143">
        <v>9</v>
      </c>
      <c r="BM233" s="143" t="s">
        <v>1026</v>
      </c>
      <c r="BN233" s="146">
        <f>SUM(BL233)</f>
        <v>9</v>
      </c>
      <c r="BO233" t="s">
        <v>6</v>
      </c>
    </row>
    <row r="234" spans="3:67" x14ac:dyDescent="0.3">
      <c r="C234" s="195" t="s">
        <v>99</v>
      </c>
      <c r="D234" s="43">
        <v>0</v>
      </c>
      <c r="E234" s="43">
        <v>0</v>
      </c>
      <c r="F234" s="134"/>
      <c r="G234" s="135"/>
      <c r="H234" s="136"/>
      <c r="I234" s="43"/>
      <c r="J234" s="134" t="s">
        <v>131</v>
      </c>
      <c r="K234" s="135"/>
      <c r="L234" s="136"/>
      <c r="N234" s="142" t="s">
        <v>84</v>
      </c>
      <c r="O234" s="142">
        <f>SUM(O231:O233)</f>
        <v>9848</v>
      </c>
      <c r="P234" s="199">
        <f>SUM(P231:P233)</f>
        <v>16973</v>
      </c>
      <c r="Q234" s="142">
        <v>0</v>
      </c>
      <c r="R234" s="199">
        <v>0</v>
      </c>
      <c r="S234" s="146">
        <v>0</v>
      </c>
      <c r="T234" s="142">
        <f>SUM(T231:T233)</f>
        <v>2393</v>
      </c>
      <c r="U234" s="199">
        <f>SUM(U231:U233)</f>
        <v>200</v>
      </c>
      <c r="V234" s="142"/>
      <c r="W234" s="146"/>
      <c r="AD234" s="33"/>
      <c r="AE234" s="33"/>
      <c r="AF234" s="35"/>
      <c r="AG234" s="34"/>
      <c r="AH234" s="34"/>
      <c r="AI234" s="34"/>
      <c r="AJ234" s="33"/>
      <c r="AK234" s="35"/>
      <c r="AL234" s="32"/>
      <c r="AM234" s="34"/>
      <c r="AN234" s="34" t="s">
        <v>117</v>
      </c>
      <c r="AO234" s="35"/>
      <c r="AR234" s="142" t="s">
        <v>84</v>
      </c>
      <c r="AS234" s="142">
        <f>SUM(AS222:AS233)</f>
        <v>343</v>
      </c>
      <c r="AT234" s="146">
        <f>SUM(AT222:AT233)</f>
        <v>268</v>
      </c>
      <c r="AU234" s="142"/>
      <c r="AV234" s="146">
        <v>0</v>
      </c>
      <c r="AW234" s="143"/>
      <c r="AX234" s="143"/>
      <c r="AY234" s="143"/>
      <c r="AZ234" s="143"/>
      <c r="BA234" s="146">
        <f>SUM(AX226:AX228)</f>
        <v>99</v>
      </c>
      <c r="BD234" s="138" t="s">
        <v>113</v>
      </c>
      <c r="BE234" s="138">
        <v>472</v>
      </c>
      <c r="BF234" s="141">
        <v>488</v>
      </c>
      <c r="BG234" s="28"/>
      <c r="BH234" s="28"/>
      <c r="BI234" s="28"/>
      <c r="BJ234" s="138"/>
      <c r="BK234" s="141"/>
      <c r="BL234" s="28" t="s">
        <v>994</v>
      </c>
      <c r="BM234" s="28"/>
      <c r="BN234" s="141"/>
    </row>
    <row r="235" spans="3:67" ht="15" thickBot="1" x14ac:dyDescent="0.35">
      <c r="C235" s="196" t="s">
        <v>88</v>
      </c>
      <c r="D235" s="28"/>
      <c r="E235" s="28"/>
      <c r="F235" s="138"/>
      <c r="G235" s="28">
        <v>0</v>
      </c>
      <c r="H235" s="141"/>
      <c r="I235" s="43"/>
      <c r="J235" s="138"/>
      <c r="K235" s="28"/>
      <c r="L235" s="141"/>
      <c r="N235" s="134"/>
      <c r="O235" s="134"/>
      <c r="P235" s="195"/>
      <c r="Q235" s="134"/>
      <c r="R235" s="195"/>
      <c r="S235" s="136"/>
      <c r="T235" s="134"/>
      <c r="U235" s="195"/>
      <c r="V235" s="134"/>
      <c r="W235" s="136"/>
      <c r="AD235" s="47"/>
      <c r="AE235" s="47"/>
      <c r="AF235" s="49"/>
      <c r="AG235" s="48"/>
      <c r="AH235" s="48"/>
      <c r="AI235" s="48"/>
      <c r="AJ235" s="47"/>
      <c r="AK235" s="49"/>
      <c r="AL235" s="46"/>
      <c r="AM235" s="48">
        <v>1</v>
      </c>
      <c r="AN235" s="48" t="s">
        <v>124</v>
      </c>
      <c r="AO235" s="49"/>
      <c r="AR235" s="134"/>
      <c r="AS235" s="134"/>
      <c r="AT235" s="136"/>
      <c r="AU235" s="134"/>
      <c r="AV235" s="136"/>
      <c r="AW235" s="135"/>
      <c r="AX235" s="135"/>
      <c r="AY235" s="135"/>
      <c r="AZ235" s="135"/>
      <c r="BA235" s="136"/>
      <c r="BD235" s="138" t="s">
        <v>133</v>
      </c>
      <c r="BE235" s="138">
        <v>0</v>
      </c>
      <c r="BF235" s="141">
        <v>0</v>
      </c>
      <c r="BG235" s="28"/>
      <c r="BH235" s="28"/>
      <c r="BI235" s="28"/>
      <c r="BJ235" s="138"/>
      <c r="BK235" s="141"/>
      <c r="BL235" s="28">
        <v>21</v>
      </c>
      <c r="BM235" s="28" t="s">
        <v>100</v>
      </c>
      <c r="BN235" s="141"/>
    </row>
    <row r="236" spans="3:67" x14ac:dyDescent="0.3">
      <c r="C236" s="196" t="s">
        <v>102</v>
      </c>
      <c r="D236" s="28"/>
      <c r="E236" s="43"/>
      <c r="F236" s="138"/>
      <c r="G236" s="28">
        <v>0</v>
      </c>
      <c r="H236" s="141"/>
      <c r="I236" s="43"/>
      <c r="J236" s="138"/>
      <c r="K236" s="28" t="s">
        <v>134</v>
      </c>
      <c r="L236" s="141"/>
      <c r="N236" s="138" t="s">
        <v>105</v>
      </c>
      <c r="O236" s="138">
        <v>2178</v>
      </c>
      <c r="P236" s="196">
        <v>170</v>
      </c>
      <c r="Q236" s="138" t="s">
        <v>6</v>
      </c>
      <c r="R236" s="196"/>
      <c r="S236" s="141"/>
      <c r="T236" s="138">
        <v>0</v>
      </c>
      <c r="U236" s="196">
        <v>9</v>
      </c>
      <c r="V236" s="138"/>
      <c r="W236" s="141"/>
      <c r="AD236" s="33" t="s">
        <v>97</v>
      </c>
      <c r="AE236" s="33">
        <v>92</v>
      </c>
      <c r="AF236" s="35">
        <v>111</v>
      </c>
      <c r="AG236" s="34"/>
      <c r="AH236" s="34"/>
      <c r="AI236" s="34"/>
      <c r="AJ236" s="33"/>
      <c r="AK236" s="35"/>
      <c r="AL236" s="32"/>
      <c r="AM236" s="34"/>
      <c r="AN236" s="34"/>
      <c r="AO236" s="35"/>
      <c r="AR236" s="138" t="s">
        <v>56</v>
      </c>
      <c r="AS236" s="138">
        <v>0</v>
      </c>
      <c r="AT236" s="141">
        <v>0</v>
      </c>
      <c r="AU236" s="138"/>
      <c r="AV236" s="141"/>
      <c r="AW236" s="28"/>
      <c r="AX236" s="28" t="s">
        <v>173</v>
      </c>
      <c r="AY236" s="28"/>
      <c r="AZ236" s="28"/>
      <c r="BA236" s="141"/>
      <c r="BD236" s="142" t="s">
        <v>84</v>
      </c>
      <c r="BE236" s="142">
        <f>SUM(BE234:BE235)</f>
        <v>472</v>
      </c>
      <c r="BF236" s="146">
        <f>SUM(BF234:BF235)</f>
        <v>488</v>
      </c>
      <c r="BG236" s="143">
        <v>0</v>
      </c>
      <c r="BH236" s="143">
        <v>0</v>
      </c>
      <c r="BI236" s="143">
        <v>0</v>
      </c>
      <c r="BJ236" s="142">
        <v>0</v>
      </c>
      <c r="BK236" s="146">
        <v>0</v>
      </c>
      <c r="BL236" s="43">
        <v>22</v>
      </c>
      <c r="BM236" s="43" t="s">
        <v>73</v>
      </c>
      <c r="BN236" s="146">
        <f>SUM(BL235:BL236)</f>
        <v>43</v>
      </c>
    </row>
    <row r="237" spans="3:67" x14ac:dyDescent="0.3">
      <c r="C237" s="196" t="s">
        <v>84</v>
      </c>
      <c r="D237" s="28">
        <f>SUM(D234:D236)</f>
        <v>0</v>
      </c>
      <c r="E237" s="28">
        <f>SUM(E234:E236)</f>
        <v>0</v>
      </c>
      <c r="F237" s="138"/>
      <c r="G237" s="28">
        <v>0</v>
      </c>
      <c r="H237" s="141"/>
      <c r="I237" s="28"/>
      <c r="J237" s="138"/>
      <c r="K237" s="257" t="s">
        <v>815</v>
      </c>
      <c r="L237" s="141" t="s">
        <v>6</v>
      </c>
      <c r="N237" s="138" t="s">
        <v>99</v>
      </c>
      <c r="O237" s="138">
        <v>0</v>
      </c>
      <c r="P237" s="196">
        <v>0</v>
      </c>
      <c r="Q237" s="138"/>
      <c r="R237" s="196"/>
      <c r="S237" s="141"/>
      <c r="T237" s="138">
        <v>0</v>
      </c>
      <c r="U237" s="196">
        <v>0</v>
      </c>
      <c r="V237" s="138" t="s">
        <v>135</v>
      </c>
      <c r="W237" s="141"/>
      <c r="AD237" s="42" t="s">
        <v>89</v>
      </c>
      <c r="AE237" s="42">
        <v>227</v>
      </c>
      <c r="AF237" s="40">
        <v>197</v>
      </c>
      <c r="AG237" s="28"/>
      <c r="AH237" s="28"/>
      <c r="AI237" s="28"/>
      <c r="AJ237" s="42"/>
      <c r="AK237" s="40"/>
      <c r="AL237" s="41"/>
      <c r="AM237" s="28" t="s">
        <v>953</v>
      </c>
      <c r="AN237" s="28"/>
      <c r="AO237" s="40"/>
      <c r="AR237" s="138" t="s">
        <v>67</v>
      </c>
      <c r="AS237" s="138">
        <v>0</v>
      </c>
      <c r="AT237" s="141">
        <v>0</v>
      </c>
      <c r="AU237" s="138"/>
      <c r="AV237" s="141"/>
      <c r="AW237" s="28"/>
      <c r="AX237" s="28"/>
      <c r="AY237" s="28"/>
      <c r="AZ237" s="28"/>
      <c r="BA237" s="141"/>
      <c r="BD237" s="196" t="s">
        <v>608</v>
      </c>
      <c r="BE237" s="138">
        <v>0</v>
      </c>
      <c r="BF237" s="141">
        <v>7</v>
      </c>
      <c r="BG237" s="134"/>
      <c r="BH237" s="135"/>
      <c r="BI237" s="136"/>
      <c r="BJ237" s="138"/>
      <c r="BK237" s="141"/>
      <c r="BL237" s="134" t="s">
        <v>140</v>
      </c>
      <c r="BM237" s="135"/>
      <c r="BN237" s="136"/>
    </row>
    <row r="238" spans="3:67" x14ac:dyDescent="0.3">
      <c r="C238" s="199"/>
      <c r="F238" s="142"/>
      <c r="G238" s="143"/>
      <c r="H238" s="146"/>
      <c r="I238">
        <f>SUM(I235:I237)</f>
        <v>0</v>
      </c>
      <c r="J238" s="142"/>
      <c r="K238" s="143" t="s">
        <v>1829</v>
      </c>
      <c r="L238" s="141">
        <f>SUM(J235:J238)</f>
        <v>0</v>
      </c>
      <c r="N238" s="138"/>
      <c r="O238" s="138"/>
      <c r="P238" s="196"/>
      <c r="Q238" s="138"/>
      <c r="R238" s="196"/>
      <c r="S238" s="141"/>
      <c r="T238" s="138"/>
      <c r="U238" s="196"/>
      <c r="V238" s="138"/>
      <c r="W238" s="141"/>
      <c r="AD238" s="42" t="s">
        <v>137</v>
      </c>
      <c r="AE238" s="42">
        <v>382</v>
      </c>
      <c r="AF238" s="40">
        <v>448</v>
      </c>
      <c r="AG238" s="28"/>
      <c r="AH238" s="28"/>
      <c r="AI238" s="28"/>
      <c r="AJ238" s="42"/>
      <c r="AK238" s="40"/>
      <c r="AL238" s="41"/>
      <c r="AM238" s="28"/>
      <c r="AN238" s="28" t="s">
        <v>884</v>
      </c>
      <c r="AO238" s="40"/>
      <c r="AR238" s="138" t="s">
        <v>78</v>
      </c>
      <c r="AS238" s="138">
        <v>0</v>
      </c>
      <c r="AT238" s="141">
        <v>0</v>
      </c>
      <c r="AU238" s="138"/>
      <c r="AV238" s="141"/>
      <c r="AW238" s="28"/>
      <c r="AX238" s="28">
        <v>0</v>
      </c>
      <c r="AY238" s="28" t="s">
        <v>183</v>
      </c>
      <c r="AZ238" s="28"/>
      <c r="BA238" s="141"/>
      <c r="BD238" s="196" t="s">
        <v>164</v>
      </c>
      <c r="BE238" s="138">
        <v>0</v>
      </c>
      <c r="BF238" s="141">
        <v>5</v>
      </c>
      <c r="BG238" s="138"/>
      <c r="BH238" s="28"/>
      <c r="BI238" s="141"/>
      <c r="BJ238" s="138"/>
      <c r="BK238" s="141"/>
      <c r="BL238" s="138"/>
      <c r="BM238" s="28"/>
      <c r="BN238" s="141"/>
    </row>
    <row r="239" spans="3:67" x14ac:dyDescent="0.3">
      <c r="C239" s="134" t="s">
        <v>93</v>
      </c>
      <c r="D239" s="134">
        <v>8041</v>
      </c>
      <c r="E239" s="135">
        <v>7619</v>
      </c>
      <c r="F239" s="134"/>
      <c r="G239" s="135" t="s">
        <v>60</v>
      </c>
      <c r="H239" s="135"/>
      <c r="I239" s="195">
        <v>9519</v>
      </c>
      <c r="J239" s="135" t="s">
        <v>116</v>
      </c>
      <c r="K239" s="135"/>
      <c r="L239" s="136"/>
      <c r="N239" s="142" t="s">
        <v>84</v>
      </c>
      <c r="O239" s="142">
        <f>SUM(O236:O238)</f>
        <v>2178</v>
      </c>
      <c r="P239" s="199">
        <f>SUM(P236:P238)</f>
        <v>170</v>
      </c>
      <c r="Q239" s="142">
        <v>0</v>
      </c>
      <c r="R239" s="199">
        <v>0</v>
      </c>
      <c r="S239" s="146">
        <v>0</v>
      </c>
      <c r="T239" s="142">
        <f>SUM(T236:T238)</f>
        <v>0</v>
      </c>
      <c r="U239" s="199">
        <f>SUM(U236:U237)</f>
        <v>9</v>
      </c>
      <c r="V239" s="142"/>
      <c r="W239" s="146"/>
      <c r="AD239" s="42" t="s">
        <v>84</v>
      </c>
      <c r="AE239" s="42">
        <f>SUM(AE236:AE238)</f>
        <v>701</v>
      </c>
      <c r="AF239" s="40">
        <f>SUM(AF236:AF238)</f>
        <v>756</v>
      </c>
      <c r="AG239" s="28">
        <v>0</v>
      </c>
      <c r="AH239" s="28">
        <v>0</v>
      </c>
      <c r="AI239" s="28">
        <v>0</v>
      </c>
      <c r="AJ239" s="42">
        <v>0</v>
      </c>
      <c r="AK239" s="40">
        <v>0</v>
      </c>
      <c r="AL239" s="41">
        <v>0</v>
      </c>
      <c r="AM239" s="43">
        <v>19</v>
      </c>
      <c r="AN239" s="28" t="s">
        <v>141</v>
      </c>
      <c r="AO239" s="40"/>
      <c r="AR239" s="142" t="s">
        <v>84</v>
      </c>
      <c r="AS239" s="142">
        <f>SUM(AS236:AS238)</f>
        <v>0</v>
      </c>
      <c r="AT239" s="146">
        <f>SUM(AT236:AT238)</f>
        <v>0</v>
      </c>
      <c r="AU239" s="142"/>
      <c r="AV239" s="146"/>
      <c r="AW239" s="143"/>
      <c r="AX239" s="143"/>
      <c r="AY239" s="143"/>
      <c r="AZ239" s="143"/>
      <c r="BA239" s="146">
        <f>SUM(AX238)</f>
        <v>0</v>
      </c>
      <c r="BD239" s="196" t="s">
        <v>211</v>
      </c>
      <c r="BE239" s="138">
        <v>13</v>
      </c>
      <c r="BF239" s="141">
        <v>2</v>
      </c>
      <c r="BG239" s="138"/>
      <c r="BH239" s="28"/>
      <c r="BI239" s="141"/>
      <c r="BJ239" s="138"/>
      <c r="BK239" s="141"/>
      <c r="BL239" s="138"/>
      <c r="BM239" s="28"/>
      <c r="BN239" s="141"/>
    </row>
    <row r="240" spans="3:67" ht="15" thickBot="1" x14ac:dyDescent="0.35">
      <c r="C240" s="138" t="s">
        <v>99</v>
      </c>
      <c r="D240" s="138">
        <v>10700</v>
      </c>
      <c r="E240" s="43">
        <v>12196</v>
      </c>
      <c r="F240" s="138"/>
      <c r="G240" s="28" t="s">
        <v>60</v>
      </c>
      <c r="H240" s="28"/>
      <c r="I240" s="196">
        <v>14673</v>
      </c>
      <c r="J240" s="43">
        <v>180</v>
      </c>
      <c r="K240" s="28" t="s">
        <v>144</v>
      </c>
      <c r="L240" s="141"/>
      <c r="N240" s="138"/>
      <c r="O240" s="138"/>
      <c r="P240" s="196"/>
      <c r="Q240" s="138"/>
      <c r="R240" s="196"/>
      <c r="S240" s="141"/>
      <c r="T240" s="138"/>
      <c r="U240" s="196"/>
      <c r="V240" s="138"/>
      <c r="W240" s="141"/>
      <c r="AD240" s="47"/>
      <c r="AE240" s="47"/>
      <c r="AF240" s="49"/>
      <c r="AG240" s="48"/>
      <c r="AH240" s="48"/>
      <c r="AI240" s="48"/>
      <c r="AJ240" s="47"/>
      <c r="AK240" s="49"/>
      <c r="AL240" s="46"/>
      <c r="AM240" s="48"/>
      <c r="AN240" s="48" t="s">
        <v>145</v>
      </c>
      <c r="AO240" s="49"/>
      <c r="AR240" s="134"/>
      <c r="AS240" s="134"/>
      <c r="AT240" s="136"/>
      <c r="AU240" s="134"/>
      <c r="AV240" s="136"/>
      <c r="AW240" s="135"/>
      <c r="AX240" s="135"/>
      <c r="AY240" s="135"/>
      <c r="AZ240" s="135"/>
      <c r="BA240" s="136"/>
      <c r="BC240" t="s">
        <v>6</v>
      </c>
      <c r="BD240" s="196" t="s">
        <v>113</v>
      </c>
      <c r="BE240" s="138">
        <f>5+31</f>
        <v>36</v>
      </c>
      <c r="BF240" s="141">
        <f>3+29</f>
        <v>32</v>
      </c>
      <c r="BG240" s="138"/>
      <c r="BH240" s="28"/>
      <c r="BI240" s="141" t="s">
        <v>6</v>
      </c>
      <c r="BJ240" s="138"/>
      <c r="BK240" s="141"/>
      <c r="BL240" s="138" t="s">
        <v>142</v>
      </c>
      <c r="BM240" s="28"/>
      <c r="BN240" s="141" t="s">
        <v>730</v>
      </c>
    </row>
    <row r="241" spans="3:66" x14ac:dyDescent="0.3">
      <c r="C241" s="138" t="s">
        <v>120</v>
      </c>
      <c r="D241" s="138">
        <v>4132</v>
      </c>
      <c r="E241" s="43">
        <v>4240</v>
      </c>
      <c r="F241" s="138"/>
      <c r="G241" s="28" t="s">
        <v>60</v>
      </c>
      <c r="H241" s="28"/>
      <c r="I241" s="196">
        <v>4899</v>
      </c>
      <c r="J241" s="43"/>
      <c r="K241" s="28" t="s">
        <v>148</v>
      </c>
      <c r="L241" s="141"/>
      <c r="N241" s="138"/>
      <c r="O241" s="138"/>
      <c r="P241" s="196"/>
      <c r="Q241" s="138"/>
      <c r="R241" s="196"/>
      <c r="S241" s="141"/>
      <c r="T241" s="138"/>
      <c r="U241" s="196"/>
      <c r="V241" s="138"/>
      <c r="W241" s="141"/>
      <c r="AD241" s="42"/>
      <c r="AE241" s="42"/>
      <c r="AF241" s="40"/>
      <c r="AG241" s="28"/>
      <c r="AH241" s="28"/>
      <c r="AI241" s="28"/>
      <c r="AJ241" s="42"/>
      <c r="AK241" s="40"/>
      <c r="AL241" s="41"/>
      <c r="AM241" s="28" t="s">
        <v>149</v>
      </c>
      <c r="AN241" s="28"/>
      <c r="AO241" s="40"/>
      <c r="AP241" t="s">
        <v>6</v>
      </c>
      <c r="AR241" s="138" t="s">
        <v>63</v>
      </c>
      <c r="AS241" s="138">
        <f>2+18</f>
        <v>20</v>
      </c>
      <c r="AT241" s="141">
        <f>2+17</f>
        <v>19</v>
      </c>
      <c r="AU241" s="138"/>
      <c r="AV241" s="141"/>
      <c r="AW241" s="28"/>
      <c r="AX241" s="28" t="s">
        <v>140</v>
      </c>
      <c r="AY241" s="28"/>
      <c r="AZ241" s="28"/>
      <c r="BA241" s="141"/>
      <c r="BD241" s="196" t="s">
        <v>174</v>
      </c>
      <c r="BE241" s="138">
        <v>0</v>
      </c>
      <c r="BF241" s="141">
        <v>7</v>
      </c>
      <c r="BG241" s="138"/>
      <c r="BH241" s="28"/>
      <c r="BI241" s="141"/>
      <c r="BJ241" s="138"/>
      <c r="BK241" s="141"/>
      <c r="BL241" s="138" t="s">
        <v>146</v>
      </c>
      <c r="BM241" s="28"/>
      <c r="BN241" s="141" t="s">
        <v>1578</v>
      </c>
    </row>
    <row r="242" spans="3:66" x14ac:dyDescent="0.3">
      <c r="C242" s="138" t="s">
        <v>84</v>
      </c>
      <c r="D242" s="138">
        <f>SUM(D239:D241)</f>
        <v>22873</v>
      </c>
      <c r="E242" s="28">
        <f>SUM(E239:E241)</f>
        <v>24055</v>
      </c>
      <c r="F242" s="138"/>
      <c r="G242" s="28" t="s">
        <v>60</v>
      </c>
      <c r="H242" s="28"/>
      <c r="I242" s="196">
        <f>SUM(I239:I241)</f>
        <v>29091</v>
      </c>
      <c r="J242" s="43"/>
      <c r="K242" s="28" t="s">
        <v>152</v>
      </c>
      <c r="L242" s="141"/>
      <c r="N242" s="138"/>
      <c r="O242" s="138"/>
      <c r="P242" s="196"/>
      <c r="Q242" s="138"/>
      <c r="R242" s="196"/>
      <c r="S242" s="141"/>
      <c r="T242" s="138"/>
      <c r="U242" s="196"/>
      <c r="V242" s="138"/>
      <c r="W242" s="141"/>
      <c r="AA242" t="s">
        <v>6</v>
      </c>
      <c r="AD242" s="42" t="s">
        <v>99</v>
      </c>
      <c r="AE242" s="42">
        <v>0</v>
      </c>
      <c r="AF242" s="40">
        <v>0</v>
      </c>
      <c r="AG242" s="28">
        <v>0</v>
      </c>
      <c r="AH242" s="28">
        <v>0</v>
      </c>
      <c r="AI242" s="28">
        <v>0</v>
      </c>
      <c r="AJ242" s="42">
        <v>53008</v>
      </c>
      <c r="AK242" s="40">
        <v>73476</v>
      </c>
      <c r="AL242" s="41">
        <v>0</v>
      </c>
      <c r="AM242" s="43">
        <v>4</v>
      </c>
      <c r="AN242" s="28" t="s">
        <v>153</v>
      </c>
      <c r="AO242" s="40"/>
      <c r="AR242" s="138" t="s">
        <v>78</v>
      </c>
      <c r="AS242" s="138">
        <f>3+23</f>
        <v>26</v>
      </c>
      <c r="AT242" s="141">
        <f>3+4+24</f>
        <v>31</v>
      </c>
      <c r="AU242" s="138"/>
      <c r="AV242" s="141"/>
      <c r="AW242" s="28"/>
      <c r="AX242" s="28">
        <v>2</v>
      </c>
      <c r="AY242" s="28" t="s">
        <v>1579</v>
      </c>
      <c r="AZ242" s="28"/>
      <c r="BA242" s="141"/>
      <c r="BD242" s="196" t="s">
        <v>1580</v>
      </c>
      <c r="BE242" s="138">
        <v>0</v>
      </c>
      <c r="BF242" s="141">
        <v>8</v>
      </c>
      <c r="BG242" s="138"/>
      <c r="BH242" s="28"/>
      <c r="BI242" s="141"/>
      <c r="BJ242" s="138"/>
      <c r="BK242" s="141"/>
      <c r="BL242" s="138"/>
      <c r="BM242" s="28"/>
      <c r="BN242" s="141"/>
    </row>
    <row r="243" spans="3:66" x14ac:dyDescent="0.3">
      <c r="C243" s="142"/>
      <c r="D243" s="142"/>
      <c r="E243" s="143"/>
      <c r="F243" s="142"/>
      <c r="G243" s="143"/>
      <c r="H243" s="143"/>
      <c r="I243" s="199"/>
      <c r="J243" s="143">
        <v>0</v>
      </c>
      <c r="K243" s="143" t="s">
        <v>958</v>
      </c>
      <c r="L243" s="146">
        <f>SUM(J240:J243)</f>
        <v>180</v>
      </c>
      <c r="N243" s="138"/>
      <c r="O243" s="138"/>
      <c r="P243" s="196"/>
      <c r="Q243" s="138"/>
      <c r="R243" s="196"/>
      <c r="S243" s="141"/>
      <c r="T243" s="138"/>
      <c r="U243" s="196"/>
      <c r="V243" s="138"/>
      <c r="W243" s="141"/>
      <c r="AD243" s="42"/>
      <c r="AE243" s="42"/>
      <c r="AF243" s="40"/>
      <c r="AG243" s="28"/>
      <c r="AH243" s="28"/>
      <c r="AI243" s="28"/>
      <c r="AJ243" s="42"/>
      <c r="AK243" s="40"/>
      <c r="AL243" s="41"/>
      <c r="AM243" s="28"/>
      <c r="AN243" s="28"/>
      <c r="AO243" s="40"/>
      <c r="AR243" s="138" t="s">
        <v>209</v>
      </c>
      <c r="AS243" s="138">
        <v>0</v>
      </c>
      <c r="AT243" s="141">
        <v>0</v>
      </c>
      <c r="AU243" s="138"/>
      <c r="AV243" s="141"/>
      <c r="AW243" s="28"/>
      <c r="AX243" s="28"/>
      <c r="AY243" s="28" t="s">
        <v>1517</v>
      </c>
      <c r="AZ243" s="28"/>
      <c r="BA243" s="141"/>
      <c r="BD243" s="196" t="s">
        <v>99</v>
      </c>
      <c r="BE243" s="138">
        <v>0</v>
      </c>
      <c r="BF243" s="141">
        <v>3</v>
      </c>
      <c r="BG243" s="138" t="s">
        <v>150</v>
      </c>
      <c r="BH243" s="28"/>
      <c r="BI243" s="141"/>
      <c r="BJ243" s="138"/>
      <c r="BK243" s="141"/>
      <c r="BL243" s="138" t="s">
        <v>151</v>
      </c>
      <c r="BM243" s="28"/>
      <c r="BN243" s="141"/>
    </row>
    <row r="244" spans="3:66" x14ac:dyDescent="0.3">
      <c r="C244" s="134" t="s">
        <v>105</v>
      </c>
      <c r="D244" s="134">
        <v>1647</v>
      </c>
      <c r="E244" s="135">
        <v>1593</v>
      </c>
      <c r="F244" s="134"/>
      <c r="G244" s="135">
        <v>1271</v>
      </c>
      <c r="H244" s="135"/>
      <c r="I244" s="195"/>
      <c r="J244" s="135" t="s">
        <v>162</v>
      </c>
      <c r="K244" s="135"/>
      <c r="L244" s="136"/>
      <c r="N244" s="138"/>
      <c r="O244" s="138"/>
      <c r="P244" s="196"/>
      <c r="Q244" s="138"/>
      <c r="R244" s="196"/>
      <c r="S244" s="141"/>
      <c r="T244" s="138"/>
      <c r="U244" s="196"/>
      <c r="V244" s="138"/>
      <c r="W244" s="141"/>
      <c r="AD244" s="278" t="s">
        <v>99</v>
      </c>
      <c r="AE244" s="278">
        <v>0</v>
      </c>
      <c r="AF244" s="279">
        <v>0</v>
      </c>
      <c r="AG244" s="135">
        <v>0</v>
      </c>
      <c r="AH244" s="135">
        <v>0</v>
      </c>
      <c r="AI244" s="135">
        <v>0</v>
      </c>
      <c r="AJ244" s="278">
        <v>830286</v>
      </c>
      <c r="AK244" s="279">
        <v>181376</v>
      </c>
      <c r="AL244" s="314">
        <v>0</v>
      </c>
      <c r="AM244" s="135" t="s">
        <v>157</v>
      </c>
      <c r="AN244" s="135"/>
      <c r="AO244" s="279"/>
      <c r="AR244" s="138" t="s">
        <v>168</v>
      </c>
      <c r="AS244" s="138">
        <v>0</v>
      </c>
      <c r="AT244" s="141">
        <v>0</v>
      </c>
      <c r="AU244" s="138"/>
      <c r="AV244" s="141"/>
      <c r="AW244" s="28"/>
      <c r="AX244" s="28">
        <f>26+7</f>
        <v>33</v>
      </c>
      <c r="AY244" s="28" t="s">
        <v>213</v>
      </c>
      <c r="AZ244" s="28" t="s">
        <v>6</v>
      </c>
      <c r="BA244" s="141"/>
      <c r="BD244" s="196" t="s">
        <v>85</v>
      </c>
      <c r="BE244" s="138">
        <v>0</v>
      </c>
      <c r="BF244" s="141">
        <v>0</v>
      </c>
      <c r="BG244" s="138"/>
      <c r="BH244" s="28"/>
      <c r="BI244" s="141"/>
      <c r="BJ244" s="138"/>
      <c r="BK244" s="141"/>
      <c r="BL244" s="316" t="s">
        <v>1581</v>
      </c>
      <c r="BM244" s="257" t="s">
        <v>651</v>
      </c>
      <c r="BN244" s="141" t="s">
        <v>1136</v>
      </c>
    </row>
    <row r="245" spans="3:66" x14ac:dyDescent="0.3">
      <c r="C245" s="138" t="s">
        <v>99</v>
      </c>
      <c r="D245" s="138">
        <v>1293</v>
      </c>
      <c r="E245" s="43">
        <v>1449</v>
      </c>
      <c r="F245" s="138"/>
      <c r="G245" s="28">
        <v>1124</v>
      </c>
      <c r="H245" s="28"/>
      <c r="I245" s="196"/>
      <c r="J245" s="28"/>
      <c r="K245" s="28"/>
      <c r="L245" s="141"/>
      <c r="N245" s="142" t="s">
        <v>84</v>
      </c>
      <c r="O245" s="142">
        <f t="shared" ref="O245:U245" si="3">SUM(O239+O234+O229+O227+O222+O218)</f>
        <v>28959</v>
      </c>
      <c r="P245" s="199">
        <f t="shared" si="3"/>
        <v>55282</v>
      </c>
      <c r="Q245" s="142">
        <f t="shared" si="3"/>
        <v>0</v>
      </c>
      <c r="R245" s="199">
        <f t="shared" si="3"/>
        <v>0</v>
      </c>
      <c r="S245" s="143">
        <f t="shared" si="3"/>
        <v>0</v>
      </c>
      <c r="T245" s="142">
        <f t="shared" si="3"/>
        <v>2430</v>
      </c>
      <c r="U245" s="199">
        <f t="shared" si="3"/>
        <v>209</v>
      </c>
      <c r="V245" s="142"/>
      <c r="W245" s="146"/>
      <c r="AD245" s="42" t="s">
        <v>6</v>
      </c>
      <c r="AE245" s="42"/>
      <c r="AF245" s="40"/>
      <c r="AG245" s="28"/>
      <c r="AH245" s="28"/>
      <c r="AI245" s="28"/>
      <c r="AJ245" s="42"/>
      <c r="AK245" s="40"/>
      <c r="AL245" s="41"/>
      <c r="AM245" s="28">
        <v>11</v>
      </c>
      <c r="AN245" s="28" t="s">
        <v>153</v>
      </c>
      <c r="AO245" s="40"/>
      <c r="AR245" s="138" t="s">
        <v>81</v>
      </c>
      <c r="AS245" s="138">
        <v>3</v>
      </c>
      <c r="AT245" s="141">
        <v>3</v>
      </c>
      <c r="AU245" s="138"/>
      <c r="AV245" s="141"/>
      <c r="AW245" s="28"/>
      <c r="AX245" s="28">
        <v>1</v>
      </c>
      <c r="AY245" s="28" t="s">
        <v>123</v>
      </c>
      <c r="AZ245" s="28"/>
      <c r="BA245" s="141" t="s">
        <v>6</v>
      </c>
      <c r="BD245" s="196" t="s">
        <v>107</v>
      </c>
      <c r="BE245" s="138">
        <v>0</v>
      </c>
      <c r="BF245" s="141">
        <v>6</v>
      </c>
      <c r="BG245" s="138"/>
      <c r="BH245" s="28"/>
      <c r="BI245" s="141"/>
      <c r="BJ245" s="138"/>
      <c r="BK245" s="141"/>
      <c r="BL245" s="138" t="s">
        <v>378</v>
      </c>
      <c r="BM245" s="28" t="s">
        <v>258</v>
      </c>
      <c r="BN245" s="141" t="s">
        <v>1582</v>
      </c>
    </row>
    <row r="246" spans="3:66" ht="15" thickBot="1" x14ac:dyDescent="0.35">
      <c r="C246" s="138"/>
      <c r="D246" s="138"/>
      <c r="E246" s="28"/>
      <c r="F246" s="138"/>
      <c r="G246" s="28"/>
      <c r="H246" s="28"/>
      <c r="I246" s="196"/>
      <c r="J246" s="43">
        <v>42</v>
      </c>
      <c r="K246" s="28" t="s">
        <v>101</v>
      </c>
      <c r="L246" s="141"/>
      <c r="AD246" s="42" t="s">
        <v>6</v>
      </c>
      <c r="AE246" s="42"/>
      <c r="AF246" s="40"/>
      <c r="AG246" s="28"/>
      <c r="AH246" s="28"/>
      <c r="AI246" s="28"/>
      <c r="AJ246" s="42"/>
      <c r="AK246" s="40"/>
      <c r="AL246" s="41"/>
      <c r="AM246" s="28"/>
      <c r="AN246" s="28"/>
      <c r="AO246" s="40"/>
      <c r="AR246" s="138" t="s">
        <v>72</v>
      </c>
      <c r="AS246" s="138">
        <f>1+1+40</f>
        <v>42</v>
      </c>
      <c r="AT246" s="141">
        <f>2+24</f>
        <v>26</v>
      </c>
      <c r="AU246" s="138"/>
      <c r="AV246" s="141"/>
      <c r="AW246" s="28"/>
      <c r="AX246" s="43">
        <v>1</v>
      </c>
      <c r="AY246" s="28" t="s">
        <v>216</v>
      </c>
      <c r="AZ246" s="28"/>
      <c r="BA246" s="141"/>
      <c r="BD246" s="196" t="s">
        <v>139</v>
      </c>
      <c r="BE246" s="138">
        <v>0</v>
      </c>
      <c r="BF246" s="141">
        <v>2</v>
      </c>
      <c r="BG246" s="138"/>
      <c r="BH246" s="28"/>
      <c r="BI246" s="141"/>
      <c r="BJ246" s="138"/>
      <c r="BK246" s="141"/>
      <c r="BL246" s="138" t="s">
        <v>325</v>
      </c>
      <c r="BM246" s="28" t="s">
        <v>333</v>
      </c>
      <c r="BN246" s="141" t="s">
        <v>1583</v>
      </c>
    </row>
    <row r="247" spans="3:66" x14ac:dyDescent="0.3">
      <c r="C247" s="138" t="s">
        <v>84</v>
      </c>
      <c r="D247" s="142">
        <f>SUM(D244:D246)</f>
        <v>2940</v>
      </c>
      <c r="E247" s="143">
        <f>SUM(E244:E246)</f>
        <v>3042</v>
      </c>
      <c r="F247" s="142"/>
      <c r="G247" s="143">
        <f>SUM(G244:G246)</f>
        <v>2395</v>
      </c>
      <c r="H247" s="143"/>
      <c r="I247" s="199">
        <v>6966</v>
      </c>
      <c r="J247" s="143"/>
      <c r="K247" s="143"/>
      <c r="L247" s="146">
        <f>SUM(J246)</f>
        <v>42</v>
      </c>
      <c r="N247" t="s">
        <v>6</v>
      </c>
      <c r="AD247" s="33"/>
      <c r="AE247" s="33"/>
      <c r="AF247" s="35"/>
      <c r="AG247" s="34"/>
      <c r="AH247" s="34"/>
      <c r="AI247" s="34"/>
      <c r="AJ247" s="33"/>
      <c r="AK247" s="35"/>
      <c r="AL247" s="32"/>
      <c r="AM247" s="34"/>
      <c r="AN247" s="34"/>
      <c r="AO247" s="35"/>
      <c r="AR247" s="138" t="s">
        <v>115</v>
      </c>
      <c r="AS247" s="138">
        <f>2+20</f>
        <v>22</v>
      </c>
      <c r="AT247" s="141">
        <f>2+20</f>
        <v>22</v>
      </c>
      <c r="AU247" s="138"/>
      <c r="AV247" s="141"/>
      <c r="AW247" s="28"/>
      <c r="AX247" s="43">
        <v>14</v>
      </c>
      <c r="AY247" s="28" t="s">
        <v>217</v>
      </c>
      <c r="AZ247" s="28"/>
      <c r="BA247" s="141"/>
      <c r="BD247" s="196" t="s">
        <v>133</v>
      </c>
      <c r="BE247" s="138">
        <v>1</v>
      </c>
      <c r="BF247" s="141">
        <v>0</v>
      </c>
      <c r="BG247" s="138"/>
      <c r="BH247" s="28"/>
      <c r="BI247" s="141"/>
      <c r="BJ247" s="138"/>
      <c r="BK247" s="141"/>
      <c r="BL247" s="138" t="s">
        <v>1584</v>
      </c>
      <c r="BM247" s="43" t="s">
        <v>330</v>
      </c>
      <c r="BN247" s="141" t="s">
        <v>602</v>
      </c>
    </row>
    <row r="248" spans="3:66" ht="15" thickBot="1" x14ac:dyDescent="0.35">
      <c r="C248" s="195" t="s">
        <v>181</v>
      </c>
      <c r="D248" s="135">
        <v>3898</v>
      </c>
      <c r="E248" s="135">
        <v>4457</v>
      </c>
      <c r="F248" s="134"/>
      <c r="G248" s="135" t="s">
        <v>60</v>
      </c>
      <c r="H248" s="136"/>
      <c r="I248" s="135"/>
      <c r="J248" s="134" t="s">
        <v>182</v>
      </c>
      <c r="K248" s="135"/>
      <c r="L248" s="136"/>
      <c r="AD248" s="47"/>
      <c r="AE248" s="47"/>
      <c r="AF248" s="49"/>
      <c r="AG248" s="48"/>
      <c r="AH248" s="48"/>
      <c r="AI248" s="48"/>
      <c r="AJ248" s="47"/>
      <c r="AK248" s="49"/>
      <c r="AL248" s="46"/>
      <c r="AM248" s="48"/>
      <c r="AN248" s="48"/>
      <c r="AO248" s="49"/>
      <c r="AR248" s="138" t="s">
        <v>56</v>
      </c>
      <c r="AS248" s="138">
        <f>7+8+9</f>
        <v>24</v>
      </c>
      <c r="AT248" s="141">
        <f>7+16</f>
        <v>23</v>
      </c>
      <c r="AU248" s="138"/>
      <c r="AV248" s="141"/>
      <c r="AW248" s="28"/>
      <c r="AX248" s="43"/>
      <c r="AY248" s="28" t="s">
        <v>1159</v>
      </c>
      <c r="AZ248" s="28"/>
      <c r="BA248" s="141"/>
      <c r="BD248" s="196" t="s">
        <v>120</v>
      </c>
      <c r="BE248" s="138">
        <v>0</v>
      </c>
      <c r="BF248" s="141">
        <v>1</v>
      </c>
      <c r="BG248" s="138"/>
      <c r="BH248" s="28"/>
      <c r="BI248" s="141"/>
      <c r="BJ248" s="138"/>
      <c r="BK248" s="141"/>
      <c r="BL248" s="138" t="s">
        <v>1585</v>
      </c>
      <c r="BM248" s="43" t="s">
        <v>1586</v>
      </c>
      <c r="BN248" s="141" t="s">
        <v>1587</v>
      </c>
    </row>
    <row r="249" spans="3:66" x14ac:dyDescent="0.3">
      <c r="C249" s="196"/>
      <c r="D249" s="28"/>
      <c r="E249" s="28"/>
      <c r="F249" s="138"/>
      <c r="G249" s="28" t="s">
        <v>60</v>
      </c>
      <c r="H249" s="141"/>
      <c r="I249" s="28"/>
      <c r="J249" s="138">
        <v>1</v>
      </c>
      <c r="K249" s="28" t="s">
        <v>927</v>
      </c>
      <c r="L249" s="141"/>
      <c r="AD249" s="33"/>
      <c r="AE249" s="33"/>
      <c r="AF249" s="35"/>
      <c r="AG249" s="34"/>
      <c r="AH249" s="34"/>
      <c r="AI249" s="34"/>
      <c r="AJ249" s="33"/>
      <c r="AK249" s="35"/>
      <c r="AL249" s="32"/>
      <c r="AM249" s="34"/>
      <c r="AN249" s="34"/>
      <c r="AO249" s="35"/>
      <c r="AR249" s="138" t="s">
        <v>138</v>
      </c>
      <c r="AS249" s="138">
        <v>0</v>
      </c>
      <c r="AT249" s="141">
        <v>0</v>
      </c>
      <c r="AU249" s="138"/>
      <c r="AV249" s="141"/>
      <c r="AW249" s="28"/>
      <c r="AX249" s="43">
        <v>3</v>
      </c>
      <c r="AY249" s="28" t="s">
        <v>1294</v>
      </c>
      <c r="AZ249" s="28"/>
      <c r="BA249" s="141"/>
      <c r="BC249" t="s">
        <v>6</v>
      </c>
      <c r="BD249" s="196" t="s">
        <v>1588</v>
      </c>
      <c r="BE249" s="138">
        <v>0</v>
      </c>
      <c r="BF249" s="141">
        <v>7</v>
      </c>
      <c r="BG249" s="138"/>
      <c r="BH249" s="28"/>
      <c r="BI249" s="141"/>
      <c r="BJ249" s="138"/>
      <c r="BK249" s="141"/>
      <c r="BL249" s="315" t="s">
        <v>1323</v>
      </c>
      <c r="BM249" s="215" t="s">
        <v>1589</v>
      </c>
      <c r="BN249" s="141" t="s">
        <v>799</v>
      </c>
    </row>
    <row r="250" spans="3:66" x14ac:dyDescent="0.3">
      <c r="C250" s="196" t="s">
        <v>84</v>
      </c>
      <c r="D250" s="28">
        <f>SUM(D248:D249)</f>
        <v>3898</v>
      </c>
      <c r="E250" s="28">
        <f>SUM(E248:E249)</f>
        <v>4457</v>
      </c>
      <c r="F250" s="138"/>
      <c r="G250" s="28" t="s">
        <v>60</v>
      </c>
      <c r="H250" s="141"/>
      <c r="I250" s="28">
        <v>5080</v>
      </c>
      <c r="J250" s="138">
        <v>29</v>
      </c>
      <c r="K250" s="28" t="s">
        <v>101</v>
      </c>
      <c r="L250" s="141"/>
      <c r="AD250" s="42"/>
      <c r="AE250" s="42"/>
      <c r="AF250" s="40"/>
      <c r="AG250" s="28"/>
      <c r="AH250" s="28"/>
      <c r="AI250" s="28"/>
      <c r="AJ250" s="42"/>
      <c r="AK250" s="40"/>
      <c r="AL250" s="41"/>
      <c r="AM250" s="28"/>
      <c r="AN250" s="28"/>
      <c r="AO250" s="40"/>
      <c r="AR250" s="138" t="s">
        <v>67</v>
      </c>
      <c r="AS250" s="138">
        <f>2+16</f>
        <v>18</v>
      </c>
      <c r="AT250" s="141">
        <f>4+21</f>
        <v>25</v>
      </c>
      <c r="AU250" s="138"/>
      <c r="AV250" s="141"/>
      <c r="AW250" s="28"/>
      <c r="AX250" s="43">
        <v>4</v>
      </c>
      <c r="AY250" s="28" t="s">
        <v>653</v>
      </c>
      <c r="AZ250" s="28"/>
      <c r="BA250" s="141"/>
      <c r="BD250" s="196" t="s">
        <v>64</v>
      </c>
      <c r="BE250" s="138">
        <v>0</v>
      </c>
      <c r="BF250" s="141">
        <v>0</v>
      </c>
      <c r="BG250" s="138"/>
      <c r="BH250" s="28"/>
      <c r="BI250" s="141"/>
      <c r="BJ250" s="138"/>
      <c r="BK250" s="141"/>
      <c r="BL250" s="316" t="s">
        <v>563</v>
      </c>
      <c r="BM250" s="43" t="s">
        <v>634</v>
      </c>
      <c r="BN250" s="209" t="s">
        <v>740</v>
      </c>
    </row>
    <row r="251" spans="3:66" ht="16.2" thickBot="1" x14ac:dyDescent="0.35">
      <c r="C251" s="199"/>
      <c r="D251" s="28"/>
      <c r="E251" s="28"/>
      <c r="F251" s="142"/>
      <c r="G251" s="143"/>
      <c r="H251" s="146"/>
      <c r="I251" s="28"/>
      <c r="J251" s="142"/>
      <c r="K251" s="143" t="s">
        <v>284</v>
      </c>
      <c r="L251" s="146">
        <f>SUM(J249:J250)</f>
        <v>30</v>
      </c>
      <c r="Y251" t="s">
        <v>6</v>
      </c>
      <c r="AD251" s="47"/>
      <c r="AE251" s="47"/>
      <c r="AF251" s="49"/>
      <c r="AG251" s="48"/>
      <c r="AH251" s="48"/>
      <c r="AI251" s="48"/>
      <c r="AJ251" s="47"/>
      <c r="AK251" s="49"/>
      <c r="AL251" s="46"/>
      <c r="AM251" s="48"/>
      <c r="AN251" s="48"/>
      <c r="AO251" s="49"/>
      <c r="AR251" s="138" t="s">
        <v>122</v>
      </c>
      <c r="AS251" s="138">
        <v>0</v>
      </c>
      <c r="AT251" s="141">
        <v>0</v>
      </c>
      <c r="AU251" s="138"/>
      <c r="AV251" s="141"/>
      <c r="AW251" s="28"/>
      <c r="AX251" s="43">
        <v>1</v>
      </c>
      <c r="AY251" s="28" t="s">
        <v>618</v>
      </c>
      <c r="AZ251" s="28"/>
      <c r="BA251" s="141"/>
      <c r="BD251" s="196" t="s">
        <v>1590</v>
      </c>
      <c r="BE251" s="138">
        <v>0</v>
      </c>
      <c r="BF251" s="141">
        <v>2</v>
      </c>
      <c r="BG251" s="138"/>
      <c r="BH251" s="28"/>
      <c r="BI251" s="141"/>
      <c r="BJ251" s="138"/>
      <c r="BK251" s="141"/>
      <c r="BL251" s="138" t="s">
        <v>693</v>
      </c>
      <c r="BM251" s="258" t="s">
        <v>638</v>
      </c>
      <c r="BN251" s="261" t="s">
        <v>739</v>
      </c>
    </row>
    <row r="252" spans="3:66" ht="15" thickBot="1" x14ac:dyDescent="0.35">
      <c r="C252" s="47" t="s">
        <v>84</v>
      </c>
      <c r="D252" s="253">
        <f>SUM(D250+D247+D242+D237+D233+D229+D225+D221+D218)</f>
        <v>49770</v>
      </c>
      <c r="E252" s="253">
        <f>SUM(E250+E247+E242+E237+E233+E229+E225+E221+E218)</f>
        <v>55232</v>
      </c>
      <c r="F252" s="202"/>
      <c r="G252" s="48">
        <f>SUM(G247+G229)</f>
        <v>3820</v>
      </c>
      <c r="H252" s="203"/>
      <c r="I252" s="206">
        <f>SUM(I250+I247+I242+I238+I233+I229+I225+I221+I218)</f>
        <v>68572</v>
      </c>
      <c r="J252" s="48" t="s">
        <v>844</v>
      </c>
      <c r="K252" s="48"/>
      <c r="L252" s="49">
        <f>SUM(L217:L251)</f>
        <v>402</v>
      </c>
      <c r="AD252" s="47" t="s">
        <v>84</v>
      </c>
      <c r="AE252" s="202">
        <f>SUM(AE239+AE233+AE227+AE224+AE222+AE219)</f>
        <v>3246</v>
      </c>
      <c r="AF252" s="203">
        <f>SUM(AF239+AF233+AF227+AF224+AF222+AF219)</f>
        <v>6755</v>
      </c>
      <c r="AG252" s="48">
        <v>0</v>
      </c>
      <c r="AH252" s="48">
        <v>0</v>
      </c>
      <c r="AI252" s="48">
        <v>0</v>
      </c>
      <c r="AJ252" s="202">
        <f>SUM(AJ245+AJ244+AJ242+AJ219)</f>
        <v>883294</v>
      </c>
      <c r="AK252" s="203">
        <f>SUM(AK244+AK242+AK219)</f>
        <v>254852</v>
      </c>
      <c r="AL252" s="48">
        <v>0</v>
      </c>
      <c r="AM252" s="202" t="s">
        <v>844</v>
      </c>
      <c r="AN252" s="48"/>
      <c r="AO252" s="49">
        <f>SUM(AM218:AM251)</f>
        <v>80</v>
      </c>
      <c r="AR252" s="138" t="s">
        <v>227</v>
      </c>
      <c r="AS252" s="138">
        <v>0</v>
      </c>
      <c r="AT252" s="141">
        <v>0</v>
      </c>
      <c r="AU252" s="138"/>
      <c r="AV252" s="141"/>
      <c r="AW252" s="28"/>
      <c r="AX252" s="43">
        <v>1</v>
      </c>
      <c r="AY252" s="28" t="s">
        <v>1572</v>
      </c>
      <c r="AZ252" s="28"/>
      <c r="BA252" s="141"/>
      <c r="BD252" s="196" t="s">
        <v>502</v>
      </c>
      <c r="BE252" s="138">
        <v>6</v>
      </c>
      <c r="BF252" s="141">
        <v>0</v>
      </c>
      <c r="BG252" s="138"/>
      <c r="BH252" s="28"/>
      <c r="BI252" s="141"/>
      <c r="BJ252" s="138"/>
      <c r="BK252" s="141"/>
      <c r="BL252" s="138" t="s">
        <v>1591</v>
      </c>
      <c r="BM252" s="228" t="s">
        <v>1592</v>
      </c>
      <c r="BN252" s="141" t="s">
        <v>1521</v>
      </c>
    </row>
    <row r="253" spans="3:66" ht="15.6" x14ac:dyDescent="0.3">
      <c r="F253" s="28"/>
      <c r="G253" s="28"/>
      <c r="H253" s="28"/>
      <c r="AD253" t="s">
        <v>193</v>
      </c>
      <c r="AO253" t="s">
        <v>6</v>
      </c>
      <c r="AR253" s="138" t="s">
        <v>230</v>
      </c>
      <c r="AS253" s="138">
        <v>5</v>
      </c>
      <c r="AT253" s="141">
        <f>2+3</f>
        <v>5</v>
      </c>
      <c r="AU253" s="138"/>
      <c r="AV253" s="141"/>
      <c r="AW253" s="28"/>
      <c r="AX253" s="28">
        <v>5</v>
      </c>
      <c r="AY253" s="28" t="s">
        <v>655</v>
      </c>
      <c r="AZ253" s="28"/>
      <c r="BA253" s="141"/>
      <c r="BD253" s="259" t="s">
        <v>605</v>
      </c>
      <c r="BE253" s="138">
        <v>7</v>
      </c>
      <c r="BF253" s="141">
        <v>0</v>
      </c>
      <c r="BG253" s="138"/>
      <c r="BH253" s="28"/>
      <c r="BI253" s="141"/>
      <c r="BJ253" s="138"/>
      <c r="BK253" s="141"/>
      <c r="BL253" s="138" t="s">
        <v>1593</v>
      </c>
      <c r="BM253" s="258"/>
      <c r="BN253" s="141"/>
    </row>
    <row r="254" spans="3:66" ht="16.2" thickBot="1" x14ac:dyDescent="0.35">
      <c r="AR254" s="138" t="s">
        <v>125</v>
      </c>
      <c r="AS254" s="138">
        <v>0</v>
      </c>
      <c r="AT254" s="141">
        <v>4</v>
      </c>
      <c r="AU254" s="138"/>
      <c r="AV254" s="141"/>
      <c r="AW254" s="28"/>
      <c r="AX254" s="43">
        <v>1</v>
      </c>
      <c r="AY254" s="28" t="s">
        <v>1594</v>
      </c>
      <c r="AZ254" s="28"/>
      <c r="BA254" s="141"/>
      <c r="BD254" s="196" t="s">
        <v>1595</v>
      </c>
      <c r="BE254" s="138">
        <v>6</v>
      </c>
      <c r="BF254" s="141">
        <v>0</v>
      </c>
      <c r="BG254" s="138"/>
      <c r="BH254" s="28"/>
      <c r="BI254" s="141"/>
      <c r="BJ254" s="138"/>
      <c r="BK254" s="141"/>
      <c r="BL254" s="138"/>
      <c r="BM254" s="258"/>
      <c r="BN254" s="141"/>
    </row>
    <row r="255" spans="3:66" ht="15" thickBot="1" x14ac:dyDescent="0.35">
      <c r="C255" s="171" t="s">
        <v>1830</v>
      </c>
      <c r="D255" s="205">
        <v>42504</v>
      </c>
      <c r="E255" s="205">
        <v>53773</v>
      </c>
      <c r="F255" s="170"/>
      <c r="G255" s="205">
        <v>2605</v>
      </c>
      <c r="H255" s="170"/>
      <c r="I255" s="205">
        <v>69246</v>
      </c>
      <c r="J255" s="170" t="s">
        <v>199</v>
      </c>
      <c r="K255" s="170"/>
      <c r="L255" s="172">
        <v>403</v>
      </c>
      <c r="N255" s="171" t="s">
        <v>1830</v>
      </c>
      <c r="O255" s="170">
        <v>61999</v>
      </c>
      <c r="P255" s="170">
        <v>65699</v>
      </c>
      <c r="Q255" s="170"/>
      <c r="R255" s="170"/>
      <c r="S255" s="170"/>
      <c r="T255" s="170">
        <v>6852</v>
      </c>
      <c r="U255" s="170">
        <v>241</v>
      </c>
      <c r="V255" s="170"/>
      <c r="W255" s="172"/>
      <c r="AD255" s="171" t="s">
        <v>1830</v>
      </c>
      <c r="AE255" s="170">
        <v>2536</v>
      </c>
      <c r="AF255" s="170">
        <v>2648</v>
      </c>
      <c r="AG255" s="170"/>
      <c r="AH255" s="170"/>
      <c r="AI255" s="170" t="s">
        <v>6</v>
      </c>
      <c r="AJ255" s="170">
        <v>213630</v>
      </c>
      <c r="AK255" s="170">
        <v>212150</v>
      </c>
      <c r="AL255" s="170"/>
      <c r="AM255" s="170" t="s">
        <v>743</v>
      </c>
      <c r="AN255" s="170"/>
      <c r="AO255" s="172">
        <v>45</v>
      </c>
      <c r="AR255" s="138" t="s">
        <v>132</v>
      </c>
      <c r="AS255" s="138">
        <v>1</v>
      </c>
      <c r="AT255" s="141">
        <v>1</v>
      </c>
      <c r="AU255" s="138"/>
      <c r="AV255" s="141"/>
      <c r="AW255" s="28"/>
      <c r="AX255" s="43">
        <v>1</v>
      </c>
      <c r="AY255" s="28" t="s">
        <v>682</v>
      </c>
      <c r="AZ255" s="28"/>
      <c r="BA255" s="141"/>
      <c r="BD255" s="196" t="s">
        <v>862</v>
      </c>
      <c r="BE255" s="138">
        <v>0</v>
      </c>
      <c r="BF255" s="141">
        <v>9</v>
      </c>
      <c r="BG255" s="138"/>
      <c r="BH255" s="28"/>
      <c r="BI255" s="141"/>
      <c r="BJ255" s="138"/>
      <c r="BK255" s="141"/>
      <c r="BL255" s="138"/>
      <c r="BM255" s="28"/>
      <c r="BN255" s="141"/>
    </row>
    <row r="256" spans="3:66" x14ac:dyDescent="0.3">
      <c r="AR256" s="138" t="s">
        <v>536</v>
      </c>
      <c r="AS256" s="138">
        <v>0</v>
      </c>
      <c r="AT256" s="141">
        <v>0</v>
      </c>
      <c r="AU256" s="138"/>
      <c r="AV256" s="141"/>
      <c r="AW256" s="28"/>
      <c r="AX256" s="43">
        <v>55</v>
      </c>
      <c r="AY256" s="28" t="s">
        <v>215</v>
      </c>
      <c r="AZ256" s="28"/>
      <c r="BA256" s="141"/>
      <c r="BD256" s="196" t="s">
        <v>200</v>
      </c>
      <c r="BE256" s="138">
        <v>7</v>
      </c>
      <c r="BF256" s="141">
        <v>7</v>
      </c>
      <c r="BG256" s="138"/>
      <c r="BH256" s="28"/>
      <c r="BI256" s="141"/>
      <c r="BJ256" s="138"/>
      <c r="BK256" s="141"/>
      <c r="BL256" s="138"/>
      <c r="BM256" s="28"/>
      <c r="BN256" s="141"/>
    </row>
    <row r="257" spans="10:67" ht="15" thickBot="1" x14ac:dyDescent="0.35">
      <c r="AR257" s="138" t="s">
        <v>84</v>
      </c>
      <c r="AS257" s="138">
        <f>SUM(AS241:AS256)</f>
        <v>161</v>
      </c>
      <c r="AT257" s="141">
        <f>SUM(AT241:AT256)</f>
        <v>159</v>
      </c>
      <c r="AU257" s="138"/>
      <c r="AV257" s="141"/>
      <c r="AW257" s="28"/>
      <c r="AX257" s="28"/>
      <c r="AY257" s="28" t="s">
        <v>244</v>
      </c>
      <c r="AZ257" s="28"/>
      <c r="BA257" s="141">
        <f>SUM(AX242:AX257)</f>
        <v>122</v>
      </c>
      <c r="BD257" s="196" t="s">
        <v>97</v>
      </c>
      <c r="BE257" s="138">
        <v>1</v>
      </c>
      <c r="BF257" s="141">
        <v>7</v>
      </c>
      <c r="BG257" s="138"/>
      <c r="BH257" s="28"/>
      <c r="BI257" s="141"/>
      <c r="BJ257" s="138"/>
      <c r="BK257" s="141"/>
      <c r="BL257" s="138"/>
      <c r="BM257" s="28"/>
      <c r="BN257" s="141"/>
    </row>
    <row r="258" spans="10:67" ht="15" thickBot="1" x14ac:dyDescent="0.35">
      <c r="AR258" s="171" t="s">
        <v>84</v>
      </c>
      <c r="AS258" s="207">
        <f>SUM(AS257+AS239+AS234+AS219)</f>
        <v>1980</v>
      </c>
      <c r="AT258" s="207">
        <f>SUM(AT257+AT239+AT234+AT219)</f>
        <v>2002</v>
      </c>
      <c r="AU258" s="207"/>
      <c r="AV258" s="208"/>
      <c r="AW258" s="170"/>
      <c r="AX258" s="170"/>
      <c r="AY258" s="170"/>
      <c r="AZ258" s="170"/>
      <c r="BA258" s="172">
        <f>SUM(BA219:BA257)</f>
        <v>327</v>
      </c>
      <c r="BD258" s="196" t="s">
        <v>1596</v>
      </c>
      <c r="BE258" s="138">
        <v>1</v>
      </c>
      <c r="BF258" s="141">
        <v>1</v>
      </c>
      <c r="BG258" s="138"/>
      <c r="BH258" s="28"/>
      <c r="BI258" s="141"/>
      <c r="BJ258" s="138"/>
      <c r="BK258" s="141"/>
      <c r="BL258" s="138"/>
      <c r="BM258" s="28"/>
      <c r="BN258" s="141"/>
    </row>
    <row r="259" spans="10:67" x14ac:dyDescent="0.3">
      <c r="AO259" t="s">
        <v>6</v>
      </c>
      <c r="BD259" s="196" t="s">
        <v>218</v>
      </c>
      <c r="BE259" s="138">
        <v>0</v>
      </c>
      <c r="BF259" s="141">
        <v>26</v>
      </c>
      <c r="BG259" s="138"/>
      <c r="BH259" s="28">
        <v>0</v>
      </c>
      <c r="BI259" s="141"/>
      <c r="BJ259" s="138"/>
      <c r="BK259" s="141"/>
      <c r="BL259" s="138"/>
      <c r="BM259" s="28"/>
      <c r="BN259" s="141"/>
    </row>
    <row r="260" spans="10:67" x14ac:dyDescent="0.3">
      <c r="J260" t="s">
        <v>6</v>
      </c>
      <c r="BD260" s="196" t="s">
        <v>93</v>
      </c>
      <c r="BE260" s="138">
        <v>0</v>
      </c>
      <c r="BF260" s="141">
        <v>2</v>
      </c>
      <c r="BG260" s="138"/>
      <c r="BH260" s="28"/>
      <c r="BI260" s="141"/>
      <c r="BJ260" s="138"/>
      <c r="BK260" s="141"/>
      <c r="BL260" s="138"/>
      <c r="BM260" s="28"/>
      <c r="BN260" s="141"/>
    </row>
    <row r="261" spans="10:67" ht="15" thickBot="1" x14ac:dyDescent="0.35">
      <c r="J261" t="s">
        <v>6</v>
      </c>
      <c r="BD261" s="199" t="s">
        <v>84</v>
      </c>
      <c r="BE261" s="142">
        <f>SUM(BE237:BE260)</f>
        <v>78</v>
      </c>
      <c r="BF261" s="146">
        <f>SUM(BF237:BF260)</f>
        <v>134</v>
      </c>
      <c r="BG261" s="142">
        <v>0</v>
      </c>
      <c r="BH261" s="143">
        <f>SUM(BH237:BH260)</f>
        <v>0</v>
      </c>
      <c r="BI261" s="146">
        <f>SUM(BI237:BI260)</f>
        <v>0</v>
      </c>
      <c r="BJ261" s="142">
        <v>0</v>
      </c>
      <c r="BK261" s="146">
        <v>0</v>
      </c>
      <c r="BL261" s="142"/>
      <c r="BM261" s="143"/>
      <c r="BN261" s="146">
        <f>8+5+4+4+4+6+4+4+6+3+3+1</f>
        <v>52</v>
      </c>
    </row>
    <row r="262" spans="10:67" ht="15" thickBot="1" x14ac:dyDescent="0.35">
      <c r="AR262" s="317" t="s">
        <v>1532</v>
      </c>
      <c r="AS262" s="210">
        <v>2015</v>
      </c>
      <c r="AT262" s="318">
        <v>1966</v>
      </c>
      <c r="AU262" s="170"/>
      <c r="AV262" s="170"/>
      <c r="AW262" s="170"/>
      <c r="AX262" s="170"/>
      <c r="AY262" s="170"/>
      <c r="AZ262" s="170"/>
      <c r="BA262" s="172">
        <v>375</v>
      </c>
      <c r="BD262" t="s">
        <v>223</v>
      </c>
      <c r="BE262">
        <f>SUM(BE261+BE236+BE231+BE225+BE222+BE220+BE233)</f>
        <v>4025</v>
      </c>
      <c r="BF262">
        <f>SUM(BF261+BF236+BF231+BF225+BF220+BF222+BF233)</f>
        <v>3882</v>
      </c>
      <c r="BG262">
        <v>0</v>
      </c>
      <c r="BH262">
        <f>SUM(BH261+BH236+BH231+BH225+BH222+BH218)</f>
        <v>0</v>
      </c>
      <c r="BI262">
        <f>SUM(BI261)</f>
        <v>0</v>
      </c>
      <c r="BJ262">
        <f>SUM(BJ261+BJ236+BJ231+BJ224+BJ222+BJ218)</f>
        <v>77722</v>
      </c>
      <c r="BK262">
        <f>SUM(BK261+BK236+BK231+BK224+BK222+BK218)</f>
        <v>18180</v>
      </c>
      <c r="BM262" t="s">
        <v>939</v>
      </c>
      <c r="BN262">
        <f>SUM(+BN236+BN231+BN225+BN222+BN220)</f>
        <v>177</v>
      </c>
    </row>
    <row r="263" spans="10:67" x14ac:dyDescent="0.3">
      <c r="BD263" t="s">
        <v>1340</v>
      </c>
      <c r="BF263">
        <f>SUM(BN261)</f>
        <v>52</v>
      </c>
    </row>
    <row r="264" spans="10:67" x14ac:dyDescent="0.3">
      <c r="BD264" t="s">
        <v>229</v>
      </c>
      <c r="BF264">
        <f>9+5+1+12+1+4</f>
        <v>32</v>
      </c>
    </row>
    <row r="265" spans="10:67" x14ac:dyDescent="0.3">
      <c r="BC265" t="s">
        <v>6</v>
      </c>
      <c r="BD265" t="s">
        <v>232</v>
      </c>
      <c r="BF265" s="28" t="s">
        <v>233</v>
      </c>
      <c r="BH265">
        <f>SUM(AS258)</f>
        <v>1980</v>
      </c>
      <c r="BJ265" t="s">
        <v>234</v>
      </c>
      <c r="BL265" t="s">
        <v>233</v>
      </c>
      <c r="BN265">
        <f>SUM(BE262)</f>
        <v>4025</v>
      </c>
    </row>
    <row r="266" spans="10:67" x14ac:dyDescent="0.3">
      <c r="BF266" t="s">
        <v>236</v>
      </c>
      <c r="BH266">
        <f>SUM(AT258)</f>
        <v>2002</v>
      </c>
      <c r="BL266" t="s">
        <v>236</v>
      </c>
      <c r="BN266">
        <f>SUM(BF262)</f>
        <v>3882</v>
      </c>
    </row>
    <row r="267" spans="10:67" x14ac:dyDescent="0.3">
      <c r="BD267" t="s">
        <v>238</v>
      </c>
      <c r="BE267" t="s">
        <v>239</v>
      </c>
      <c r="BG267" t="s">
        <v>240</v>
      </c>
      <c r="BH267" t="s">
        <v>241</v>
      </c>
      <c r="BK267" t="s">
        <v>242</v>
      </c>
      <c r="BL267" s="131" t="s">
        <v>243</v>
      </c>
    </row>
    <row r="268" spans="10:67" x14ac:dyDescent="0.3">
      <c r="BD268" t="s">
        <v>233</v>
      </c>
      <c r="BF268">
        <f>SUM(D252)</f>
        <v>49770</v>
      </c>
      <c r="BG268" s="236" t="s">
        <v>233</v>
      </c>
      <c r="BI268">
        <f>SUM(AE252)</f>
        <v>3246</v>
      </c>
      <c r="BJ268" t="s">
        <v>233</v>
      </c>
      <c r="BL268">
        <f>SUM(BI268+BE262)</f>
        <v>7271</v>
      </c>
      <c r="BM268" t="s">
        <v>245</v>
      </c>
      <c r="BN268">
        <f>SUM(BF268+BL268)</f>
        <v>57041</v>
      </c>
    </row>
    <row r="269" spans="10:67" ht="15" thickBot="1" x14ac:dyDescent="0.35">
      <c r="BD269" t="s">
        <v>236</v>
      </c>
      <c r="BF269">
        <f>SUM(E252)</f>
        <v>55232</v>
      </c>
      <c r="BG269" s="236" t="s">
        <v>236</v>
      </c>
      <c r="BI269">
        <f>SUM(AF252)</f>
        <v>6755</v>
      </c>
      <c r="BJ269" t="s">
        <v>236</v>
      </c>
      <c r="BL269">
        <f>SUM(BI269+BF262)</f>
        <v>10637</v>
      </c>
      <c r="BN269">
        <f>SUM(BF269+BL269)</f>
        <v>65869</v>
      </c>
      <c r="BO269">
        <f>SUM(BN268:BN269)</f>
        <v>122910</v>
      </c>
    </row>
    <row r="270" spans="10:67" ht="15.6" x14ac:dyDescent="0.3">
      <c r="BD270" s="321" t="s">
        <v>1532</v>
      </c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35"/>
    </row>
    <row r="271" spans="10:67" x14ac:dyDescent="0.3">
      <c r="BD271" s="42" t="s">
        <v>238</v>
      </c>
      <c r="BE271" s="28" t="s">
        <v>239</v>
      </c>
      <c r="BF271" s="28"/>
      <c r="BG271" s="28" t="s">
        <v>240</v>
      </c>
      <c r="BH271" s="28" t="s">
        <v>241</v>
      </c>
      <c r="BI271" s="28"/>
      <c r="BJ271" s="28"/>
      <c r="BK271" s="28" t="s">
        <v>242</v>
      </c>
      <c r="BL271" s="257" t="s">
        <v>243</v>
      </c>
      <c r="BM271" s="28"/>
      <c r="BN271" s="28"/>
      <c r="BO271" s="40"/>
    </row>
    <row r="272" spans="10:67" x14ac:dyDescent="0.3">
      <c r="BD272" s="42" t="s">
        <v>233</v>
      </c>
      <c r="BE272" s="28"/>
      <c r="BF272" s="28">
        <f>SUM(D255)</f>
        <v>42504</v>
      </c>
      <c r="BG272" s="218" t="s">
        <v>233</v>
      </c>
      <c r="BH272" s="28"/>
      <c r="BI272" s="28">
        <f>SUM(AE255)</f>
        <v>2536</v>
      </c>
      <c r="BJ272" s="28" t="s">
        <v>233</v>
      </c>
      <c r="BK272" s="28"/>
      <c r="BL272" s="28">
        <v>4563</v>
      </c>
      <c r="BM272" s="28" t="s">
        <v>245</v>
      </c>
      <c r="BN272" s="28">
        <f>SUM(BF272+BL272)</f>
        <v>47067</v>
      </c>
      <c r="BO272" s="40"/>
    </row>
    <row r="273" spans="3:67" ht="15" thickBot="1" x14ac:dyDescent="0.35">
      <c r="BD273" s="47" t="s">
        <v>236</v>
      </c>
      <c r="BE273" s="48"/>
      <c r="BF273" s="48">
        <f>SUM(E255)</f>
        <v>53773</v>
      </c>
      <c r="BG273" s="320" t="s">
        <v>236</v>
      </c>
      <c r="BH273" s="48"/>
      <c r="BI273" s="48">
        <f>SUM(AF255)</f>
        <v>2648</v>
      </c>
      <c r="BJ273" s="48" t="s">
        <v>236</v>
      </c>
      <c r="BK273" s="48"/>
      <c r="BL273" s="48">
        <v>4752</v>
      </c>
      <c r="BM273" s="48"/>
      <c r="BN273" s="48">
        <f>SUM(BF273+BL273)</f>
        <v>58525</v>
      </c>
      <c r="BO273" s="49">
        <f>SUM(BN272:BN273)</f>
        <v>105592</v>
      </c>
    </row>
    <row r="277" spans="3:67" x14ac:dyDescent="0.3">
      <c r="E277" t="s">
        <v>0</v>
      </c>
      <c r="R277" t="s">
        <v>1</v>
      </c>
    </row>
    <row r="278" spans="3:67" x14ac:dyDescent="0.3">
      <c r="F278" t="s">
        <v>2</v>
      </c>
      <c r="S278" t="s">
        <v>3</v>
      </c>
      <c r="AH278" t="s">
        <v>0</v>
      </c>
      <c r="AU278" t="s">
        <v>4</v>
      </c>
      <c r="BH278" t="s">
        <v>5</v>
      </c>
    </row>
    <row r="279" spans="3:67" x14ac:dyDescent="0.3">
      <c r="C279" t="s">
        <v>6</v>
      </c>
      <c r="E279" t="s">
        <v>7</v>
      </c>
      <c r="Q279" t="s">
        <v>8</v>
      </c>
      <c r="AH279" t="s">
        <v>9</v>
      </c>
      <c r="AV279" t="s">
        <v>2</v>
      </c>
      <c r="BI279" t="s">
        <v>2</v>
      </c>
    </row>
    <row r="280" spans="3:67" x14ac:dyDescent="0.3">
      <c r="F280" t="s">
        <v>1597</v>
      </c>
      <c r="S280" t="s">
        <v>1597</v>
      </c>
      <c r="AH280" t="s">
        <v>11</v>
      </c>
      <c r="AT280" t="s">
        <v>12</v>
      </c>
      <c r="BB280" t="s">
        <v>6</v>
      </c>
      <c r="BG280" t="s">
        <v>13</v>
      </c>
    </row>
    <row r="281" spans="3:67" x14ac:dyDescent="0.3">
      <c r="K281" s="194" t="s">
        <v>949</v>
      </c>
      <c r="W281" t="s">
        <v>15</v>
      </c>
      <c r="AI281" t="s">
        <v>1597</v>
      </c>
      <c r="AV281" t="s">
        <v>1597</v>
      </c>
      <c r="BI281" t="s">
        <v>1597</v>
      </c>
      <c r="BM281" s="194" t="s">
        <v>950</v>
      </c>
    </row>
    <row r="282" spans="3:67" x14ac:dyDescent="0.3">
      <c r="C282" s="134" t="s">
        <v>17</v>
      </c>
      <c r="D282" s="134" t="s">
        <v>18</v>
      </c>
      <c r="E282" s="136"/>
      <c r="F282" s="135" t="s">
        <v>19</v>
      </c>
      <c r="G282" s="135"/>
      <c r="H282" s="135"/>
      <c r="I282" s="195" t="s">
        <v>20</v>
      </c>
      <c r="J282" s="135" t="s">
        <v>21</v>
      </c>
      <c r="K282" s="135"/>
      <c r="L282" s="136"/>
      <c r="N282" s="134" t="s">
        <v>17</v>
      </c>
      <c r="O282" s="135" t="s">
        <v>22</v>
      </c>
      <c r="P282" s="135"/>
      <c r="Q282" s="135" t="s">
        <v>23</v>
      </c>
      <c r="R282" s="135"/>
      <c r="S282" s="135"/>
      <c r="T282" s="135" t="s">
        <v>24</v>
      </c>
      <c r="U282" s="135"/>
      <c r="V282" s="135" t="s">
        <v>21</v>
      </c>
      <c r="W282" s="136"/>
      <c r="AN282" s="28" t="s">
        <v>25</v>
      </c>
      <c r="AZ282" s="194" t="s">
        <v>951</v>
      </c>
      <c r="BD282" s="195" t="s">
        <v>17</v>
      </c>
      <c r="BE282" s="134" t="s">
        <v>27</v>
      </c>
      <c r="BF282" s="136"/>
      <c r="BG282" s="135" t="s">
        <v>28</v>
      </c>
      <c r="BH282" s="135"/>
      <c r="BI282" s="135"/>
      <c r="BJ282" s="135" t="s">
        <v>29</v>
      </c>
      <c r="BK282" s="135" t="s">
        <v>30</v>
      </c>
      <c r="BL282" s="135" t="s">
        <v>31</v>
      </c>
      <c r="BM282" s="135"/>
      <c r="BN282" s="136"/>
    </row>
    <row r="283" spans="3:67" x14ac:dyDescent="0.3">
      <c r="C283" s="138" t="s">
        <v>32</v>
      </c>
      <c r="D283" s="138"/>
      <c r="E283" s="141"/>
      <c r="F283" s="28"/>
      <c r="G283" s="28"/>
      <c r="H283" s="28"/>
      <c r="I283" s="196"/>
      <c r="J283" s="28" t="s">
        <v>33</v>
      </c>
      <c r="K283" s="28"/>
      <c r="L283" s="141"/>
      <c r="N283" s="138"/>
      <c r="O283" s="28"/>
      <c r="P283" s="28"/>
      <c r="Q283" s="28"/>
      <c r="R283" s="28"/>
      <c r="S283" s="28"/>
      <c r="T283" s="28"/>
      <c r="U283" s="28"/>
      <c r="V283" s="28" t="s">
        <v>33</v>
      </c>
      <c r="W283" s="141"/>
      <c r="AD283" s="134" t="s">
        <v>34</v>
      </c>
      <c r="AE283" s="134" t="s">
        <v>35</v>
      </c>
      <c r="AF283" s="136"/>
      <c r="AG283" s="135" t="s">
        <v>36</v>
      </c>
      <c r="AH283" s="135"/>
      <c r="AI283" s="135"/>
      <c r="AJ283" s="134" t="s">
        <v>37</v>
      </c>
      <c r="AK283" s="136"/>
      <c r="AL283" s="135" t="s">
        <v>30</v>
      </c>
      <c r="AM283" s="134" t="s">
        <v>38</v>
      </c>
      <c r="AN283" s="135"/>
      <c r="AO283" s="136"/>
      <c r="AR283" s="134" t="s">
        <v>17</v>
      </c>
      <c r="AS283" s="134" t="s">
        <v>39</v>
      </c>
      <c r="AT283" s="136"/>
      <c r="AU283" s="134" t="s">
        <v>29</v>
      </c>
      <c r="AV283" s="136" t="s">
        <v>30</v>
      </c>
      <c r="AW283" s="135" t="s">
        <v>40</v>
      </c>
      <c r="AX283" s="135"/>
      <c r="AY283" s="135"/>
      <c r="AZ283" s="135"/>
      <c r="BA283" s="136"/>
      <c r="BD283" s="196"/>
      <c r="BE283" s="138"/>
      <c r="BF283" s="141"/>
      <c r="BG283" s="28"/>
      <c r="BH283" s="28"/>
      <c r="BI283" s="28"/>
      <c r="BJ283" s="28"/>
      <c r="BK283" s="28" t="s">
        <v>6</v>
      </c>
      <c r="BL283" s="28" t="s">
        <v>41</v>
      </c>
      <c r="BM283" s="28"/>
      <c r="BN283" s="141"/>
    </row>
    <row r="284" spans="3:67" ht="15" thickBot="1" x14ac:dyDescent="0.35">
      <c r="C284" s="142" t="s">
        <v>42</v>
      </c>
      <c r="D284" s="142" t="s">
        <v>43</v>
      </c>
      <c r="E284" s="143" t="s">
        <v>44</v>
      </c>
      <c r="F284" s="197" t="s">
        <v>45</v>
      </c>
      <c r="G284" s="198" t="s">
        <v>46</v>
      </c>
      <c r="H284" s="198" t="s">
        <v>47</v>
      </c>
      <c r="I284" s="199" t="s">
        <v>48</v>
      </c>
      <c r="J284" s="143" t="s">
        <v>49</v>
      </c>
      <c r="K284" s="143"/>
      <c r="L284" s="146"/>
      <c r="N284" s="142" t="s">
        <v>50</v>
      </c>
      <c r="O284" s="143" t="s">
        <v>43</v>
      </c>
      <c r="P284" s="143" t="s">
        <v>44</v>
      </c>
      <c r="Q284" s="143" t="s">
        <v>43</v>
      </c>
      <c r="R284" s="143" t="s">
        <v>51</v>
      </c>
      <c r="S284" s="143" t="s">
        <v>44</v>
      </c>
      <c r="T284" s="143" t="s">
        <v>43</v>
      </c>
      <c r="U284" s="143" t="s">
        <v>44</v>
      </c>
      <c r="V284" s="143" t="s">
        <v>49</v>
      </c>
      <c r="W284" s="146"/>
      <c r="AD284" s="138" t="s">
        <v>50</v>
      </c>
      <c r="AE284" s="138" t="s">
        <v>43</v>
      </c>
      <c r="AF284" s="141" t="s">
        <v>44</v>
      </c>
      <c r="AG284" s="28" t="s">
        <v>45</v>
      </c>
      <c r="AH284" s="28" t="s">
        <v>46</v>
      </c>
      <c r="AI284" s="28" t="s">
        <v>52</v>
      </c>
      <c r="AJ284" s="138" t="s">
        <v>43</v>
      </c>
      <c r="AK284" s="141" t="s">
        <v>44</v>
      </c>
      <c r="AL284" s="28" t="s">
        <v>43</v>
      </c>
      <c r="AM284" s="138" t="s">
        <v>53</v>
      </c>
      <c r="AN284" s="28"/>
      <c r="AO284" s="141"/>
      <c r="AR284" s="138" t="s">
        <v>42</v>
      </c>
      <c r="AS284" s="138" t="s">
        <v>43</v>
      </c>
      <c r="AT284" s="141" t="s">
        <v>44</v>
      </c>
      <c r="AU284" s="138" t="s">
        <v>43</v>
      </c>
      <c r="AV284" s="141" t="s">
        <v>44</v>
      </c>
      <c r="AW284" s="28"/>
      <c r="AX284" s="28"/>
      <c r="AY284" s="28"/>
      <c r="AZ284" s="28"/>
      <c r="BA284" s="141"/>
      <c r="BD284" s="199" t="s">
        <v>42</v>
      </c>
      <c r="BE284" s="142" t="s">
        <v>43</v>
      </c>
      <c r="BF284" s="146" t="s">
        <v>44</v>
      </c>
      <c r="BG284" s="143" t="s">
        <v>45</v>
      </c>
      <c r="BH284" s="143" t="s">
        <v>46</v>
      </c>
      <c r="BI284" s="143" t="s">
        <v>52</v>
      </c>
      <c r="BJ284" s="143" t="s">
        <v>43</v>
      </c>
      <c r="BK284" s="143" t="s">
        <v>44</v>
      </c>
      <c r="BL284" s="143" t="s">
        <v>54</v>
      </c>
      <c r="BM284" s="143"/>
      <c r="BN284" s="146"/>
    </row>
    <row r="285" spans="3:67" x14ac:dyDescent="0.3">
      <c r="C285" s="134"/>
      <c r="D285" s="134"/>
      <c r="E285" s="135"/>
      <c r="F285" s="134"/>
      <c r="G285" s="135"/>
      <c r="H285" s="135"/>
      <c r="I285" s="195"/>
      <c r="J285" s="135" t="s">
        <v>396</v>
      </c>
      <c r="K285" s="135"/>
      <c r="L285" s="136"/>
      <c r="N285" s="134"/>
      <c r="O285" s="134"/>
      <c r="P285" s="195"/>
      <c r="Q285" s="134"/>
      <c r="R285" s="195"/>
      <c r="S285" s="136"/>
      <c r="T285" s="134"/>
      <c r="U285" s="195"/>
      <c r="V285" s="134" t="s">
        <v>396</v>
      </c>
      <c r="W285" s="136"/>
      <c r="AD285" s="33"/>
      <c r="AE285" s="33"/>
      <c r="AF285" s="35"/>
      <c r="AG285" s="34"/>
      <c r="AH285" s="34"/>
      <c r="AI285" s="34"/>
      <c r="AJ285" s="33"/>
      <c r="AK285" s="35"/>
      <c r="AL285" s="32"/>
      <c r="AM285" s="33" t="s">
        <v>62</v>
      </c>
      <c r="AN285" s="34"/>
      <c r="AO285" s="35"/>
      <c r="AR285" s="134"/>
      <c r="AS285" s="134"/>
      <c r="AT285" s="136"/>
      <c r="AU285" s="134"/>
      <c r="AV285" s="136"/>
      <c r="AW285" s="135"/>
      <c r="AX285" s="135"/>
      <c r="AY285" s="135"/>
      <c r="AZ285" s="135"/>
      <c r="BA285" s="136"/>
      <c r="BD285" s="195" t="s">
        <v>6</v>
      </c>
      <c r="BE285" s="135" t="s">
        <v>6</v>
      </c>
      <c r="BF285" s="135"/>
      <c r="BG285" s="134"/>
      <c r="BH285" s="135"/>
      <c r="BI285" s="135"/>
      <c r="BJ285" s="134"/>
      <c r="BK285" s="136"/>
      <c r="BL285" s="135" t="s">
        <v>58</v>
      </c>
      <c r="BM285" s="135"/>
      <c r="BN285" s="136"/>
    </row>
    <row r="286" spans="3:67" x14ac:dyDescent="0.3">
      <c r="C286" s="138" t="s">
        <v>59</v>
      </c>
      <c r="D286" s="138">
        <v>962</v>
      </c>
      <c r="E286" s="28">
        <v>1361</v>
      </c>
      <c r="F286" s="138"/>
      <c r="G286" s="28" t="s">
        <v>60</v>
      </c>
      <c r="H286" s="28"/>
      <c r="I286" s="196">
        <v>1422</v>
      </c>
      <c r="J286" s="28">
        <v>5</v>
      </c>
      <c r="K286" s="28" t="s">
        <v>61</v>
      </c>
      <c r="L286" s="141"/>
      <c r="N286" s="138" t="s">
        <v>59</v>
      </c>
      <c r="O286" s="138">
        <v>11389</v>
      </c>
      <c r="P286" s="196">
        <v>40155</v>
      </c>
      <c r="Q286" s="138">
        <v>0</v>
      </c>
      <c r="R286" s="196">
        <v>0</v>
      </c>
      <c r="S286" s="141">
        <v>0</v>
      </c>
      <c r="T286" s="138">
        <v>0</v>
      </c>
      <c r="U286" s="196">
        <v>0</v>
      </c>
      <c r="V286" s="138"/>
      <c r="W286" s="141"/>
      <c r="AD286" s="42"/>
      <c r="AE286" s="42"/>
      <c r="AF286" s="40"/>
      <c r="AG286" s="28"/>
      <c r="AH286" s="28"/>
      <c r="AI286" s="28"/>
      <c r="AJ286" s="42"/>
      <c r="AK286" s="40"/>
      <c r="AL286" s="41"/>
      <c r="AM286" s="42"/>
      <c r="AN286" s="28" t="s">
        <v>1290</v>
      </c>
      <c r="AO286" s="40"/>
      <c r="AR286" s="138"/>
      <c r="AS286" s="138" t="s">
        <v>6</v>
      </c>
      <c r="AT286" s="141" t="s">
        <v>6</v>
      </c>
      <c r="AU286" s="138"/>
      <c r="AV286" s="141"/>
      <c r="AW286" s="28"/>
      <c r="AX286" s="28" t="s">
        <v>91</v>
      </c>
      <c r="AY286" s="28"/>
      <c r="AZ286" s="28"/>
      <c r="BA286" s="141"/>
      <c r="BD286" s="196" t="s">
        <v>64</v>
      </c>
      <c r="BE286" s="28">
        <v>114</v>
      </c>
      <c r="BF286" s="28">
        <v>168</v>
      </c>
      <c r="BG286" s="138">
        <v>0</v>
      </c>
      <c r="BH286" s="28">
        <v>0</v>
      </c>
      <c r="BI286" s="28">
        <v>0</v>
      </c>
      <c r="BJ286" s="138">
        <v>0</v>
      </c>
      <c r="BK286" s="141">
        <v>0</v>
      </c>
      <c r="BL286" s="43">
        <v>16</v>
      </c>
      <c r="BM286" s="28" t="s">
        <v>474</v>
      </c>
      <c r="BN286" s="141" t="s">
        <v>6</v>
      </c>
    </row>
    <row r="287" spans="3:67" x14ac:dyDescent="0.3">
      <c r="C287" s="138" t="s">
        <v>6</v>
      </c>
      <c r="D287" s="138"/>
      <c r="E287" s="28"/>
      <c r="F287" s="138"/>
      <c r="G287" s="28"/>
      <c r="H287" s="28"/>
      <c r="I287" s="196"/>
      <c r="J287" s="28"/>
      <c r="K287" s="28" t="s">
        <v>528</v>
      </c>
      <c r="L287" s="141">
        <f>SUM(J286)</f>
        <v>5</v>
      </c>
      <c r="N287" s="142"/>
      <c r="O287" s="142"/>
      <c r="P287" s="199"/>
      <c r="Q287" s="142"/>
      <c r="R287" s="199"/>
      <c r="S287" s="146"/>
      <c r="T287" s="142"/>
      <c r="U287" s="199"/>
      <c r="V287" s="142"/>
      <c r="W287" s="146"/>
      <c r="AD287" s="42" t="s">
        <v>59</v>
      </c>
      <c r="AE287" s="42">
        <v>1893</v>
      </c>
      <c r="AF287" s="40">
        <v>2278</v>
      </c>
      <c r="AG287" s="28">
        <v>0</v>
      </c>
      <c r="AH287" s="28">
        <v>0</v>
      </c>
      <c r="AI287" s="28">
        <v>0</v>
      </c>
      <c r="AJ287" s="42">
        <v>0</v>
      </c>
      <c r="AK287" s="40">
        <v>0</v>
      </c>
      <c r="AL287" s="41">
        <v>0</v>
      </c>
      <c r="AM287" s="42">
        <v>5</v>
      </c>
      <c r="AN287" s="28" t="s">
        <v>66</v>
      </c>
      <c r="AO287" s="40"/>
      <c r="AR287" s="138" t="s">
        <v>56</v>
      </c>
      <c r="AS287" s="138">
        <v>1338</v>
      </c>
      <c r="AT287" s="141">
        <v>1349</v>
      </c>
      <c r="AU287" s="138"/>
      <c r="AV287" s="141"/>
      <c r="AW287" s="28"/>
      <c r="AX287" s="28"/>
      <c r="AY287" s="28"/>
      <c r="AZ287" s="28"/>
      <c r="BA287" s="141"/>
      <c r="BD287" s="196" t="s">
        <v>108</v>
      </c>
      <c r="BE287">
        <v>0</v>
      </c>
      <c r="BF287">
        <v>0</v>
      </c>
      <c r="BG287" s="138">
        <v>0</v>
      </c>
      <c r="BH287" s="28">
        <v>0</v>
      </c>
      <c r="BI287" s="28">
        <v>0</v>
      </c>
      <c r="BJ287" s="138">
        <v>0</v>
      </c>
      <c r="BK287" s="141">
        <v>0</v>
      </c>
      <c r="BL287" s="43"/>
      <c r="BM287" s="28" t="s">
        <v>1045</v>
      </c>
      <c r="BN287" s="141"/>
    </row>
    <row r="288" spans="3:67" ht="15" thickBot="1" x14ac:dyDescent="0.35">
      <c r="C288" s="134"/>
      <c r="D288" s="134"/>
      <c r="E288" s="135"/>
      <c r="F288" s="134"/>
      <c r="G288" s="135"/>
      <c r="H288" s="135"/>
      <c r="I288" s="195"/>
      <c r="J288" s="135" t="s">
        <v>70</v>
      </c>
      <c r="K288" s="135"/>
      <c r="L288" s="136"/>
      <c r="N288" s="134"/>
      <c r="O288" s="134"/>
      <c r="P288" s="195"/>
      <c r="Q288" s="134"/>
      <c r="R288" s="195"/>
      <c r="S288" s="136"/>
      <c r="T288" s="134"/>
      <c r="U288" s="195"/>
      <c r="V288" s="134"/>
      <c r="W288" s="136"/>
      <c r="AD288" s="244"/>
      <c r="AE288" s="244"/>
      <c r="AF288" s="245"/>
      <c r="AG288" s="143"/>
      <c r="AH288" s="143"/>
      <c r="AI288" s="143"/>
      <c r="AJ288" s="244"/>
      <c r="AK288" s="245"/>
      <c r="AL288" s="313"/>
      <c r="AM288" s="47">
        <v>4</v>
      </c>
      <c r="AN288" s="48" t="s">
        <v>436</v>
      </c>
      <c r="AO288" s="49"/>
      <c r="AR288" s="142" t="s">
        <v>6</v>
      </c>
      <c r="AS288" s="142"/>
      <c r="AT288" s="146"/>
      <c r="AU288" s="142"/>
      <c r="AV288" s="146"/>
      <c r="AW288" s="143"/>
      <c r="AX288" s="143">
        <v>95</v>
      </c>
      <c r="AY288" s="143" t="s">
        <v>73</v>
      </c>
      <c r="AZ288" s="143"/>
      <c r="BA288" s="146">
        <f>SUM(AX288)</f>
        <v>95</v>
      </c>
      <c r="BD288" s="199" t="s">
        <v>84</v>
      </c>
      <c r="BE288" s="143">
        <f>SUM(BE285:BE287)</f>
        <v>114</v>
      </c>
      <c r="BF288" s="143">
        <f>SUM(BF285:BF287)</f>
        <v>168</v>
      </c>
      <c r="BG288" s="138">
        <v>0</v>
      </c>
      <c r="BH288" s="28">
        <v>0</v>
      </c>
      <c r="BI288" s="28">
        <v>0</v>
      </c>
      <c r="BJ288" s="138">
        <v>0</v>
      </c>
      <c r="BK288" s="141">
        <v>0</v>
      </c>
      <c r="BL288" s="143">
        <v>1</v>
      </c>
      <c r="BM288" s="143" t="s">
        <v>69</v>
      </c>
      <c r="BN288" s="146">
        <f>SUM(BL286:BL288)</f>
        <v>17</v>
      </c>
    </row>
    <row r="289" spans="3:67" x14ac:dyDescent="0.3">
      <c r="C289" s="138" t="s">
        <v>74</v>
      </c>
      <c r="D289" s="138">
        <v>1031</v>
      </c>
      <c r="E289" s="28">
        <v>2515</v>
      </c>
      <c r="F289" s="138"/>
      <c r="G289" s="28" t="s">
        <v>60</v>
      </c>
      <c r="H289" s="28"/>
      <c r="I289" s="196">
        <v>2961</v>
      </c>
      <c r="J289" s="28"/>
      <c r="K289" s="28" t="s">
        <v>75</v>
      </c>
      <c r="L289" s="141"/>
      <c r="N289" s="138"/>
      <c r="O289" s="138"/>
      <c r="P289" s="196"/>
      <c r="Q289" s="138"/>
      <c r="R289" s="196"/>
      <c r="S289" s="141"/>
      <c r="T289" s="138"/>
      <c r="U289" s="196"/>
      <c r="V289" s="138" t="s">
        <v>80</v>
      </c>
      <c r="W289" s="141"/>
      <c r="AD289" s="278" t="s">
        <v>6</v>
      </c>
      <c r="AE289" s="278"/>
      <c r="AF289" s="279"/>
      <c r="AG289" s="135"/>
      <c r="AH289" s="135"/>
      <c r="AI289" s="135"/>
      <c r="AJ289" s="278"/>
      <c r="AK289" s="279"/>
      <c r="AL289" s="314"/>
      <c r="AM289" s="28" t="s">
        <v>952</v>
      </c>
      <c r="AN289" s="28"/>
      <c r="AO289" s="40"/>
      <c r="AR289" s="134"/>
      <c r="AS289" s="134"/>
      <c r="AT289" s="136"/>
      <c r="AU289" s="134"/>
      <c r="AV289" s="136"/>
      <c r="AW289" s="135"/>
      <c r="AX289" s="135"/>
      <c r="AY289" s="135"/>
      <c r="AZ289" s="135"/>
      <c r="BA289" s="136"/>
      <c r="BD289" s="195" t="s">
        <v>6</v>
      </c>
      <c r="BE289" s="134" t="s">
        <v>6</v>
      </c>
      <c r="BF289" s="136"/>
      <c r="BG289" s="135"/>
      <c r="BH289" s="135">
        <v>0</v>
      </c>
      <c r="BI289" s="135"/>
      <c r="BJ289" s="134"/>
      <c r="BK289" s="136"/>
      <c r="BL289" s="135" t="s">
        <v>1092</v>
      </c>
      <c r="BM289" s="135"/>
      <c r="BN289" s="136"/>
    </row>
    <row r="290" spans="3:67" ht="15" thickBot="1" x14ac:dyDescent="0.35">
      <c r="C290" s="138"/>
      <c r="D290" s="138"/>
      <c r="E290" s="28"/>
      <c r="F290" s="138"/>
      <c r="G290" s="28"/>
      <c r="H290" s="28"/>
      <c r="I290" s="196"/>
      <c r="J290" s="28">
        <v>2</v>
      </c>
      <c r="K290" s="28" t="s">
        <v>79</v>
      </c>
      <c r="L290" s="141"/>
      <c r="N290" s="138" t="s">
        <v>74</v>
      </c>
      <c r="O290" s="138">
        <v>10598</v>
      </c>
      <c r="P290" s="196">
        <v>362</v>
      </c>
      <c r="Q290" s="138">
        <v>0</v>
      </c>
      <c r="R290" s="196">
        <v>0</v>
      </c>
      <c r="S290" s="141">
        <v>0</v>
      </c>
      <c r="T290" s="138">
        <v>121</v>
      </c>
      <c r="U290" s="196">
        <v>0</v>
      </c>
      <c r="V290" s="138"/>
      <c r="W290" s="141"/>
      <c r="AD290" s="42" t="s">
        <v>76</v>
      </c>
      <c r="AE290" s="42">
        <v>0</v>
      </c>
      <c r="AF290" s="40">
        <v>0</v>
      </c>
      <c r="AG290" s="28">
        <v>0</v>
      </c>
      <c r="AH290" s="28">
        <v>0</v>
      </c>
      <c r="AI290" s="28">
        <v>0</v>
      </c>
      <c r="AJ290" s="42">
        <v>0</v>
      </c>
      <c r="AK290" s="40">
        <v>0</v>
      </c>
      <c r="AL290" s="41">
        <v>0</v>
      </c>
      <c r="AM290" s="43">
        <v>1</v>
      </c>
      <c r="AN290" s="28" t="s">
        <v>780</v>
      </c>
      <c r="AO290" s="40"/>
      <c r="AR290" s="138" t="s">
        <v>63</v>
      </c>
      <c r="AS290" s="138">
        <v>87</v>
      </c>
      <c r="AT290" s="141">
        <v>72</v>
      </c>
      <c r="AU290" s="138"/>
      <c r="AV290" s="141"/>
      <c r="AW290" s="28"/>
      <c r="AX290" s="28" t="s">
        <v>110</v>
      </c>
      <c r="AY290" s="28" t="s">
        <v>111</v>
      </c>
      <c r="AZ290" s="28" t="s">
        <v>112</v>
      </c>
      <c r="BA290" s="141"/>
      <c r="BD290" s="199" t="s">
        <v>108</v>
      </c>
      <c r="BE290" s="142">
        <v>445</v>
      </c>
      <c r="BF290" s="146">
        <v>486</v>
      </c>
      <c r="BG290" s="143"/>
      <c r="BH290" s="143">
        <v>0</v>
      </c>
      <c r="BI290" s="143">
        <v>0</v>
      </c>
      <c r="BJ290" s="142">
        <v>0</v>
      </c>
      <c r="BK290" s="146">
        <v>0</v>
      </c>
      <c r="BL290" s="143">
        <v>8</v>
      </c>
      <c r="BM290" s="143" t="s">
        <v>780</v>
      </c>
      <c r="BN290" s="146">
        <f>SUM(BL290)</f>
        <v>8</v>
      </c>
    </row>
    <row r="291" spans="3:67" x14ac:dyDescent="0.3">
      <c r="C291" s="142"/>
      <c r="D291" s="142"/>
      <c r="E291" s="143"/>
      <c r="F291" s="142"/>
      <c r="G291" s="143"/>
      <c r="H291" s="143"/>
      <c r="I291" s="199"/>
      <c r="J291" s="143">
        <v>16</v>
      </c>
      <c r="K291" s="143" t="s">
        <v>83</v>
      </c>
      <c r="L291" s="146">
        <f>SUM(J289:J291)</f>
        <v>18</v>
      </c>
      <c r="N291" s="142"/>
      <c r="O291" s="142"/>
      <c r="P291" s="199"/>
      <c r="Q291" s="142"/>
      <c r="R291" s="199"/>
      <c r="S291" s="146"/>
      <c r="T291" s="142"/>
      <c r="U291" s="199"/>
      <c r="V291" s="142"/>
      <c r="W291" s="146"/>
      <c r="AD291" s="33"/>
      <c r="AE291" s="33"/>
      <c r="AF291" s="35"/>
      <c r="AG291" s="34"/>
      <c r="AH291" s="34"/>
      <c r="AI291" s="34"/>
      <c r="AJ291" s="33"/>
      <c r="AK291" s="35"/>
      <c r="AL291" s="32"/>
      <c r="AM291" s="34" t="s">
        <v>1298</v>
      </c>
      <c r="AN291" s="34"/>
      <c r="AO291" s="35"/>
      <c r="AR291" s="138" t="s">
        <v>115</v>
      </c>
      <c r="AS291" s="138">
        <v>79</v>
      </c>
      <c r="AT291" s="141">
        <v>42</v>
      </c>
      <c r="AU291" s="138"/>
      <c r="AV291" s="141"/>
      <c r="AW291" s="28"/>
      <c r="AX291" s="28"/>
      <c r="AY291" s="28"/>
      <c r="AZ291" s="28"/>
      <c r="BA291" s="141"/>
      <c r="BD291" s="195" t="s">
        <v>107</v>
      </c>
      <c r="BE291" s="134">
        <v>0</v>
      </c>
      <c r="BF291" s="136">
        <v>0</v>
      </c>
      <c r="BG291" s="135"/>
      <c r="BH291" s="135"/>
      <c r="BI291" s="135"/>
      <c r="BJ291" s="134"/>
      <c r="BK291" s="136"/>
      <c r="BL291" s="135"/>
      <c r="BM291" s="135" t="s">
        <v>92</v>
      </c>
      <c r="BN291" s="136"/>
    </row>
    <row r="292" spans="3:67" ht="15" thickBot="1" x14ac:dyDescent="0.35">
      <c r="C292" s="134"/>
      <c r="D292" s="134"/>
      <c r="E292" s="135"/>
      <c r="F292" s="134"/>
      <c r="G292" s="135"/>
      <c r="H292" s="135"/>
      <c r="I292" s="195"/>
      <c r="J292" s="135" t="s">
        <v>87</v>
      </c>
      <c r="K292" s="135"/>
      <c r="L292" s="136"/>
      <c r="N292" s="134"/>
      <c r="O292" s="134"/>
      <c r="P292" s="195"/>
      <c r="Q292" s="134"/>
      <c r="R292" s="195"/>
      <c r="S292" s="136"/>
      <c r="T292" s="134"/>
      <c r="U292" s="195"/>
      <c r="V292" s="134" t="s">
        <v>6</v>
      </c>
      <c r="W292" s="136"/>
      <c r="AD292" s="47" t="s">
        <v>1300</v>
      </c>
      <c r="AE292" s="47">
        <v>299</v>
      </c>
      <c r="AF292" s="49">
        <v>343</v>
      </c>
      <c r="AG292" s="48"/>
      <c r="AH292" s="48"/>
      <c r="AI292" s="48"/>
      <c r="AJ292" s="47"/>
      <c r="AK292" s="49"/>
      <c r="AL292" s="46"/>
      <c r="AM292" s="48">
        <v>9</v>
      </c>
      <c r="AN292" s="48" t="s">
        <v>145</v>
      </c>
      <c r="AO292" s="49"/>
      <c r="AR292" s="138" t="s">
        <v>72</v>
      </c>
      <c r="AS292" s="138">
        <v>0</v>
      </c>
      <c r="AT292" s="141">
        <v>3</v>
      </c>
      <c r="AU292" s="138"/>
      <c r="AV292" s="141"/>
      <c r="AW292" s="28"/>
      <c r="AX292" s="28"/>
      <c r="AY292" s="28"/>
      <c r="AZ292" s="28"/>
      <c r="BA292" s="141"/>
      <c r="BD292" s="196" t="s">
        <v>99</v>
      </c>
      <c r="BE292" s="138">
        <v>0</v>
      </c>
      <c r="BF292" s="141">
        <v>0</v>
      </c>
      <c r="BG292" s="28">
        <v>0</v>
      </c>
      <c r="BH292" s="28">
        <v>0</v>
      </c>
      <c r="BI292" s="28">
        <v>0</v>
      </c>
      <c r="BJ292" s="138">
        <v>75459</v>
      </c>
      <c r="BK292" s="141">
        <v>20907</v>
      </c>
      <c r="BL292" s="43">
        <v>25</v>
      </c>
      <c r="BM292" s="28" t="s">
        <v>100</v>
      </c>
      <c r="BN292" s="141"/>
    </row>
    <row r="293" spans="3:67" x14ac:dyDescent="0.3">
      <c r="C293" s="138" t="s">
        <v>93</v>
      </c>
      <c r="D293" s="138">
        <v>3735</v>
      </c>
      <c r="E293" s="28">
        <v>5155</v>
      </c>
      <c r="F293" s="138"/>
      <c r="G293" s="28" t="s">
        <v>60</v>
      </c>
      <c r="H293" s="28"/>
      <c r="I293" s="196">
        <v>5353</v>
      </c>
      <c r="J293" s="28">
        <v>1</v>
      </c>
      <c r="K293" s="28" t="s">
        <v>94</v>
      </c>
      <c r="L293" s="141"/>
      <c r="N293" s="138"/>
      <c r="O293" s="138"/>
      <c r="P293" s="196"/>
      <c r="Q293" s="138"/>
      <c r="R293" s="196"/>
      <c r="S293" s="141"/>
      <c r="T293" s="138"/>
      <c r="U293" s="196"/>
      <c r="V293" s="138"/>
      <c r="W293" s="141"/>
      <c r="AD293" s="42" t="s">
        <v>89</v>
      </c>
      <c r="AE293" s="42"/>
      <c r="AF293" s="40"/>
      <c r="AG293" s="28"/>
      <c r="AH293" s="28"/>
      <c r="AI293" s="28"/>
      <c r="AJ293" s="42"/>
      <c r="AK293" s="40"/>
      <c r="AL293" s="41"/>
      <c r="AM293" s="28" t="s">
        <v>90</v>
      </c>
      <c r="AN293" s="28"/>
      <c r="AO293" s="40"/>
      <c r="AR293" s="138" t="s">
        <v>78</v>
      </c>
      <c r="AS293" s="138">
        <v>28</v>
      </c>
      <c r="AT293" s="141">
        <v>4</v>
      </c>
      <c r="AU293" s="138"/>
      <c r="AV293" s="141"/>
      <c r="AW293" s="28"/>
      <c r="AX293" s="28"/>
      <c r="AY293" s="28"/>
      <c r="AZ293" s="28"/>
      <c r="BA293" s="141"/>
      <c r="BB293" t="s">
        <v>6</v>
      </c>
      <c r="BD293" s="199" t="s">
        <v>84</v>
      </c>
      <c r="BE293" s="138">
        <f>SUM(BE291:BE292)</f>
        <v>0</v>
      </c>
      <c r="BF293" s="141">
        <f>SUM(BF291:BF292)</f>
        <v>0</v>
      </c>
      <c r="BG293" s="143"/>
      <c r="BH293" s="143"/>
      <c r="BI293" s="143"/>
      <c r="BJ293" s="142"/>
      <c r="BK293" s="146"/>
      <c r="BL293" s="143">
        <v>0</v>
      </c>
      <c r="BM293" s="143" t="s">
        <v>506</v>
      </c>
      <c r="BN293" s="146">
        <f>SUM(BL292:BL293)</f>
        <v>25</v>
      </c>
    </row>
    <row r="294" spans="3:67" x14ac:dyDescent="0.3">
      <c r="C294" s="142"/>
      <c r="D294" s="142"/>
      <c r="E294" s="143"/>
      <c r="F294" s="142"/>
      <c r="G294" s="143"/>
      <c r="H294" s="143"/>
      <c r="I294" s="199"/>
      <c r="J294" s="143">
        <v>29</v>
      </c>
      <c r="K294" s="143" t="s">
        <v>101</v>
      </c>
      <c r="L294" s="146">
        <f>SUM(J293:J294)</f>
        <v>30</v>
      </c>
      <c r="N294" s="138"/>
      <c r="O294" s="138"/>
      <c r="P294" s="196"/>
      <c r="Q294" s="138"/>
      <c r="R294" s="196"/>
      <c r="S294" s="141"/>
      <c r="T294" s="138"/>
      <c r="U294" s="196"/>
      <c r="V294" s="138"/>
      <c r="W294" s="141"/>
      <c r="AD294" s="42" t="s">
        <v>137</v>
      </c>
      <c r="AE294" s="42"/>
      <c r="AF294" s="40"/>
      <c r="AG294" s="28">
        <v>0</v>
      </c>
      <c r="AH294" s="28">
        <v>0</v>
      </c>
      <c r="AI294" s="28">
        <v>0</v>
      </c>
      <c r="AJ294" s="42">
        <v>0</v>
      </c>
      <c r="AK294" s="40">
        <v>0</v>
      </c>
      <c r="AL294" s="41">
        <v>0</v>
      </c>
      <c r="AM294" s="28"/>
      <c r="AN294" s="28" t="s">
        <v>529</v>
      </c>
      <c r="AO294" s="40"/>
      <c r="AR294" s="138" t="s">
        <v>122</v>
      </c>
      <c r="AS294" s="138">
        <v>0</v>
      </c>
      <c r="AT294" s="141">
        <v>3</v>
      </c>
      <c r="AU294" s="138"/>
      <c r="AV294" s="141"/>
      <c r="AW294" s="28"/>
      <c r="AX294" s="28">
        <v>39</v>
      </c>
      <c r="AY294" s="28" t="s">
        <v>123</v>
      </c>
      <c r="AZ294" s="28" t="s">
        <v>6</v>
      </c>
      <c r="BA294" s="141"/>
      <c r="BD294" s="138" t="s">
        <v>89</v>
      </c>
      <c r="BE294" s="134">
        <v>787</v>
      </c>
      <c r="BF294" s="136">
        <v>745</v>
      </c>
      <c r="BJ294" s="134"/>
      <c r="BK294" s="135"/>
      <c r="BL294" s="134"/>
      <c r="BM294" s="135" t="s">
        <v>91</v>
      </c>
      <c r="BN294" s="136"/>
    </row>
    <row r="295" spans="3:67" ht="15" thickBot="1" x14ac:dyDescent="0.35">
      <c r="C295" s="138" t="s">
        <v>108</v>
      </c>
      <c r="D295" s="138">
        <v>0</v>
      </c>
      <c r="E295" s="28">
        <v>0</v>
      </c>
      <c r="F295" s="138"/>
      <c r="G295" s="28">
        <v>234</v>
      </c>
      <c r="H295" s="28"/>
      <c r="I295" s="196"/>
      <c r="J295" s="28" t="s">
        <v>104</v>
      </c>
      <c r="K295" s="28"/>
      <c r="L295" s="141"/>
      <c r="N295" s="142"/>
      <c r="O295" s="142"/>
      <c r="P295" s="199"/>
      <c r="Q295" s="142"/>
      <c r="R295" s="199"/>
      <c r="S295" s="146"/>
      <c r="T295" s="142"/>
      <c r="U295" s="199"/>
      <c r="V295" s="142"/>
      <c r="W295" s="146"/>
      <c r="AD295" s="42" t="s">
        <v>84</v>
      </c>
      <c r="AE295" s="244">
        <f>SUM(AE293:AE294)</f>
        <v>0</v>
      </c>
      <c r="AF295" s="245">
        <f>SUM(AF293:AF294)</f>
        <v>0</v>
      </c>
      <c r="AG295" s="28"/>
      <c r="AH295" s="28"/>
      <c r="AI295" s="28"/>
      <c r="AJ295" s="244"/>
      <c r="AK295" s="245"/>
      <c r="AL295" s="41"/>
      <c r="AM295" s="28"/>
      <c r="AN295" s="28" t="s">
        <v>98</v>
      </c>
      <c r="AO295" s="40"/>
      <c r="AR295" s="138" t="s">
        <v>125</v>
      </c>
      <c r="AS295" s="138">
        <v>0</v>
      </c>
      <c r="AT295" s="141">
        <v>0</v>
      </c>
      <c r="AU295" s="138"/>
      <c r="AV295" s="141"/>
      <c r="AW295" s="28"/>
      <c r="AX295" s="28">
        <v>29</v>
      </c>
      <c r="AY295" s="28" t="s">
        <v>126</v>
      </c>
      <c r="AZ295" s="28"/>
      <c r="BA295" s="141"/>
      <c r="BC295" t="s">
        <v>6</v>
      </c>
      <c r="BD295" s="138" t="s">
        <v>137</v>
      </c>
      <c r="BE295" s="138">
        <v>661</v>
      </c>
      <c r="BF295" s="141">
        <v>842</v>
      </c>
      <c r="BJ295" s="138"/>
      <c r="BK295" s="28"/>
      <c r="BL295" s="212"/>
      <c r="BM295" s="43"/>
      <c r="BN295" s="141"/>
    </row>
    <row r="296" spans="3:67" x14ac:dyDescent="0.3">
      <c r="C296" s="138" t="s">
        <v>109</v>
      </c>
      <c r="D296" s="138">
        <v>602</v>
      </c>
      <c r="E296" s="28">
        <v>941</v>
      </c>
      <c r="F296" s="138"/>
      <c r="G296" s="28">
        <v>0</v>
      </c>
      <c r="H296" s="28"/>
      <c r="I296" s="196"/>
      <c r="J296" s="28">
        <v>4</v>
      </c>
      <c r="K296" s="28" t="s">
        <v>114</v>
      </c>
      <c r="L296" s="141"/>
      <c r="N296" s="134"/>
      <c r="O296" s="134"/>
      <c r="P296" s="195"/>
      <c r="Q296" s="134"/>
      <c r="R296" s="195"/>
      <c r="S296" s="136"/>
      <c r="T296" s="134"/>
      <c r="U296" s="195"/>
      <c r="V296" s="134" t="s">
        <v>104</v>
      </c>
      <c r="W296" s="136"/>
      <c r="AD296" s="32" t="s">
        <v>108</v>
      </c>
      <c r="AE296" s="135"/>
      <c r="AF296" s="135"/>
      <c r="AG296" s="33"/>
      <c r="AH296" s="34"/>
      <c r="AI296" s="35"/>
      <c r="AJ296" s="135"/>
      <c r="AK296" s="135"/>
      <c r="AL296" s="32"/>
      <c r="AM296" s="34" t="s">
        <v>1284</v>
      </c>
      <c r="AN296" s="34"/>
      <c r="AO296" s="35"/>
      <c r="AR296" s="138" t="s">
        <v>128</v>
      </c>
      <c r="AS296" s="138">
        <v>4</v>
      </c>
      <c r="AT296" s="141">
        <v>0</v>
      </c>
      <c r="AU296" s="138"/>
      <c r="AV296" s="141"/>
      <c r="AW296" s="28"/>
      <c r="AX296" s="28">
        <v>33</v>
      </c>
      <c r="AY296" s="28" t="s">
        <v>129</v>
      </c>
      <c r="AZ296" s="28" t="s">
        <v>6</v>
      </c>
      <c r="BA296" s="141"/>
      <c r="BC296" t="s">
        <v>6</v>
      </c>
      <c r="BD296" s="138" t="s">
        <v>113</v>
      </c>
      <c r="BE296" s="138">
        <v>627</v>
      </c>
      <c r="BF296" s="141">
        <v>668</v>
      </c>
      <c r="BJ296" s="138"/>
      <c r="BK296" s="28"/>
      <c r="BL296" s="212">
        <v>58</v>
      </c>
      <c r="BM296" s="28" t="s">
        <v>73</v>
      </c>
      <c r="BN296" s="141"/>
    </row>
    <row r="297" spans="3:67" x14ac:dyDescent="0.3">
      <c r="C297" s="142" t="s">
        <v>84</v>
      </c>
      <c r="D297" s="142">
        <f>SUM(D295:D296)</f>
        <v>602</v>
      </c>
      <c r="E297" s="143">
        <f>SUM(E295:E296)</f>
        <v>941</v>
      </c>
      <c r="F297" s="142"/>
      <c r="G297" s="143">
        <f>SUM(G295:G296)</f>
        <v>234</v>
      </c>
      <c r="H297" s="143"/>
      <c r="I297" s="199">
        <v>1500</v>
      </c>
      <c r="J297" s="143"/>
      <c r="K297" s="143"/>
      <c r="L297" s="146">
        <f>SUM(J296)</f>
        <v>4</v>
      </c>
      <c r="N297" s="138" t="s">
        <v>109</v>
      </c>
      <c r="O297" s="138">
        <v>1915</v>
      </c>
      <c r="P297" s="196">
        <v>0</v>
      </c>
      <c r="Q297" s="138">
        <v>0</v>
      </c>
      <c r="R297" s="196">
        <v>0</v>
      </c>
      <c r="S297" s="141">
        <v>0</v>
      </c>
      <c r="T297" s="138">
        <v>0</v>
      </c>
      <c r="U297" s="196">
        <v>0</v>
      </c>
      <c r="V297" s="138"/>
      <c r="W297" s="141"/>
      <c r="AD297" s="41" t="s">
        <v>817</v>
      </c>
      <c r="AE297" s="28">
        <v>153</v>
      </c>
      <c r="AF297" s="43">
        <v>4531</v>
      </c>
      <c r="AG297" s="42">
        <v>0</v>
      </c>
      <c r="AH297" s="28">
        <v>0</v>
      </c>
      <c r="AI297" s="40">
        <v>0</v>
      </c>
      <c r="AJ297" s="28"/>
      <c r="AK297" s="28"/>
      <c r="AL297" s="41">
        <v>0</v>
      </c>
      <c r="AM297" s="28"/>
      <c r="AN297" s="28" t="s">
        <v>6</v>
      </c>
      <c r="AO297" s="40"/>
      <c r="AR297" s="138" t="s">
        <v>132</v>
      </c>
      <c r="AS297" s="138">
        <v>0</v>
      </c>
      <c r="AT297" s="141">
        <v>0</v>
      </c>
      <c r="AU297" s="138"/>
      <c r="AV297" s="141"/>
      <c r="AW297" s="28"/>
      <c r="AX297" s="28"/>
      <c r="AY297" s="28"/>
      <c r="AZ297" s="28"/>
      <c r="BA297" s="141"/>
      <c r="BB297" t="s">
        <v>6</v>
      </c>
      <c r="BD297" s="212" t="s">
        <v>97</v>
      </c>
      <c r="BE297" s="212">
        <v>563</v>
      </c>
      <c r="BF297" s="209">
        <v>372</v>
      </c>
      <c r="BJ297" s="138"/>
      <c r="BK297" s="28"/>
      <c r="BL297" s="138">
        <v>1</v>
      </c>
      <c r="BM297" s="43" t="s">
        <v>1598</v>
      </c>
      <c r="BN297" s="141"/>
    </row>
    <row r="298" spans="3:67" x14ac:dyDescent="0.3">
      <c r="C298" s="195" t="s">
        <v>785</v>
      </c>
      <c r="D298">
        <v>0</v>
      </c>
      <c r="E298" s="43">
        <v>0</v>
      </c>
      <c r="F298" s="134"/>
      <c r="G298" s="135"/>
      <c r="H298" s="136"/>
      <c r="I298" t="s">
        <v>6</v>
      </c>
      <c r="J298" s="134"/>
      <c r="K298" s="135"/>
      <c r="L298" s="136"/>
      <c r="N298" s="142"/>
      <c r="O298" s="142"/>
      <c r="P298" s="199"/>
      <c r="Q298" s="142"/>
      <c r="R298" s="199"/>
      <c r="S298" s="146"/>
      <c r="T298" s="142"/>
      <c r="U298" s="199"/>
      <c r="V298" s="142"/>
      <c r="W298" s="146"/>
      <c r="AD298" s="41" t="s">
        <v>164</v>
      </c>
      <c r="AE298" s="28"/>
      <c r="AF298" s="43"/>
      <c r="AG298" s="42">
        <v>0</v>
      </c>
      <c r="AH298" s="28"/>
      <c r="AI298" s="40">
        <v>0</v>
      </c>
      <c r="AJ298" s="28"/>
      <c r="AK298" s="28"/>
      <c r="AL298" s="41"/>
      <c r="AM298" s="28">
        <v>33</v>
      </c>
      <c r="AN298" s="43" t="s">
        <v>1285</v>
      </c>
      <c r="AO298" s="40"/>
      <c r="AR298" s="138" t="s">
        <v>81</v>
      </c>
      <c r="AS298" s="138">
        <v>12</v>
      </c>
      <c r="AT298" s="141">
        <v>4</v>
      </c>
      <c r="AU298" s="138"/>
      <c r="AV298" s="141"/>
      <c r="AW298" s="28"/>
      <c r="AX298" s="28"/>
      <c r="AY298" s="28"/>
      <c r="AZ298" s="28"/>
      <c r="BA298" s="141" t="s">
        <v>6</v>
      </c>
      <c r="BC298" t="s">
        <v>6</v>
      </c>
      <c r="BD298" s="212" t="s">
        <v>164</v>
      </c>
      <c r="BE298" s="212">
        <v>19</v>
      </c>
      <c r="BF298" s="209">
        <v>0</v>
      </c>
      <c r="BJ298" s="138"/>
      <c r="BK298" s="28"/>
      <c r="BL298" s="138">
        <v>26</v>
      </c>
      <c r="BM298" s="43" t="s">
        <v>1577</v>
      </c>
      <c r="BN298" s="28"/>
      <c r="BO298" s="138"/>
    </row>
    <row r="299" spans="3:67" x14ac:dyDescent="0.3">
      <c r="C299" s="196" t="s">
        <v>93</v>
      </c>
      <c r="D299" s="28">
        <f>162+7861</f>
        <v>8023</v>
      </c>
      <c r="E299" s="43">
        <v>8621</v>
      </c>
      <c r="F299" s="138"/>
      <c r="G299" s="28"/>
      <c r="H299" s="141"/>
      <c r="I299" s="28">
        <v>9635</v>
      </c>
      <c r="J299" s="138" t="s">
        <v>118</v>
      </c>
      <c r="K299" s="28"/>
      <c r="L299" s="141"/>
      <c r="N299" s="134" t="s">
        <v>93</v>
      </c>
      <c r="O299" s="134">
        <v>2</v>
      </c>
      <c r="P299" s="195">
        <v>0</v>
      </c>
      <c r="Q299" s="134"/>
      <c r="R299" s="195"/>
      <c r="S299" s="136"/>
      <c r="T299" s="134">
        <v>0</v>
      </c>
      <c r="U299" s="195">
        <v>0</v>
      </c>
      <c r="V299" s="134" t="s">
        <v>116</v>
      </c>
      <c r="W299" s="136"/>
      <c r="AD299" s="41" t="s">
        <v>1347</v>
      </c>
      <c r="AE299" s="43"/>
      <c r="AF299" s="43"/>
      <c r="AG299" s="42"/>
      <c r="AH299" s="28"/>
      <c r="AI299" s="40"/>
      <c r="AL299" s="41"/>
      <c r="AM299" s="28"/>
      <c r="AN299" s="28"/>
      <c r="AO299" s="40"/>
      <c r="AR299" s="138" t="s">
        <v>1599</v>
      </c>
      <c r="AS299" s="138">
        <v>2</v>
      </c>
      <c r="AT299" s="141">
        <v>9</v>
      </c>
      <c r="AU299" s="138"/>
      <c r="AV299" s="141"/>
      <c r="AW299" s="28"/>
      <c r="AX299" s="28"/>
      <c r="AY299" s="28"/>
      <c r="AZ299" s="28"/>
      <c r="BA299" s="141"/>
      <c r="BD299" s="138" t="s">
        <v>84</v>
      </c>
      <c r="BE299" s="138">
        <f>SUM(BE294:BE298)</f>
        <v>2657</v>
      </c>
      <c r="BF299" s="141">
        <f>SUM(BF294:BF298)</f>
        <v>2627</v>
      </c>
      <c r="BG299">
        <v>0</v>
      </c>
      <c r="BH299">
        <v>0</v>
      </c>
      <c r="BI299">
        <v>0</v>
      </c>
      <c r="BJ299" s="142">
        <v>0</v>
      </c>
      <c r="BK299" s="143">
        <v>0</v>
      </c>
      <c r="BL299" s="142"/>
      <c r="BM299" s="143" t="s">
        <v>6</v>
      </c>
      <c r="BN299" s="146">
        <f>SUM(BL295:BL299)</f>
        <v>85</v>
      </c>
    </row>
    <row r="300" spans="3:67" ht="15" thickBot="1" x14ac:dyDescent="0.35">
      <c r="C300" s="196" t="s">
        <v>120</v>
      </c>
      <c r="D300" s="43">
        <v>4377</v>
      </c>
      <c r="E300" s="43">
        <v>5535</v>
      </c>
      <c r="F300" s="138"/>
      <c r="G300" s="28" t="s">
        <v>60</v>
      </c>
      <c r="H300" s="141"/>
      <c r="I300" s="28">
        <v>5996</v>
      </c>
      <c r="J300" s="138">
        <v>67</v>
      </c>
      <c r="K300" s="28" t="s">
        <v>101</v>
      </c>
      <c r="L300" s="141"/>
      <c r="N300" s="138" t="s">
        <v>99</v>
      </c>
      <c r="O300" s="138">
        <v>10262</v>
      </c>
      <c r="P300" s="196">
        <v>9147</v>
      </c>
      <c r="Q300" s="138"/>
      <c r="R300" s="196"/>
      <c r="S300" s="141"/>
      <c r="T300" s="138">
        <v>2700</v>
      </c>
      <c r="U300" s="196">
        <v>199</v>
      </c>
      <c r="V300" s="138"/>
      <c r="W300" s="141"/>
      <c r="AD300" s="46" t="s">
        <v>1120</v>
      </c>
      <c r="AF300" s="43"/>
      <c r="AG300" s="42"/>
      <c r="AH300" s="28"/>
      <c r="AI300" s="40"/>
      <c r="AL300" s="41"/>
      <c r="AM300" s="28"/>
      <c r="AN300" s="28"/>
      <c r="AO300" s="40"/>
      <c r="AR300" s="138" t="s">
        <v>56</v>
      </c>
      <c r="AS300" s="138">
        <v>5</v>
      </c>
      <c r="AT300" s="141">
        <v>0</v>
      </c>
      <c r="AU300" s="138"/>
      <c r="AV300" s="141"/>
      <c r="AW300" s="28"/>
      <c r="AX300" s="28"/>
      <c r="AY300" s="28"/>
      <c r="AZ300" s="28"/>
      <c r="BA300" s="141"/>
      <c r="BD300" s="134"/>
      <c r="BE300" s="134"/>
      <c r="BF300" s="136"/>
      <c r="BG300" s="135"/>
      <c r="BH300" s="135"/>
      <c r="BI300" s="135"/>
      <c r="BJ300" s="134"/>
      <c r="BK300" s="136"/>
      <c r="BL300" s="135" t="s">
        <v>1025</v>
      </c>
      <c r="BM300" s="135"/>
      <c r="BN300" s="136"/>
    </row>
    <row r="301" spans="3:67" ht="15" thickBot="1" x14ac:dyDescent="0.35">
      <c r="C301" s="199" t="s">
        <v>84</v>
      </c>
      <c r="D301" s="143">
        <f>SUM(D298:D300)</f>
        <v>12400</v>
      </c>
      <c r="E301" s="143">
        <f>SUM(E298:E300)</f>
        <v>14156</v>
      </c>
      <c r="F301" s="142"/>
      <c r="G301" s="143"/>
      <c r="H301" s="146"/>
      <c r="I301" s="143">
        <f>SUM(I298:I300)</f>
        <v>15631</v>
      </c>
      <c r="J301" s="142">
        <v>27</v>
      </c>
      <c r="K301" s="143" t="s">
        <v>927</v>
      </c>
      <c r="L301" s="146">
        <f>SUM(J300:J301)</f>
        <v>94</v>
      </c>
      <c r="N301" s="138" t="s">
        <v>120</v>
      </c>
      <c r="O301" s="138">
        <v>388</v>
      </c>
      <c r="P301" s="196">
        <v>11628</v>
      </c>
      <c r="Q301" s="138"/>
      <c r="R301" s="196"/>
      <c r="S301" s="141"/>
      <c r="T301" s="138">
        <v>0</v>
      </c>
      <c r="U301" s="196">
        <v>0</v>
      </c>
      <c r="V301" s="138"/>
      <c r="W301" s="141"/>
      <c r="AD301" s="42" t="s">
        <v>84</v>
      </c>
      <c r="AE301" s="42">
        <f>SUM(AE296:AE300)</f>
        <v>153</v>
      </c>
      <c r="AF301" s="28">
        <f>SUM(AF296:AF300)</f>
        <v>4531</v>
      </c>
      <c r="AG301" s="47">
        <v>0</v>
      </c>
      <c r="AH301" s="48">
        <v>0</v>
      </c>
      <c r="AI301" s="49">
        <v>0</v>
      </c>
      <c r="AJ301" s="28"/>
      <c r="AK301" s="28"/>
      <c r="AL301" s="46"/>
      <c r="AM301" s="48"/>
      <c r="AN301" s="48"/>
      <c r="AO301" s="49"/>
      <c r="AR301" s="138" t="s">
        <v>67</v>
      </c>
      <c r="AS301" s="138">
        <v>74</v>
      </c>
      <c r="AT301" s="141">
        <v>68</v>
      </c>
      <c r="AU301" s="138"/>
      <c r="AV301" s="141"/>
      <c r="AW301" s="28"/>
      <c r="AX301" s="28"/>
      <c r="AY301" s="28"/>
      <c r="AZ301" s="28"/>
      <c r="BA301" s="141"/>
      <c r="BD301" s="142" t="s">
        <v>64</v>
      </c>
      <c r="BE301" s="142">
        <v>66</v>
      </c>
      <c r="BF301" s="146">
        <v>78</v>
      </c>
      <c r="BG301" s="143">
        <v>0</v>
      </c>
      <c r="BH301" s="143">
        <v>0</v>
      </c>
      <c r="BI301" s="143">
        <v>0</v>
      </c>
      <c r="BJ301" s="142">
        <v>0</v>
      </c>
      <c r="BK301" s="146">
        <v>0</v>
      </c>
      <c r="BL301" s="143">
        <v>9</v>
      </c>
      <c r="BM301" s="143" t="s">
        <v>1026</v>
      </c>
      <c r="BN301" s="146">
        <f>SUM(BL301)</f>
        <v>9</v>
      </c>
      <c r="BO301" t="s">
        <v>6</v>
      </c>
    </row>
    <row r="302" spans="3:67" x14ac:dyDescent="0.3">
      <c r="C302" s="195"/>
      <c r="D302" s="43"/>
      <c r="E302" s="43"/>
      <c r="F302" s="134"/>
      <c r="G302" s="135"/>
      <c r="H302" s="136"/>
      <c r="I302" s="43"/>
      <c r="J302" s="134"/>
      <c r="K302" s="135"/>
      <c r="L302" s="136"/>
      <c r="N302" s="142" t="s">
        <v>84</v>
      </c>
      <c r="O302" s="142">
        <f>SUM(O299:O301)</f>
        <v>10652</v>
      </c>
      <c r="P302" s="199">
        <f>SUM(P299:P301)</f>
        <v>20775</v>
      </c>
      <c r="Q302" s="142">
        <v>0</v>
      </c>
      <c r="R302" s="199">
        <v>0</v>
      </c>
      <c r="S302" s="146">
        <v>0</v>
      </c>
      <c r="T302" s="142">
        <f>SUM(T299:T301)</f>
        <v>2700</v>
      </c>
      <c r="U302" s="199">
        <f>SUM(U299:U301)</f>
        <v>199</v>
      </c>
      <c r="V302" s="142"/>
      <c r="W302" s="146"/>
      <c r="AD302" s="33"/>
      <c r="AE302" s="33"/>
      <c r="AF302" s="35"/>
      <c r="AG302" s="34"/>
      <c r="AH302" s="34"/>
      <c r="AI302" s="34"/>
      <c r="AJ302" s="33"/>
      <c r="AK302" s="35"/>
      <c r="AL302" s="32"/>
      <c r="AM302" s="34"/>
      <c r="AN302" s="34" t="s">
        <v>117</v>
      </c>
      <c r="AO302" s="35"/>
      <c r="AR302" s="142" t="s">
        <v>84</v>
      </c>
      <c r="AS302" s="142">
        <f>SUM(AS290:AS301)</f>
        <v>291</v>
      </c>
      <c r="AT302" s="146">
        <f>SUM(AT290:AT301)</f>
        <v>205</v>
      </c>
      <c r="AU302" s="142"/>
      <c r="AV302" s="146">
        <v>0</v>
      </c>
      <c r="AW302" s="143"/>
      <c r="AX302" s="143"/>
      <c r="AY302" s="143"/>
      <c r="AZ302" s="143"/>
      <c r="BA302" s="146">
        <f>SUM(AX294:AX296)</f>
        <v>101</v>
      </c>
      <c r="BD302" s="138" t="s">
        <v>113</v>
      </c>
      <c r="BE302" s="138">
        <v>521</v>
      </c>
      <c r="BF302" s="141">
        <v>562</v>
      </c>
      <c r="BG302" s="28"/>
      <c r="BH302" s="28"/>
      <c r="BI302" s="28"/>
      <c r="BJ302" s="138"/>
      <c r="BK302" s="141"/>
      <c r="BL302" s="28" t="s">
        <v>994</v>
      </c>
      <c r="BM302" s="28"/>
      <c r="BN302" s="141"/>
    </row>
    <row r="303" spans="3:67" ht="15" thickBot="1" x14ac:dyDescent="0.35">
      <c r="C303" s="196"/>
      <c r="D303" s="28"/>
      <c r="E303" s="28"/>
      <c r="F303" s="138"/>
      <c r="G303" s="28"/>
      <c r="H303" s="141"/>
      <c r="I303" s="43"/>
      <c r="J303" s="138"/>
      <c r="K303" s="28"/>
      <c r="L303" s="141"/>
      <c r="N303" s="134"/>
      <c r="O303" s="134"/>
      <c r="P303" s="195"/>
      <c r="Q303" s="134"/>
      <c r="R303" s="195"/>
      <c r="S303" s="136"/>
      <c r="T303" s="134"/>
      <c r="U303" s="195"/>
      <c r="V303" s="134"/>
      <c r="W303" s="136"/>
      <c r="AD303" s="47"/>
      <c r="AE303" s="47"/>
      <c r="AF303" s="49"/>
      <c r="AG303" s="48"/>
      <c r="AH303" s="48"/>
      <c r="AI303" s="48"/>
      <c r="AJ303" s="47"/>
      <c r="AK303" s="49"/>
      <c r="AL303" s="46"/>
      <c r="AM303" s="48"/>
      <c r="AN303" s="48" t="s">
        <v>124</v>
      </c>
      <c r="AO303" s="49"/>
      <c r="AR303" s="134"/>
      <c r="AS303" s="134"/>
      <c r="AT303" s="136"/>
      <c r="AU303" s="134"/>
      <c r="AV303" s="136"/>
      <c r="AW303" s="135"/>
      <c r="AX303" s="135"/>
      <c r="AY303" s="135"/>
      <c r="AZ303" s="135"/>
      <c r="BA303" s="136"/>
      <c r="BD303" s="138" t="s">
        <v>133</v>
      </c>
      <c r="BE303" s="138">
        <v>0</v>
      </c>
      <c r="BF303" s="141">
        <v>0</v>
      </c>
      <c r="BG303" s="28"/>
      <c r="BH303" s="28"/>
      <c r="BI303" s="28"/>
      <c r="BJ303" s="138"/>
      <c r="BK303" s="141"/>
      <c r="BL303" s="28">
        <v>31</v>
      </c>
      <c r="BM303" s="28" t="s">
        <v>100</v>
      </c>
      <c r="BN303" s="141"/>
    </row>
    <row r="304" spans="3:67" x14ac:dyDescent="0.3">
      <c r="C304" s="196"/>
      <c r="D304" s="28"/>
      <c r="E304" s="43"/>
      <c r="F304" s="138"/>
      <c r="G304" s="28"/>
      <c r="H304" s="141"/>
      <c r="I304" s="43"/>
      <c r="J304" s="138"/>
      <c r="K304" s="28"/>
      <c r="L304" s="141"/>
      <c r="N304" s="138" t="s">
        <v>105</v>
      </c>
      <c r="O304" s="138">
        <v>873</v>
      </c>
      <c r="P304" s="196">
        <v>0</v>
      </c>
      <c r="Q304" s="138" t="s">
        <v>6</v>
      </c>
      <c r="R304" s="196"/>
      <c r="S304" s="141"/>
      <c r="T304" s="138">
        <v>0</v>
      </c>
      <c r="U304" s="196">
        <v>0</v>
      </c>
      <c r="V304" s="138"/>
      <c r="W304" s="141"/>
      <c r="AD304" s="33" t="s">
        <v>97</v>
      </c>
      <c r="AE304" s="33">
        <v>100</v>
      </c>
      <c r="AF304" s="35">
        <v>56</v>
      </c>
      <c r="AG304" s="34"/>
      <c r="AH304" s="34"/>
      <c r="AI304" s="34"/>
      <c r="AJ304" s="33"/>
      <c r="AK304" s="35"/>
      <c r="AL304" s="32"/>
      <c r="AM304" s="34"/>
      <c r="AN304" s="34"/>
      <c r="AO304" s="35"/>
      <c r="AR304" s="138" t="s">
        <v>56</v>
      </c>
      <c r="AS304" s="138">
        <v>0</v>
      </c>
      <c r="AT304" s="141">
        <v>0</v>
      </c>
      <c r="AU304" s="138"/>
      <c r="AV304" s="141"/>
      <c r="AW304" s="28"/>
      <c r="AX304" s="28" t="s">
        <v>173</v>
      </c>
      <c r="AY304" s="28"/>
      <c r="AZ304" s="28"/>
      <c r="BA304" s="141"/>
      <c r="BD304" s="142" t="s">
        <v>84</v>
      </c>
      <c r="BE304" s="142">
        <f>SUM(BE302:BE303)</f>
        <v>521</v>
      </c>
      <c r="BF304" s="146">
        <f>SUM(BF302:BF303)</f>
        <v>562</v>
      </c>
      <c r="BG304" s="143">
        <v>0</v>
      </c>
      <c r="BH304" s="143">
        <v>0</v>
      </c>
      <c r="BI304" s="143">
        <v>0</v>
      </c>
      <c r="BJ304" s="142">
        <v>0</v>
      </c>
      <c r="BK304" s="146">
        <v>0</v>
      </c>
      <c r="BL304" s="43">
        <v>14</v>
      </c>
      <c r="BM304" s="43" t="s">
        <v>73</v>
      </c>
      <c r="BN304" s="146">
        <f>SUM(BL303:BL304)</f>
        <v>45</v>
      </c>
    </row>
    <row r="305" spans="3:66" x14ac:dyDescent="0.3">
      <c r="C305" s="196"/>
      <c r="D305" s="28"/>
      <c r="E305" s="28"/>
      <c r="F305" s="138"/>
      <c r="G305" s="28"/>
      <c r="H305" s="141"/>
      <c r="I305" s="28"/>
      <c r="J305" s="138"/>
      <c r="K305" s="257"/>
      <c r="L305" s="141"/>
      <c r="N305" s="138" t="s">
        <v>99</v>
      </c>
      <c r="O305" s="138">
        <v>0</v>
      </c>
      <c r="P305" s="196">
        <v>0</v>
      </c>
      <c r="Q305" s="138"/>
      <c r="R305" s="196"/>
      <c r="S305" s="141"/>
      <c r="T305" s="138">
        <v>0</v>
      </c>
      <c r="U305" s="196">
        <v>0</v>
      </c>
      <c r="V305" s="138" t="s">
        <v>135</v>
      </c>
      <c r="W305" s="141"/>
      <c r="AD305" s="42" t="s">
        <v>89</v>
      </c>
      <c r="AE305" s="42">
        <v>456</v>
      </c>
      <c r="AF305" s="40">
        <v>439</v>
      </c>
      <c r="AG305" s="28"/>
      <c r="AH305" s="28"/>
      <c r="AI305" s="28"/>
      <c r="AJ305" s="42"/>
      <c r="AK305" s="40"/>
      <c r="AL305" s="41"/>
      <c r="AM305" s="28" t="s">
        <v>953</v>
      </c>
      <c r="AN305" s="28"/>
      <c r="AO305" s="40"/>
      <c r="AR305" s="138" t="s">
        <v>67</v>
      </c>
      <c r="AS305" s="138">
        <v>0</v>
      </c>
      <c r="AT305" s="141">
        <v>0</v>
      </c>
      <c r="AU305" s="138"/>
      <c r="AV305" s="141"/>
      <c r="AW305" s="28"/>
      <c r="AX305" s="28"/>
      <c r="AY305" s="28"/>
      <c r="AZ305" s="28"/>
      <c r="BA305" s="141"/>
      <c r="BD305" s="196" t="s">
        <v>467</v>
      </c>
      <c r="BE305" s="138">
        <v>0</v>
      </c>
      <c r="BF305" s="141">
        <v>2</v>
      </c>
      <c r="BG305" s="134"/>
      <c r="BH305" s="135"/>
      <c r="BI305" s="136"/>
      <c r="BJ305" s="138"/>
      <c r="BK305" s="141"/>
      <c r="BL305" s="134" t="s">
        <v>140</v>
      </c>
      <c r="BM305" s="135"/>
      <c r="BN305" s="136"/>
    </row>
    <row r="306" spans="3:66" x14ac:dyDescent="0.3">
      <c r="C306" s="199"/>
      <c r="F306" s="142"/>
      <c r="G306" s="143"/>
      <c r="H306" s="146"/>
      <c r="J306" s="142"/>
      <c r="K306" s="143"/>
      <c r="L306" s="141"/>
      <c r="N306" s="138"/>
      <c r="O306" s="138"/>
      <c r="P306" s="196"/>
      <c r="Q306" s="138"/>
      <c r="R306" s="196"/>
      <c r="S306" s="141"/>
      <c r="T306" s="138"/>
      <c r="U306" s="196"/>
      <c r="V306" s="138"/>
      <c r="W306" s="141"/>
      <c r="AD306" s="42" t="s">
        <v>137</v>
      </c>
      <c r="AE306" s="42">
        <v>237</v>
      </c>
      <c r="AF306" s="40">
        <v>278</v>
      </c>
      <c r="AG306" s="28"/>
      <c r="AH306" s="28"/>
      <c r="AI306" s="28"/>
      <c r="AJ306" s="42"/>
      <c r="AK306" s="40"/>
      <c r="AL306" s="41"/>
      <c r="AM306" s="28">
        <v>2</v>
      </c>
      <c r="AN306" s="28" t="s">
        <v>884</v>
      </c>
      <c r="AO306" s="40"/>
      <c r="AR306" s="138" t="s">
        <v>78</v>
      </c>
      <c r="AS306" s="138">
        <v>0</v>
      </c>
      <c r="AT306" s="141">
        <v>0</v>
      </c>
      <c r="AU306" s="138"/>
      <c r="AV306" s="141"/>
      <c r="AW306" s="28"/>
      <c r="AX306" s="28">
        <v>0</v>
      </c>
      <c r="AY306" s="28" t="s">
        <v>183</v>
      </c>
      <c r="AZ306" s="28"/>
      <c r="BA306" s="141"/>
      <c r="BD306" s="196" t="s">
        <v>158</v>
      </c>
      <c r="BE306" s="138">
        <v>2</v>
      </c>
      <c r="BF306" s="141">
        <v>2</v>
      </c>
      <c r="BG306" s="138"/>
      <c r="BH306" s="28"/>
      <c r="BI306" s="141"/>
      <c r="BJ306" s="138"/>
      <c r="BK306" s="141"/>
      <c r="BL306" s="138"/>
      <c r="BM306" s="28"/>
      <c r="BN306" s="141"/>
    </row>
    <row r="307" spans="3:66" x14ac:dyDescent="0.3">
      <c r="C307" s="134" t="s">
        <v>93</v>
      </c>
      <c r="D307" s="134">
        <v>4334</v>
      </c>
      <c r="E307" s="135">
        <v>4971</v>
      </c>
      <c r="F307" s="134"/>
      <c r="G307" s="135" t="s">
        <v>60</v>
      </c>
      <c r="H307" s="135"/>
      <c r="I307" s="195">
        <v>5762</v>
      </c>
      <c r="J307" s="135" t="s">
        <v>116</v>
      </c>
      <c r="K307" s="135"/>
      <c r="L307" s="136"/>
      <c r="N307" s="142" t="s">
        <v>84</v>
      </c>
      <c r="O307" s="142">
        <f>SUM(O304:O306)</f>
        <v>873</v>
      </c>
      <c r="P307" s="199">
        <f>SUM(P304:P306)</f>
        <v>0</v>
      </c>
      <c r="Q307" s="142">
        <v>0</v>
      </c>
      <c r="R307" s="199">
        <v>0</v>
      </c>
      <c r="S307" s="146">
        <v>0</v>
      </c>
      <c r="T307" s="142">
        <f>SUM(T304:T306)</f>
        <v>0</v>
      </c>
      <c r="U307" s="199">
        <f>SUM(U304:U305)</f>
        <v>0</v>
      </c>
      <c r="V307" s="142"/>
      <c r="W307" s="146"/>
      <c r="AD307" s="42" t="s">
        <v>84</v>
      </c>
      <c r="AE307" s="42">
        <f>SUM(AE304:AE306)</f>
        <v>793</v>
      </c>
      <c r="AF307" s="40">
        <f>SUM(AF304:AF306)</f>
        <v>773</v>
      </c>
      <c r="AG307" s="28">
        <v>0</v>
      </c>
      <c r="AH307" s="28">
        <v>0</v>
      </c>
      <c r="AI307" s="28">
        <v>0</v>
      </c>
      <c r="AJ307" s="42">
        <v>0</v>
      </c>
      <c r="AK307" s="40">
        <v>0</v>
      </c>
      <c r="AL307" s="41">
        <v>0</v>
      </c>
      <c r="AM307" s="43">
        <v>18</v>
      </c>
      <c r="AN307" s="28" t="s">
        <v>141</v>
      </c>
      <c r="AO307" s="40"/>
      <c r="AR307" s="142" t="s">
        <v>84</v>
      </c>
      <c r="AS307" s="142">
        <f>SUM(AS304:AS306)</f>
        <v>0</v>
      </c>
      <c r="AT307" s="146">
        <f>SUM(AT304:AT306)</f>
        <v>0</v>
      </c>
      <c r="AU307" s="142"/>
      <c r="AV307" s="146"/>
      <c r="AW307" s="143"/>
      <c r="AX307" s="143"/>
      <c r="AY307" s="143"/>
      <c r="AZ307" s="143"/>
      <c r="BA307" s="146">
        <f>SUM(AX306)</f>
        <v>0</v>
      </c>
      <c r="BD307" s="196" t="s">
        <v>211</v>
      </c>
      <c r="BE307" s="138">
        <f>10+3</f>
        <v>13</v>
      </c>
      <c r="BF307" s="141">
        <v>0</v>
      </c>
      <c r="BG307" s="138"/>
      <c r="BH307" s="28"/>
      <c r="BI307" s="141"/>
      <c r="BJ307" s="138"/>
      <c r="BK307" s="141"/>
      <c r="BL307" s="138"/>
      <c r="BM307" s="28"/>
      <c r="BN307" s="141"/>
    </row>
    <row r="308" spans="3:66" ht="15" thickBot="1" x14ac:dyDescent="0.35">
      <c r="C308" s="138" t="s">
        <v>99</v>
      </c>
      <c r="D308" s="138">
        <v>10580</v>
      </c>
      <c r="E308" s="43">
        <v>11915</v>
      </c>
      <c r="F308" s="138"/>
      <c r="G308" s="28" t="s">
        <v>60</v>
      </c>
      <c r="H308" s="28"/>
      <c r="I308" s="196">
        <v>14827</v>
      </c>
      <c r="J308" s="43">
        <v>158</v>
      </c>
      <c r="K308" s="28" t="s">
        <v>144</v>
      </c>
      <c r="L308" s="141"/>
      <c r="N308" s="138"/>
      <c r="O308" s="138"/>
      <c r="P308" s="196"/>
      <c r="Q308" s="138"/>
      <c r="R308" s="196"/>
      <c r="S308" s="141"/>
      <c r="T308" s="138"/>
      <c r="U308" s="196"/>
      <c r="V308" s="138"/>
      <c r="W308" s="141"/>
      <c r="AD308" s="47"/>
      <c r="AE308" s="47"/>
      <c r="AF308" s="49"/>
      <c r="AG308" s="48"/>
      <c r="AH308" s="48"/>
      <c r="AI308" s="48"/>
      <c r="AJ308" s="47"/>
      <c r="AK308" s="49"/>
      <c r="AL308" s="46"/>
      <c r="AM308" s="48">
        <v>1</v>
      </c>
      <c r="AN308" s="48" t="s">
        <v>996</v>
      </c>
      <c r="AO308" s="49"/>
      <c r="AR308" s="134"/>
      <c r="AS308" s="134"/>
      <c r="AT308" s="136"/>
      <c r="AU308" s="134"/>
      <c r="AV308" s="136"/>
      <c r="AW308" s="135"/>
      <c r="AX308" s="28" t="s">
        <v>140</v>
      </c>
      <c r="AY308" s="135"/>
      <c r="AZ308" s="135"/>
      <c r="BA308" s="136"/>
      <c r="BC308" t="s">
        <v>6</v>
      </c>
      <c r="BD308" s="196" t="s">
        <v>113</v>
      </c>
      <c r="BE308" s="138">
        <f>6+49</f>
        <v>55</v>
      </c>
      <c r="BF308" s="141">
        <f>45+4+2</f>
        <v>51</v>
      </c>
      <c r="BG308" s="138"/>
      <c r="BH308" s="28"/>
      <c r="BI308" s="141" t="s">
        <v>6</v>
      </c>
      <c r="BJ308" s="138"/>
      <c r="BK308" s="141"/>
      <c r="BL308" s="138" t="s">
        <v>142</v>
      </c>
      <c r="BM308" s="28"/>
      <c r="BN308" s="141" t="s">
        <v>1600</v>
      </c>
    </row>
    <row r="309" spans="3:66" x14ac:dyDescent="0.3">
      <c r="C309" s="138" t="s">
        <v>120</v>
      </c>
      <c r="D309" s="138">
        <v>3867</v>
      </c>
      <c r="E309" s="43">
        <v>4159</v>
      </c>
      <c r="F309" s="138"/>
      <c r="G309" s="28" t="s">
        <v>60</v>
      </c>
      <c r="H309" s="28"/>
      <c r="I309" s="196">
        <v>5112</v>
      </c>
      <c r="J309" s="43"/>
      <c r="K309" s="28" t="s">
        <v>148</v>
      </c>
      <c r="L309" s="141"/>
      <c r="N309" s="138"/>
      <c r="O309" s="138"/>
      <c r="P309" s="196"/>
      <c r="Q309" s="138"/>
      <c r="R309" s="196"/>
      <c r="S309" s="141"/>
      <c r="T309" s="138"/>
      <c r="U309" s="196"/>
      <c r="V309" s="138"/>
      <c r="W309" s="141"/>
      <c r="AD309" s="42"/>
      <c r="AE309" s="42"/>
      <c r="AF309" s="40"/>
      <c r="AG309" s="28"/>
      <c r="AH309" s="28"/>
      <c r="AI309" s="28"/>
      <c r="AJ309" s="42"/>
      <c r="AK309" s="40"/>
      <c r="AL309" s="41"/>
      <c r="AM309" s="28" t="s">
        <v>149</v>
      </c>
      <c r="AN309" s="28"/>
      <c r="AO309" s="40"/>
      <c r="AP309" t="s">
        <v>6</v>
      </c>
      <c r="AR309" s="138" t="s">
        <v>63</v>
      </c>
      <c r="AS309" s="138">
        <f>6+10</f>
        <v>16</v>
      </c>
      <c r="AT309" s="141">
        <f>2+6+1</f>
        <v>9</v>
      </c>
      <c r="AU309" s="138"/>
      <c r="AV309" s="141"/>
      <c r="AW309" s="28"/>
      <c r="AX309">
        <v>2</v>
      </c>
      <c r="AY309" s="28" t="s">
        <v>1143</v>
      </c>
      <c r="AZ309" s="28"/>
      <c r="BA309" s="141"/>
      <c r="BD309" s="196" t="s">
        <v>174</v>
      </c>
      <c r="BE309" s="138">
        <v>0</v>
      </c>
      <c r="BF309" s="141">
        <v>0</v>
      </c>
      <c r="BG309" s="138"/>
      <c r="BH309" s="28"/>
      <c r="BI309" s="141"/>
      <c r="BJ309" s="138"/>
      <c r="BK309" s="141"/>
      <c r="BL309" s="138" t="s">
        <v>146</v>
      </c>
      <c r="BM309" s="28"/>
      <c r="BN309" s="141" t="s">
        <v>1601</v>
      </c>
    </row>
    <row r="310" spans="3:66" x14ac:dyDescent="0.3">
      <c r="C310" s="138" t="s">
        <v>84</v>
      </c>
      <c r="D310" s="138">
        <f>SUM(D307:D309)</f>
        <v>18781</v>
      </c>
      <c r="E310" s="28">
        <f>SUM(E307:E309)</f>
        <v>21045</v>
      </c>
      <c r="F310" s="138"/>
      <c r="G310" s="28" t="s">
        <v>60</v>
      </c>
      <c r="H310" s="28"/>
      <c r="I310" s="196">
        <f>SUM(I307:I309)</f>
        <v>25701</v>
      </c>
      <c r="J310" s="43"/>
      <c r="K310" s="28" t="s">
        <v>152</v>
      </c>
      <c r="L310" s="141"/>
      <c r="N310" s="138"/>
      <c r="O310" s="138"/>
      <c r="P310" s="196"/>
      <c r="Q310" s="138"/>
      <c r="R310" s="196"/>
      <c r="S310" s="141"/>
      <c r="T310" s="138"/>
      <c r="U310" s="196"/>
      <c r="V310" s="138"/>
      <c r="W310" s="141"/>
      <c r="AA310" t="s">
        <v>6</v>
      </c>
      <c r="AD310" s="42" t="s">
        <v>99</v>
      </c>
      <c r="AE310" s="42">
        <v>0</v>
      </c>
      <c r="AF310" s="40">
        <v>0</v>
      </c>
      <c r="AG310" s="28">
        <v>0</v>
      </c>
      <c r="AH310" s="28">
        <v>0</v>
      </c>
      <c r="AI310" s="28">
        <v>0</v>
      </c>
      <c r="AJ310" s="42">
        <v>43137</v>
      </c>
      <c r="AK310" s="40">
        <v>10053</v>
      </c>
      <c r="AL310" s="41">
        <v>0</v>
      </c>
      <c r="AM310" s="43">
        <v>4</v>
      </c>
      <c r="AN310" s="28" t="s">
        <v>153</v>
      </c>
      <c r="AO310" s="40"/>
      <c r="AR310" s="138" t="s">
        <v>78</v>
      </c>
      <c r="AS310" s="138">
        <f>6+15+3+5</f>
        <v>29</v>
      </c>
      <c r="AT310" s="141">
        <f>4+15+3+15</f>
        <v>37</v>
      </c>
      <c r="AU310" s="138"/>
      <c r="AV310" s="141"/>
      <c r="AW310" s="28"/>
      <c r="AX310" s="28">
        <v>1</v>
      </c>
      <c r="AY310" s="28" t="s">
        <v>1579</v>
      </c>
      <c r="AZ310" s="28"/>
      <c r="BA310" s="141"/>
      <c r="BD310" s="196" t="s">
        <v>1602</v>
      </c>
      <c r="BE310" s="138">
        <v>3</v>
      </c>
      <c r="BF310" s="141">
        <v>2</v>
      </c>
      <c r="BG310" s="138"/>
      <c r="BH310" s="28"/>
      <c r="BI310" s="141"/>
      <c r="BJ310" s="138"/>
      <c r="BK310" s="141"/>
      <c r="BL310" s="138"/>
      <c r="BM310" s="28"/>
      <c r="BN310" s="141"/>
    </row>
    <row r="311" spans="3:66" x14ac:dyDescent="0.3">
      <c r="C311" s="142"/>
      <c r="D311" s="142"/>
      <c r="E311" s="143"/>
      <c r="F311" s="142"/>
      <c r="G311" s="143"/>
      <c r="H311" s="143"/>
      <c r="I311" s="199"/>
      <c r="J311" s="143">
        <v>0</v>
      </c>
      <c r="K311" s="143" t="s">
        <v>958</v>
      </c>
      <c r="L311" s="146">
        <f>SUM(J308:J311)</f>
        <v>158</v>
      </c>
      <c r="N311" s="138"/>
      <c r="O311" s="138"/>
      <c r="P311" s="196"/>
      <c r="Q311" s="138"/>
      <c r="R311" s="196"/>
      <c r="S311" s="141"/>
      <c r="T311" s="138"/>
      <c r="U311" s="196"/>
      <c r="V311" s="138"/>
      <c r="W311" s="141"/>
      <c r="AD311" s="42"/>
      <c r="AE311" s="42"/>
      <c r="AF311" s="40"/>
      <c r="AG311" s="28"/>
      <c r="AH311" s="28"/>
      <c r="AI311" s="28"/>
      <c r="AJ311" s="42"/>
      <c r="AK311" s="40"/>
      <c r="AL311" s="41"/>
      <c r="AM311" s="28"/>
      <c r="AN311" s="28"/>
      <c r="AO311" s="40"/>
      <c r="AR311" s="138" t="s">
        <v>209</v>
      </c>
      <c r="AS311" s="138">
        <v>0</v>
      </c>
      <c r="AT311" s="141">
        <v>0</v>
      </c>
      <c r="AU311" s="138"/>
      <c r="AV311" s="141"/>
      <c r="AW311" s="28"/>
      <c r="AX311" s="28">
        <v>1</v>
      </c>
      <c r="AY311" s="28" t="s">
        <v>1517</v>
      </c>
      <c r="AZ311" s="28"/>
      <c r="BA311" s="141"/>
      <c r="BD311" s="196" t="s">
        <v>99</v>
      </c>
      <c r="BE311" s="138">
        <v>0</v>
      </c>
      <c r="BF311" s="141">
        <v>2</v>
      </c>
      <c r="BG311" s="138" t="s">
        <v>150</v>
      </c>
      <c r="BH311" s="28"/>
      <c r="BI311" s="141"/>
      <c r="BJ311" s="138"/>
      <c r="BK311" s="141"/>
      <c r="BL311" s="138" t="s">
        <v>151</v>
      </c>
      <c r="BM311" s="28"/>
      <c r="BN311" s="141"/>
    </row>
    <row r="312" spans="3:66" x14ac:dyDescent="0.3">
      <c r="C312" s="134" t="s">
        <v>105</v>
      </c>
      <c r="D312" s="134">
        <v>1511</v>
      </c>
      <c r="E312" s="135">
        <v>1713</v>
      </c>
      <c r="F312" s="134"/>
      <c r="G312" s="135">
        <v>1392</v>
      </c>
      <c r="H312" s="135"/>
      <c r="I312" s="195"/>
      <c r="J312" s="135" t="s">
        <v>162</v>
      </c>
      <c r="K312" s="135"/>
      <c r="L312" s="136"/>
      <c r="N312" s="138"/>
      <c r="O312" s="138"/>
      <c r="P312" s="196"/>
      <c r="Q312" s="138"/>
      <c r="R312" s="196"/>
      <c r="S312" s="141"/>
      <c r="T312" s="138"/>
      <c r="U312" s="196"/>
      <c r="V312" s="138"/>
      <c r="W312" s="141"/>
      <c r="AD312" s="278" t="s">
        <v>99</v>
      </c>
      <c r="AE312" s="278">
        <v>0</v>
      </c>
      <c r="AF312" s="279">
        <v>0</v>
      </c>
      <c r="AG312" s="135">
        <v>0</v>
      </c>
      <c r="AH312" s="135">
        <v>0</v>
      </c>
      <c r="AI312" s="135">
        <v>0</v>
      </c>
      <c r="AJ312" s="278">
        <v>211375</v>
      </c>
      <c r="AK312" s="279">
        <v>242962</v>
      </c>
      <c r="AL312" s="314">
        <v>0</v>
      </c>
      <c r="AM312" s="135" t="s">
        <v>157</v>
      </c>
      <c r="AN312" s="135"/>
      <c r="AO312" s="279"/>
      <c r="AR312" s="138" t="s">
        <v>168</v>
      </c>
      <c r="AS312" s="138">
        <v>0</v>
      </c>
      <c r="AT312" s="141">
        <v>0</v>
      </c>
      <c r="AU312" s="138"/>
      <c r="AV312" s="141"/>
      <c r="AW312" s="28"/>
      <c r="AX312" s="28">
        <v>13</v>
      </c>
      <c r="AY312" s="28" t="s">
        <v>213</v>
      </c>
      <c r="AZ312" s="28" t="s">
        <v>6</v>
      </c>
      <c r="BA312" s="141"/>
      <c r="BD312" s="196" t="s">
        <v>85</v>
      </c>
      <c r="BE312" s="138">
        <v>0</v>
      </c>
      <c r="BF312" s="141">
        <v>0</v>
      </c>
      <c r="BG312" s="138"/>
      <c r="BH312" s="28"/>
      <c r="BI312" s="141"/>
      <c r="BJ312" s="138"/>
      <c r="BK312" s="141"/>
      <c r="BL312" s="316" t="s">
        <v>1089</v>
      </c>
      <c r="BM312" s="257" t="s">
        <v>819</v>
      </c>
      <c r="BN312" s="141" t="s">
        <v>380</v>
      </c>
    </row>
    <row r="313" spans="3:66" x14ac:dyDescent="0.3">
      <c r="C313" s="138" t="s">
        <v>99</v>
      </c>
      <c r="D313" s="138">
        <v>1004</v>
      </c>
      <c r="E313" s="43">
        <v>1406</v>
      </c>
      <c r="F313" s="138"/>
      <c r="G313" s="28">
        <v>1191</v>
      </c>
      <c r="H313" s="28"/>
      <c r="I313" s="196"/>
      <c r="J313" s="28"/>
      <c r="K313" s="28"/>
      <c r="L313" s="141"/>
      <c r="N313" s="142" t="s">
        <v>84</v>
      </c>
      <c r="O313" s="142">
        <f t="shared" ref="O313:U313" si="4">SUM(O307+O302+O297+O295+O290+O286)</f>
        <v>35427</v>
      </c>
      <c r="P313" s="199">
        <f t="shared" si="4"/>
        <v>61292</v>
      </c>
      <c r="Q313" s="142">
        <f t="shared" si="4"/>
        <v>0</v>
      </c>
      <c r="R313" s="199">
        <f t="shared" si="4"/>
        <v>0</v>
      </c>
      <c r="S313" s="143">
        <f t="shared" si="4"/>
        <v>0</v>
      </c>
      <c r="T313" s="142">
        <f t="shared" si="4"/>
        <v>2821</v>
      </c>
      <c r="U313" s="199">
        <f t="shared" si="4"/>
        <v>199</v>
      </c>
      <c r="V313" s="142"/>
      <c r="W313" s="146"/>
      <c r="AD313" s="42" t="s">
        <v>6</v>
      </c>
      <c r="AE313" s="42"/>
      <c r="AF313" s="40"/>
      <c r="AG313" s="28"/>
      <c r="AH313" s="28"/>
      <c r="AI313" s="28"/>
      <c r="AJ313" s="42"/>
      <c r="AK313" s="40"/>
      <c r="AL313" s="41"/>
      <c r="AM313" s="28">
        <v>14</v>
      </c>
      <c r="AN313" s="28" t="s">
        <v>153</v>
      </c>
      <c r="AO313" s="40"/>
      <c r="AR313" s="138" t="s">
        <v>81</v>
      </c>
      <c r="AS313" s="138">
        <v>5</v>
      </c>
      <c r="AT313" s="141">
        <v>9</v>
      </c>
      <c r="AU313" s="138"/>
      <c r="AV313" s="141"/>
      <c r="AW313" s="28"/>
      <c r="AX313" s="28">
        <v>24</v>
      </c>
      <c r="AY313" s="28" t="s">
        <v>903</v>
      </c>
      <c r="AZ313" s="28"/>
      <c r="BA313" s="141" t="s">
        <v>6</v>
      </c>
      <c r="BD313" s="196" t="s">
        <v>107</v>
      </c>
      <c r="BE313" s="138">
        <v>0</v>
      </c>
      <c r="BF313" s="141">
        <v>0</v>
      </c>
      <c r="BG313" s="138"/>
      <c r="BH313" s="28"/>
      <c r="BI313" s="141"/>
      <c r="BJ313" s="138"/>
      <c r="BK313" s="141"/>
      <c r="BL313" s="138" t="s">
        <v>408</v>
      </c>
      <c r="BM313" s="28" t="s">
        <v>497</v>
      </c>
      <c r="BN313" s="141" t="s">
        <v>1078</v>
      </c>
    </row>
    <row r="314" spans="3:66" ht="15" thickBot="1" x14ac:dyDescent="0.35">
      <c r="C314" s="138"/>
      <c r="D314" s="138"/>
      <c r="E314" s="28"/>
      <c r="F314" s="138"/>
      <c r="G314" s="28"/>
      <c r="H314" s="28"/>
      <c r="I314" s="196"/>
      <c r="J314" s="43">
        <v>43</v>
      </c>
      <c r="K314" s="28" t="s">
        <v>101</v>
      </c>
      <c r="L314" s="141"/>
      <c r="AD314" s="42" t="s">
        <v>6</v>
      </c>
      <c r="AE314" s="42"/>
      <c r="AF314" s="40"/>
      <c r="AG314" s="28"/>
      <c r="AH314" s="28"/>
      <c r="AI314" s="28"/>
      <c r="AJ314" s="42"/>
      <c r="AK314" s="40"/>
      <c r="AL314" s="41"/>
      <c r="AM314" s="28"/>
      <c r="AN314" s="28"/>
      <c r="AO314" s="40"/>
      <c r="AR314" s="138" t="s">
        <v>72</v>
      </c>
      <c r="AS314" s="138">
        <f>4+17+8</f>
        <v>29</v>
      </c>
      <c r="AT314" s="141">
        <f>3+17+4</f>
        <v>24</v>
      </c>
      <c r="AU314" s="138"/>
      <c r="AV314" s="141"/>
      <c r="AW314" s="28"/>
      <c r="AX314" s="43">
        <v>3</v>
      </c>
      <c r="AY314" s="28" t="s">
        <v>472</v>
      </c>
      <c r="AZ314" s="28"/>
      <c r="BA314" s="141"/>
      <c r="BD314" s="196" t="s">
        <v>1603</v>
      </c>
      <c r="BE314" s="138">
        <v>0</v>
      </c>
      <c r="BF314" s="141">
        <v>4</v>
      </c>
      <c r="BG314" s="138"/>
      <c r="BH314" s="28"/>
      <c r="BI314" s="141"/>
      <c r="BJ314" s="138"/>
      <c r="BK314" s="141"/>
      <c r="BL314" s="138" t="s">
        <v>1604</v>
      </c>
      <c r="BM314" s="28" t="s">
        <v>822</v>
      </c>
      <c r="BN314" s="141" t="s">
        <v>1605</v>
      </c>
    </row>
    <row r="315" spans="3:66" x14ac:dyDescent="0.3">
      <c r="C315" s="138" t="s">
        <v>84</v>
      </c>
      <c r="D315" s="142">
        <f>SUM(D312:D314)</f>
        <v>2515</v>
      </c>
      <c r="E315" s="143">
        <f>SUM(E312:E314)</f>
        <v>3119</v>
      </c>
      <c r="F315" s="142"/>
      <c r="G315" s="143">
        <f>SUM(G312:G314)</f>
        <v>2583</v>
      </c>
      <c r="H315" s="143"/>
      <c r="I315" s="199">
        <v>3562</v>
      </c>
      <c r="J315" s="143"/>
      <c r="K315" s="143"/>
      <c r="L315" s="146">
        <f>SUM(J314)</f>
        <v>43</v>
      </c>
      <c r="N315" t="s">
        <v>6</v>
      </c>
      <c r="AD315" s="33"/>
      <c r="AE315" s="33"/>
      <c r="AF315" s="35"/>
      <c r="AG315" s="34"/>
      <c r="AH315" s="34"/>
      <c r="AI315" s="34"/>
      <c r="AJ315" s="33"/>
      <c r="AK315" s="35"/>
      <c r="AL315" s="32"/>
      <c r="AM315" s="34"/>
      <c r="AN315" s="34"/>
      <c r="AO315" s="35"/>
      <c r="AR315" s="138" t="s">
        <v>115</v>
      </c>
      <c r="AS315" s="138">
        <f>1+4</f>
        <v>5</v>
      </c>
      <c r="AT315" s="141">
        <f>1+10</f>
        <v>11</v>
      </c>
      <c r="AU315" s="138"/>
      <c r="AV315" s="141"/>
      <c r="AW315" s="28"/>
      <c r="AX315" s="43">
        <v>4</v>
      </c>
      <c r="AY315" s="28" t="s">
        <v>217</v>
      </c>
      <c r="AZ315" s="28"/>
      <c r="BA315" s="141"/>
      <c r="BD315" s="196" t="s">
        <v>133</v>
      </c>
      <c r="BE315" s="138">
        <f>2+7+3+2</f>
        <v>14</v>
      </c>
      <c r="BF315" s="141">
        <f>6+6+3</f>
        <v>15</v>
      </c>
      <c r="BG315" s="138"/>
      <c r="BH315" s="28"/>
      <c r="BI315" s="141"/>
      <c r="BJ315" s="138"/>
      <c r="BK315" s="141"/>
      <c r="BL315" s="138" t="s">
        <v>1587</v>
      </c>
      <c r="BM315" s="43" t="s">
        <v>891</v>
      </c>
      <c r="BN315" s="141" t="s">
        <v>615</v>
      </c>
    </row>
    <row r="316" spans="3:66" ht="15" thickBot="1" x14ac:dyDescent="0.35">
      <c r="C316" s="195" t="s">
        <v>181</v>
      </c>
      <c r="D316" s="135">
        <v>4209</v>
      </c>
      <c r="E316" s="135">
        <v>4264</v>
      </c>
      <c r="F316" s="134"/>
      <c r="G316" s="135" t="s">
        <v>60</v>
      </c>
      <c r="H316" s="136"/>
      <c r="I316" s="135"/>
      <c r="J316" s="134" t="s">
        <v>182</v>
      </c>
      <c r="K316" s="135"/>
      <c r="L316" s="136"/>
      <c r="AD316" s="47"/>
      <c r="AE316" s="47"/>
      <c r="AF316" s="49"/>
      <c r="AG316" s="48"/>
      <c r="AH316" s="48"/>
      <c r="AI316" s="48"/>
      <c r="AJ316" s="47"/>
      <c r="AK316" s="49"/>
      <c r="AL316" s="46"/>
      <c r="AM316" s="48"/>
      <c r="AN316" s="48"/>
      <c r="AO316" s="49"/>
      <c r="AR316" s="138" t="s">
        <v>56</v>
      </c>
      <c r="AS316" s="138">
        <f>5+4</f>
        <v>9</v>
      </c>
      <c r="AT316" s="141">
        <f>6+6+15+2</f>
        <v>29</v>
      </c>
      <c r="AU316" s="138"/>
      <c r="AV316" s="141"/>
      <c r="AW316" s="28"/>
      <c r="AX316" s="43">
        <v>1</v>
      </c>
      <c r="AY316" s="28" t="s">
        <v>967</v>
      </c>
      <c r="AZ316" s="28"/>
      <c r="BA316" s="141"/>
      <c r="BD316" s="196" t="s">
        <v>1580</v>
      </c>
      <c r="BE316" s="138">
        <v>8</v>
      </c>
      <c r="BF316" s="141">
        <v>0</v>
      </c>
      <c r="BG316" s="138"/>
      <c r="BH316" s="28"/>
      <c r="BI316" s="141"/>
      <c r="BJ316" s="138"/>
      <c r="BK316" s="141"/>
      <c r="BL316" s="138" t="s">
        <v>1606</v>
      </c>
      <c r="BM316" s="43" t="s">
        <v>1607</v>
      </c>
      <c r="BN316" s="141" t="s">
        <v>1039</v>
      </c>
    </row>
    <row r="317" spans="3:66" x14ac:dyDescent="0.3">
      <c r="C317" s="196"/>
      <c r="D317" s="28"/>
      <c r="E317" s="28"/>
      <c r="F317" s="138"/>
      <c r="G317" s="28" t="s">
        <v>60</v>
      </c>
      <c r="H317" s="141"/>
      <c r="I317" s="28"/>
      <c r="J317" s="138"/>
      <c r="K317" s="28" t="s">
        <v>927</v>
      </c>
      <c r="L317" s="141"/>
      <c r="AD317" s="33"/>
      <c r="AE317" s="33"/>
      <c r="AF317" s="35"/>
      <c r="AG317" s="34"/>
      <c r="AH317" s="34"/>
      <c r="AI317" s="34"/>
      <c r="AJ317" s="33"/>
      <c r="AK317" s="35"/>
      <c r="AL317" s="32"/>
      <c r="AM317" s="34"/>
      <c r="AN317" s="34"/>
      <c r="AO317" s="35"/>
      <c r="AR317" s="138" t="s">
        <v>138</v>
      </c>
      <c r="AS317" s="138">
        <v>3</v>
      </c>
      <c r="AT317" s="141">
        <v>2</v>
      </c>
      <c r="AU317" s="138"/>
      <c r="AV317" s="141"/>
      <c r="AW317" s="28"/>
      <c r="AX317" s="43">
        <v>5</v>
      </c>
      <c r="AY317" s="28" t="s">
        <v>1294</v>
      </c>
      <c r="AZ317" s="28"/>
      <c r="BA317" s="141"/>
      <c r="BC317" t="s">
        <v>6</v>
      </c>
      <c r="BD317" s="196" t="s">
        <v>1588</v>
      </c>
      <c r="BE317" s="138">
        <v>0</v>
      </c>
      <c r="BF317" s="141">
        <v>0</v>
      </c>
      <c r="BG317" s="138"/>
      <c r="BH317" s="28"/>
      <c r="BI317" s="141"/>
      <c r="BJ317" s="138"/>
      <c r="BK317" s="141"/>
      <c r="BL317" s="315" t="s">
        <v>1570</v>
      </c>
      <c r="BM317" s="228" t="s">
        <v>1608</v>
      </c>
      <c r="BN317" s="141" t="s">
        <v>1609</v>
      </c>
    </row>
    <row r="318" spans="3:66" x14ac:dyDescent="0.3">
      <c r="C318" s="196" t="s">
        <v>84</v>
      </c>
      <c r="D318" s="28">
        <f>SUM(D316:D317)</f>
        <v>4209</v>
      </c>
      <c r="E318" s="28">
        <f>SUM(E316:E317)</f>
        <v>4264</v>
      </c>
      <c r="F318" s="138"/>
      <c r="G318" s="28" t="s">
        <v>60</v>
      </c>
      <c r="H318" s="141"/>
      <c r="I318" s="28">
        <v>5251</v>
      </c>
      <c r="J318" s="138">
        <v>31</v>
      </c>
      <c r="K318" s="28" t="s">
        <v>101</v>
      </c>
      <c r="L318" s="141"/>
      <c r="AD318" s="42"/>
      <c r="AE318" s="42"/>
      <c r="AF318" s="40"/>
      <c r="AG318" s="28"/>
      <c r="AH318" s="28"/>
      <c r="AI318" s="28"/>
      <c r="AJ318" s="42"/>
      <c r="AK318" s="40"/>
      <c r="AL318" s="41"/>
      <c r="AM318" s="28"/>
      <c r="AN318" s="28"/>
      <c r="AO318" s="40"/>
      <c r="AR318" s="138" t="s">
        <v>67</v>
      </c>
      <c r="AS318" s="138">
        <f>5+28</f>
        <v>33</v>
      </c>
      <c r="AT318" s="141">
        <f>7+35+2+1</f>
        <v>45</v>
      </c>
      <c r="AU318" s="138"/>
      <c r="AV318" s="141"/>
      <c r="AW318" s="28"/>
      <c r="AX318" s="43">
        <v>1</v>
      </c>
      <c r="AY318" s="28" t="s">
        <v>653</v>
      </c>
      <c r="AZ318" s="28"/>
      <c r="BA318" s="141"/>
      <c r="BD318" s="196" t="s">
        <v>64</v>
      </c>
      <c r="BE318" s="138">
        <v>2</v>
      </c>
      <c r="BF318" s="141">
        <v>0</v>
      </c>
      <c r="BG318" s="138"/>
      <c r="BH318" s="28"/>
      <c r="BI318" s="141"/>
      <c r="BJ318" s="138"/>
      <c r="BK318" s="141"/>
      <c r="BL318" s="316" t="s">
        <v>1610</v>
      </c>
      <c r="BM318" s="43" t="s">
        <v>279</v>
      </c>
      <c r="BN318" s="209" t="s">
        <v>1063</v>
      </c>
    </row>
    <row r="319" spans="3:66" ht="16.2" thickBot="1" x14ac:dyDescent="0.35">
      <c r="C319" s="199"/>
      <c r="D319" s="28"/>
      <c r="E319" s="28"/>
      <c r="F319" s="142"/>
      <c r="G319" s="143"/>
      <c r="H319" s="146"/>
      <c r="I319" s="28"/>
      <c r="J319" s="142"/>
      <c r="K319" s="143" t="s">
        <v>284</v>
      </c>
      <c r="L319" s="146">
        <f>SUM(J317:J318)</f>
        <v>31</v>
      </c>
      <c r="Y319" t="s">
        <v>6</v>
      </c>
      <c r="AD319" s="47"/>
      <c r="AE319" s="47"/>
      <c r="AF319" s="49"/>
      <c r="AG319" s="48"/>
      <c r="AH319" s="48"/>
      <c r="AI319" s="48"/>
      <c r="AJ319" s="47"/>
      <c r="AK319" s="49"/>
      <c r="AL319" s="46"/>
      <c r="AM319" s="48"/>
      <c r="AN319" s="48"/>
      <c r="AO319" s="49"/>
      <c r="AR319" s="138" t="s">
        <v>122</v>
      </c>
      <c r="AS319" s="138">
        <v>4</v>
      </c>
      <c r="AT319" s="141">
        <f>1+2</f>
        <v>3</v>
      </c>
      <c r="AU319" s="138"/>
      <c r="AV319" s="141"/>
      <c r="AW319" s="28"/>
      <c r="AX319" s="43">
        <v>2</v>
      </c>
      <c r="AY319" s="28" t="s">
        <v>618</v>
      </c>
      <c r="AZ319" s="28"/>
      <c r="BA319" s="141"/>
      <c r="BD319" s="196" t="s">
        <v>1611</v>
      </c>
      <c r="BE319" s="138">
        <f>2+3</f>
        <v>5</v>
      </c>
      <c r="BF319" s="141">
        <v>0</v>
      </c>
      <c r="BG319" s="138"/>
      <c r="BH319" s="28"/>
      <c r="BI319" s="141"/>
      <c r="BJ319" s="138"/>
      <c r="BK319" s="141"/>
      <c r="BL319" s="138" t="s">
        <v>1612</v>
      </c>
      <c r="BM319" s="258" t="s">
        <v>1613</v>
      </c>
      <c r="BN319" s="261" t="s">
        <v>607</v>
      </c>
    </row>
    <row r="320" spans="3:66" ht="15" thickBot="1" x14ac:dyDescent="0.35">
      <c r="C320" s="47" t="s">
        <v>84</v>
      </c>
      <c r="D320" s="253">
        <f>SUM(D318+D315+D310+D305+D301+D297+D293+D289+D286)</f>
        <v>44235</v>
      </c>
      <c r="E320" s="253">
        <f>SUM(E318+E315+E310+E305+E301+E297+E293+E289+E286)</f>
        <v>52556</v>
      </c>
      <c r="F320" s="202"/>
      <c r="G320" s="48">
        <f>SUM(G315+G297)</f>
        <v>2817</v>
      </c>
      <c r="H320" s="203"/>
      <c r="I320" s="206">
        <f>SUM(I318+I315+I310+I306+I301+I297+I293+I289+I286)</f>
        <v>61381</v>
      </c>
      <c r="J320" s="48" t="s">
        <v>844</v>
      </c>
      <c r="K320" s="48"/>
      <c r="L320" s="49">
        <f>SUM(L285:L319)</f>
        <v>383</v>
      </c>
      <c r="AD320" s="47" t="s">
        <v>84</v>
      </c>
      <c r="AE320" s="202">
        <f>SUM(AE307+AE301+AE295+AE292+AE290+AE287)</f>
        <v>3138</v>
      </c>
      <c r="AF320" s="203">
        <f>SUM(AF307+AF301+AF295+AF292+AF290+AF287)</f>
        <v>7925</v>
      </c>
      <c r="AG320" s="48">
        <v>0</v>
      </c>
      <c r="AH320" s="48">
        <v>0</v>
      </c>
      <c r="AI320" s="48">
        <v>0</v>
      </c>
      <c r="AJ320" s="202">
        <f>SUM(AJ313+AJ312+AJ310+AJ287)</f>
        <v>254512</v>
      </c>
      <c r="AK320" s="203">
        <f>SUM(AK312+AK310+AK287)</f>
        <v>253015</v>
      </c>
      <c r="AL320" s="48">
        <v>0</v>
      </c>
      <c r="AM320" s="202" t="s">
        <v>844</v>
      </c>
      <c r="AN320" s="48"/>
      <c r="AO320" s="49">
        <f>SUM(AM286:AM319)</f>
        <v>91</v>
      </c>
      <c r="AR320" s="138" t="s">
        <v>227</v>
      </c>
      <c r="AS320" s="138">
        <v>0</v>
      </c>
      <c r="AT320" s="141">
        <v>0</v>
      </c>
      <c r="AU320" s="138"/>
      <c r="AV320" s="141"/>
      <c r="AW320" s="28"/>
      <c r="AX320" s="43">
        <v>10</v>
      </c>
      <c r="AY320" s="28" t="s">
        <v>352</v>
      </c>
      <c r="AZ320" s="28"/>
      <c r="BA320" s="141"/>
      <c r="BD320" s="196" t="s">
        <v>502</v>
      </c>
      <c r="BE320" s="138">
        <v>0</v>
      </c>
      <c r="BF320" s="141">
        <v>0</v>
      </c>
      <c r="BG320" s="138"/>
      <c r="BH320" s="28"/>
      <c r="BI320" s="141"/>
      <c r="BJ320" s="138"/>
      <c r="BK320" s="141"/>
      <c r="BL320" s="138" t="s">
        <v>1614</v>
      </c>
      <c r="BM320" s="222" t="s">
        <v>799</v>
      </c>
      <c r="BN320" s="141" t="s">
        <v>206</v>
      </c>
    </row>
    <row r="321" spans="3:66" ht="15.6" x14ac:dyDescent="0.3">
      <c r="F321" s="28"/>
      <c r="G321" s="28"/>
      <c r="H321" s="28"/>
      <c r="AD321" t="s">
        <v>193</v>
      </c>
      <c r="AO321" t="s">
        <v>6</v>
      </c>
      <c r="AR321" s="138" t="s">
        <v>230</v>
      </c>
      <c r="AS321" s="138">
        <f>4+3</f>
        <v>7</v>
      </c>
      <c r="AT321" s="141">
        <f>7+3</f>
        <v>10</v>
      </c>
      <c r="AU321" s="138"/>
      <c r="AV321" s="141"/>
      <c r="AW321" s="28"/>
      <c r="AX321" s="28">
        <v>13</v>
      </c>
      <c r="AY321" s="28" t="s">
        <v>655</v>
      </c>
      <c r="AZ321" s="28"/>
      <c r="BA321" s="141"/>
      <c r="BD321" s="259" t="s">
        <v>220</v>
      </c>
      <c r="BE321" s="138">
        <v>7</v>
      </c>
      <c r="BF321" s="141">
        <v>0</v>
      </c>
      <c r="BG321" s="138"/>
      <c r="BH321" s="28"/>
      <c r="BI321" s="141"/>
      <c r="BJ321" s="138"/>
      <c r="BK321" s="141"/>
      <c r="BL321" s="138"/>
      <c r="BM321" s="258"/>
      <c r="BN321" s="141"/>
    </row>
    <row r="322" spans="3:66" ht="16.2" thickBot="1" x14ac:dyDescent="0.35">
      <c r="AR322" s="138" t="s">
        <v>125</v>
      </c>
      <c r="AS322" s="138">
        <v>0</v>
      </c>
      <c r="AT322" s="141">
        <v>0</v>
      </c>
      <c r="AU322" s="138"/>
      <c r="AV322" s="141"/>
      <c r="AW322" s="28"/>
      <c r="AX322" s="43">
        <v>1</v>
      </c>
      <c r="AY322" s="28" t="s">
        <v>991</v>
      </c>
      <c r="AZ322" s="28"/>
      <c r="BA322" s="141"/>
      <c r="BD322" s="196" t="s">
        <v>564</v>
      </c>
      <c r="BE322" s="138">
        <v>6</v>
      </c>
      <c r="BF322" s="141">
        <v>6</v>
      </c>
      <c r="BG322" s="138"/>
      <c r="BH322" s="28"/>
      <c r="BI322" s="141"/>
      <c r="BJ322" s="138"/>
      <c r="BK322" s="141"/>
      <c r="BL322" s="138"/>
      <c r="BM322" s="258"/>
      <c r="BN322" s="141"/>
    </row>
    <row r="323" spans="3:66" ht="15" thickBot="1" x14ac:dyDescent="0.35">
      <c r="C323" s="171" t="s">
        <v>1830</v>
      </c>
      <c r="D323" s="205">
        <v>43989</v>
      </c>
      <c r="E323" s="205">
        <v>54722</v>
      </c>
      <c r="F323" s="170"/>
      <c r="G323" s="205">
        <v>2501</v>
      </c>
      <c r="H323" s="170"/>
      <c r="I323" s="205">
        <v>71111</v>
      </c>
      <c r="J323" s="170" t="s">
        <v>199</v>
      </c>
      <c r="K323" s="170"/>
      <c r="L323" s="172">
        <v>436</v>
      </c>
      <c r="N323" s="171" t="s">
        <v>1830</v>
      </c>
      <c r="O323" s="170">
        <v>38790</v>
      </c>
      <c r="P323" s="170">
        <v>68810</v>
      </c>
      <c r="Q323" s="170"/>
      <c r="R323" s="170"/>
      <c r="S323" s="170"/>
      <c r="T323" s="170">
        <v>5887</v>
      </c>
      <c r="U323" s="170">
        <v>241</v>
      </c>
      <c r="V323" s="170"/>
      <c r="W323" s="172"/>
      <c r="AD323" s="171" t="s">
        <v>1830</v>
      </c>
      <c r="AE323" s="170">
        <v>2169</v>
      </c>
      <c r="AF323" s="170">
        <v>2100</v>
      </c>
      <c r="AG323" s="170"/>
      <c r="AH323" s="170"/>
      <c r="AI323" s="170" t="s">
        <v>6</v>
      </c>
      <c r="AJ323" s="170">
        <v>214570</v>
      </c>
      <c r="AK323" s="170">
        <v>406548</v>
      </c>
      <c r="AL323" s="170"/>
      <c r="AM323" s="170" t="s">
        <v>743</v>
      </c>
      <c r="AN323" s="170"/>
      <c r="AO323" s="172">
        <v>45</v>
      </c>
      <c r="AR323" s="138" t="s">
        <v>132</v>
      </c>
      <c r="AS323" s="138">
        <v>0</v>
      </c>
      <c r="AT323" s="141">
        <v>0</v>
      </c>
      <c r="AU323" s="138"/>
      <c r="AV323" s="141"/>
      <c r="AW323" s="28"/>
      <c r="AX323" s="43">
        <v>3</v>
      </c>
      <c r="AY323" s="28" t="s">
        <v>682</v>
      </c>
      <c r="AZ323" s="28"/>
      <c r="BA323" s="141"/>
      <c r="BD323" s="196" t="s">
        <v>862</v>
      </c>
      <c r="BE323" s="138">
        <v>1</v>
      </c>
      <c r="BF323" s="141">
        <v>0</v>
      </c>
      <c r="BG323" s="138"/>
      <c r="BH323" s="28"/>
      <c r="BI323" s="141"/>
      <c r="BJ323" s="138"/>
      <c r="BK323" s="141"/>
      <c r="BL323" s="138"/>
      <c r="BM323" s="28"/>
      <c r="BN323" s="141"/>
    </row>
    <row r="324" spans="3:66" x14ac:dyDescent="0.3">
      <c r="AR324" s="138" t="s">
        <v>536</v>
      </c>
      <c r="AS324" s="138">
        <v>0</v>
      </c>
      <c r="AT324" s="141">
        <v>0</v>
      </c>
      <c r="AU324" s="138"/>
      <c r="AV324" s="141"/>
      <c r="AW324" s="28"/>
      <c r="AX324" s="43">
        <v>45</v>
      </c>
      <c r="AY324" s="28" t="s">
        <v>215</v>
      </c>
      <c r="AZ324" s="28"/>
      <c r="BA324" s="141"/>
      <c r="BD324" s="196" t="s">
        <v>200</v>
      </c>
      <c r="BE324" s="138">
        <v>10</v>
      </c>
      <c r="BF324" s="141">
        <v>15</v>
      </c>
      <c r="BG324" s="138"/>
      <c r="BH324" s="28"/>
      <c r="BI324" s="141"/>
      <c r="BJ324" s="138"/>
      <c r="BK324" s="141"/>
      <c r="BL324" s="138"/>
      <c r="BM324" s="28"/>
      <c r="BN324" s="141"/>
    </row>
    <row r="325" spans="3:66" ht="15" thickBot="1" x14ac:dyDescent="0.35">
      <c r="AR325" s="138" t="s">
        <v>84</v>
      </c>
      <c r="AS325" s="138">
        <f>SUM(AS309:AS324)</f>
        <v>140</v>
      </c>
      <c r="AT325" s="141">
        <f>SUM(AT309:AT324)</f>
        <v>179</v>
      </c>
      <c r="AU325" s="138"/>
      <c r="AV325" s="141"/>
      <c r="AW325" s="28"/>
      <c r="AX325" s="28">
        <v>3</v>
      </c>
      <c r="AY325" s="28" t="s">
        <v>244</v>
      </c>
      <c r="AZ325" s="28"/>
      <c r="BA325" s="141">
        <f>SUM(AX309:AX325)</f>
        <v>132</v>
      </c>
      <c r="BD325" s="196" t="s">
        <v>169</v>
      </c>
      <c r="BE325" s="138">
        <v>0</v>
      </c>
      <c r="BF325" s="141">
        <v>2</v>
      </c>
      <c r="BG325" s="138"/>
      <c r="BH325" s="28"/>
      <c r="BI325" s="141"/>
      <c r="BJ325" s="138"/>
      <c r="BK325" s="141"/>
      <c r="BL325" s="138"/>
      <c r="BM325" s="28"/>
      <c r="BN325" s="141"/>
    </row>
    <row r="326" spans="3:66" ht="15" thickBot="1" x14ac:dyDescent="0.35">
      <c r="AR326" s="171" t="s">
        <v>84</v>
      </c>
      <c r="AS326" s="207">
        <f>SUM(AS325+AS307+AS302+AS287)</f>
        <v>1769</v>
      </c>
      <c r="AT326" s="207">
        <f>SUM(AT325+AT307+AT302+AT287)</f>
        <v>1733</v>
      </c>
      <c r="AU326" s="207"/>
      <c r="AV326" s="208"/>
      <c r="AW326" s="170"/>
      <c r="AX326" s="170"/>
      <c r="AY326" s="170"/>
      <c r="AZ326" s="170"/>
      <c r="BA326" s="172">
        <f>SUM(BA287:BA325)</f>
        <v>328</v>
      </c>
      <c r="BD326" s="196" t="s">
        <v>596</v>
      </c>
      <c r="BE326" s="138">
        <v>2</v>
      </c>
      <c r="BF326" s="141">
        <v>6</v>
      </c>
      <c r="BG326" s="138"/>
      <c r="BH326" s="28"/>
      <c r="BI326" s="141"/>
      <c r="BJ326" s="138"/>
      <c r="BK326" s="141"/>
      <c r="BL326" s="138"/>
      <c r="BM326" s="28"/>
      <c r="BN326" s="141"/>
    </row>
    <row r="327" spans="3:66" x14ac:dyDescent="0.3">
      <c r="AO327" t="s">
        <v>6</v>
      </c>
      <c r="BD327" s="196" t="s">
        <v>218</v>
      </c>
      <c r="BE327" s="138">
        <v>0</v>
      </c>
      <c r="BF327" s="141">
        <f>29+3</f>
        <v>32</v>
      </c>
      <c r="BG327" s="138"/>
      <c r="BH327" s="28">
        <v>0</v>
      </c>
      <c r="BI327" s="141"/>
      <c r="BJ327" s="138"/>
      <c r="BK327" s="141"/>
      <c r="BL327" s="138"/>
      <c r="BM327" s="28"/>
      <c r="BN327" s="141"/>
    </row>
    <row r="328" spans="3:66" x14ac:dyDescent="0.3">
      <c r="J328" t="s">
        <v>6</v>
      </c>
      <c r="BD328" s="196" t="s">
        <v>93</v>
      </c>
      <c r="BE328" s="138">
        <v>0</v>
      </c>
      <c r="BF328" s="141">
        <v>3</v>
      </c>
      <c r="BG328" s="138"/>
      <c r="BH328" s="28"/>
      <c r="BI328" s="141"/>
      <c r="BJ328" s="138"/>
      <c r="BK328" s="141"/>
      <c r="BL328" s="138"/>
      <c r="BM328" s="28"/>
      <c r="BN328" s="141"/>
    </row>
    <row r="329" spans="3:66" ht="15" thickBot="1" x14ac:dyDescent="0.35">
      <c r="J329" t="s">
        <v>6</v>
      </c>
      <c r="BD329" s="199" t="s">
        <v>84</v>
      </c>
      <c r="BE329" s="142">
        <f>SUM(BE305:BE328)</f>
        <v>128</v>
      </c>
      <c r="BF329" s="146">
        <f>SUM(BF305:BF328)</f>
        <v>142</v>
      </c>
      <c r="BG329" s="142">
        <v>0</v>
      </c>
      <c r="BH329" s="143">
        <f>SUM(BH305:BH328)</f>
        <v>0</v>
      </c>
      <c r="BI329" s="146">
        <f>SUM(BI305:BI328)</f>
        <v>0</v>
      </c>
      <c r="BJ329" s="142">
        <v>0</v>
      </c>
      <c r="BK329" s="146">
        <v>0</v>
      </c>
      <c r="BL329" s="142"/>
      <c r="BM329" s="143"/>
      <c r="BN329" s="146">
        <f>8+4+8+5+4+8+4+4+5+6</f>
        <v>56</v>
      </c>
    </row>
    <row r="330" spans="3:66" ht="15" thickBot="1" x14ac:dyDescent="0.35">
      <c r="AR330" s="317" t="s">
        <v>1532</v>
      </c>
      <c r="AS330" s="210">
        <v>2094</v>
      </c>
      <c r="AT330" s="318">
        <v>2072</v>
      </c>
      <c r="AU330" s="170"/>
      <c r="AV330" s="170"/>
      <c r="AW330" s="170"/>
      <c r="AX330" s="170"/>
      <c r="AY330" s="170"/>
      <c r="AZ330" s="170"/>
      <c r="BA330" s="172">
        <v>336</v>
      </c>
      <c r="BD330" t="s">
        <v>223</v>
      </c>
      <c r="BE330">
        <f>SUM(BE329+BE304+BE299+BE293+BE290+BE288+BE301)</f>
        <v>3931</v>
      </c>
      <c r="BF330">
        <f>SUM(BF329+BF304+BF299+BF293+BF288+BF290+BF301)</f>
        <v>4063</v>
      </c>
      <c r="BG330">
        <v>0</v>
      </c>
      <c r="BH330">
        <f>SUM(BH329+BH304+BH299+BH293+BH290+BH286)</f>
        <v>0</v>
      </c>
      <c r="BI330">
        <f>SUM(BI329)</f>
        <v>0</v>
      </c>
      <c r="BJ330">
        <f>SUM(BJ329+BJ304+BJ299+BJ292+BJ290+BJ286)</f>
        <v>75459</v>
      </c>
      <c r="BK330">
        <f>SUM(BK329+BK304+BK299+BK292+BK290+BK286)</f>
        <v>20907</v>
      </c>
      <c r="BM330" t="s">
        <v>939</v>
      </c>
      <c r="BN330">
        <f>SUM(+BN304+BN299+BN293+BN290+BN288)</f>
        <v>180</v>
      </c>
    </row>
    <row r="331" spans="3:66" x14ac:dyDescent="0.3">
      <c r="BD331" t="s">
        <v>1340</v>
      </c>
      <c r="BF331">
        <f>SUM(BN329)</f>
        <v>56</v>
      </c>
    </row>
    <row r="332" spans="3:66" x14ac:dyDescent="0.3">
      <c r="BD332" t="s">
        <v>229</v>
      </c>
      <c r="BF332">
        <f>3+1+12+2+6+1</f>
        <v>25</v>
      </c>
    </row>
    <row r="333" spans="3:66" x14ac:dyDescent="0.3">
      <c r="BC333" t="s">
        <v>6</v>
      </c>
      <c r="BD333" t="s">
        <v>232</v>
      </c>
      <c r="BF333" s="28" t="s">
        <v>233</v>
      </c>
      <c r="BH333">
        <f>SUM(AS326)</f>
        <v>1769</v>
      </c>
      <c r="BJ333" t="s">
        <v>234</v>
      </c>
      <c r="BL333" t="s">
        <v>233</v>
      </c>
      <c r="BN333">
        <f>SUM(BE330)</f>
        <v>3931</v>
      </c>
    </row>
    <row r="334" spans="3:66" x14ac:dyDescent="0.3">
      <c r="BF334" t="s">
        <v>236</v>
      </c>
      <c r="BH334">
        <f>SUM(AT326)</f>
        <v>1733</v>
      </c>
      <c r="BL334" t="s">
        <v>236</v>
      </c>
      <c r="BN334">
        <f>SUM(BF330)</f>
        <v>4063</v>
      </c>
    </row>
    <row r="335" spans="3:66" x14ac:dyDescent="0.3">
      <c r="BD335" t="s">
        <v>238</v>
      </c>
      <c r="BE335" t="s">
        <v>239</v>
      </c>
      <c r="BG335" t="s">
        <v>240</v>
      </c>
      <c r="BH335" t="s">
        <v>241</v>
      </c>
      <c r="BK335" t="s">
        <v>242</v>
      </c>
      <c r="BL335" s="131" t="s">
        <v>243</v>
      </c>
    </row>
    <row r="336" spans="3:66" x14ac:dyDescent="0.3">
      <c r="BD336" t="s">
        <v>233</v>
      </c>
      <c r="BF336">
        <f>SUM(D320)</f>
        <v>44235</v>
      </c>
      <c r="BG336" s="236" t="s">
        <v>233</v>
      </c>
      <c r="BI336">
        <f>SUM(AE320)</f>
        <v>3138</v>
      </c>
      <c r="BJ336" t="s">
        <v>233</v>
      </c>
      <c r="BL336">
        <f>SUM(BI336+BE330)</f>
        <v>7069</v>
      </c>
      <c r="BM336" t="s">
        <v>245</v>
      </c>
      <c r="BN336">
        <f>SUM(BF336+BL336)</f>
        <v>51304</v>
      </c>
    </row>
    <row r="337" spans="3:67" ht="15" thickBot="1" x14ac:dyDescent="0.35">
      <c r="BD337" t="s">
        <v>236</v>
      </c>
      <c r="BF337">
        <f>SUM(E320)</f>
        <v>52556</v>
      </c>
      <c r="BG337" s="236" t="s">
        <v>236</v>
      </c>
      <c r="BI337">
        <f>SUM(AF320)</f>
        <v>7925</v>
      </c>
      <c r="BJ337" t="s">
        <v>236</v>
      </c>
      <c r="BL337">
        <f>SUM(BI337+BF330)</f>
        <v>11988</v>
      </c>
      <c r="BN337">
        <f>SUM(BF337+BL337)</f>
        <v>64544</v>
      </c>
      <c r="BO337">
        <f>SUM(BN336:BN337)</f>
        <v>115848</v>
      </c>
    </row>
    <row r="338" spans="3:67" ht="15.6" x14ac:dyDescent="0.3">
      <c r="BD338" s="321" t="s">
        <v>1532</v>
      </c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5"/>
    </row>
    <row r="339" spans="3:67" x14ac:dyDescent="0.3">
      <c r="BD339" s="42" t="s">
        <v>238</v>
      </c>
      <c r="BE339" s="28" t="s">
        <v>239</v>
      </c>
      <c r="BF339" s="28"/>
      <c r="BG339" s="28" t="s">
        <v>240</v>
      </c>
      <c r="BH339" s="28" t="s">
        <v>241</v>
      </c>
      <c r="BI339" s="28"/>
      <c r="BJ339" s="28"/>
      <c r="BK339" s="28" t="s">
        <v>242</v>
      </c>
      <c r="BL339" s="257" t="s">
        <v>243</v>
      </c>
      <c r="BM339" s="28"/>
      <c r="BN339" s="28"/>
      <c r="BO339" s="40"/>
    </row>
    <row r="340" spans="3:67" x14ac:dyDescent="0.3">
      <c r="BD340" s="42" t="s">
        <v>233</v>
      </c>
      <c r="BE340" s="28"/>
      <c r="BF340" s="28">
        <f>SUM(D323)</f>
        <v>43989</v>
      </c>
      <c r="BG340" s="218" t="s">
        <v>233</v>
      </c>
      <c r="BH340" s="28"/>
      <c r="BI340" s="28">
        <f>SUM(AE323)</f>
        <v>2169</v>
      </c>
      <c r="BJ340" s="28" t="s">
        <v>233</v>
      </c>
      <c r="BK340" s="28"/>
      <c r="BL340" s="28">
        <f>2169+1923</f>
        <v>4092</v>
      </c>
      <c r="BM340" s="28" t="s">
        <v>245</v>
      </c>
      <c r="BN340" s="28">
        <f>SUM(BF340+BL340)</f>
        <v>48081</v>
      </c>
      <c r="BO340" s="40"/>
    </row>
    <row r="341" spans="3:67" ht="15" thickBot="1" x14ac:dyDescent="0.35">
      <c r="BD341" s="47" t="s">
        <v>236</v>
      </c>
      <c r="BE341" s="48"/>
      <c r="BF341" s="48">
        <f>SUM(E323)</f>
        <v>54722</v>
      </c>
      <c r="BG341" s="320" t="s">
        <v>236</v>
      </c>
      <c r="BH341" s="48"/>
      <c r="BI341" s="48">
        <f>SUM(AF323)</f>
        <v>2100</v>
      </c>
      <c r="BJ341" s="48" t="s">
        <v>236</v>
      </c>
      <c r="BK341" s="48"/>
      <c r="BL341" s="48">
        <f>2100+2314</f>
        <v>4414</v>
      </c>
      <c r="BM341" s="48"/>
      <c r="BN341" s="48">
        <f>SUM(BF341+BL341)</f>
        <v>59136</v>
      </c>
      <c r="BO341" s="49">
        <f>SUM(BN340:BN341)</f>
        <v>107217</v>
      </c>
    </row>
    <row r="344" spans="3:67" x14ac:dyDescent="0.3">
      <c r="E344" t="s">
        <v>0</v>
      </c>
      <c r="R344" t="s">
        <v>1</v>
      </c>
    </row>
    <row r="345" spans="3:67" x14ac:dyDescent="0.3">
      <c r="F345" t="s">
        <v>2</v>
      </c>
      <c r="S345" t="s">
        <v>3</v>
      </c>
      <c r="AH345" t="s">
        <v>0</v>
      </c>
      <c r="AU345" t="s">
        <v>4</v>
      </c>
      <c r="BH345" t="s">
        <v>5</v>
      </c>
    </row>
    <row r="346" spans="3:67" x14ac:dyDescent="0.3">
      <c r="C346" t="s">
        <v>6</v>
      </c>
      <c r="E346" t="s">
        <v>7</v>
      </c>
      <c r="Q346" t="s">
        <v>8</v>
      </c>
      <c r="AH346" t="s">
        <v>9</v>
      </c>
      <c r="AV346" t="s">
        <v>2</v>
      </c>
      <c r="BI346" t="s">
        <v>2</v>
      </c>
    </row>
    <row r="347" spans="3:67" x14ac:dyDescent="0.3">
      <c r="F347" t="s">
        <v>1615</v>
      </c>
      <c r="S347" t="s">
        <v>1615</v>
      </c>
      <c r="AH347" t="s">
        <v>11</v>
      </c>
      <c r="AT347" t="s">
        <v>12</v>
      </c>
      <c r="BB347" t="s">
        <v>6</v>
      </c>
      <c r="BG347" t="s">
        <v>13</v>
      </c>
    </row>
    <row r="348" spans="3:67" x14ac:dyDescent="0.3">
      <c r="K348" s="194" t="s">
        <v>949</v>
      </c>
      <c r="W348" t="s">
        <v>15</v>
      </c>
      <c r="AI348" t="s">
        <v>1615</v>
      </c>
      <c r="AV348" t="s">
        <v>1615</v>
      </c>
      <c r="BI348" t="s">
        <v>1615</v>
      </c>
      <c r="BM348" s="194" t="s">
        <v>950</v>
      </c>
    </row>
    <row r="349" spans="3:67" x14ac:dyDescent="0.3">
      <c r="C349" s="134" t="s">
        <v>17</v>
      </c>
      <c r="D349" s="134" t="s">
        <v>18</v>
      </c>
      <c r="E349" s="136"/>
      <c r="F349" s="135" t="s">
        <v>19</v>
      </c>
      <c r="G349" s="135"/>
      <c r="H349" s="135"/>
      <c r="I349" s="195" t="s">
        <v>20</v>
      </c>
      <c r="J349" s="135" t="s">
        <v>21</v>
      </c>
      <c r="K349" s="135"/>
      <c r="L349" s="136"/>
      <c r="N349" s="134" t="s">
        <v>17</v>
      </c>
      <c r="O349" s="135" t="s">
        <v>22</v>
      </c>
      <c r="P349" s="135"/>
      <c r="Q349" s="135" t="s">
        <v>23</v>
      </c>
      <c r="R349" s="135"/>
      <c r="S349" s="135"/>
      <c r="T349" s="135" t="s">
        <v>24</v>
      </c>
      <c r="U349" s="135"/>
      <c r="V349" s="135" t="s">
        <v>21</v>
      </c>
      <c r="W349" s="136"/>
      <c r="AN349" s="28" t="s">
        <v>25</v>
      </c>
      <c r="AZ349" s="194" t="s">
        <v>951</v>
      </c>
      <c r="BD349" s="195" t="s">
        <v>17</v>
      </c>
      <c r="BE349" s="134" t="s">
        <v>27</v>
      </c>
      <c r="BF349" s="136"/>
      <c r="BG349" s="135" t="s">
        <v>28</v>
      </c>
      <c r="BH349" s="135"/>
      <c r="BI349" s="135"/>
      <c r="BJ349" s="135" t="s">
        <v>29</v>
      </c>
      <c r="BK349" s="135" t="s">
        <v>30</v>
      </c>
      <c r="BL349" s="135" t="s">
        <v>31</v>
      </c>
      <c r="BM349" s="135"/>
      <c r="BN349" s="136"/>
    </row>
    <row r="350" spans="3:67" x14ac:dyDescent="0.3">
      <c r="C350" s="138" t="s">
        <v>32</v>
      </c>
      <c r="D350" s="138"/>
      <c r="E350" s="141"/>
      <c r="F350" s="28"/>
      <c r="G350" s="28"/>
      <c r="H350" s="28"/>
      <c r="I350" s="196"/>
      <c r="J350" s="28" t="s">
        <v>33</v>
      </c>
      <c r="K350" s="28"/>
      <c r="L350" s="141"/>
      <c r="N350" s="138"/>
      <c r="O350" s="28"/>
      <c r="P350" s="28"/>
      <c r="Q350" s="28"/>
      <c r="R350" s="28"/>
      <c r="S350" s="28"/>
      <c r="T350" s="28"/>
      <c r="U350" s="28"/>
      <c r="V350" s="28" t="s">
        <v>33</v>
      </c>
      <c r="W350" s="141"/>
      <c r="AD350" s="134" t="s">
        <v>34</v>
      </c>
      <c r="AE350" s="134" t="s">
        <v>35</v>
      </c>
      <c r="AF350" s="136"/>
      <c r="AG350" s="135" t="s">
        <v>36</v>
      </c>
      <c r="AH350" s="135"/>
      <c r="AI350" s="135"/>
      <c r="AJ350" s="134" t="s">
        <v>37</v>
      </c>
      <c r="AK350" s="136"/>
      <c r="AL350" s="135" t="s">
        <v>30</v>
      </c>
      <c r="AM350" s="134" t="s">
        <v>38</v>
      </c>
      <c r="AN350" s="135"/>
      <c r="AO350" s="136"/>
      <c r="AR350" s="134" t="s">
        <v>17</v>
      </c>
      <c r="AS350" s="134" t="s">
        <v>39</v>
      </c>
      <c r="AT350" s="136"/>
      <c r="AU350" s="134" t="s">
        <v>29</v>
      </c>
      <c r="AV350" s="136" t="s">
        <v>30</v>
      </c>
      <c r="AW350" s="135" t="s">
        <v>40</v>
      </c>
      <c r="AX350" s="135"/>
      <c r="AY350" s="135"/>
      <c r="AZ350" s="135"/>
      <c r="BA350" s="136"/>
      <c r="BD350" s="196"/>
      <c r="BE350" s="138"/>
      <c r="BF350" s="141"/>
      <c r="BG350" s="28"/>
      <c r="BH350" s="28"/>
      <c r="BI350" s="28"/>
      <c r="BJ350" s="28"/>
      <c r="BK350" s="28" t="s">
        <v>6</v>
      </c>
      <c r="BL350" s="28" t="s">
        <v>41</v>
      </c>
      <c r="BM350" s="28"/>
      <c r="BN350" s="141"/>
    </row>
    <row r="351" spans="3:67" ht="15" thickBot="1" x14ac:dyDescent="0.35">
      <c r="C351" s="142" t="s">
        <v>42</v>
      </c>
      <c r="D351" s="142" t="s">
        <v>43</v>
      </c>
      <c r="E351" s="143" t="s">
        <v>44</v>
      </c>
      <c r="F351" s="197" t="s">
        <v>45</v>
      </c>
      <c r="G351" s="198" t="s">
        <v>46</v>
      </c>
      <c r="H351" s="198" t="s">
        <v>47</v>
      </c>
      <c r="I351" s="199" t="s">
        <v>48</v>
      </c>
      <c r="J351" s="143" t="s">
        <v>49</v>
      </c>
      <c r="K351" s="143"/>
      <c r="L351" s="146"/>
      <c r="N351" s="142" t="s">
        <v>50</v>
      </c>
      <c r="O351" s="143" t="s">
        <v>43</v>
      </c>
      <c r="P351" s="143" t="s">
        <v>44</v>
      </c>
      <c r="Q351" s="143" t="s">
        <v>43</v>
      </c>
      <c r="R351" s="143" t="s">
        <v>51</v>
      </c>
      <c r="S351" s="143" t="s">
        <v>44</v>
      </c>
      <c r="T351" s="143" t="s">
        <v>43</v>
      </c>
      <c r="U351" s="143" t="s">
        <v>44</v>
      </c>
      <c r="V351" s="143" t="s">
        <v>49</v>
      </c>
      <c r="W351" s="146"/>
      <c r="AD351" s="138" t="s">
        <v>50</v>
      </c>
      <c r="AE351" s="138" t="s">
        <v>43</v>
      </c>
      <c r="AF351" s="141" t="s">
        <v>44</v>
      </c>
      <c r="AG351" s="28" t="s">
        <v>45</v>
      </c>
      <c r="AH351" s="28" t="s">
        <v>46</v>
      </c>
      <c r="AI351" s="28" t="s">
        <v>52</v>
      </c>
      <c r="AJ351" s="138" t="s">
        <v>43</v>
      </c>
      <c r="AK351" s="141" t="s">
        <v>44</v>
      </c>
      <c r="AL351" s="28" t="s">
        <v>43</v>
      </c>
      <c r="AM351" s="138" t="s">
        <v>53</v>
      </c>
      <c r="AN351" s="28"/>
      <c r="AO351" s="141"/>
      <c r="AR351" s="138" t="s">
        <v>42</v>
      </c>
      <c r="AS351" s="138" t="s">
        <v>43</v>
      </c>
      <c r="AT351" s="141" t="s">
        <v>44</v>
      </c>
      <c r="AU351" s="138" t="s">
        <v>43</v>
      </c>
      <c r="AV351" s="141" t="s">
        <v>44</v>
      </c>
      <c r="AW351" s="28"/>
      <c r="AX351" s="28"/>
      <c r="AY351" s="28"/>
      <c r="AZ351" s="28"/>
      <c r="BA351" s="141"/>
      <c r="BD351" s="199" t="s">
        <v>42</v>
      </c>
      <c r="BE351" s="142" t="s">
        <v>43</v>
      </c>
      <c r="BF351" s="146" t="s">
        <v>44</v>
      </c>
      <c r="BG351" s="143" t="s">
        <v>45</v>
      </c>
      <c r="BH351" s="143" t="s">
        <v>46</v>
      </c>
      <c r="BI351" s="143" t="s">
        <v>52</v>
      </c>
      <c r="BJ351" s="143" t="s">
        <v>43</v>
      </c>
      <c r="BK351" s="143" t="s">
        <v>44</v>
      </c>
      <c r="BL351" s="143" t="s">
        <v>54</v>
      </c>
      <c r="BM351" s="143"/>
      <c r="BN351" s="146"/>
    </row>
    <row r="352" spans="3:67" x14ac:dyDescent="0.3">
      <c r="C352" s="134"/>
      <c r="D352" s="134"/>
      <c r="E352" s="135"/>
      <c r="F352" s="134"/>
      <c r="G352" s="135"/>
      <c r="H352" s="135"/>
      <c r="I352" s="195"/>
      <c r="J352" s="135" t="s">
        <v>396</v>
      </c>
      <c r="K352" s="135"/>
      <c r="L352" s="136"/>
      <c r="N352" s="134"/>
      <c r="O352" s="134"/>
      <c r="P352" s="195"/>
      <c r="Q352" s="134"/>
      <c r="R352" s="195"/>
      <c r="S352" s="136"/>
      <c r="T352" s="134"/>
      <c r="U352" s="195"/>
      <c r="V352" s="134" t="s">
        <v>396</v>
      </c>
      <c r="W352" s="136"/>
      <c r="AD352" s="33"/>
      <c r="AE352" s="33"/>
      <c r="AF352" s="35"/>
      <c r="AG352" s="34"/>
      <c r="AH352" s="34"/>
      <c r="AI352" s="34"/>
      <c r="AJ352" s="33"/>
      <c r="AK352" s="35"/>
      <c r="AL352" s="32"/>
      <c r="AM352" s="33" t="s">
        <v>62</v>
      </c>
      <c r="AN352" s="34"/>
      <c r="AO352" s="35"/>
      <c r="AR352" s="134"/>
      <c r="AS352" s="134"/>
      <c r="AT352" s="136"/>
      <c r="AU352" s="134"/>
      <c r="AV352" s="136"/>
      <c r="AW352" s="135"/>
      <c r="AX352" s="135"/>
      <c r="AY352" s="135"/>
      <c r="AZ352" s="135"/>
      <c r="BA352" s="136"/>
      <c r="BD352" s="195" t="s">
        <v>64</v>
      </c>
      <c r="BE352" s="135">
        <v>114</v>
      </c>
      <c r="BF352" s="135">
        <v>128</v>
      </c>
      <c r="BG352" s="134"/>
      <c r="BH352" s="135"/>
      <c r="BI352" s="135"/>
      <c r="BJ352" s="134"/>
      <c r="BK352" s="136"/>
      <c r="BL352" s="135" t="s">
        <v>58</v>
      </c>
      <c r="BM352" s="135"/>
      <c r="BN352" s="136"/>
    </row>
    <row r="353" spans="3:67" x14ac:dyDescent="0.3">
      <c r="C353" s="138" t="s">
        <v>59</v>
      </c>
      <c r="D353" s="138">
        <v>1493</v>
      </c>
      <c r="E353" s="28">
        <v>1442</v>
      </c>
      <c r="F353" s="138"/>
      <c r="G353" s="28" t="s">
        <v>60</v>
      </c>
      <c r="H353" s="28"/>
      <c r="I353" s="196">
        <v>1706</v>
      </c>
      <c r="J353" s="28">
        <v>6</v>
      </c>
      <c r="K353" s="28" t="s">
        <v>61</v>
      </c>
      <c r="L353" s="141"/>
      <c r="N353" s="138" t="s">
        <v>59</v>
      </c>
      <c r="O353" s="138">
        <v>17898</v>
      </c>
      <c r="P353" s="196">
        <v>40462</v>
      </c>
      <c r="Q353" s="138">
        <v>0</v>
      </c>
      <c r="R353" s="196">
        <v>0</v>
      </c>
      <c r="S353" s="141">
        <v>0</v>
      </c>
      <c r="T353" s="138">
        <v>0</v>
      </c>
      <c r="U353" s="196">
        <v>0</v>
      </c>
      <c r="V353" s="138"/>
      <c r="W353" s="141"/>
      <c r="AD353" s="42"/>
      <c r="AE353" s="42"/>
      <c r="AF353" s="40"/>
      <c r="AG353" s="28"/>
      <c r="AH353" s="28"/>
      <c r="AI353" s="28"/>
      <c r="AJ353" s="42"/>
      <c r="AK353" s="40"/>
      <c r="AL353" s="41"/>
      <c r="AM353" s="42">
        <v>1</v>
      </c>
      <c r="AN353" s="28" t="s">
        <v>1290</v>
      </c>
      <c r="AO353" s="40"/>
      <c r="AR353" s="138"/>
      <c r="AS353" s="138"/>
      <c r="AT353" s="141"/>
      <c r="AU353" s="138"/>
      <c r="AV353" s="141"/>
      <c r="AW353" s="28"/>
      <c r="AX353" s="28" t="s">
        <v>91</v>
      </c>
      <c r="AY353" s="28"/>
      <c r="AZ353" s="28"/>
      <c r="BA353" s="141"/>
      <c r="BD353" s="196" t="s">
        <v>108</v>
      </c>
      <c r="BE353" s="28">
        <v>0</v>
      </c>
      <c r="BF353" s="28">
        <v>0</v>
      </c>
      <c r="BG353" s="138">
        <v>0</v>
      </c>
      <c r="BH353" s="28">
        <v>0</v>
      </c>
      <c r="BI353" s="28">
        <v>0</v>
      </c>
      <c r="BJ353" s="138">
        <v>0</v>
      </c>
      <c r="BK353" s="141">
        <v>0</v>
      </c>
      <c r="BL353" s="43">
        <v>17</v>
      </c>
      <c r="BM353" s="28" t="s">
        <v>474</v>
      </c>
      <c r="BN353" s="141" t="s">
        <v>6</v>
      </c>
    </row>
    <row r="354" spans="3:67" x14ac:dyDescent="0.3">
      <c r="C354" s="138" t="s">
        <v>6</v>
      </c>
      <c r="D354" s="138"/>
      <c r="E354" s="28"/>
      <c r="F354" s="138"/>
      <c r="G354" s="28"/>
      <c r="H354" s="28"/>
      <c r="I354" s="196"/>
      <c r="J354" s="28"/>
      <c r="K354" s="28" t="s">
        <v>528</v>
      </c>
      <c r="L354" s="141">
        <f>SUM(J353)</f>
        <v>6</v>
      </c>
      <c r="N354" s="142"/>
      <c r="O354" s="142"/>
      <c r="P354" s="199"/>
      <c r="Q354" s="142"/>
      <c r="R354" s="199"/>
      <c r="S354" s="146"/>
      <c r="T354" s="142"/>
      <c r="U354" s="199"/>
      <c r="V354" s="142"/>
      <c r="W354" s="146"/>
      <c r="AD354" s="42" t="s">
        <v>59</v>
      </c>
      <c r="AE354" s="42">
        <v>1834</v>
      </c>
      <c r="AF354" s="40">
        <v>1892</v>
      </c>
      <c r="AG354" s="28">
        <v>0</v>
      </c>
      <c r="AH354" s="28">
        <v>0</v>
      </c>
      <c r="AI354" s="28">
        <v>0</v>
      </c>
      <c r="AJ354" s="42">
        <v>0</v>
      </c>
      <c r="AK354" s="40">
        <v>0</v>
      </c>
      <c r="AL354" s="41">
        <v>0</v>
      </c>
      <c r="AM354" s="42">
        <v>5</v>
      </c>
      <c r="AN354" s="28" t="s">
        <v>66</v>
      </c>
      <c r="AO354" s="40"/>
      <c r="AR354" s="138" t="s">
        <v>56</v>
      </c>
      <c r="AS354" s="138">
        <v>1486</v>
      </c>
      <c r="AT354" s="141">
        <v>1518</v>
      </c>
      <c r="AU354" s="138"/>
      <c r="AV354" s="141"/>
      <c r="AW354" s="28"/>
      <c r="AX354" s="28"/>
      <c r="AY354" s="28"/>
      <c r="AZ354" s="28"/>
      <c r="BA354" s="141"/>
      <c r="BD354" s="199" t="s">
        <v>84</v>
      </c>
      <c r="BE354" s="143">
        <f>SUM(BE352:BE353)</f>
        <v>114</v>
      </c>
      <c r="BF354" s="143">
        <f>SUM(BF352:BF353)</f>
        <v>128</v>
      </c>
      <c r="BG354" s="138">
        <v>0</v>
      </c>
      <c r="BH354" s="28">
        <v>0</v>
      </c>
      <c r="BI354" s="28">
        <v>0</v>
      </c>
      <c r="BJ354" s="138">
        <v>0</v>
      </c>
      <c r="BK354" s="141">
        <v>0</v>
      </c>
      <c r="BL354" s="143"/>
      <c r="BM354" s="143" t="s">
        <v>69</v>
      </c>
      <c r="BN354" s="146">
        <f>SUM(BL353:BL354)</f>
        <v>17</v>
      </c>
    </row>
    <row r="355" spans="3:67" ht="15" thickBot="1" x14ac:dyDescent="0.35">
      <c r="C355" s="134"/>
      <c r="D355" s="134"/>
      <c r="E355" s="135"/>
      <c r="F355" s="134"/>
      <c r="G355" s="135"/>
      <c r="H355" s="135"/>
      <c r="I355" s="195"/>
      <c r="J355" s="135" t="s">
        <v>70</v>
      </c>
      <c r="K355" s="135"/>
      <c r="L355" s="136"/>
      <c r="N355" s="134"/>
      <c r="O355" s="134"/>
      <c r="P355" s="195"/>
      <c r="Q355" s="134"/>
      <c r="R355" s="195"/>
      <c r="S355" s="136"/>
      <c r="T355" s="134"/>
      <c r="U355" s="195"/>
      <c r="V355" s="134"/>
      <c r="W355" s="136"/>
      <c r="AD355" s="244"/>
      <c r="AE355" s="244"/>
      <c r="AF355" s="245"/>
      <c r="AG355" s="143"/>
      <c r="AH355" s="143"/>
      <c r="AI355" s="143"/>
      <c r="AJ355" s="244"/>
      <c r="AK355" s="245"/>
      <c r="AL355" s="313"/>
      <c r="AM355" s="47">
        <v>2</v>
      </c>
      <c r="AN355" s="48" t="s">
        <v>436</v>
      </c>
      <c r="AO355" s="49"/>
      <c r="AR355" s="142" t="s">
        <v>6</v>
      </c>
      <c r="AS355" s="142"/>
      <c r="AT355" s="146"/>
      <c r="AU355" s="142"/>
      <c r="AV355" s="146"/>
      <c r="AW355" s="143"/>
      <c r="AX355" s="143">
        <v>106</v>
      </c>
      <c r="AY355" s="143" t="s">
        <v>73</v>
      </c>
      <c r="AZ355" s="143"/>
      <c r="BA355" s="146">
        <f>SUM(AX355)</f>
        <v>106</v>
      </c>
      <c r="BD355" s="195" t="s">
        <v>6</v>
      </c>
      <c r="BE355" s="134" t="s">
        <v>6</v>
      </c>
      <c r="BF355" s="136"/>
      <c r="BG355" s="135"/>
      <c r="BH355" s="135">
        <v>0</v>
      </c>
      <c r="BI355" s="135"/>
      <c r="BJ355" s="134"/>
      <c r="BK355" s="136"/>
      <c r="BL355" s="135" t="s">
        <v>1092</v>
      </c>
      <c r="BM355" s="135"/>
      <c r="BN355" s="136"/>
    </row>
    <row r="356" spans="3:67" x14ac:dyDescent="0.3">
      <c r="C356" s="138" t="s">
        <v>74</v>
      </c>
      <c r="D356" s="138">
        <v>895</v>
      </c>
      <c r="E356" s="28">
        <v>2356</v>
      </c>
      <c r="F356" s="138"/>
      <c r="G356" s="28" t="s">
        <v>60</v>
      </c>
      <c r="H356" s="28"/>
      <c r="I356" s="196">
        <v>2693</v>
      </c>
      <c r="J356" s="28">
        <v>2</v>
      </c>
      <c r="K356" s="28" t="s">
        <v>75</v>
      </c>
      <c r="L356" s="141"/>
      <c r="N356" s="138"/>
      <c r="O356" s="138"/>
      <c r="P356" s="196"/>
      <c r="Q356" s="138"/>
      <c r="R356" s="196"/>
      <c r="S356" s="141"/>
      <c r="T356" s="138"/>
      <c r="U356" s="196"/>
      <c r="V356" s="138" t="s">
        <v>80</v>
      </c>
      <c r="W356" s="141"/>
      <c r="AD356" s="278" t="s">
        <v>6</v>
      </c>
      <c r="AE356" s="278"/>
      <c r="AF356" s="279"/>
      <c r="AG356" s="135"/>
      <c r="AH356" s="135"/>
      <c r="AI356" s="135"/>
      <c r="AJ356" s="278"/>
      <c r="AK356" s="279"/>
      <c r="AL356" s="314"/>
      <c r="AM356" s="28" t="s">
        <v>952</v>
      </c>
      <c r="AN356" s="28"/>
      <c r="AO356" s="40"/>
      <c r="AR356" s="134"/>
      <c r="AS356" s="134"/>
      <c r="AT356" s="136"/>
      <c r="AU356" s="134"/>
      <c r="AV356" s="136"/>
      <c r="AW356" s="135"/>
      <c r="AX356" s="135"/>
      <c r="AY356" s="135"/>
      <c r="AZ356" s="135"/>
      <c r="BA356" s="136"/>
      <c r="BD356" s="199" t="s">
        <v>108</v>
      </c>
      <c r="BE356" s="142">
        <v>265</v>
      </c>
      <c r="BF356" s="146">
        <v>226</v>
      </c>
      <c r="BG356" s="143"/>
      <c r="BH356" s="143">
        <v>0</v>
      </c>
      <c r="BI356" s="143">
        <v>0</v>
      </c>
      <c r="BJ356" s="142">
        <v>0</v>
      </c>
      <c r="BK356" s="146">
        <v>0</v>
      </c>
      <c r="BL356" s="143">
        <v>5</v>
      </c>
      <c r="BM356" s="143" t="s">
        <v>780</v>
      </c>
      <c r="BN356" s="146">
        <f>SUM(BL356)</f>
        <v>5</v>
      </c>
    </row>
    <row r="357" spans="3:67" ht="15" thickBot="1" x14ac:dyDescent="0.35">
      <c r="C357" s="138"/>
      <c r="D357" s="138"/>
      <c r="E357" s="28"/>
      <c r="F357" s="138"/>
      <c r="G357" s="28"/>
      <c r="H357" s="28"/>
      <c r="I357" s="196"/>
      <c r="J357" s="28">
        <v>1</v>
      </c>
      <c r="K357" s="28" t="s">
        <v>79</v>
      </c>
      <c r="L357" s="141"/>
      <c r="N357" s="138" t="s">
        <v>74</v>
      </c>
      <c r="O357" s="138">
        <v>7945</v>
      </c>
      <c r="P357" s="196">
        <v>0</v>
      </c>
      <c r="Q357" s="138">
        <v>0</v>
      </c>
      <c r="R357" s="196">
        <v>0</v>
      </c>
      <c r="S357" s="141">
        <v>0</v>
      </c>
      <c r="T357" s="138">
        <v>15</v>
      </c>
      <c r="U357" s="196">
        <v>0</v>
      </c>
      <c r="V357" s="138"/>
      <c r="W357" s="141"/>
      <c r="AD357" s="42" t="s">
        <v>76</v>
      </c>
      <c r="AE357" s="42">
        <v>0</v>
      </c>
      <c r="AF357" s="40">
        <v>0</v>
      </c>
      <c r="AG357" s="28">
        <v>0</v>
      </c>
      <c r="AH357" s="28">
        <v>0</v>
      </c>
      <c r="AI357" s="28">
        <v>0</v>
      </c>
      <c r="AJ357" s="42">
        <v>0</v>
      </c>
      <c r="AK357" s="40">
        <v>0</v>
      </c>
      <c r="AL357" s="41">
        <v>0</v>
      </c>
      <c r="AM357" s="43">
        <v>1</v>
      </c>
      <c r="AN357" s="28" t="s">
        <v>780</v>
      </c>
      <c r="AO357" s="40"/>
      <c r="AR357" s="138" t="s">
        <v>63</v>
      </c>
      <c r="AS357" s="138">
        <v>67</v>
      </c>
      <c r="AT357" s="141">
        <v>49</v>
      </c>
      <c r="AU357" s="138"/>
      <c r="AV357" s="141"/>
      <c r="AW357" s="28"/>
      <c r="AX357" s="28" t="s">
        <v>110</v>
      </c>
      <c r="AY357" s="28" t="s">
        <v>111</v>
      </c>
      <c r="AZ357" s="28" t="s">
        <v>112</v>
      </c>
      <c r="BA357" s="141"/>
      <c r="BD357" s="195" t="s">
        <v>107</v>
      </c>
      <c r="BE357" s="134">
        <v>0</v>
      </c>
      <c r="BF357" s="136">
        <v>0</v>
      </c>
      <c r="BG357" s="135"/>
      <c r="BH357" s="135"/>
      <c r="BI357" s="135"/>
      <c r="BJ357" s="134"/>
      <c r="BK357" s="136"/>
      <c r="BL357" s="135"/>
      <c r="BM357" s="135" t="s">
        <v>92</v>
      </c>
      <c r="BN357" s="136"/>
    </row>
    <row r="358" spans="3:67" x14ac:dyDescent="0.3">
      <c r="C358" s="142"/>
      <c r="D358" s="142"/>
      <c r="E358" s="143"/>
      <c r="F358" s="142"/>
      <c r="G358" s="143"/>
      <c r="H358" s="143"/>
      <c r="I358" s="199"/>
      <c r="J358" s="143">
        <v>14</v>
      </c>
      <c r="K358" s="143" t="s">
        <v>83</v>
      </c>
      <c r="L358" s="146">
        <f>SUM(J356:J358)</f>
        <v>17</v>
      </c>
      <c r="N358" s="142"/>
      <c r="O358" s="142"/>
      <c r="P358" s="199"/>
      <c r="Q358" s="142"/>
      <c r="R358" s="199"/>
      <c r="S358" s="146"/>
      <c r="T358" s="142"/>
      <c r="U358" s="199"/>
      <c r="V358" s="142"/>
      <c r="W358" s="146"/>
      <c r="AD358" s="33"/>
      <c r="AE358" s="33"/>
      <c r="AF358" s="35"/>
      <c r="AG358" s="34"/>
      <c r="AH358" s="34"/>
      <c r="AI358" s="34"/>
      <c r="AJ358" s="33"/>
      <c r="AK358" s="35"/>
      <c r="AL358" s="32"/>
      <c r="AM358" s="34" t="s">
        <v>1298</v>
      </c>
      <c r="AN358" s="34"/>
      <c r="AO358" s="35"/>
      <c r="AR358" s="138" t="s">
        <v>115</v>
      </c>
      <c r="AS358" s="138">
        <v>20</v>
      </c>
      <c r="AT358" s="141">
        <v>13</v>
      </c>
      <c r="AU358" s="138"/>
      <c r="AV358" s="141"/>
      <c r="AW358" s="28"/>
      <c r="AX358" s="28"/>
      <c r="AY358" s="28"/>
      <c r="AZ358" s="28"/>
      <c r="BA358" s="141"/>
      <c r="BD358" s="196" t="s">
        <v>99</v>
      </c>
      <c r="BE358" s="138">
        <v>0</v>
      </c>
      <c r="BF358" s="141">
        <v>0</v>
      </c>
      <c r="BG358" s="28">
        <v>0</v>
      </c>
      <c r="BH358" s="28">
        <v>0</v>
      </c>
      <c r="BI358" s="28">
        <v>0</v>
      </c>
      <c r="BJ358" s="138">
        <v>83397</v>
      </c>
      <c r="BK358" s="141">
        <v>20907</v>
      </c>
      <c r="BL358" s="43">
        <v>27</v>
      </c>
      <c r="BM358" s="28" t="s">
        <v>100</v>
      </c>
      <c r="BN358" s="141"/>
    </row>
    <row r="359" spans="3:67" ht="15" thickBot="1" x14ac:dyDescent="0.35">
      <c r="C359" s="134"/>
      <c r="D359" s="134"/>
      <c r="E359" s="135"/>
      <c r="F359" s="134"/>
      <c r="G359" s="135"/>
      <c r="H359" s="135"/>
      <c r="I359" s="195"/>
      <c r="J359" s="135" t="s">
        <v>87</v>
      </c>
      <c r="K359" s="135"/>
      <c r="L359" s="136"/>
      <c r="N359" s="134"/>
      <c r="O359" s="134"/>
      <c r="P359" s="195"/>
      <c r="Q359" s="134"/>
      <c r="R359" s="195"/>
      <c r="S359" s="136"/>
      <c r="T359" s="134"/>
      <c r="U359" s="195"/>
      <c r="V359" s="134" t="s">
        <v>6</v>
      </c>
      <c r="W359" s="136"/>
      <c r="AD359" s="47" t="s">
        <v>1300</v>
      </c>
      <c r="AE359" s="47"/>
      <c r="AF359" s="49"/>
      <c r="AG359" s="48"/>
      <c r="AH359" s="48"/>
      <c r="AI359" s="48"/>
      <c r="AJ359" s="47"/>
      <c r="AK359" s="49"/>
      <c r="AL359" s="46"/>
      <c r="AM359" s="48">
        <v>8</v>
      </c>
      <c r="AN359" s="48" t="s">
        <v>145</v>
      </c>
      <c r="AO359" s="49"/>
      <c r="AR359" s="138" t="s">
        <v>72</v>
      </c>
      <c r="AS359" s="138">
        <v>0</v>
      </c>
      <c r="AT359" s="141">
        <v>9</v>
      </c>
      <c r="AU359" s="138"/>
      <c r="AV359" s="141"/>
      <c r="AW359" s="28"/>
      <c r="AX359" s="28"/>
      <c r="AY359" s="28"/>
      <c r="AZ359" s="28"/>
      <c r="BA359" s="141"/>
      <c r="BD359" s="199" t="s">
        <v>84</v>
      </c>
      <c r="BE359" s="138">
        <f>SUM(BE357:BE358)</f>
        <v>0</v>
      </c>
      <c r="BF359" s="141">
        <f>SUM(BF357:BF358)</f>
        <v>0</v>
      </c>
      <c r="BG359" s="143"/>
      <c r="BH359" s="143"/>
      <c r="BI359" s="143"/>
      <c r="BJ359" s="138"/>
      <c r="BK359" s="141"/>
      <c r="BL359" s="28">
        <v>0</v>
      </c>
      <c r="BM359" s="28" t="s">
        <v>506</v>
      </c>
      <c r="BN359" s="141">
        <f>SUM(BL358:BL359)</f>
        <v>27</v>
      </c>
    </row>
    <row r="360" spans="3:67" x14ac:dyDescent="0.3">
      <c r="C360" s="138" t="s">
        <v>93</v>
      </c>
      <c r="D360" s="138">
        <v>4455</v>
      </c>
      <c r="E360" s="28">
        <v>4491</v>
      </c>
      <c r="F360" s="138"/>
      <c r="G360" s="28" t="s">
        <v>60</v>
      </c>
      <c r="H360" s="28"/>
      <c r="I360" s="196">
        <v>5182</v>
      </c>
      <c r="J360" s="43">
        <v>1</v>
      </c>
      <c r="K360" s="28" t="s">
        <v>94</v>
      </c>
      <c r="L360" s="141"/>
      <c r="N360" s="138"/>
      <c r="O360" s="138"/>
      <c r="P360" s="196"/>
      <c r="Q360" s="138"/>
      <c r="R360" s="196"/>
      <c r="S360" s="141"/>
      <c r="T360" s="138"/>
      <c r="U360" s="196"/>
      <c r="V360" s="138"/>
      <c r="W360" s="141"/>
      <c r="AD360" s="42" t="s">
        <v>89</v>
      </c>
      <c r="AE360" s="42">
        <v>44</v>
      </c>
      <c r="AF360" s="40">
        <v>34</v>
      </c>
      <c r="AG360" s="28"/>
      <c r="AH360" s="28"/>
      <c r="AI360" s="28"/>
      <c r="AJ360" s="42"/>
      <c r="AK360" s="40"/>
      <c r="AL360" s="41"/>
      <c r="AM360" s="28" t="s">
        <v>90</v>
      </c>
      <c r="AN360" s="28"/>
      <c r="AO360" s="40"/>
      <c r="AR360" s="138" t="s">
        <v>78</v>
      </c>
      <c r="AS360" s="138">
        <v>42</v>
      </c>
      <c r="AT360" s="141">
        <v>56</v>
      </c>
      <c r="AU360" s="138"/>
      <c r="AV360" s="141"/>
      <c r="AW360" s="28"/>
      <c r="AX360" s="28"/>
      <c r="AY360" s="28"/>
      <c r="AZ360" s="28"/>
      <c r="BA360" s="141"/>
      <c r="BB360" t="s">
        <v>6</v>
      </c>
      <c r="BD360" s="138" t="s">
        <v>89</v>
      </c>
      <c r="BE360" s="134">
        <v>1061</v>
      </c>
      <c r="BF360" s="136">
        <v>1477</v>
      </c>
      <c r="BJ360" s="134"/>
      <c r="BK360" s="135"/>
      <c r="BL360" s="134"/>
      <c r="BM360" s="135" t="s">
        <v>91</v>
      </c>
      <c r="BN360" s="136"/>
    </row>
    <row r="361" spans="3:67" x14ac:dyDescent="0.3">
      <c r="C361" s="142"/>
      <c r="D361" s="142"/>
      <c r="E361" s="143"/>
      <c r="F361" s="142"/>
      <c r="G361" s="143"/>
      <c r="H361" s="143"/>
      <c r="I361" s="199"/>
      <c r="J361" s="143">
        <v>28</v>
      </c>
      <c r="K361" s="143" t="s">
        <v>101</v>
      </c>
      <c r="L361" s="146">
        <f>SUM(J360:J361)</f>
        <v>29</v>
      </c>
      <c r="N361" s="138"/>
      <c r="O361" s="138"/>
      <c r="P361" s="196"/>
      <c r="Q361" s="138"/>
      <c r="R361" s="196"/>
      <c r="S361" s="141"/>
      <c r="T361" s="138"/>
      <c r="U361" s="196"/>
      <c r="V361" s="138"/>
      <c r="W361" s="141"/>
      <c r="AD361" s="42" t="s">
        <v>137</v>
      </c>
      <c r="AE361" s="42"/>
      <c r="AF361" s="40"/>
      <c r="AG361" s="28">
        <v>0</v>
      </c>
      <c r="AH361" s="28">
        <v>0</v>
      </c>
      <c r="AI361" s="28">
        <v>0</v>
      </c>
      <c r="AJ361" s="42">
        <v>0</v>
      </c>
      <c r="AK361" s="40">
        <v>0</v>
      </c>
      <c r="AL361" s="41">
        <v>0</v>
      </c>
      <c r="AM361" s="28"/>
      <c r="AN361" s="28" t="s">
        <v>529</v>
      </c>
      <c r="AO361" s="40"/>
      <c r="AR361" s="138" t="s">
        <v>122</v>
      </c>
      <c r="AS361" s="138">
        <v>48</v>
      </c>
      <c r="AT361" s="141">
        <v>27</v>
      </c>
      <c r="AU361" s="138"/>
      <c r="AV361" s="141"/>
      <c r="AW361" s="28"/>
      <c r="AX361" s="28">
        <v>29</v>
      </c>
      <c r="AY361" s="28" t="s">
        <v>123</v>
      </c>
      <c r="AZ361" s="28" t="s">
        <v>6</v>
      </c>
      <c r="BA361" s="141"/>
      <c r="BD361" s="138" t="s">
        <v>137</v>
      </c>
      <c r="BE361" s="138">
        <v>856</v>
      </c>
      <c r="BF361" s="141">
        <v>754</v>
      </c>
      <c r="BJ361" s="138"/>
      <c r="BK361" s="28"/>
      <c r="BL361" s="212"/>
      <c r="BM361" s="43"/>
      <c r="BN361" s="141"/>
    </row>
    <row r="362" spans="3:67" ht="15" thickBot="1" x14ac:dyDescent="0.35">
      <c r="C362" s="138" t="s">
        <v>108</v>
      </c>
      <c r="D362" s="138">
        <v>0</v>
      </c>
      <c r="E362" s="28">
        <v>0</v>
      </c>
      <c r="F362" s="138"/>
      <c r="G362" s="28">
        <v>305</v>
      </c>
      <c r="H362" s="28"/>
      <c r="I362" s="196"/>
      <c r="J362" s="28" t="s">
        <v>104</v>
      </c>
      <c r="K362" s="28"/>
      <c r="L362" s="141"/>
      <c r="N362" s="142"/>
      <c r="O362" s="142"/>
      <c r="P362" s="199"/>
      <c r="Q362" s="142"/>
      <c r="R362" s="199"/>
      <c r="S362" s="146"/>
      <c r="T362" s="142"/>
      <c r="U362" s="199"/>
      <c r="V362" s="142"/>
      <c r="W362" s="146"/>
      <c r="AD362" s="42" t="s">
        <v>84</v>
      </c>
      <c r="AE362" s="244">
        <f>SUM(AE360:AE361)</f>
        <v>44</v>
      </c>
      <c r="AF362" s="245">
        <f>SUM(AF360:AF361)</f>
        <v>34</v>
      </c>
      <c r="AG362" s="28"/>
      <c r="AH362" s="28"/>
      <c r="AI362" s="28"/>
      <c r="AJ362" s="244"/>
      <c r="AK362" s="245"/>
      <c r="AL362" s="41"/>
      <c r="AM362" s="28">
        <v>1</v>
      </c>
      <c r="AN362" s="28" t="s">
        <v>98</v>
      </c>
      <c r="AO362" s="40"/>
      <c r="AR362" s="138" t="s">
        <v>125</v>
      </c>
      <c r="AS362" s="138">
        <v>0</v>
      </c>
      <c r="AT362" s="141">
        <v>0</v>
      </c>
      <c r="AU362" s="138"/>
      <c r="AV362" s="141"/>
      <c r="AW362" s="28"/>
      <c r="AX362" s="28">
        <v>54</v>
      </c>
      <c r="AY362" s="28" t="s">
        <v>126</v>
      </c>
      <c r="AZ362" s="28"/>
      <c r="BA362" s="141"/>
      <c r="BC362" t="s">
        <v>6</v>
      </c>
      <c r="BD362" s="212" t="s">
        <v>97</v>
      </c>
      <c r="BE362" s="212">
        <v>539</v>
      </c>
      <c r="BF362" s="209">
        <v>403</v>
      </c>
      <c r="BJ362" s="138"/>
      <c r="BK362" s="28"/>
      <c r="BL362" s="138">
        <v>24</v>
      </c>
      <c r="BM362" s="43" t="s">
        <v>1134</v>
      </c>
      <c r="BN362" s="141"/>
    </row>
    <row r="363" spans="3:67" x14ac:dyDescent="0.3">
      <c r="C363" s="138" t="s">
        <v>109</v>
      </c>
      <c r="D363" s="138">
        <v>1472</v>
      </c>
      <c r="E363" s="28">
        <v>997</v>
      </c>
      <c r="F363" s="138"/>
      <c r="G363" s="28">
        <v>0</v>
      </c>
      <c r="H363" s="28"/>
      <c r="I363" s="196"/>
      <c r="J363" s="28">
        <v>6</v>
      </c>
      <c r="K363" s="28" t="s">
        <v>114</v>
      </c>
      <c r="L363" s="141"/>
      <c r="N363" s="134"/>
      <c r="O363" s="134"/>
      <c r="P363" s="195"/>
      <c r="Q363" s="134"/>
      <c r="R363" s="195"/>
      <c r="S363" s="136"/>
      <c r="T363" s="134"/>
      <c r="U363" s="195"/>
      <c r="V363" s="134" t="s">
        <v>104</v>
      </c>
      <c r="W363" s="136"/>
      <c r="AD363" s="32" t="s">
        <v>108</v>
      </c>
      <c r="AE363" s="135"/>
      <c r="AF363" s="135"/>
      <c r="AG363" s="33"/>
      <c r="AH363" s="34"/>
      <c r="AI363" s="35"/>
      <c r="AJ363" s="135"/>
      <c r="AK363" s="135"/>
      <c r="AL363" s="32"/>
      <c r="AM363" s="34" t="s">
        <v>1284</v>
      </c>
      <c r="AN363" s="34"/>
      <c r="AO363" s="35"/>
      <c r="AR363" s="138" t="s">
        <v>536</v>
      </c>
      <c r="AS363" s="138">
        <v>3</v>
      </c>
      <c r="AT363" s="141">
        <v>4</v>
      </c>
      <c r="AU363" s="138"/>
      <c r="AV363" s="141"/>
      <c r="AW363" s="28"/>
      <c r="AX363" s="28">
        <v>22</v>
      </c>
      <c r="AY363" s="28" t="s">
        <v>129</v>
      </c>
      <c r="AZ363" s="28" t="s">
        <v>6</v>
      </c>
      <c r="BA363" s="141"/>
      <c r="BC363" t="s">
        <v>6</v>
      </c>
      <c r="BD363" s="138" t="s">
        <v>113</v>
      </c>
      <c r="BE363" s="138">
        <v>641</v>
      </c>
      <c r="BF363" s="141">
        <v>686</v>
      </c>
      <c r="BJ363" s="138"/>
      <c r="BK363" s="28"/>
      <c r="BL363" s="212">
        <v>57</v>
      </c>
      <c r="BM363" s="28" t="s">
        <v>73</v>
      </c>
      <c r="BN363" s="141"/>
    </row>
    <row r="364" spans="3:67" x14ac:dyDescent="0.3">
      <c r="C364" s="142" t="s">
        <v>84</v>
      </c>
      <c r="D364" s="142">
        <f>SUM(D362:D363)</f>
        <v>1472</v>
      </c>
      <c r="E364" s="143">
        <f>SUM(E362:E363)</f>
        <v>997</v>
      </c>
      <c r="F364" s="142"/>
      <c r="G364" s="143">
        <f>SUM(G362:G363)</f>
        <v>305</v>
      </c>
      <c r="H364" s="143"/>
      <c r="I364" s="199">
        <v>2217</v>
      </c>
      <c r="J364" s="143"/>
      <c r="K364" s="143"/>
      <c r="L364" s="146">
        <f>SUM(J363)</f>
        <v>6</v>
      </c>
      <c r="N364" s="138" t="s">
        <v>109</v>
      </c>
      <c r="O364" s="138">
        <v>1050</v>
      </c>
      <c r="P364" s="196">
        <v>0</v>
      </c>
      <c r="Q364" s="138">
        <v>0</v>
      </c>
      <c r="R364" s="196">
        <v>0</v>
      </c>
      <c r="S364" s="141">
        <v>0</v>
      </c>
      <c r="T364" s="138">
        <v>0</v>
      </c>
      <c r="U364" s="196">
        <v>0</v>
      </c>
      <c r="V364" s="138"/>
      <c r="W364" s="141"/>
      <c r="AD364" s="41" t="s">
        <v>817</v>
      </c>
      <c r="AE364" s="28">
        <v>250</v>
      </c>
      <c r="AF364" s="43">
        <v>4606</v>
      </c>
      <c r="AG364" s="42">
        <v>0</v>
      </c>
      <c r="AH364" s="28">
        <v>0</v>
      </c>
      <c r="AI364" s="40">
        <v>0</v>
      </c>
      <c r="AJ364" s="28"/>
      <c r="AK364" s="28"/>
      <c r="AL364" s="41">
        <v>0</v>
      </c>
      <c r="AM364" s="28"/>
      <c r="AN364" s="28" t="s">
        <v>6</v>
      </c>
      <c r="AO364" s="40"/>
      <c r="AR364" s="138" t="s">
        <v>132</v>
      </c>
      <c r="AS364" s="138">
        <v>0</v>
      </c>
      <c r="AT364" s="141">
        <v>0</v>
      </c>
      <c r="AU364" s="138"/>
      <c r="AV364" s="141"/>
      <c r="AW364" s="28"/>
      <c r="AX364" s="28"/>
      <c r="AY364" s="28"/>
      <c r="AZ364" s="28"/>
      <c r="BA364" s="141"/>
      <c r="BB364" t="s">
        <v>6</v>
      </c>
      <c r="BD364" s="212" t="s">
        <v>1120</v>
      </c>
      <c r="BE364" s="212">
        <v>109</v>
      </c>
      <c r="BF364" s="209">
        <v>0</v>
      </c>
      <c r="BJ364" s="138"/>
      <c r="BK364" s="28"/>
      <c r="BL364" s="138">
        <v>1</v>
      </c>
      <c r="BM364" s="43" t="s">
        <v>1598</v>
      </c>
      <c r="BN364" s="141"/>
    </row>
    <row r="365" spans="3:67" x14ac:dyDescent="0.3">
      <c r="C365" s="195" t="s">
        <v>785</v>
      </c>
      <c r="D365">
        <v>890</v>
      </c>
      <c r="E365" s="43">
        <v>955</v>
      </c>
      <c r="F365" s="134"/>
      <c r="G365" s="135"/>
      <c r="H365" s="136"/>
      <c r="I365">
        <v>1100</v>
      </c>
      <c r="J365" s="134"/>
      <c r="K365" s="135"/>
      <c r="L365" s="136"/>
      <c r="N365" s="142"/>
      <c r="O365" s="142"/>
      <c r="P365" s="199"/>
      <c r="Q365" s="142"/>
      <c r="R365" s="199"/>
      <c r="S365" s="146"/>
      <c r="T365" s="142"/>
      <c r="U365" s="199"/>
      <c r="V365" s="142"/>
      <c r="W365" s="146"/>
      <c r="AD365" s="41" t="s">
        <v>164</v>
      </c>
      <c r="AE365" s="28"/>
      <c r="AF365" s="43"/>
      <c r="AG365" s="42">
        <v>0</v>
      </c>
      <c r="AH365" s="28"/>
      <c r="AI365" s="40">
        <v>0</v>
      </c>
      <c r="AJ365" s="28"/>
      <c r="AK365" s="28"/>
      <c r="AL365" s="41"/>
      <c r="AM365" s="28">
        <v>33</v>
      </c>
      <c r="AN365" s="43" t="s">
        <v>1285</v>
      </c>
      <c r="AO365" s="40"/>
      <c r="AR365" s="138" t="s">
        <v>81</v>
      </c>
      <c r="AS365" s="138">
        <v>47</v>
      </c>
      <c r="AT365" s="141">
        <v>45</v>
      </c>
      <c r="AU365" s="138"/>
      <c r="AV365" s="141"/>
      <c r="AW365" s="28"/>
      <c r="AX365" s="28"/>
      <c r="AY365" s="28"/>
      <c r="AZ365" s="28"/>
      <c r="BA365" s="141" t="s">
        <v>6</v>
      </c>
      <c r="BC365" t="s">
        <v>6</v>
      </c>
      <c r="BD365" s="212" t="s">
        <v>817</v>
      </c>
      <c r="BE365" s="212">
        <v>0</v>
      </c>
      <c r="BF365" s="209">
        <v>419</v>
      </c>
      <c r="BJ365" s="138"/>
      <c r="BK365" s="28"/>
      <c r="BL365" s="138">
        <v>6</v>
      </c>
      <c r="BM365" s="43" t="s">
        <v>1577</v>
      </c>
      <c r="BN365" s="141"/>
      <c r="BO365" s="28"/>
    </row>
    <row r="366" spans="3:67" x14ac:dyDescent="0.3">
      <c r="C366" s="196" t="s">
        <v>93</v>
      </c>
      <c r="D366" s="28">
        <v>10019</v>
      </c>
      <c r="E366" s="43">
        <v>9743</v>
      </c>
      <c r="F366" s="138"/>
      <c r="G366" s="28"/>
      <c r="H366" s="141"/>
      <c r="I366" s="28">
        <v>11450</v>
      </c>
      <c r="J366" s="138" t="s">
        <v>118</v>
      </c>
      <c r="K366" s="28"/>
      <c r="L366" s="141"/>
      <c r="N366" s="134" t="s">
        <v>93</v>
      </c>
      <c r="O366" s="134">
        <v>0</v>
      </c>
      <c r="P366" s="195">
        <v>0</v>
      </c>
      <c r="Q366" s="134"/>
      <c r="R366" s="195"/>
      <c r="S366" s="136"/>
      <c r="T366" s="134">
        <v>0</v>
      </c>
      <c r="U366" s="195">
        <v>0</v>
      </c>
      <c r="V366" s="134" t="s">
        <v>116</v>
      </c>
      <c r="W366" s="136"/>
      <c r="AD366" s="41" t="s">
        <v>1347</v>
      </c>
      <c r="AE366" s="43"/>
      <c r="AF366" s="43"/>
      <c r="AG366" s="42"/>
      <c r="AH366" s="28"/>
      <c r="AI366" s="40"/>
      <c r="AL366" s="41"/>
      <c r="AM366" s="28"/>
      <c r="AN366" s="28"/>
      <c r="AO366" s="40"/>
      <c r="AR366" s="138" t="s">
        <v>1599</v>
      </c>
      <c r="AS366" s="138">
        <v>0</v>
      </c>
      <c r="AT366" s="141">
        <v>0</v>
      </c>
      <c r="AU366" s="138"/>
      <c r="AV366" s="141"/>
      <c r="AW366" s="28"/>
      <c r="AX366" s="28"/>
      <c r="AY366" s="28"/>
      <c r="AZ366" s="28"/>
      <c r="BA366" s="141"/>
      <c r="BD366" s="138" t="s">
        <v>84</v>
      </c>
      <c r="BE366" s="138">
        <f>SUM(BE360:BE365)</f>
        <v>3206</v>
      </c>
      <c r="BF366" s="141">
        <f>SUM(BF360:BF365)</f>
        <v>3739</v>
      </c>
      <c r="BG366">
        <v>0</v>
      </c>
      <c r="BH366">
        <v>0</v>
      </c>
      <c r="BI366">
        <v>0</v>
      </c>
      <c r="BJ366" s="142">
        <v>0</v>
      </c>
      <c r="BK366" s="143">
        <v>0</v>
      </c>
      <c r="BL366" s="142"/>
      <c r="BM366" s="143" t="s">
        <v>6</v>
      </c>
      <c r="BN366" s="146">
        <f>SUM(BL362:BL366)</f>
        <v>88</v>
      </c>
    </row>
    <row r="367" spans="3:67" ht="15" thickBot="1" x14ac:dyDescent="0.35">
      <c r="C367" s="196" t="s">
        <v>120</v>
      </c>
      <c r="D367" s="43">
        <v>7065</v>
      </c>
      <c r="E367" s="43">
        <v>6822</v>
      </c>
      <c r="F367" s="138"/>
      <c r="G367" s="28" t="s">
        <v>60</v>
      </c>
      <c r="H367" s="141"/>
      <c r="I367" s="43">
        <v>8651</v>
      </c>
      <c r="J367" s="138">
        <v>107</v>
      </c>
      <c r="K367" s="28" t="s">
        <v>101</v>
      </c>
      <c r="L367" s="141"/>
      <c r="N367" s="138" t="s">
        <v>99</v>
      </c>
      <c r="O367" s="138">
        <v>10246</v>
      </c>
      <c r="P367" s="196">
        <v>16509</v>
      </c>
      <c r="Q367" s="138"/>
      <c r="R367" s="196"/>
      <c r="S367" s="141"/>
      <c r="T367" s="138">
        <v>1614</v>
      </c>
      <c r="U367" s="196">
        <v>246</v>
      </c>
      <c r="V367" s="138"/>
      <c r="W367" s="141"/>
      <c r="AD367" s="46" t="s">
        <v>1120</v>
      </c>
      <c r="AF367" s="43"/>
      <c r="AG367" s="42"/>
      <c r="AH367" s="28"/>
      <c r="AI367" s="40"/>
      <c r="AL367" s="41"/>
      <c r="AM367" s="28"/>
      <c r="AN367" s="28"/>
      <c r="AO367" s="40"/>
      <c r="AR367" s="138" t="s">
        <v>56</v>
      </c>
      <c r="AS367" s="138">
        <v>0</v>
      </c>
      <c r="AT367" s="141">
        <v>0</v>
      </c>
      <c r="AU367" s="138"/>
      <c r="AV367" s="141"/>
      <c r="AW367" s="28"/>
      <c r="AX367" s="28"/>
      <c r="AY367" s="28"/>
      <c r="AZ367" s="28"/>
      <c r="BA367" s="141"/>
      <c r="BD367" s="134"/>
      <c r="BE367" s="134"/>
      <c r="BF367" s="136"/>
      <c r="BG367" s="135"/>
      <c r="BH367" s="135"/>
      <c r="BI367" s="135"/>
      <c r="BJ367" s="138"/>
      <c r="BK367" s="141"/>
      <c r="BL367" s="28" t="s">
        <v>1025</v>
      </c>
      <c r="BM367" s="28"/>
      <c r="BN367" s="141"/>
    </row>
    <row r="368" spans="3:67" ht="15" thickBot="1" x14ac:dyDescent="0.35">
      <c r="C368" s="199" t="s">
        <v>84</v>
      </c>
      <c r="D368" s="143">
        <f>SUM(D365:D367)</f>
        <v>17974</v>
      </c>
      <c r="E368" s="143">
        <f>SUM(E365:E367)</f>
        <v>17520</v>
      </c>
      <c r="F368" s="142"/>
      <c r="G368" s="143"/>
      <c r="H368" s="146"/>
      <c r="I368" s="143">
        <f>SUM(I365:I367)</f>
        <v>21201</v>
      </c>
      <c r="J368" s="142">
        <v>24</v>
      </c>
      <c r="K368" s="143" t="s">
        <v>927</v>
      </c>
      <c r="L368" s="146">
        <f>SUM(J367:J368)</f>
        <v>131</v>
      </c>
      <c r="N368" s="138" t="s">
        <v>120</v>
      </c>
      <c r="O368" s="138">
        <v>92</v>
      </c>
      <c r="P368" s="196">
        <v>9597</v>
      </c>
      <c r="Q368" s="138"/>
      <c r="R368" s="196"/>
      <c r="S368" s="141"/>
      <c r="T368" s="138">
        <v>0</v>
      </c>
      <c r="U368" s="196">
        <v>0</v>
      </c>
      <c r="V368" s="138"/>
      <c r="W368" s="141"/>
      <c r="AD368" s="42" t="s">
        <v>84</v>
      </c>
      <c r="AE368" s="42">
        <f>SUM(AE363:AE367)</f>
        <v>250</v>
      </c>
      <c r="AF368" s="28">
        <f>SUM(AF363:AF367)</f>
        <v>4606</v>
      </c>
      <c r="AG368" s="47">
        <v>0</v>
      </c>
      <c r="AH368" s="48">
        <v>0</v>
      </c>
      <c r="AI368" s="49">
        <v>0</v>
      </c>
      <c r="AJ368" s="28"/>
      <c r="AK368" s="28"/>
      <c r="AL368" s="46"/>
      <c r="AM368" s="48"/>
      <c r="AN368" s="48"/>
      <c r="AO368" s="49"/>
      <c r="AR368" s="138" t="s">
        <v>67</v>
      </c>
      <c r="AS368" s="138">
        <v>170</v>
      </c>
      <c r="AT368" s="141">
        <v>102</v>
      </c>
      <c r="AU368" s="138"/>
      <c r="AV368" s="141"/>
      <c r="AW368" s="28"/>
      <c r="AX368" s="28"/>
      <c r="AY368" s="28"/>
      <c r="AZ368" s="28"/>
      <c r="BA368" s="141"/>
      <c r="BD368" s="142" t="s">
        <v>64</v>
      </c>
      <c r="BE368" s="142">
        <v>76</v>
      </c>
      <c r="BF368" s="146">
        <v>47</v>
      </c>
      <c r="BG368" s="143">
        <v>0</v>
      </c>
      <c r="BH368" s="143">
        <v>0</v>
      </c>
      <c r="BI368" s="143">
        <v>0</v>
      </c>
      <c r="BJ368" s="142">
        <v>0</v>
      </c>
      <c r="BK368" s="146">
        <v>0</v>
      </c>
      <c r="BL368" s="143">
        <v>8</v>
      </c>
      <c r="BM368" s="143" t="s">
        <v>1026</v>
      </c>
      <c r="BN368" s="146">
        <f>SUM(BL368)</f>
        <v>8</v>
      </c>
      <c r="BO368" t="s">
        <v>6</v>
      </c>
    </row>
    <row r="369" spans="3:66" x14ac:dyDescent="0.3">
      <c r="C369" s="195"/>
      <c r="D369" s="43"/>
      <c r="E369" s="43"/>
      <c r="F369" s="134"/>
      <c r="G369" s="135"/>
      <c r="H369" s="136"/>
      <c r="I369" s="43"/>
      <c r="J369" s="134"/>
      <c r="K369" s="135"/>
      <c r="L369" s="136"/>
      <c r="N369" s="142" t="s">
        <v>84</v>
      </c>
      <c r="O369" s="142">
        <f>SUM(O366:O368)</f>
        <v>10338</v>
      </c>
      <c r="P369" s="199">
        <f>SUM(P366:P368)</f>
        <v>26106</v>
      </c>
      <c r="Q369" s="142">
        <v>0</v>
      </c>
      <c r="R369" s="199">
        <v>0</v>
      </c>
      <c r="S369" s="146">
        <v>0</v>
      </c>
      <c r="T369" s="142">
        <f>SUM(T366:T368)</f>
        <v>1614</v>
      </c>
      <c r="U369" s="199">
        <f>SUM(U366:U368)</f>
        <v>246</v>
      </c>
      <c r="V369" s="142"/>
      <c r="W369" s="146"/>
      <c r="AD369" s="33"/>
      <c r="AE369" s="33"/>
      <c r="AF369" s="35"/>
      <c r="AG369" s="34"/>
      <c r="AH369" s="34"/>
      <c r="AI369" s="34"/>
      <c r="AJ369" s="33"/>
      <c r="AK369" s="35"/>
      <c r="AL369" s="32"/>
      <c r="AM369" s="34"/>
      <c r="AN369" s="34" t="s">
        <v>117</v>
      </c>
      <c r="AO369" s="35"/>
      <c r="AR369" s="142" t="s">
        <v>84</v>
      </c>
      <c r="AS369" s="142">
        <f>SUM(AS357:AS368)</f>
        <v>397</v>
      </c>
      <c r="AT369" s="146">
        <f>SUM(AT357:AT368)</f>
        <v>305</v>
      </c>
      <c r="AU369" s="142"/>
      <c r="AV369" s="146">
        <v>0</v>
      </c>
      <c r="AW369" s="143"/>
      <c r="AX369" s="143"/>
      <c r="AY369" s="143"/>
      <c r="AZ369" s="143"/>
      <c r="BA369" s="146">
        <f>SUM(AX361:AX363)</f>
        <v>105</v>
      </c>
      <c r="BD369" s="138" t="s">
        <v>113</v>
      </c>
      <c r="BE369" s="138">
        <v>523</v>
      </c>
      <c r="BF369" s="141">
        <v>598</v>
      </c>
      <c r="BG369" s="28"/>
      <c r="BH369" s="28"/>
      <c r="BI369" s="28"/>
      <c r="BJ369" s="138"/>
      <c r="BK369" s="141"/>
      <c r="BL369" s="28" t="s">
        <v>994</v>
      </c>
      <c r="BM369" s="28"/>
      <c r="BN369" s="141"/>
    </row>
    <row r="370" spans="3:66" ht="15" thickBot="1" x14ac:dyDescent="0.35">
      <c r="C370" s="196"/>
      <c r="D370" s="28"/>
      <c r="E370" s="28"/>
      <c r="F370" s="138"/>
      <c r="G370" s="28"/>
      <c r="H370" s="141"/>
      <c r="I370" s="43"/>
      <c r="J370" s="138"/>
      <c r="K370" s="28"/>
      <c r="L370" s="141"/>
      <c r="N370" s="134"/>
      <c r="O370" s="134"/>
      <c r="P370" s="195"/>
      <c r="Q370" s="134"/>
      <c r="R370" s="195"/>
      <c r="S370" s="136"/>
      <c r="T370" s="134"/>
      <c r="U370" s="195"/>
      <c r="V370" s="134"/>
      <c r="W370" s="136"/>
      <c r="AD370" s="47"/>
      <c r="AE370" s="47"/>
      <c r="AF370" s="49"/>
      <c r="AG370" s="48"/>
      <c r="AH370" s="48"/>
      <c r="AI370" s="48"/>
      <c r="AJ370" s="47"/>
      <c r="AK370" s="49"/>
      <c r="AL370" s="46"/>
      <c r="AM370" s="48">
        <v>1</v>
      </c>
      <c r="AN370" s="48" t="s">
        <v>124</v>
      </c>
      <c r="AO370" s="49"/>
      <c r="AR370" s="134"/>
      <c r="AS370" s="134"/>
      <c r="AT370" s="136"/>
      <c r="AU370" s="134"/>
      <c r="AV370" s="136"/>
      <c r="AW370" s="135"/>
      <c r="AX370" s="135"/>
      <c r="AY370" s="135"/>
      <c r="AZ370" s="135"/>
      <c r="BA370" s="136"/>
      <c r="BD370" s="138" t="s">
        <v>133</v>
      </c>
      <c r="BE370" s="138">
        <v>0</v>
      </c>
      <c r="BF370" s="141">
        <v>0</v>
      </c>
      <c r="BG370" s="28"/>
      <c r="BH370" s="28"/>
      <c r="BI370" s="28"/>
      <c r="BJ370" s="138"/>
      <c r="BK370" s="141"/>
      <c r="BL370" s="28">
        <v>24</v>
      </c>
      <c r="BM370" s="28" t="s">
        <v>100</v>
      </c>
      <c r="BN370" s="141"/>
    </row>
    <row r="371" spans="3:66" x14ac:dyDescent="0.3">
      <c r="C371" s="196"/>
      <c r="D371" s="28"/>
      <c r="E371" s="43"/>
      <c r="F371" s="138"/>
      <c r="G371" s="28"/>
      <c r="H371" s="141"/>
      <c r="I371" s="43"/>
      <c r="J371" s="138"/>
      <c r="K371" s="28"/>
      <c r="L371" s="141"/>
      <c r="N371" s="138" t="s">
        <v>105</v>
      </c>
      <c r="O371" s="138">
        <v>0</v>
      </c>
      <c r="P371" s="196">
        <v>0</v>
      </c>
      <c r="Q371" s="138" t="s">
        <v>6</v>
      </c>
      <c r="R371" s="196"/>
      <c r="S371" s="141"/>
      <c r="T371" s="138">
        <v>0</v>
      </c>
      <c r="U371" s="196">
        <v>0</v>
      </c>
      <c r="V371" s="138"/>
      <c r="W371" s="141"/>
      <c r="AD371" s="33" t="s">
        <v>97</v>
      </c>
      <c r="AE371" s="33">
        <v>131</v>
      </c>
      <c r="AF371" s="35">
        <v>205</v>
      </c>
      <c r="AG371" s="34"/>
      <c r="AH371" s="34"/>
      <c r="AI371" s="34"/>
      <c r="AJ371" s="33"/>
      <c r="AK371" s="35"/>
      <c r="AL371" s="32"/>
      <c r="AM371" s="34"/>
      <c r="AN371" s="34"/>
      <c r="AO371" s="35"/>
      <c r="AR371" s="138" t="s">
        <v>56</v>
      </c>
      <c r="AS371" s="138">
        <v>0</v>
      </c>
      <c r="AT371" s="141">
        <v>0</v>
      </c>
      <c r="AU371" s="138"/>
      <c r="AV371" s="141"/>
      <c r="AW371" s="28"/>
      <c r="AX371" s="28" t="s">
        <v>173</v>
      </c>
      <c r="AY371" s="28"/>
      <c r="AZ371" s="28"/>
      <c r="BA371" s="141"/>
      <c r="BD371" s="142" t="s">
        <v>84</v>
      </c>
      <c r="BE371" s="142">
        <f>SUM(BE369:BE370)</f>
        <v>523</v>
      </c>
      <c r="BF371" s="146">
        <f>SUM(BF369:BF370)</f>
        <v>598</v>
      </c>
      <c r="BG371" s="143">
        <v>0</v>
      </c>
      <c r="BH371" s="143">
        <v>0</v>
      </c>
      <c r="BI371" s="143">
        <v>0</v>
      </c>
      <c r="BJ371" s="142">
        <v>0</v>
      </c>
      <c r="BK371" s="146">
        <v>0</v>
      </c>
      <c r="BL371" s="43">
        <v>24</v>
      </c>
      <c r="BM371" s="43" t="s">
        <v>73</v>
      </c>
      <c r="BN371" s="146">
        <f>SUM(BL370:BL371)</f>
        <v>48</v>
      </c>
    </row>
    <row r="372" spans="3:66" x14ac:dyDescent="0.3">
      <c r="C372" s="196"/>
      <c r="D372" s="28"/>
      <c r="E372" s="28"/>
      <c r="F372" s="138"/>
      <c r="G372" s="28"/>
      <c r="H372" s="141"/>
      <c r="I372" s="28"/>
      <c r="J372" s="138"/>
      <c r="K372" s="257"/>
      <c r="L372" s="141"/>
      <c r="N372" s="138" t="s">
        <v>99</v>
      </c>
      <c r="O372" s="138">
        <v>0</v>
      </c>
      <c r="P372" s="196">
        <v>0</v>
      </c>
      <c r="Q372" s="138"/>
      <c r="R372" s="196"/>
      <c r="S372" s="141"/>
      <c r="T372" s="138">
        <v>0</v>
      </c>
      <c r="U372" s="196">
        <v>0</v>
      </c>
      <c r="V372" s="138" t="s">
        <v>135</v>
      </c>
      <c r="W372" s="141"/>
      <c r="AD372" s="42" t="s">
        <v>89</v>
      </c>
      <c r="AE372" s="42">
        <v>446</v>
      </c>
      <c r="AF372" s="40">
        <v>417</v>
      </c>
      <c r="AG372" s="28"/>
      <c r="AH372" s="28"/>
      <c r="AI372" s="28"/>
      <c r="AJ372" s="42"/>
      <c r="AK372" s="40"/>
      <c r="AL372" s="41"/>
      <c r="AM372" s="28" t="s">
        <v>953</v>
      </c>
      <c r="AN372" s="28"/>
      <c r="AO372" s="40"/>
      <c r="AR372" s="138" t="s">
        <v>67</v>
      </c>
      <c r="AS372" s="138">
        <v>0</v>
      </c>
      <c r="AT372" s="141">
        <v>0</v>
      </c>
      <c r="AU372" s="138"/>
      <c r="AV372" s="141"/>
      <c r="AW372" s="28"/>
      <c r="AX372" s="28"/>
      <c r="AY372" s="28"/>
      <c r="AZ372" s="28"/>
      <c r="BA372" s="141"/>
      <c r="BD372" s="196" t="s">
        <v>785</v>
      </c>
      <c r="BE372" s="138">
        <v>0</v>
      </c>
      <c r="BF372" s="141">
        <v>3</v>
      </c>
      <c r="BG372" s="134"/>
      <c r="BH372" s="135"/>
      <c r="BI372" s="136"/>
      <c r="BJ372" s="138"/>
      <c r="BK372" s="141"/>
      <c r="BL372" s="134" t="s">
        <v>140</v>
      </c>
      <c r="BM372" s="135"/>
      <c r="BN372" s="136"/>
    </row>
    <row r="373" spans="3:66" x14ac:dyDescent="0.3">
      <c r="C373" s="199"/>
      <c r="F373" s="142"/>
      <c r="G373" s="143"/>
      <c r="H373" s="146"/>
      <c r="J373" s="142"/>
      <c r="K373" s="143"/>
      <c r="L373" s="141"/>
      <c r="N373" s="138"/>
      <c r="O373" s="138"/>
      <c r="P373" s="196"/>
      <c r="Q373" s="138"/>
      <c r="R373" s="196"/>
      <c r="S373" s="141"/>
      <c r="T373" s="138"/>
      <c r="U373" s="196"/>
      <c r="V373" s="138"/>
      <c r="W373" s="141"/>
      <c r="AD373" s="42" t="s">
        <v>137</v>
      </c>
      <c r="AE373" s="42">
        <v>248</v>
      </c>
      <c r="AF373" s="40">
        <v>185</v>
      </c>
      <c r="AG373" s="28"/>
      <c r="AH373" s="28"/>
      <c r="AI373" s="28"/>
      <c r="AJ373" s="42"/>
      <c r="AK373" s="40"/>
      <c r="AL373" s="41"/>
      <c r="AM373" s="28">
        <v>0</v>
      </c>
      <c r="AN373" s="28" t="s">
        <v>884</v>
      </c>
      <c r="AO373" s="40"/>
      <c r="AR373" s="138" t="s">
        <v>78</v>
      </c>
      <c r="AS373" s="138">
        <v>0</v>
      </c>
      <c r="AT373" s="141">
        <v>0</v>
      </c>
      <c r="AU373" s="138"/>
      <c r="AV373" s="141"/>
      <c r="AW373" s="28"/>
      <c r="AX373" s="28">
        <v>0</v>
      </c>
      <c r="AY373" s="28" t="s">
        <v>183</v>
      </c>
      <c r="AZ373" s="28"/>
      <c r="BA373" s="141"/>
      <c r="BD373" s="196" t="s">
        <v>214</v>
      </c>
      <c r="BE373" s="138">
        <v>1</v>
      </c>
      <c r="BF373" s="141">
        <v>5</v>
      </c>
      <c r="BG373" s="138"/>
      <c r="BH373" s="28"/>
      <c r="BI373" s="141"/>
      <c r="BJ373" s="138"/>
      <c r="BK373" s="141"/>
      <c r="BL373" s="138"/>
      <c r="BM373" s="28"/>
      <c r="BN373" s="141"/>
    </row>
    <row r="374" spans="3:66" x14ac:dyDescent="0.3">
      <c r="C374" s="134" t="s">
        <v>93</v>
      </c>
      <c r="D374" s="134">
        <v>8444</v>
      </c>
      <c r="E374" s="135">
        <v>7523</v>
      </c>
      <c r="F374" s="134"/>
      <c r="G374" s="135" t="s">
        <v>60</v>
      </c>
      <c r="H374" s="135"/>
      <c r="I374" s="195">
        <v>9524</v>
      </c>
      <c r="J374" s="135" t="s">
        <v>116</v>
      </c>
      <c r="K374" s="135"/>
      <c r="L374" s="136"/>
      <c r="N374" s="142" t="s">
        <v>84</v>
      </c>
      <c r="O374" s="142">
        <f>SUM(O371:O373)</f>
        <v>0</v>
      </c>
      <c r="P374" s="199">
        <f>SUM(P371:P373)</f>
        <v>0</v>
      </c>
      <c r="Q374" s="142">
        <v>0</v>
      </c>
      <c r="R374" s="199">
        <v>0</v>
      </c>
      <c r="S374" s="146">
        <v>0</v>
      </c>
      <c r="T374" s="142">
        <f>SUM(T371:T373)</f>
        <v>0</v>
      </c>
      <c r="U374" s="199">
        <f>SUM(U371:U372)</f>
        <v>0</v>
      </c>
      <c r="V374" s="142"/>
      <c r="W374" s="146"/>
      <c r="AD374" s="42" t="s">
        <v>84</v>
      </c>
      <c r="AE374" s="42">
        <f>SUM(AE371:AE373)</f>
        <v>825</v>
      </c>
      <c r="AF374" s="40">
        <f>SUM(AF371:AF373)</f>
        <v>807</v>
      </c>
      <c r="AG374" s="28">
        <v>0</v>
      </c>
      <c r="AH374" s="28">
        <v>0</v>
      </c>
      <c r="AI374" s="28">
        <v>0</v>
      </c>
      <c r="AJ374" s="42">
        <v>0</v>
      </c>
      <c r="AK374" s="40">
        <v>0</v>
      </c>
      <c r="AL374" s="41">
        <v>0</v>
      </c>
      <c r="AM374" s="43">
        <v>21</v>
      </c>
      <c r="AN374" s="28" t="s">
        <v>141</v>
      </c>
      <c r="AO374" s="40"/>
      <c r="AR374" s="142" t="s">
        <v>84</v>
      </c>
      <c r="AS374" s="142">
        <f>SUM(AS371:AS373)</f>
        <v>0</v>
      </c>
      <c r="AT374" s="146">
        <f>SUM(AT371:AT373)</f>
        <v>0</v>
      </c>
      <c r="AU374" s="142"/>
      <c r="AV374" s="146"/>
      <c r="AW374" s="143"/>
      <c r="AX374" s="143"/>
      <c r="AY374" s="143"/>
      <c r="AZ374" s="143"/>
      <c r="BA374" s="146">
        <f>SUM(AX373)</f>
        <v>0</v>
      </c>
      <c r="BD374" s="196" t="s">
        <v>211</v>
      </c>
      <c r="BE374" s="138">
        <v>23</v>
      </c>
      <c r="BF374" s="141">
        <v>0</v>
      </c>
      <c r="BG374" s="138"/>
      <c r="BH374" s="28"/>
      <c r="BI374" s="141"/>
      <c r="BJ374" s="138"/>
      <c r="BK374" s="141"/>
      <c r="BL374" s="138"/>
      <c r="BM374" s="28"/>
      <c r="BN374" s="141"/>
    </row>
    <row r="375" spans="3:66" ht="15" thickBot="1" x14ac:dyDescent="0.35">
      <c r="C375" s="138" t="s">
        <v>99</v>
      </c>
      <c r="D375" s="138">
        <v>12976</v>
      </c>
      <c r="E375" s="43">
        <v>12179</v>
      </c>
      <c r="F375" s="138"/>
      <c r="G375" s="28" t="s">
        <v>60</v>
      </c>
      <c r="H375" s="28"/>
      <c r="I375" s="196">
        <v>14685</v>
      </c>
      <c r="J375" s="43">
        <v>179</v>
      </c>
      <c r="K375" s="28" t="s">
        <v>144</v>
      </c>
      <c r="L375" s="141"/>
      <c r="N375" s="138"/>
      <c r="O375" s="138"/>
      <c r="P375" s="196"/>
      <c r="Q375" s="138"/>
      <c r="R375" s="196"/>
      <c r="S375" s="141"/>
      <c r="T375" s="138"/>
      <c r="U375" s="196"/>
      <c r="V375" s="138"/>
      <c r="W375" s="141"/>
      <c r="AD375" s="47"/>
      <c r="AE375" s="47"/>
      <c r="AF375" s="49"/>
      <c r="AG375" s="48"/>
      <c r="AH375" s="48"/>
      <c r="AI375" s="48"/>
      <c r="AJ375" s="47"/>
      <c r="AK375" s="49"/>
      <c r="AL375" s="46"/>
      <c r="AM375" s="48">
        <v>0</v>
      </c>
      <c r="AN375" s="48" t="s">
        <v>996</v>
      </c>
      <c r="AO375" s="49"/>
      <c r="AR375" s="134"/>
      <c r="AS375" s="134"/>
      <c r="AT375" s="136"/>
      <c r="AU375" s="134"/>
      <c r="AV375" s="136"/>
      <c r="AW375" s="135"/>
      <c r="AX375" s="28" t="s">
        <v>140</v>
      </c>
      <c r="AY375" s="135"/>
      <c r="AZ375" s="135"/>
      <c r="BA375" s="136"/>
      <c r="BC375" t="s">
        <v>6</v>
      </c>
      <c r="BD375" s="196" t="s">
        <v>113</v>
      </c>
      <c r="BE375" s="138">
        <f>3+2+38+6</f>
        <v>49</v>
      </c>
      <c r="BF375" s="141">
        <f>3+35</f>
        <v>38</v>
      </c>
      <c r="BG375" s="138"/>
      <c r="BH375" s="28"/>
      <c r="BI375" s="141" t="s">
        <v>6</v>
      </c>
      <c r="BJ375" s="138"/>
      <c r="BK375" s="141"/>
      <c r="BL375" s="138" t="s">
        <v>142</v>
      </c>
      <c r="BM375" s="28"/>
      <c r="BN375" s="141" t="s">
        <v>814</v>
      </c>
    </row>
    <row r="376" spans="3:66" x14ac:dyDescent="0.3">
      <c r="C376" s="138" t="s">
        <v>120</v>
      </c>
      <c r="D376" s="138">
        <v>3907</v>
      </c>
      <c r="E376" s="43">
        <v>3748</v>
      </c>
      <c r="F376" s="138"/>
      <c r="G376" s="28" t="s">
        <v>60</v>
      </c>
      <c r="H376" s="28"/>
      <c r="I376" s="196">
        <v>4883</v>
      </c>
      <c r="J376" s="43">
        <v>1</v>
      </c>
      <c r="K376" s="28" t="s">
        <v>148</v>
      </c>
      <c r="L376" s="141"/>
      <c r="N376" s="138"/>
      <c r="O376" s="138"/>
      <c r="P376" s="196"/>
      <c r="Q376" s="138"/>
      <c r="R376" s="196"/>
      <c r="S376" s="141"/>
      <c r="T376" s="138"/>
      <c r="U376" s="196"/>
      <c r="V376" s="138"/>
      <c r="W376" s="141"/>
      <c r="AD376" s="42"/>
      <c r="AE376" s="42"/>
      <c r="AF376" s="40"/>
      <c r="AG376" s="28"/>
      <c r="AH376" s="28"/>
      <c r="AI376" s="28"/>
      <c r="AJ376" s="42"/>
      <c r="AK376" s="40"/>
      <c r="AL376" s="41"/>
      <c r="AM376" s="28" t="s">
        <v>149</v>
      </c>
      <c r="AN376" s="28"/>
      <c r="AO376" s="40"/>
      <c r="AP376" t="s">
        <v>6</v>
      </c>
      <c r="AR376" s="138" t="s">
        <v>63</v>
      </c>
      <c r="AS376" s="138">
        <f>1+1</f>
        <v>2</v>
      </c>
      <c r="AT376" s="141">
        <f>2+4</f>
        <v>6</v>
      </c>
      <c r="AU376" s="138"/>
      <c r="AV376" s="141"/>
      <c r="AW376" s="28"/>
      <c r="AX376">
        <v>0</v>
      </c>
      <c r="AY376" s="28" t="s">
        <v>1143</v>
      </c>
      <c r="AZ376" s="28"/>
      <c r="BA376" s="141"/>
      <c r="BD376" s="196" t="s">
        <v>495</v>
      </c>
      <c r="BE376" s="138">
        <v>3</v>
      </c>
      <c r="BF376" s="141">
        <v>4</v>
      </c>
      <c r="BG376" s="138"/>
      <c r="BH376" s="28"/>
      <c r="BI376" s="141"/>
      <c r="BJ376" s="138"/>
      <c r="BK376" s="141"/>
      <c r="BL376" s="138" t="s">
        <v>146</v>
      </c>
      <c r="BM376" s="28"/>
      <c r="BN376" s="141" t="s">
        <v>1601</v>
      </c>
    </row>
    <row r="377" spans="3:66" x14ac:dyDescent="0.3">
      <c r="C377" s="138" t="s">
        <v>84</v>
      </c>
      <c r="D377" s="138">
        <f>SUM(D374:D376)</f>
        <v>25327</v>
      </c>
      <c r="E377" s="28">
        <f>SUM(E374:E376)</f>
        <v>23450</v>
      </c>
      <c r="F377" s="138"/>
      <c r="G377" s="28" t="s">
        <v>60</v>
      </c>
      <c r="H377" s="28"/>
      <c r="I377" s="196">
        <f>SUM(I374:I376)</f>
        <v>29092</v>
      </c>
      <c r="J377" s="43"/>
      <c r="K377" s="28" t="s">
        <v>152</v>
      </c>
      <c r="L377" s="141"/>
      <c r="N377" s="138"/>
      <c r="O377" s="138"/>
      <c r="P377" s="196"/>
      <c r="Q377" s="138"/>
      <c r="R377" s="196"/>
      <c r="S377" s="141"/>
      <c r="T377" s="138"/>
      <c r="U377" s="196"/>
      <c r="V377" s="138"/>
      <c r="W377" s="141"/>
      <c r="AA377" t="s">
        <v>6</v>
      </c>
      <c r="AD377" s="42" t="s">
        <v>99</v>
      </c>
      <c r="AE377" s="42">
        <v>0</v>
      </c>
      <c r="AF377" s="40">
        <v>0</v>
      </c>
      <c r="AG377" s="28">
        <v>0</v>
      </c>
      <c r="AH377" s="28">
        <v>0</v>
      </c>
      <c r="AI377" s="28">
        <v>0</v>
      </c>
      <c r="AJ377" s="42">
        <v>43645</v>
      </c>
      <c r="AK377" s="40">
        <v>28029</v>
      </c>
      <c r="AL377" s="41">
        <v>0</v>
      </c>
      <c r="AM377" s="43">
        <v>3</v>
      </c>
      <c r="AN377" s="28" t="s">
        <v>153</v>
      </c>
      <c r="AO377" s="40"/>
      <c r="AR377" s="138" t="s">
        <v>78</v>
      </c>
      <c r="AS377" s="138">
        <f>9+26</f>
        <v>35</v>
      </c>
      <c r="AT377" s="141">
        <f>8+32</f>
        <v>40</v>
      </c>
      <c r="AU377" s="138"/>
      <c r="AV377" s="141"/>
      <c r="AW377" s="28"/>
      <c r="AX377" s="28">
        <v>2</v>
      </c>
      <c r="AY377" s="28" t="s">
        <v>1579</v>
      </c>
      <c r="AZ377" s="28"/>
      <c r="BA377" s="141"/>
      <c r="BD377" s="196" t="s">
        <v>704</v>
      </c>
      <c r="BE377" s="138">
        <v>4</v>
      </c>
      <c r="BF377" s="141">
        <v>0</v>
      </c>
      <c r="BG377" s="138"/>
      <c r="BH377" s="28"/>
      <c r="BI377" s="141"/>
      <c r="BJ377" s="138"/>
      <c r="BK377" s="141"/>
      <c r="BL377" s="138"/>
      <c r="BM377" s="28"/>
      <c r="BN377" s="141"/>
    </row>
    <row r="378" spans="3:66" x14ac:dyDescent="0.3">
      <c r="C378" s="142"/>
      <c r="D378" s="142"/>
      <c r="E378" s="143"/>
      <c r="F378" s="142"/>
      <c r="G378" s="143"/>
      <c r="H378" s="143"/>
      <c r="I378" s="199"/>
      <c r="J378" s="143">
        <v>0</v>
      </c>
      <c r="K378" s="143" t="s">
        <v>958</v>
      </c>
      <c r="L378" s="146">
        <f>SUM(J375:J378)</f>
        <v>180</v>
      </c>
      <c r="N378" s="138"/>
      <c r="O378" s="138"/>
      <c r="P378" s="196"/>
      <c r="Q378" s="138"/>
      <c r="R378" s="196"/>
      <c r="S378" s="141"/>
      <c r="T378" s="138"/>
      <c r="U378" s="196"/>
      <c r="V378" s="138"/>
      <c r="W378" s="141"/>
      <c r="AD378" s="42"/>
      <c r="AE378" s="42"/>
      <c r="AF378" s="40"/>
      <c r="AG378" s="28"/>
      <c r="AH378" s="28"/>
      <c r="AI378" s="28"/>
      <c r="AJ378" s="42"/>
      <c r="AK378" s="40"/>
      <c r="AL378" s="41"/>
      <c r="AM378" s="28"/>
      <c r="AN378" s="28"/>
      <c r="AO378" s="40"/>
      <c r="AR378" s="138" t="s">
        <v>209</v>
      </c>
      <c r="AS378" s="138">
        <v>0</v>
      </c>
      <c r="AT378" s="141">
        <v>0</v>
      </c>
      <c r="AU378" s="138"/>
      <c r="AV378" s="141"/>
      <c r="AW378" s="28"/>
      <c r="AX378" s="28">
        <v>2</v>
      </c>
      <c r="AY378" s="28" t="s">
        <v>1117</v>
      </c>
      <c r="AZ378" s="28"/>
      <c r="BA378" s="141"/>
      <c r="BD378" s="196" t="s">
        <v>99</v>
      </c>
      <c r="BE378" s="138">
        <v>4</v>
      </c>
      <c r="BF378" s="141">
        <v>0</v>
      </c>
      <c r="BG378" s="138" t="s">
        <v>150</v>
      </c>
      <c r="BH378" s="28"/>
      <c r="BI378" s="141"/>
      <c r="BJ378" s="138"/>
      <c r="BK378" s="141"/>
      <c r="BL378" s="138" t="s">
        <v>151</v>
      </c>
      <c r="BM378" s="28"/>
      <c r="BN378" s="141"/>
    </row>
    <row r="379" spans="3:66" x14ac:dyDescent="0.3">
      <c r="C379" s="134" t="s">
        <v>105</v>
      </c>
      <c r="D379" s="134">
        <v>1643</v>
      </c>
      <c r="E379" s="135">
        <v>1562</v>
      </c>
      <c r="F379" s="134"/>
      <c r="G379" s="135">
        <v>1344</v>
      </c>
      <c r="H379" s="135"/>
      <c r="I379" s="195"/>
      <c r="J379" s="135" t="s">
        <v>162</v>
      </c>
      <c r="K379" s="135"/>
      <c r="L379" s="136"/>
      <c r="N379" s="138"/>
      <c r="O379" s="138"/>
      <c r="P379" s="196"/>
      <c r="Q379" s="138"/>
      <c r="R379" s="196"/>
      <c r="S379" s="141"/>
      <c r="T379" s="138"/>
      <c r="U379" s="196"/>
      <c r="V379" s="138"/>
      <c r="W379" s="141"/>
      <c r="AD379" s="278" t="s">
        <v>99</v>
      </c>
      <c r="AE379" s="278">
        <v>0</v>
      </c>
      <c r="AF379" s="279">
        <v>0</v>
      </c>
      <c r="AG379" s="135">
        <v>0</v>
      </c>
      <c r="AH379" s="135">
        <v>0</v>
      </c>
      <c r="AI379" s="135">
        <v>0</v>
      </c>
      <c r="AJ379" s="278">
        <v>196713</v>
      </c>
      <c r="AK379" s="279">
        <v>162462</v>
      </c>
      <c r="AL379" s="314">
        <v>0</v>
      </c>
      <c r="AM379" s="135" t="s">
        <v>157</v>
      </c>
      <c r="AN379" s="135"/>
      <c r="AO379" s="279"/>
      <c r="AR379" s="138" t="s">
        <v>168</v>
      </c>
      <c r="AS379" s="138">
        <v>0</v>
      </c>
      <c r="AT379" s="141">
        <v>0</v>
      </c>
      <c r="AU379" s="138"/>
      <c r="AV379" s="141"/>
      <c r="AW379" s="28"/>
      <c r="AX379" s="28">
        <v>4</v>
      </c>
      <c r="AY379" s="28" t="s">
        <v>213</v>
      </c>
      <c r="AZ379" s="28" t="s">
        <v>6</v>
      </c>
      <c r="BA379" s="141"/>
      <c r="BD379" s="196" t="s">
        <v>85</v>
      </c>
      <c r="BE379" s="138">
        <f>2+7+2</f>
        <v>11</v>
      </c>
      <c r="BF379" s="141">
        <f>2+2+6+1</f>
        <v>11</v>
      </c>
      <c r="BG379" s="138"/>
      <c r="BH379" s="28"/>
      <c r="BI379" s="141"/>
      <c r="BJ379" s="138"/>
      <c r="BK379" s="141"/>
      <c r="BL379" s="316" t="s">
        <v>1089</v>
      </c>
      <c r="BM379" s="257" t="s">
        <v>1616</v>
      </c>
      <c r="BN379" s="141" t="s">
        <v>1617</v>
      </c>
    </row>
    <row r="380" spans="3:66" x14ac:dyDescent="0.3">
      <c r="C380" s="138" t="s">
        <v>99</v>
      </c>
      <c r="D380" s="138">
        <v>1564</v>
      </c>
      <c r="E380" s="43">
        <v>1092</v>
      </c>
      <c r="F380" s="138"/>
      <c r="G380" s="28">
        <v>1367</v>
      </c>
      <c r="H380" s="28"/>
      <c r="I380" s="196"/>
      <c r="J380" s="28"/>
      <c r="K380" s="28"/>
      <c r="L380" s="141"/>
      <c r="N380" s="142" t="s">
        <v>84</v>
      </c>
      <c r="O380" s="142">
        <f t="shared" ref="O380:U380" si="5">SUM(O374+O369+O364+O362+O357+O353)</f>
        <v>37231</v>
      </c>
      <c r="P380" s="199">
        <f t="shared" si="5"/>
        <v>66568</v>
      </c>
      <c r="Q380" s="142">
        <f t="shared" si="5"/>
        <v>0</v>
      </c>
      <c r="R380" s="199">
        <f t="shared" si="5"/>
        <v>0</v>
      </c>
      <c r="S380" s="143">
        <f t="shared" si="5"/>
        <v>0</v>
      </c>
      <c r="T380" s="142">
        <f t="shared" si="5"/>
        <v>1629</v>
      </c>
      <c r="U380" s="199">
        <f t="shared" si="5"/>
        <v>246</v>
      </c>
      <c r="V380" s="142"/>
      <c r="W380" s="146"/>
      <c r="AD380" s="42" t="s">
        <v>6</v>
      </c>
      <c r="AE380" s="42"/>
      <c r="AF380" s="40"/>
      <c r="AG380" s="28"/>
      <c r="AH380" s="28"/>
      <c r="AI380" s="28"/>
      <c r="AJ380" s="42"/>
      <c r="AK380" s="40"/>
      <c r="AL380" s="41"/>
      <c r="AM380" s="28">
        <v>14</v>
      </c>
      <c r="AN380" s="28" t="s">
        <v>153</v>
      </c>
      <c r="AO380" s="40"/>
      <c r="AR380" s="138" t="s">
        <v>81</v>
      </c>
      <c r="AS380" s="138">
        <v>16</v>
      </c>
      <c r="AT380" s="141">
        <f>1+13</f>
        <v>14</v>
      </c>
      <c r="AU380" s="138"/>
      <c r="AV380" s="141"/>
      <c r="AW380" s="28"/>
      <c r="AX380" s="28">
        <v>32</v>
      </c>
      <c r="AY380" s="28" t="s">
        <v>903</v>
      </c>
      <c r="AZ380" s="28"/>
      <c r="BA380" s="141" t="s">
        <v>6</v>
      </c>
      <c r="BD380" s="196" t="s">
        <v>107</v>
      </c>
      <c r="BE380" s="138">
        <v>0</v>
      </c>
      <c r="BF380" s="141">
        <v>0</v>
      </c>
      <c r="BG380" s="138"/>
      <c r="BH380" s="28">
        <v>8</v>
      </c>
      <c r="BI380" s="141"/>
      <c r="BJ380" s="138"/>
      <c r="BK380" s="141"/>
      <c r="BL380" s="138" t="s">
        <v>343</v>
      </c>
      <c r="BM380" s="28" t="s">
        <v>1618</v>
      </c>
      <c r="BN380" s="141" t="s">
        <v>1619</v>
      </c>
    </row>
    <row r="381" spans="3:66" ht="15" thickBot="1" x14ac:dyDescent="0.35">
      <c r="C381" s="138"/>
      <c r="D381" s="138"/>
      <c r="E381" s="28"/>
      <c r="F381" s="138"/>
      <c r="G381" s="28"/>
      <c r="H381" s="28"/>
      <c r="I381" s="196"/>
      <c r="J381" s="43">
        <v>43</v>
      </c>
      <c r="K381" s="28" t="s">
        <v>101</v>
      </c>
      <c r="L381" s="141"/>
      <c r="AD381" s="42" t="s">
        <v>6</v>
      </c>
      <c r="AE381" s="42"/>
      <c r="AF381" s="40"/>
      <c r="AG381" s="28"/>
      <c r="AH381" s="28"/>
      <c r="AI381" s="28"/>
      <c r="AJ381" s="42"/>
      <c r="AK381" s="40"/>
      <c r="AL381" s="41"/>
      <c r="AM381" s="28"/>
      <c r="AN381" s="28"/>
      <c r="AO381" s="40"/>
      <c r="AR381" s="138" t="s">
        <v>72</v>
      </c>
      <c r="AS381" s="138">
        <f>3+6+29+6</f>
        <v>44</v>
      </c>
      <c r="AT381" s="141">
        <f>3+4+21</f>
        <v>28</v>
      </c>
      <c r="AU381" s="138"/>
      <c r="AV381" s="141"/>
      <c r="AW381" s="28"/>
      <c r="AX381" s="43">
        <v>1</v>
      </c>
      <c r="AY381" s="28" t="s">
        <v>216</v>
      </c>
      <c r="AZ381" s="28"/>
      <c r="BA381" s="141"/>
      <c r="BD381" s="196" t="s">
        <v>504</v>
      </c>
      <c r="BE381" s="138">
        <v>4</v>
      </c>
      <c r="BF381" s="141">
        <v>6</v>
      </c>
      <c r="BG381" s="138"/>
      <c r="BH381" s="28"/>
      <c r="BI381" s="141"/>
      <c r="BJ381" s="138"/>
      <c r="BK381" s="141"/>
      <c r="BL381" s="138" t="s">
        <v>896</v>
      </c>
      <c r="BM381" s="28" t="s">
        <v>272</v>
      </c>
      <c r="BN381" s="141" t="s">
        <v>1620</v>
      </c>
    </row>
    <row r="382" spans="3:66" x14ac:dyDescent="0.3">
      <c r="C382" s="138" t="s">
        <v>84</v>
      </c>
      <c r="D382" s="142">
        <f>SUM(D379:D381)</f>
        <v>3207</v>
      </c>
      <c r="E382" s="143">
        <f>SUM(E379:E381)</f>
        <v>2654</v>
      </c>
      <c r="F382" s="142"/>
      <c r="G382" s="143">
        <f>SUM(G379:G381)</f>
        <v>2711</v>
      </c>
      <c r="H382" s="143"/>
      <c r="I382" s="199">
        <v>3477</v>
      </c>
      <c r="J382" s="143"/>
      <c r="K382" s="143"/>
      <c r="L382" s="146">
        <f>SUM(J381)</f>
        <v>43</v>
      </c>
      <c r="N382" t="s">
        <v>6</v>
      </c>
      <c r="AD382" s="33" t="s">
        <v>102</v>
      </c>
      <c r="AE382" s="33">
        <v>205</v>
      </c>
      <c r="AF382" s="35">
        <v>110</v>
      </c>
      <c r="AG382" s="34"/>
      <c r="AH382" s="34"/>
      <c r="AI382" s="34"/>
      <c r="AJ382" s="33"/>
      <c r="AK382" s="35"/>
      <c r="AL382" s="32"/>
      <c r="AM382" s="34" t="s">
        <v>1326</v>
      </c>
      <c r="AN382" s="34"/>
      <c r="AO382" s="35"/>
      <c r="AR382" s="138" t="s">
        <v>115</v>
      </c>
      <c r="AS382" s="138">
        <f>1+3</f>
        <v>4</v>
      </c>
      <c r="AT382" s="141">
        <f>5+2</f>
        <v>7</v>
      </c>
      <c r="AU382" s="138"/>
      <c r="AV382" s="141"/>
      <c r="AW382" s="28"/>
      <c r="AX382" s="43">
        <v>15</v>
      </c>
      <c r="AY382" s="28" t="s">
        <v>217</v>
      </c>
      <c r="AZ382" s="28"/>
      <c r="BA382" s="141"/>
      <c r="BD382" s="196" t="s">
        <v>133</v>
      </c>
      <c r="BE382" s="138">
        <f>6+3+3</f>
        <v>12</v>
      </c>
      <c r="BF382" s="141">
        <f>7+4+3</f>
        <v>14</v>
      </c>
      <c r="BG382" s="138"/>
      <c r="BH382" s="28"/>
      <c r="BI382" s="141"/>
      <c r="BJ382" s="138"/>
      <c r="BK382" s="141"/>
      <c r="BL382" s="138" t="s">
        <v>160</v>
      </c>
      <c r="BM382" s="43" t="s">
        <v>1078</v>
      </c>
      <c r="BN382" s="141" t="s">
        <v>807</v>
      </c>
    </row>
    <row r="383" spans="3:66" ht="15" thickBot="1" x14ac:dyDescent="0.35">
      <c r="C383" s="195" t="s">
        <v>181</v>
      </c>
      <c r="D383" s="135">
        <v>4451</v>
      </c>
      <c r="E383" s="135">
        <v>4288</v>
      </c>
      <c r="F383" s="134"/>
      <c r="G383" s="135" t="s">
        <v>60</v>
      </c>
      <c r="H383" s="136"/>
      <c r="I383" s="135"/>
      <c r="J383" s="134" t="s">
        <v>182</v>
      </c>
      <c r="K383" s="135"/>
      <c r="L383" s="136"/>
      <c r="AD383" s="47"/>
      <c r="AE383" s="47"/>
      <c r="AF383" s="49"/>
      <c r="AG383" s="48"/>
      <c r="AH383" s="48"/>
      <c r="AI383" s="48"/>
      <c r="AJ383" s="47"/>
      <c r="AK383" s="49"/>
      <c r="AL383" s="46"/>
      <c r="AM383" s="48">
        <v>8</v>
      </c>
      <c r="AN383" s="48" t="s">
        <v>780</v>
      </c>
      <c r="AO383" s="49"/>
      <c r="AR383" s="138" t="s">
        <v>56</v>
      </c>
      <c r="AS383" s="138">
        <f>4+12+9</f>
        <v>25</v>
      </c>
      <c r="AT383" s="141">
        <f>3+3</f>
        <v>6</v>
      </c>
      <c r="AU383" s="138"/>
      <c r="AV383" s="141"/>
      <c r="AW383" s="28"/>
      <c r="AX383" s="43">
        <v>1</v>
      </c>
      <c r="AY383" s="28" t="s">
        <v>967</v>
      </c>
      <c r="AZ383" s="28"/>
      <c r="BA383" s="141"/>
      <c r="BD383" s="196" t="s">
        <v>158</v>
      </c>
      <c r="BE383" s="138">
        <v>4</v>
      </c>
      <c r="BF383" s="141">
        <v>4</v>
      </c>
      <c r="BG383" s="138"/>
      <c r="BH383" s="28"/>
      <c r="BI383" s="141"/>
      <c r="BJ383" s="138"/>
      <c r="BK383" s="141"/>
      <c r="BL383" s="138" t="s">
        <v>1621</v>
      </c>
      <c r="BM383" s="220" t="s">
        <v>1622</v>
      </c>
      <c r="BN383" s="141" t="s">
        <v>258</v>
      </c>
    </row>
    <row r="384" spans="3:66" x14ac:dyDescent="0.3">
      <c r="C384" s="196"/>
      <c r="D384" s="28"/>
      <c r="E384" s="28"/>
      <c r="F384" s="138"/>
      <c r="G384" s="28" t="s">
        <v>60</v>
      </c>
      <c r="H384" s="141"/>
      <c r="I384" s="28"/>
      <c r="J384" s="138"/>
      <c r="K384" s="28" t="s">
        <v>927</v>
      </c>
      <c r="L384" s="141"/>
      <c r="AD384" s="33"/>
      <c r="AE384" s="33"/>
      <c r="AF384" s="35"/>
      <c r="AG384" s="34"/>
      <c r="AH384" s="34"/>
      <c r="AI384" s="34"/>
      <c r="AJ384" s="33"/>
      <c r="AK384" s="35"/>
      <c r="AL384" s="32"/>
      <c r="AM384" s="34"/>
      <c r="AN384" s="34"/>
      <c r="AO384" s="35"/>
      <c r="AR384" s="138" t="s">
        <v>138</v>
      </c>
      <c r="AS384" s="138">
        <v>0</v>
      </c>
      <c r="AT384" s="141">
        <v>0</v>
      </c>
      <c r="AU384" s="138"/>
      <c r="AV384" s="141"/>
      <c r="AW384" s="28"/>
      <c r="AX384" s="43">
        <v>5</v>
      </c>
      <c r="AY384" s="28" t="s">
        <v>1294</v>
      </c>
      <c r="AZ384" s="28"/>
      <c r="BA384" s="141"/>
      <c r="BC384" t="s">
        <v>6</v>
      </c>
      <c r="BD384" s="196" t="s">
        <v>139</v>
      </c>
      <c r="BE384" s="138">
        <v>8</v>
      </c>
      <c r="BF384" s="141">
        <v>2</v>
      </c>
      <c r="BG384" s="138"/>
      <c r="BH384" s="28"/>
      <c r="BI384" s="141"/>
      <c r="BJ384" s="138"/>
      <c r="BK384" s="141"/>
      <c r="BL384" s="315" t="s">
        <v>1623</v>
      </c>
      <c r="BM384" s="220" t="s">
        <v>981</v>
      </c>
      <c r="BN384" s="141" t="s">
        <v>563</v>
      </c>
    </row>
    <row r="385" spans="3:66" x14ac:dyDescent="0.3">
      <c r="C385" s="196" t="s">
        <v>84</v>
      </c>
      <c r="D385" s="28">
        <f>SUM(D383:D384)</f>
        <v>4451</v>
      </c>
      <c r="E385" s="28">
        <f>SUM(E383:E384)</f>
        <v>4288</v>
      </c>
      <c r="F385" s="138"/>
      <c r="G385" s="28" t="s">
        <v>60</v>
      </c>
      <c r="H385" s="141"/>
      <c r="I385" s="28">
        <v>5045</v>
      </c>
      <c r="J385" s="138">
        <v>30</v>
      </c>
      <c r="K385" s="28" t="s">
        <v>101</v>
      </c>
      <c r="L385" s="141"/>
      <c r="AD385" s="42" t="s">
        <v>358</v>
      </c>
      <c r="AE385" s="42"/>
      <c r="AF385" s="40"/>
      <c r="AG385" s="28"/>
      <c r="AH385" s="28"/>
      <c r="AI385" s="28"/>
      <c r="AJ385" s="42"/>
      <c r="AK385" s="40"/>
      <c r="AL385" s="41"/>
      <c r="AM385" s="28"/>
      <c r="AN385" s="28"/>
      <c r="AO385" s="40"/>
      <c r="AR385" s="138" t="s">
        <v>67</v>
      </c>
      <c r="AS385" s="138">
        <f>2+16</f>
        <v>18</v>
      </c>
      <c r="AT385" s="141">
        <f>4+24</f>
        <v>28</v>
      </c>
      <c r="AU385" s="138"/>
      <c r="AV385" s="141"/>
      <c r="AW385" s="28"/>
      <c r="AX385" s="43">
        <v>1</v>
      </c>
      <c r="AY385" s="28" t="s">
        <v>681</v>
      </c>
      <c r="AZ385" s="28"/>
      <c r="BA385" s="141"/>
      <c r="BD385" s="196" t="s">
        <v>1624</v>
      </c>
      <c r="BE385" s="138">
        <v>0</v>
      </c>
      <c r="BF385" s="141">
        <v>130</v>
      </c>
      <c r="BG385" s="138"/>
      <c r="BH385" s="28"/>
      <c r="BI385" s="141"/>
      <c r="BJ385" s="138"/>
      <c r="BK385" s="141"/>
      <c r="BL385" s="316" t="s">
        <v>283</v>
      </c>
      <c r="BM385" s="220" t="s">
        <v>517</v>
      </c>
      <c r="BN385" s="209" t="s">
        <v>1063</v>
      </c>
    </row>
    <row r="386" spans="3:66" ht="16.2" thickBot="1" x14ac:dyDescent="0.35">
      <c r="C386" s="199"/>
      <c r="D386" s="28"/>
      <c r="E386" s="28"/>
      <c r="F386" s="142"/>
      <c r="G386" s="143"/>
      <c r="H386" s="146"/>
      <c r="I386" s="28"/>
      <c r="J386" s="142"/>
      <c r="K386" s="143" t="s">
        <v>284</v>
      </c>
      <c r="L386" s="146">
        <f>SUM(J384:J385)</f>
        <v>30</v>
      </c>
      <c r="Y386" t="s">
        <v>6</v>
      </c>
      <c r="AD386" s="47"/>
      <c r="AE386" s="47"/>
      <c r="AF386" s="49"/>
      <c r="AG386" s="48"/>
      <c r="AH386" s="48"/>
      <c r="AI386" s="48"/>
      <c r="AJ386" s="47"/>
      <c r="AK386" s="49"/>
      <c r="AL386" s="46"/>
      <c r="AM386" s="48"/>
      <c r="AN386" s="48"/>
      <c r="AO386" s="49"/>
      <c r="AR386" s="138" t="s">
        <v>122</v>
      </c>
      <c r="AS386" s="138">
        <v>1</v>
      </c>
      <c r="AT386" s="141">
        <f>23+3</f>
        <v>26</v>
      </c>
      <c r="AU386" s="138"/>
      <c r="AV386" s="141"/>
      <c r="AW386" s="28"/>
      <c r="AX386" s="43">
        <v>9</v>
      </c>
      <c r="AY386" s="28" t="s">
        <v>618</v>
      </c>
      <c r="AZ386" s="28"/>
      <c r="BA386" s="141"/>
      <c r="BD386" s="196" t="s">
        <v>1611</v>
      </c>
      <c r="BE386" s="138">
        <v>0</v>
      </c>
      <c r="BF386" s="141">
        <v>0</v>
      </c>
      <c r="BG386" s="138"/>
      <c r="BH386" s="28"/>
      <c r="BI386" s="141"/>
      <c r="BJ386" s="138"/>
      <c r="BK386" s="141"/>
      <c r="BL386" s="138" t="s">
        <v>1625</v>
      </c>
      <c r="BM386" s="258" t="s">
        <v>942</v>
      </c>
      <c r="BN386" s="261" t="s">
        <v>1277</v>
      </c>
    </row>
    <row r="387" spans="3:66" ht="15" thickBot="1" x14ac:dyDescent="0.35">
      <c r="C387" s="47" t="s">
        <v>84</v>
      </c>
      <c r="D387" s="253">
        <f>SUM(D385+D382+D377+D372+D368+D364+D360+D356+D353)</f>
        <v>59274</v>
      </c>
      <c r="E387" s="253">
        <f>SUM(E385+E382+E377+E372+E368+E364+E360+E356+E353)</f>
        <v>57198</v>
      </c>
      <c r="F387" s="202"/>
      <c r="G387" s="48">
        <f>SUM(G382+G364)</f>
        <v>3016</v>
      </c>
      <c r="H387" s="203"/>
      <c r="I387" s="206">
        <f>SUM(I385+I382+I377+I373+I368+I364+I360+I356+I353)</f>
        <v>70613</v>
      </c>
      <c r="J387" s="48" t="s">
        <v>844</v>
      </c>
      <c r="K387" s="48"/>
      <c r="L387" s="49">
        <f>SUM(L352:L386)</f>
        <v>442</v>
      </c>
      <c r="AD387" s="47" t="s">
        <v>84</v>
      </c>
      <c r="AE387" s="202">
        <f>SUM(AE374+AE368+AE362+AE359+AE357+AE354)</f>
        <v>2953</v>
      </c>
      <c r="AF387" s="203">
        <f>SUM(AF374+AF368+AF362+AF359+AF357+AF354)</f>
        <v>7339</v>
      </c>
      <c r="AG387" s="48">
        <v>0</v>
      </c>
      <c r="AH387" s="48">
        <v>0</v>
      </c>
      <c r="AI387" s="48">
        <v>0</v>
      </c>
      <c r="AJ387" s="202">
        <f>SUM(AJ380+AJ379+AJ377+AJ354)</f>
        <v>240358</v>
      </c>
      <c r="AK387" s="203">
        <f>SUM(AK379+AK377+AK354)</f>
        <v>190491</v>
      </c>
      <c r="AL387" s="48">
        <v>0</v>
      </c>
      <c r="AM387" s="202" t="s">
        <v>844</v>
      </c>
      <c r="AN387" s="48"/>
      <c r="AO387" s="49">
        <f>SUM(AM353:AM386)</f>
        <v>98</v>
      </c>
      <c r="AR387" s="138" t="s">
        <v>227</v>
      </c>
      <c r="AS387" s="138">
        <v>0</v>
      </c>
      <c r="AT387" s="141">
        <v>0</v>
      </c>
      <c r="AU387" s="138"/>
      <c r="AV387" s="141"/>
      <c r="AW387" s="28"/>
      <c r="AX387" s="43">
        <v>1</v>
      </c>
      <c r="AY387" s="28" t="s">
        <v>352</v>
      </c>
      <c r="AZ387" s="28"/>
      <c r="BA387" s="141"/>
      <c r="BD387" s="196" t="s">
        <v>108</v>
      </c>
      <c r="BE387" s="138">
        <v>2</v>
      </c>
      <c r="BF387" s="141">
        <v>9</v>
      </c>
      <c r="BG387" s="138"/>
      <c r="BH387" s="28"/>
      <c r="BI387" s="141"/>
      <c r="BJ387" s="138"/>
      <c r="BK387" s="141"/>
      <c r="BL387" s="138" t="s">
        <v>1074</v>
      </c>
      <c r="BM387" s="222" t="s">
        <v>744</v>
      </c>
      <c r="BN387" s="141" t="s">
        <v>1626</v>
      </c>
    </row>
    <row r="388" spans="3:66" ht="15.6" x14ac:dyDescent="0.3">
      <c r="F388" s="28"/>
      <c r="G388" s="28"/>
      <c r="H388" s="28"/>
      <c r="AD388" t="s">
        <v>193</v>
      </c>
      <c r="AO388" t="s">
        <v>6</v>
      </c>
      <c r="AR388" s="138" t="s">
        <v>230</v>
      </c>
      <c r="AS388" s="138">
        <f>2+5+3</f>
        <v>10</v>
      </c>
      <c r="AT388" s="141">
        <v>4</v>
      </c>
      <c r="AU388" s="138"/>
      <c r="AV388" s="141"/>
      <c r="AW388" s="28"/>
      <c r="AX388" s="28">
        <v>14</v>
      </c>
      <c r="AY388" s="28" t="s">
        <v>655</v>
      </c>
      <c r="AZ388" s="28"/>
      <c r="BA388" s="141"/>
      <c r="BD388" s="259" t="s">
        <v>220</v>
      </c>
      <c r="BE388" s="138">
        <v>0</v>
      </c>
      <c r="BF388" s="141">
        <v>0</v>
      </c>
      <c r="BG388" s="138"/>
      <c r="BH388" s="28"/>
      <c r="BI388" s="141"/>
      <c r="BJ388" s="138"/>
      <c r="BK388" s="141"/>
      <c r="BL388" s="138" t="s">
        <v>1627</v>
      </c>
      <c r="BM388" s="258" t="s">
        <v>1568</v>
      </c>
      <c r="BN388" s="141" t="s">
        <v>456</v>
      </c>
    </row>
    <row r="389" spans="3:66" ht="16.2" thickBot="1" x14ac:dyDescent="0.35">
      <c r="AR389" s="138" t="s">
        <v>125</v>
      </c>
      <c r="AS389" s="138">
        <v>0</v>
      </c>
      <c r="AT389" s="141">
        <v>0</v>
      </c>
      <c r="AU389" s="138"/>
      <c r="AV389" s="141"/>
      <c r="AW389" s="28"/>
      <c r="AX389" s="43">
        <v>0</v>
      </c>
      <c r="AY389" s="28" t="s">
        <v>991</v>
      </c>
      <c r="AZ389" s="28"/>
      <c r="BA389" s="141"/>
      <c r="BD389" s="196" t="s">
        <v>564</v>
      </c>
      <c r="BE389" s="138">
        <f>7+4</f>
        <v>11</v>
      </c>
      <c r="BF389" s="141">
        <f>7+4</f>
        <v>11</v>
      </c>
      <c r="BG389" s="138"/>
      <c r="BH389" s="28"/>
      <c r="BI389" s="141"/>
      <c r="BJ389" s="138"/>
      <c r="BK389" s="141"/>
      <c r="BL389" s="138" t="s">
        <v>1086</v>
      </c>
      <c r="BM389" s="258" t="s">
        <v>1628</v>
      </c>
      <c r="BN389" s="141" t="s">
        <v>1629</v>
      </c>
    </row>
    <row r="390" spans="3:66" ht="16.2" thickBot="1" x14ac:dyDescent="0.35">
      <c r="C390" s="171" t="s">
        <v>1830</v>
      </c>
      <c r="D390" s="205">
        <v>60240</v>
      </c>
      <c r="E390" s="205">
        <v>60780</v>
      </c>
      <c r="F390" s="170"/>
      <c r="G390" s="205">
        <v>2437</v>
      </c>
      <c r="H390" s="170"/>
      <c r="I390" s="205">
        <v>89109</v>
      </c>
      <c r="J390" s="170" t="s">
        <v>199</v>
      </c>
      <c r="K390" s="170"/>
      <c r="L390" s="172">
        <v>320</v>
      </c>
      <c r="N390" s="171" t="s">
        <v>1830</v>
      </c>
      <c r="O390" s="170">
        <v>21980</v>
      </c>
      <c r="P390" s="170">
        <v>89145</v>
      </c>
      <c r="Q390" s="170">
        <v>0</v>
      </c>
      <c r="R390" s="170">
        <v>0</v>
      </c>
      <c r="S390" s="170">
        <v>0</v>
      </c>
      <c r="T390" s="170">
        <v>5620</v>
      </c>
      <c r="U390" s="170">
        <v>313</v>
      </c>
      <c r="V390" s="170"/>
      <c r="W390" s="172"/>
      <c r="AD390" s="171" t="s">
        <v>1830</v>
      </c>
      <c r="AE390" s="170">
        <v>2637</v>
      </c>
      <c r="AF390" s="170">
        <v>2894</v>
      </c>
      <c r="AG390" s="170">
        <v>0</v>
      </c>
      <c r="AH390" s="170">
        <v>0</v>
      </c>
      <c r="AI390" s="170">
        <v>0</v>
      </c>
      <c r="AJ390" s="170">
        <v>211850</v>
      </c>
      <c r="AK390" s="170">
        <v>235989</v>
      </c>
      <c r="AL390" s="170"/>
      <c r="AM390" s="170" t="s">
        <v>189</v>
      </c>
      <c r="AN390" s="170"/>
      <c r="AO390" s="172">
        <v>53</v>
      </c>
      <c r="AR390" s="138" t="s">
        <v>132</v>
      </c>
      <c r="AS390" s="138">
        <v>1</v>
      </c>
      <c r="AT390" s="141">
        <f>3+2</f>
        <v>5</v>
      </c>
      <c r="AU390" s="138"/>
      <c r="AV390" s="141"/>
      <c r="AW390" s="28"/>
      <c r="AX390" s="43">
        <v>5</v>
      </c>
      <c r="AY390" s="28" t="s">
        <v>682</v>
      </c>
      <c r="AZ390" s="28"/>
      <c r="BA390" s="141"/>
      <c r="BD390" s="196" t="s">
        <v>862</v>
      </c>
      <c r="BE390" s="138">
        <v>0</v>
      </c>
      <c r="BF390" s="141">
        <v>17</v>
      </c>
      <c r="BG390" s="138"/>
      <c r="BH390" s="28"/>
      <c r="BI390" s="141"/>
      <c r="BJ390" s="138"/>
      <c r="BK390" s="141"/>
      <c r="BL390" s="138" t="s">
        <v>614</v>
      </c>
      <c r="BM390" s="258" t="s">
        <v>890</v>
      </c>
      <c r="BN390" s="141" t="s">
        <v>1630</v>
      </c>
    </row>
    <row r="391" spans="3:66" x14ac:dyDescent="0.3">
      <c r="AR391" s="138" t="s">
        <v>536</v>
      </c>
      <c r="AS391" s="138">
        <v>0</v>
      </c>
      <c r="AT391" s="141">
        <v>0</v>
      </c>
      <c r="AU391" s="138"/>
      <c r="AV391" s="141"/>
      <c r="AW391" s="28"/>
      <c r="AX391" s="43">
        <f>13+24+11+11</f>
        <v>59</v>
      </c>
      <c r="AY391" s="28" t="s">
        <v>215</v>
      </c>
      <c r="AZ391" s="28"/>
      <c r="BA391" s="141"/>
      <c r="BD391" s="196" t="s">
        <v>200</v>
      </c>
      <c r="BE391" s="138">
        <v>10</v>
      </c>
      <c r="BF391" s="141">
        <v>2</v>
      </c>
      <c r="BG391" s="138"/>
      <c r="BH391" s="28"/>
      <c r="BI391" s="141"/>
      <c r="BJ391" s="138"/>
      <c r="BK391" s="141"/>
      <c r="BL391" s="138"/>
      <c r="BM391" s="28"/>
      <c r="BN391" s="141"/>
    </row>
    <row r="392" spans="3:66" ht="15" thickBot="1" x14ac:dyDescent="0.35">
      <c r="AR392" s="138" t="s">
        <v>84</v>
      </c>
      <c r="AS392" s="138">
        <f>SUM(AS376:AS391)</f>
        <v>156</v>
      </c>
      <c r="AT392" s="141">
        <f>SUM(AT376:AT391)</f>
        <v>164</v>
      </c>
      <c r="AU392" s="138"/>
      <c r="AV392" s="141"/>
      <c r="AW392" s="28"/>
      <c r="AX392" s="28">
        <v>2</v>
      </c>
      <c r="AY392" s="28" t="s">
        <v>244</v>
      </c>
      <c r="AZ392" s="28"/>
      <c r="BA392" s="141">
        <f>SUM(AX376:AX392)</f>
        <v>153</v>
      </c>
      <c r="BD392" s="196" t="s">
        <v>169</v>
      </c>
      <c r="BE392" s="138">
        <v>16</v>
      </c>
      <c r="BF392" s="141">
        <f>2+2+1</f>
        <v>5</v>
      </c>
      <c r="BG392" s="138"/>
      <c r="BH392" s="28"/>
      <c r="BI392" s="141"/>
      <c r="BJ392" s="138"/>
      <c r="BK392" s="141"/>
      <c r="BL392" s="138"/>
      <c r="BM392" s="28"/>
      <c r="BN392" s="141"/>
    </row>
    <row r="393" spans="3:66" ht="15" thickBot="1" x14ac:dyDescent="0.35">
      <c r="AR393" s="171" t="s">
        <v>84</v>
      </c>
      <c r="AS393" s="207">
        <f>SUM(AS392+AS374+AS369+AS354)</f>
        <v>2039</v>
      </c>
      <c r="AT393" s="207">
        <f>SUM(AT392+AT374+AT369+AT354)</f>
        <v>1987</v>
      </c>
      <c r="AU393" s="207"/>
      <c r="AV393" s="208"/>
      <c r="AW393" s="170"/>
      <c r="AX393" s="170"/>
      <c r="AY393" s="170"/>
      <c r="AZ393" s="170"/>
      <c r="BA393" s="172">
        <f>SUM(BA354:BA392)</f>
        <v>364</v>
      </c>
      <c r="BD393" s="196" t="s">
        <v>596</v>
      </c>
      <c r="BE393" s="138">
        <v>1</v>
      </c>
      <c r="BF393" s="141">
        <v>0</v>
      </c>
      <c r="BG393" s="138"/>
      <c r="BH393" s="28"/>
      <c r="BI393" s="141"/>
      <c r="BJ393" s="138"/>
      <c r="BK393" s="141"/>
      <c r="BL393" s="138"/>
      <c r="BM393" s="28"/>
      <c r="BN393" s="141"/>
    </row>
    <row r="394" spans="3:66" x14ac:dyDescent="0.3">
      <c r="AO394" t="s">
        <v>6</v>
      </c>
      <c r="BD394" s="196" t="s">
        <v>218</v>
      </c>
      <c r="BE394" s="138">
        <v>0</v>
      </c>
      <c r="BF394" s="141">
        <f>40+5</f>
        <v>45</v>
      </c>
      <c r="BG394" s="138"/>
      <c r="BH394" s="28">
        <v>0</v>
      </c>
      <c r="BI394" s="141"/>
      <c r="BJ394" s="138"/>
      <c r="BK394" s="141"/>
      <c r="BL394" s="138"/>
      <c r="BM394" s="28"/>
      <c r="BN394" s="141"/>
    </row>
    <row r="395" spans="3:66" x14ac:dyDescent="0.3">
      <c r="J395" t="s">
        <v>6</v>
      </c>
      <c r="BD395" s="196" t="s">
        <v>93</v>
      </c>
      <c r="BE395" s="138">
        <v>0</v>
      </c>
      <c r="BF395" s="141">
        <v>4</v>
      </c>
      <c r="BG395" s="138"/>
      <c r="BH395" s="28"/>
      <c r="BI395" s="141"/>
      <c r="BJ395" s="138"/>
      <c r="BK395" s="141"/>
      <c r="BL395" s="138"/>
      <c r="BM395" s="28"/>
      <c r="BN395" s="141"/>
    </row>
    <row r="396" spans="3:66" ht="15" thickBot="1" x14ac:dyDescent="0.35">
      <c r="J396" t="s">
        <v>6</v>
      </c>
      <c r="BD396" s="199" t="s">
        <v>84</v>
      </c>
      <c r="BE396" s="142">
        <f>SUM(BE372:BE395)</f>
        <v>163</v>
      </c>
      <c r="BF396" s="146">
        <f>SUM(BF372:BF395)</f>
        <v>310</v>
      </c>
      <c r="BG396" s="142">
        <v>0</v>
      </c>
      <c r="BH396" s="143">
        <f>SUM(BH372:BH395)</f>
        <v>8</v>
      </c>
      <c r="BI396" s="146">
        <f>SUM(BI372:BI395)</f>
        <v>0</v>
      </c>
      <c r="BJ396" s="142">
        <v>0</v>
      </c>
      <c r="BK396" s="146">
        <v>0</v>
      </c>
      <c r="BL396" s="142"/>
      <c r="BM396" s="143"/>
      <c r="BN396" s="146">
        <f>11+4+5+5+7+7+3+3+8+3+5+5+2+1</f>
        <v>69</v>
      </c>
    </row>
    <row r="397" spans="3:66" ht="15" thickBot="1" x14ac:dyDescent="0.35">
      <c r="AR397" s="317" t="s">
        <v>1532</v>
      </c>
      <c r="AS397" s="210">
        <v>2170</v>
      </c>
      <c r="AT397" s="318">
        <v>2248</v>
      </c>
      <c r="AU397" s="170"/>
      <c r="AV397" s="170"/>
      <c r="AW397" s="170"/>
      <c r="AX397" s="170"/>
      <c r="AY397" s="170"/>
      <c r="AZ397" s="170"/>
      <c r="BA397" s="172">
        <v>288</v>
      </c>
      <c r="BD397" t="s">
        <v>223</v>
      </c>
      <c r="BE397">
        <f>SUM(BE396+BE371+BE366+BE359+BE356+BE354+BE368)</f>
        <v>4347</v>
      </c>
      <c r="BF397">
        <f>SUM(BF396+BF371+BF366+BF359+BF354+BF356+BF368)</f>
        <v>5048</v>
      </c>
      <c r="BG397">
        <v>0</v>
      </c>
      <c r="BH397">
        <f>SUM(BH396+BH371+BH366+BH359+BH356+BH353)</f>
        <v>8</v>
      </c>
      <c r="BI397">
        <f>SUM(BI396)</f>
        <v>0</v>
      </c>
      <c r="BJ397">
        <f>SUM(BJ396+BJ371+BJ366+BJ358+BJ356+BJ353)</f>
        <v>83397</v>
      </c>
      <c r="BK397">
        <f>SUM(BK396+BK371+BK366+BK358+BK356+BK353)</f>
        <v>20907</v>
      </c>
      <c r="BM397" t="s">
        <v>939</v>
      </c>
      <c r="BN397">
        <f>SUM(+BN371+BN366+BN359+BN356+BN354)</f>
        <v>185</v>
      </c>
    </row>
    <row r="398" spans="3:66" x14ac:dyDescent="0.3">
      <c r="BD398" t="s">
        <v>1340</v>
      </c>
      <c r="BF398">
        <f>SUM(BN396)</f>
        <v>69</v>
      </c>
    </row>
    <row r="399" spans="3:66" x14ac:dyDescent="0.3">
      <c r="BD399" t="s">
        <v>229</v>
      </c>
      <c r="BF399">
        <f>2+4+2+16+2+7</f>
        <v>33</v>
      </c>
    </row>
    <row r="400" spans="3:66" x14ac:dyDescent="0.3">
      <c r="BC400" t="s">
        <v>6</v>
      </c>
      <c r="BD400" t="s">
        <v>232</v>
      </c>
      <c r="BF400" s="178" t="s">
        <v>233</v>
      </c>
      <c r="BH400">
        <f>SUM(AS393)</f>
        <v>2039</v>
      </c>
      <c r="BJ400" t="s">
        <v>234</v>
      </c>
      <c r="BL400" t="s">
        <v>233</v>
      </c>
      <c r="BN400">
        <f>SUM(BE397)</f>
        <v>4347</v>
      </c>
    </row>
    <row r="401" spans="3:67" x14ac:dyDescent="0.3">
      <c r="BF401" t="s">
        <v>236</v>
      </c>
      <c r="BH401">
        <f>SUM(AT393)</f>
        <v>1987</v>
      </c>
      <c r="BL401" t="s">
        <v>236</v>
      </c>
      <c r="BN401">
        <f>SUM(BF397)</f>
        <v>5048</v>
      </c>
    </row>
    <row r="402" spans="3:67" x14ac:dyDescent="0.3">
      <c r="AY402" s="229"/>
      <c r="BD402" t="s">
        <v>238</v>
      </c>
      <c r="BE402" t="s">
        <v>239</v>
      </c>
      <c r="BG402" t="s">
        <v>240</v>
      </c>
      <c r="BH402" t="s">
        <v>241</v>
      </c>
      <c r="BK402" t="s">
        <v>242</v>
      </c>
      <c r="BL402" s="131" t="s">
        <v>243</v>
      </c>
    </row>
    <row r="403" spans="3:67" x14ac:dyDescent="0.3">
      <c r="BD403" t="s">
        <v>233</v>
      </c>
      <c r="BF403">
        <f>SUM(D387)</f>
        <v>59274</v>
      </c>
      <c r="BG403" s="236" t="s">
        <v>233</v>
      </c>
      <c r="BI403">
        <f>SUM(AE387)</f>
        <v>2953</v>
      </c>
      <c r="BJ403" t="s">
        <v>233</v>
      </c>
      <c r="BL403">
        <f>SUM(BI403+BE397)</f>
        <v>7300</v>
      </c>
      <c r="BM403" t="s">
        <v>245</v>
      </c>
      <c r="BN403">
        <f>SUM(BF403+BL403)</f>
        <v>66574</v>
      </c>
    </row>
    <row r="404" spans="3:67" ht="15" thickBot="1" x14ac:dyDescent="0.35">
      <c r="BD404" t="s">
        <v>236</v>
      </c>
      <c r="BF404">
        <f>SUM(E387)</f>
        <v>57198</v>
      </c>
      <c r="BG404" s="236" t="s">
        <v>236</v>
      </c>
      <c r="BI404">
        <f>SUM(AF387)</f>
        <v>7339</v>
      </c>
      <c r="BJ404" t="s">
        <v>236</v>
      </c>
      <c r="BL404">
        <f>SUM(BI404+BF397)</f>
        <v>12387</v>
      </c>
      <c r="BN404">
        <f>SUM(BF404+BL404)</f>
        <v>69585</v>
      </c>
      <c r="BO404">
        <f>SUM(BN403:BN404)</f>
        <v>136159</v>
      </c>
    </row>
    <row r="405" spans="3:67" ht="15.6" x14ac:dyDescent="0.3">
      <c r="BD405" s="321" t="s">
        <v>1532</v>
      </c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5"/>
    </row>
    <row r="406" spans="3:67" x14ac:dyDescent="0.3">
      <c r="BD406" s="42" t="s">
        <v>238</v>
      </c>
      <c r="BE406" s="28" t="s">
        <v>239</v>
      </c>
      <c r="BF406" s="28"/>
      <c r="BG406" s="28" t="s">
        <v>240</v>
      </c>
      <c r="BH406" s="28" t="s">
        <v>241</v>
      </c>
      <c r="BI406" s="28"/>
      <c r="BJ406" s="28"/>
      <c r="BK406" s="28" t="s">
        <v>242</v>
      </c>
      <c r="BL406" s="257" t="s">
        <v>243</v>
      </c>
      <c r="BM406" s="28"/>
      <c r="BN406" s="28"/>
      <c r="BO406" s="40"/>
    </row>
    <row r="407" spans="3:67" x14ac:dyDescent="0.3">
      <c r="BD407" s="42" t="s">
        <v>233</v>
      </c>
      <c r="BE407" s="28"/>
      <c r="BF407" s="28">
        <f>SUM(D390)</f>
        <v>60240</v>
      </c>
      <c r="BG407" s="218" t="s">
        <v>233</v>
      </c>
      <c r="BH407" s="28"/>
      <c r="BI407" s="28">
        <f>SUM(AE390)</f>
        <v>2637</v>
      </c>
      <c r="BJ407" s="28" t="s">
        <v>233</v>
      </c>
      <c r="BK407" s="28"/>
      <c r="BL407" s="28">
        <v>4825</v>
      </c>
      <c r="BM407" s="28" t="s">
        <v>245</v>
      </c>
      <c r="BN407" s="28">
        <f>SUM(BF407+BL407)</f>
        <v>65065</v>
      </c>
      <c r="BO407" s="40"/>
    </row>
    <row r="408" spans="3:67" ht="15" thickBot="1" x14ac:dyDescent="0.35">
      <c r="BD408" s="47" t="s">
        <v>236</v>
      </c>
      <c r="BE408" s="48"/>
      <c r="BF408" s="48">
        <f>SUM(E390)</f>
        <v>60780</v>
      </c>
      <c r="BG408" s="320" t="s">
        <v>236</v>
      </c>
      <c r="BH408" s="48"/>
      <c r="BI408" s="48">
        <f>SUM(AF390)</f>
        <v>2894</v>
      </c>
      <c r="BJ408" s="48" t="s">
        <v>236</v>
      </c>
      <c r="BK408" s="48"/>
      <c r="BL408" s="48">
        <v>5141</v>
      </c>
      <c r="BM408" s="48"/>
      <c r="BN408" s="48">
        <f>SUM(BF408+BL408)</f>
        <v>65921</v>
      </c>
      <c r="BO408" s="49">
        <f>SUM(BN407:BN408)</f>
        <v>130986</v>
      </c>
    </row>
    <row r="413" spans="3:67" x14ac:dyDescent="0.3">
      <c r="E413" t="s">
        <v>0</v>
      </c>
      <c r="R413" t="s">
        <v>1</v>
      </c>
    </row>
    <row r="414" spans="3:67" x14ac:dyDescent="0.3">
      <c r="F414" t="s">
        <v>2</v>
      </c>
      <c r="S414" t="s">
        <v>3</v>
      </c>
      <c r="AH414" t="s">
        <v>0</v>
      </c>
      <c r="AU414" t="s">
        <v>4</v>
      </c>
      <c r="BH414" t="s">
        <v>5</v>
      </c>
    </row>
    <row r="415" spans="3:67" x14ac:dyDescent="0.3">
      <c r="C415" t="s">
        <v>6</v>
      </c>
      <c r="E415" t="s">
        <v>7</v>
      </c>
      <c r="Q415" t="s">
        <v>8</v>
      </c>
      <c r="AH415" t="s">
        <v>9</v>
      </c>
      <c r="AV415" t="s">
        <v>2</v>
      </c>
      <c r="BI415" t="s">
        <v>2</v>
      </c>
    </row>
    <row r="416" spans="3:67" x14ac:dyDescent="0.3">
      <c r="F416" t="s">
        <v>1631</v>
      </c>
      <c r="S416" t="s">
        <v>1631</v>
      </c>
      <c r="AH416" t="s">
        <v>11</v>
      </c>
      <c r="AT416" t="s">
        <v>12</v>
      </c>
      <c r="BB416" t="s">
        <v>6</v>
      </c>
      <c r="BG416" t="s">
        <v>13</v>
      </c>
    </row>
    <row r="417" spans="3:66" x14ac:dyDescent="0.3">
      <c r="K417" s="194" t="s">
        <v>949</v>
      </c>
      <c r="W417" t="s">
        <v>15</v>
      </c>
      <c r="AI417" t="s">
        <v>1631</v>
      </c>
      <c r="AV417" t="s">
        <v>1631</v>
      </c>
      <c r="BI417" t="s">
        <v>1631</v>
      </c>
      <c r="BM417" s="194" t="s">
        <v>950</v>
      </c>
    </row>
    <row r="418" spans="3:66" x14ac:dyDescent="0.3">
      <c r="C418" s="134" t="s">
        <v>17</v>
      </c>
      <c r="D418" s="134" t="s">
        <v>18</v>
      </c>
      <c r="E418" s="136"/>
      <c r="F418" s="135" t="s">
        <v>19</v>
      </c>
      <c r="G418" s="135"/>
      <c r="H418" s="135"/>
      <c r="I418" s="195" t="s">
        <v>20</v>
      </c>
      <c r="J418" s="135" t="s">
        <v>21</v>
      </c>
      <c r="K418" s="135"/>
      <c r="L418" s="136"/>
      <c r="N418" s="134" t="s">
        <v>17</v>
      </c>
      <c r="O418" s="135" t="s">
        <v>22</v>
      </c>
      <c r="P418" s="135"/>
      <c r="Q418" s="135" t="s">
        <v>23</v>
      </c>
      <c r="R418" s="135"/>
      <c r="S418" s="135"/>
      <c r="T418" s="135" t="s">
        <v>24</v>
      </c>
      <c r="U418" s="135"/>
      <c r="V418" s="135" t="s">
        <v>21</v>
      </c>
      <c r="W418" s="136"/>
      <c r="AN418" s="28" t="s">
        <v>25</v>
      </c>
      <c r="AZ418" s="194" t="s">
        <v>951</v>
      </c>
      <c r="BD418" s="195" t="s">
        <v>17</v>
      </c>
      <c r="BE418" s="134" t="s">
        <v>27</v>
      </c>
      <c r="BF418" s="136"/>
      <c r="BG418" s="134" t="s">
        <v>28</v>
      </c>
      <c r="BH418" s="135"/>
      <c r="BI418" s="135"/>
      <c r="BJ418" s="134" t="s">
        <v>29</v>
      </c>
      <c r="BK418" s="136" t="s">
        <v>30</v>
      </c>
      <c r="BL418" s="135" t="s">
        <v>31</v>
      </c>
      <c r="BM418" s="135"/>
      <c r="BN418" s="136"/>
    </row>
    <row r="419" spans="3:66" x14ac:dyDescent="0.3">
      <c r="C419" s="138" t="s">
        <v>32</v>
      </c>
      <c r="D419" s="138"/>
      <c r="E419" s="141"/>
      <c r="F419" s="28"/>
      <c r="G419" s="28"/>
      <c r="H419" s="28"/>
      <c r="I419" s="196"/>
      <c r="J419" s="28" t="s">
        <v>33</v>
      </c>
      <c r="K419" s="28"/>
      <c r="L419" s="141"/>
      <c r="N419" s="138"/>
      <c r="O419" s="28"/>
      <c r="P419" s="28"/>
      <c r="Q419" s="28"/>
      <c r="R419" s="28"/>
      <c r="S419" s="28"/>
      <c r="T419" s="28"/>
      <c r="U419" s="28"/>
      <c r="V419" s="28" t="s">
        <v>33</v>
      </c>
      <c r="W419" s="141"/>
      <c r="AD419" s="134" t="s">
        <v>34</v>
      </c>
      <c r="AE419" s="134" t="s">
        <v>35</v>
      </c>
      <c r="AF419" s="136"/>
      <c r="AG419" s="135" t="s">
        <v>36</v>
      </c>
      <c r="AH419" s="135"/>
      <c r="AI419" s="135"/>
      <c r="AJ419" s="134" t="s">
        <v>37</v>
      </c>
      <c r="AK419" s="136"/>
      <c r="AL419" s="135" t="s">
        <v>30</v>
      </c>
      <c r="AM419" s="134" t="s">
        <v>38</v>
      </c>
      <c r="AN419" s="135"/>
      <c r="AO419" s="136"/>
      <c r="AR419" s="134" t="s">
        <v>17</v>
      </c>
      <c r="AS419" s="134" t="s">
        <v>39</v>
      </c>
      <c r="AT419" s="136"/>
      <c r="AU419" s="134" t="s">
        <v>29</v>
      </c>
      <c r="AV419" s="136" t="s">
        <v>30</v>
      </c>
      <c r="AW419" s="135" t="s">
        <v>40</v>
      </c>
      <c r="AX419" s="135"/>
      <c r="AY419" s="135"/>
      <c r="AZ419" s="135"/>
      <c r="BA419" s="136"/>
      <c r="BD419" s="196"/>
      <c r="BE419" s="138"/>
      <c r="BF419" s="141"/>
      <c r="BG419" s="138"/>
      <c r="BH419" s="28"/>
      <c r="BI419" s="28"/>
      <c r="BJ419" s="138"/>
      <c r="BK419" s="141" t="s">
        <v>6</v>
      </c>
      <c r="BL419" s="28" t="s">
        <v>41</v>
      </c>
      <c r="BM419" s="28"/>
      <c r="BN419" s="141"/>
    </row>
    <row r="420" spans="3:66" ht="15" thickBot="1" x14ac:dyDescent="0.35">
      <c r="C420" s="142" t="s">
        <v>42</v>
      </c>
      <c r="D420" s="142" t="s">
        <v>43</v>
      </c>
      <c r="E420" s="143" t="s">
        <v>44</v>
      </c>
      <c r="F420" s="197" t="s">
        <v>45</v>
      </c>
      <c r="G420" s="198" t="s">
        <v>46</v>
      </c>
      <c r="H420" s="198" t="s">
        <v>47</v>
      </c>
      <c r="I420" s="199" t="s">
        <v>48</v>
      </c>
      <c r="J420" s="143" t="s">
        <v>49</v>
      </c>
      <c r="K420" s="143"/>
      <c r="L420" s="146"/>
      <c r="N420" s="142" t="s">
        <v>50</v>
      </c>
      <c r="O420" s="143" t="s">
        <v>43</v>
      </c>
      <c r="P420" s="143" t="s">
        <v>44</v>
      </c>
      <c r="Q420" s="143" t="s">
        <v>43</v>
      </c>
      <c r="R420" s="143" t="s">
        <v>51</v>
      </c>
      <c r="S420" s="143" t="s">
        <v>44</v>
      </c>
      <c r="T420" s="143" t="s">
        <v>43</v>
      </c>
      <c r="U420" s="143" t="s">
        <v>44</v>
      </c>
      <c r="V420" s="143" t="s">
        <v>49</v>
      </c>
      <c r="W420" s="146"/>
      <c r="AD420" s="138" t="s">
        <v>50</v>
      </c>
      <c r="AE420" s="138" t="s">
        <v>43</v>
      </c>
      <c r="AF420" s="141" t="s">
        <v>44</v>
      </c>
      <c r="AG420" s="28" t="s">
        <v>45</v>
      </c>
      <c r="AH420" s="28" t="s">
        <v>46</v>
      </c>
      <c r="AI420" s="28" t="s">
        <v>52</v>
      </c>
      <c r="AJ420" s="138" t="s">
        <v>43</v>
      </c>
      <c r="AK420" s="141" t="s">
        <v>44</v>
      </c>
      <c r="AL420" s="28" t="s">
        <v>43</v>
      </c>
      <c r="AM420" s="138" t="s">
        <v>53</v>
      </c>
      <c r="AN420" s="28"/>
      <c r="AO420" s="141"/>
      <c r="AR420" s="138" t="s">
        <v>42</v>
      </c>
      <c r="AS420" s="138" t="s">
        <v>43</v>
      </c>
      <c r="AT420" s="141" t="s">
        <v>44</v>
      </c>
      <c r="AU420" s="138" t="s">
        <v>43</v>
      </c>
      <c r="AV420" s="141" t="s">
        <v>44</v>
      </c>
      <c r="AW420" s="28"/>
      <c r="AX420" s="28"/>
      <c r="AY420" s="28"/>
      <c r="AZ420" s="28"/>
      <c r="BA420" s="141"/>
      <c r="BD420" s="199" t="s">
        <v>42</v>
      </c>
      <c r="BE420" s="142" t="s">
        <v>43</v>
      </c>
      <c r="BF420" s="146" t="s">
        <v>44</v>
      </c>
      <c r="BG420" s="142" t="s">
        <v>45</v>
      </c>
      <c r="BH420" s="143" t="s">
        <v>46</v>
      </c>
      <c r="BI420" s="143" t="s">
        <v>52</v>
      </c>
      <c r="BJ420" s="142" t="s">
        <v>43</v>
      </c>
      <c r="BK420" s="146" t="s">
        <v>44</v>
      </c>
      <c r="BL420" s="143" t="s">
        <v>54</v>
      </c>
      <c r="BM420" s="143"/>
      <c r="BN420" s="146"/>
    </row>
    <row r="421" spans="3:66" x14ac:dyDescent="0.3">
      <c r="C421" s="134"/>
      <c r="D421" s="134"/>
      <c r="E421" s="135"/>
      <c r="F421" s="134"/>
      <c r="G421" s="135"/>
      <c r="H421" s="135"/>
      <c r="I421" s="195"/>
      <c r="J421" s="135" t="s">
        <v>396</v>
      </c>
      <c r="K421" s="135"/>
      <c r="L421" s="136"/>
      <c r="N421" s="134"/>
      <c r="O421" s="134"/>
      <c r="P421" s="195"/>
      <c r="Q421" s="134"/>
      <c r="R421" s="195"/>
      <c r="S421" s="136"/>
      <c r="T421" s="134"/>
      <c r="U421" s="195"/>
      <c r="V421" s="134" t="s">
        <v>396</v>
      </c>
      <c r="W421" s="136"/>
      <c r="AD421" s="33"/>
      <c r="AE421" s="33"/>
      <c r="AF421" s="35"/>
      <c r="AG421" s="34"/>
      <c r="AH421" s="34"/>
      <c r="AI421" s="34"/>
      <c r="AJ421" s="33"/>
      <c r="AK421" s="35"/>
      <c r="AL421" s="32"/>
      <c r="AM421" s="33" t="s">
        <v>62</v>
      </c>
      <c r="AN421" s="34"/>
      <c r="AO421" s="35"/>
      <c r="AR421" s="134"/>
      <c r="AS421" s="134"/>
      <c r="AT421" s="136"/>
      <c r="AU421" s="134"/>
      <c r="AV421" s="136"/>
      <c r="AW421" s="135"/>
      <c r="AX421" s="135"/>
      <c r="AY421" s="135"/>
      <c r="AZ421" s="135"/>
      <c r="BA421" s="136"/>
      <c r="BD421" s="195" t="s">
        <v>64</v>
      </c>
      <c r="BE421" s="135">
        <v>230</v>
      </c>
      <c r="BF421" s="135">
        <v>166</v>
      </c>
      <c r="BG421" s="134"/>
      <c r="BH421" s="135"/>
      <c r="BI421" s="135"/>
      <c r="BJ421" s="134"/>
      <c r="BK421" s="136"/>
      <c r="BL421" s="135" t="s">
        <v>58</v>
      </c>
      <c r="BM421" s="135"/>
      <c r="BN421" s="136"/>
    </row>
    <row r="422" spans="3:66" x14ac:dyDescent="0.3">
      <c r="C422" s="138" t="s">
        <v>59</v>
      </c>
      <c r="D422" s="138">
        <v>2225</v>
      </c>
      <c r="E422" s="28">
        <v>2127</v>
      </c>
      <c r="F422" s="138"/>
      <c r="G422" s="28" t="s">
        <v>60</v>
      </c>
      <c r="H422" s="28"/>
      <c r="I422" s="196">
        <v>2278</v>
      </c>
      <c r="J422" s="28">
        <v>8</v>
      </c>
      <c r="K422" s="28" t="s">
        <v>61</v>
      </c>
      <c r="L422" s="141"/>
      <c r="N422" s="138" t="s">
        <v>59</v>
      </c>
      <c r="O422" s="138">
        <v>27183</v>
      </c>
      <c r="P422" s="196">
        <v>59283</v>
      </c>
      <c r="Q422" s="138">
        <v>0</v>
      </c>
      <c r="R422" s="196">
        <v>0</v>
      </c>
      <c r="S422" s="141">
        <v>0</v>
      </c>
      <c r="T422" s="138">
        <v>0</v>
      </c>
      <c r="U422" s="196">
        <v>0</v>
      </c>
      <c r="V422" s="138"/>
      <c r="W422" s="141"/>
      <c r="AD422" s="42"/>
      <c r="AE422" s="42"/>
      <c r="AF422" s="40"/>
      <c r="AG422" s="28"/>
      <c r="AH422" s="28"/>
      <c r="AI422" s="28"/>
      <c r="AJ422" s="42"/>
      <c r="AK422" s="40"/>
      <c r="AL422" s="41"/>
      <c r="AM422" s="42">
        <v>5</v>
      </c>
      <c r="AN422" s="28" t="s">
        <v>1290</v>
      </c>
      <c r="AO422" s="40"/>
      <c r="AR422" s="138"/>
      <c r="AS422" s="138"/>
      <c r="AT422" s="141"/>
      <c r="AU422" s="138"/>
      <c r="AV422" s="141"/>
      <c r="AW422" s="28"/>
      <c r="AX422" s="28" t="s">
        <v>91</v>
      </c>
      <c r="AY422" s="28"/>
      <c r="AZ422" s="28"/>
      <c r="BA422" s="141"/>
      <c r="BD422" s="196" t="s">
        <v>85</v>
      </c>
      <c r="BE422" s="28">
        <v>6</v>
      </c>
      <c r="BF422" s="28">
        <v>0</v>
      </c>
      <c r="BG422" s="138">
        <v>0</v>
      </c>
      <c r="BH422" s="28">
        <v>0</v>
      </c>
      <c r="BI422" s="28">
        <v>0</v>
      </c>
      <c r="BJ422" s="138">
        <v>0</v>
      </c>
      <c r="BK422" s="141">
        <v>0</v>
      </c>
      <c r="BL422" s="43">
        <v>12</v>
      </c>
      <c r="BM422" s="28" t="s">
        <v>474</v>
      </c>
      <c r="BN422" s="141" t="s">
        <v>1632</v>
      </c>
    </row>
    <row r="423" spans="3:66" x14ac:dyDescent="0.3">
      <c r="C423" s="138" t="s">
        <v>6</v>
      </c>
      <c r="D423" s="138"/>
      <c r="E423" s="28"/>
      <c r="F423" s="138"/>
      <c r="G423" s="28"/>
      <c r="H423" s="28"/>
      <c r="I423" s="196"/>
      <c r="J423" s="28"/>
      <c r="K423" s="28" t="s">
        <v>528</v>
      </c>
      <c r="L423" s="141">
        <f>SUM(J422)</f>
        <v>8</v>
      </c>
      <c r="N423" s="142"/>
      <c r="O423" s="142"/>
      <c r="P423" s="199"/>
      <c r="Q423" s="142"/>
      <c r="R423" s="199"/>
      <c r="S423" s="146"/>
      <c r="T423" s="142"/>
      <c r="U423" s="199"/>
      <c r="V423" s="142"/>
      <c r="W423" s="146"/>
      <c r="AD423" s="42" t="s">
        <v>59</v>
      </c>
      <c r="AE423" s="42">
        <v>2474</v>
      </c>
      <c r="AF423" s="40">
        <v>2503</v>
      </c>
      <c r="AG423" s="28">
        <v>0</v>
      </c>
      <c r="AH423" s="28">
        <v>0</v>
      </c>
      <c r="AI423" s="28">
        <v>0</v>
      </c>
      <c r="AJ423" s="42">
        <v>0</v>
      </c>
      <c r="AK423" s="40">
        <v>0</v>
      </c>
      <c r="AL423" s="41">
        <v>0</v>
      </c>
      <c r="AM423" s="42">
        <v>4</v>
      </c>
      <c r="AN423" s="28" t="s">
        <v>66</v>
      </c>
      <c r="AO423" s="40"/>
      <c r="AR423" s="138" t="s">
        <v>56</v>
      </c>
      <c r="AS423" s="138">
        <v>1567</v>
      </c>
      <c r="AT423" s="141">
        <v>1658</v>
      </c>
      <c r="AU423" s="138"/>
      <c r="AV423" s="141"/>
      <c r="AW423" s="28"/>
      <c r="AX423" s="28"/>
      <c r="AY423" s="28"/>
      <c r="AZ423" s="28"/>
      <c r="BA423" s="141"/>
      <c r="BD423" s="199" t="s">
        <v>84</v>
      </c>
      <c r="BE423" s="143">
        <f>SUM(BE421:BE422)</f>
        <v>236</v>
      </c>
      <c r="BF423" s="143">
        <f>SUM(BF421:BF422)</f>
        <v>166</v>
      </c>
      <c r="BG423" s="138">
        <v>0</v>
      </c>
      <c r="BH423" s="28">
        <v>0</v>
      </c>
      <c r="BI423" s="28">
        <v>0</v>
      </c>
      <c r="BJ423" s="138">
        <v>0</v>
      </c>
      <c r="BK423" s="141">
        <v>0</v>
      </c>
      <c r="BL423" s="143">
        <v>6</v>
      </c>
      <c r="BM423" s="143" t="s">
        <v>69</v>
      </c>
      <c r="BN423" s="146">
        <f>SUM(BL422:BL423)+1</f>
        <v>19</v>
      </c>
    </row>
    <row r="424" spans="3:66" ht="15" thickBot="1" x14ac:dyDescent="0.35">
      <c r="C424" s="134"/>
      <c r="D424" s="134"/>
      <c r="E424" s="135"/>
      <c r="F424" s="134"/>
      <c r="G424" s="135"/>
      <c r="H424" s="135"/>
      <c r="I424" s="195"/>
      <c r="J424" s="135" t="s">
        <v>70</v>
      </c>
      <c r="K424" s="135"/>
      <c r="L424" s="136"/>
      <c r="N424" s="134"/>
      <c r="O424" s="134"/>
      <c r="P424" s="195"/>
      <c r="Q424" s="134"/>
      <c r="R424" s="195"/>
      <c r="S424" s="136"/>
      <c r="T424" s="134"/>
      <c r="U424" s="195"/>
      <c r="V424" s="134"/>
      <c r="W424" s="136"/>
      <c r="AD424" s="244"/>
      <c r="AE424" s="244"/>
      <c r="AF424" s="245"/>
      <c r="AG424" s="143"/>
      <c r="AH424" s="143"/>
      <c r="AI424" s="143"/>
      <c r="AJ424" s="244"/>
      <c r="AK424" s="245"/>
      <c r="AL424" s="313"/>
      <c r="AM424" s="47"/>
      <c r="AN424" s="48" t="s">
        <v>436</v>
      </c>
      <c r="AO424" s="49"/>
      <c r="AR424" s="142" t="s">
        <v>6</v>
      </c>
      <c r="AS424" s="142"/>
      <c r="AT424" s="146"/>
      <c r="AU424" s="142"/>
      <c r="AV424" s="146"/>
      <c r="AW424" s="143"/>
      <c r="AX424" s="143">
        <v>102</v>
      </c>
      <c r="AY424" s="143" t="s">
        <v>73</v>
      </c>
      <c r="AZ424" s="143"/>
      <c r="BA424" s="146">
        <f>SUM(AX424)</f>
        <v>102</v>
      </c>
      <c r="BD424" s="195" t="s">
        <v>6</v>
      </c>
      <c r="BE424" s="134" t="s">
        <v>6</v>
      </c>
      <c r="BF424" s="136"/>
      <c r="BG424" s="135"/>
      <c r="BH424" s="135">
        <v>0</v>
      </c>
      <c r="BI424" s="135"/>
      <c r="BJ424" s="134"/>
      <c r="BK424" s="136"/>
      <c r="BL424" s="135" t="s">
        <v>1092</v>
      </c>
      <c r="BM424" s="135"/>
      <c r="BN424" s="136"/>
    </row>
    <row r="425" spans="3:66" x14ac:dyDescent="0.3">
      <c r="C425" s="138" t="s">
        <v>74</v>
      </c>
      <c r="D425" s="138">
        <v>1159</v>
      </c>
      <c r="E425" s="28">
        <v>2222</v>
      </c>
      <c r="F425" s="138"/>
      <c r="G425" s="28" t="s">
        <v>60</v>
      </c>
      <c r="H425" s="28"/>
      <c r="I425" s="196">
        <v>2924</v>
      </c>
      <c r="J425" s="28">
        <v>0</v>
      </c>
      <c r="K425" s="28" t="s">
        <v>75</v>
      </c>
      <c r="L425" s="141"/>
      <c r="N425" s="138"/>
      <c r="O425" s="138"/>
      <c r="P425" s="196"/>
      <c r="Q425" s="138"/>
      <c r="R425" s="196"/>
      <c r="S425" s="141"/>
      <c r="T425" s="138"/>
      <c r="U425" s="196"/>
      <c r="V425" s="138" t="s">
        <v>80</v>
      </c>
      <c r="W425" s="141"/>
      <c r="AD425" s="278" t="s">
        <v>6</v>
      </c>
      <c r="AE425" s="278"/>
      <c r="AF425" s="279"/>
      <c r="AG425" s="135"/>
      <c r="AH425" s="135"/>
      <c r="AI425" s="135"/>
      <c r="AJ425" s="278"/>
      <c r="AK425" s="279"/>
      <c r="AL425" s="314"/>
      <c r="AM425" s="28" t="s">
        <v>952</v>
      </c>
      <c r="AN425" s="28"/>
      <c r="AO425" s="40"/>
      <c r="AR425" s="134"/>
      <c r="AS425" s="134"/>
      <c r="AT425" s="136"/>
      <c r="AU425" s="134"/>
      <c r="AV425" s="136"/>
      <c r="AW425" s="135"/>
      <c r="AX425" s="135"/>
      <c r="AY425" s="135"/>
      <c r="AZ425" s="135"/>
      <c r="BA425" s="136"/>
      <c r="BD425" s="199" t="s">
        <v>108</v>
      </c>
      <c r="BE425" s="142">
        <v>265</v>
      </c>
      <c r="BF425" s="146">
        <v>171</v>
      </c>
      <c r="BG425" s="143"/>
      <c r="BH425" s="143">
        <v>0</v>
      </c>
      <c r="BI425" s="143">
        <v>0</v>
      </c>
      <c r="BJ425" s="142">
        <v>0</v>
      </c>
      <c r="BK425" s="146">
        <v>0</v>
      </c>
      <c r="BL425" s="143">
        <v>5</v>
      </c>
      <c r="BM425" s="143" t="s">
        <v>780</v>
      </c>
      <c r="BN425" s="146">
        <f>SUM(BL425)</f>
        <v>5</v>
      </c>
    </row>
    <row r="426" spans="3:66" ht="15" thickBot="1" x14ac:dyDescent="0.35">
      <c r="C426" s="138"/>
      <c r="D426" s="138"/>
      <c r="E426" s="28"/>
      <c r="F426" s="138"/>
      <c r="G426" s="28"/>
      <c r="H426" s="28"/>
      <c r="I426" s="196"/>
      <c r="J426" s="28">
        <v>9</v>
      </c>
      <c r="K426" s="28" t="s">
        <v>79</v>
      </c>
      <c r="L426" s="141"/>
      <c r="N426" s="138" t="s">
        <v>74</v>
      </c>
      <c r="O426" s="138">
        <v>8322</v>
      </c>
      <c r="P426" s="196">
        <v>105</v>
      </c>
      <c r="Q426" s="138">
        <v>0</v>
      </c>
      <c r="R426" s="196">
        <v>0</v>
      </c>
      <c r="S426" s="141">
        <v>0</v>
      </c>
      <c r="T426" s="138">
        <v>5</v>
      </c>
      <c r="U426" s="196">
        <v>0</v>
      </c>
      <c r="V426" s="138"/>
      <c r="W426" s="141"/>
      <c r="AD426" s="42" t="s">
        <v>76</v>
      </c>
      <c r="AE426" s="42">
        <v>0</v>
      </c>
      <c r="AF426" s="40">
        <v>0</v>
      </c>
      <c r="AG426" s="28">
        <v>0</v>
      </c>
      <c r="AH426" s="28">
        <v>0</v>
      </c>
      <c r="AI426" s="28">
        <v>0</v>
      </c>
      <c r="AJ426" s="42">
        <v>0</v>
      </c>
      <c r="AK426" s="40">
        <v>0</v>
      </c>
      <c r="AL426" s="41">
        <v>0</v>
      </c>
      <c r="AM426" s="43">
        <v>2</v>
      </c>
      <c r="AN426" s="28" t="s">
        <v>780</v>
      </c>
      <c r="AO426" s="40"/>
      <c r="AR426" s="138" t="s">
        <v>63</v>
      </c>
      <c r="AS426" s="138">
        <v>34</v>
      </c>
      <c r="AT426" s="141">
        <v>31</v>
      </c>
      <c r="AU426" s="138"/>
      <c r="AV426" s="141"/>
      <c r="AW426" s="28"/>
      <c r="AX426" s="28" t="s">
        <v>110</v>
      </c>
      <c r="AY426" s="28" t="s">
        <v>111</v>
      </c>
      <c r="AZ426" s="28" t="s">
        <v>112</v>
      </c>
      <c r="BA426" s="141"/>
      <c r="BD426" s="195" t="s">
        <v>107</v>
      </c>
      <c r="BE426" s="134">
        <v>0</v>
      </c>
      <c r="BF426" s="136">
        <v>0</v>
      </c>
      <c r="BG426" s="135"/>
      <c r="BH426" s="135"/>
      <c r="BI426" s="135"/>
      <c r="BJ426" s="134"/>
      <c r="BK426" s="136"/>
      <c r="BL426" s="135"/>
      <c r="BM426" s="135" t="s">
        <v>92</v>
      </c>
      <c r="BN426" s="136"/>
    </row>
    <row r="427" spans="3:66" x14ac:dyDescent="0.3">
      <c r="C427" s="142"/>
      <c r="D427" s="142"/>
      <c r="E427" s="143"/>
      <c r="F427" s="142"/>
      <c r="G427" s="143"/>
      <c r="H427" s="143"/>
      <c r="I427" s="199"/>
      <c r="J427" s="143">
        <v>17</v>
      </c>
      <c r="K427" s="143" t="s">
        <v>83</v>
      </c>
      <c r="L427" s="146">
        <f>SUM(J425:J427)</f>
        <v>26</v>
      </c>
      <c r="N427" s="142"/>
      <c r="O427" s="142"/>
      <c r="P427" s="199"/>
      <c r="Q427" s="142"/>
      <c r="R427" s="199"/>
      <c r="S427" s="146"/>
      <c r="T427" s="142"/>
      <c r="U427" s="199"/>
      <c r="V427" s="142"/>
      <c r="W427" s="146"/>
      <c r="AD427" s="32"/>
      <c r="AE427" s="34"/>
      <c r="AF427" s="34"/>
      <c r="AG427" s="33"/>
      <c r="AH427" s="34"/>
      <c r="AI427" s="35"/>
      <c r="AJ427" s="34"/>
      <c r="AK427" s="34"/>
      <c r="AL427" s="32"/>
      <c r="AM427" s="33" t="s">
        <v>1298</v>
      </c>
      <c r="AN427" s="34"/>
      <c r="AO427" s="35"/>
      <c r="AR427" s="138" t="s">
        <v>115</v>
      </c>
      <c r="AS427" s="138">
        <v>12</v>
      </c>
      <c r="AT427" s="141">
        <v>16</v>
      </c>
      <c r="AU427" s="138"/>
      <c r="AV427" s="141"/>
      <c r="AW427" s="28"/>
      <c r="AX427" s="28"/>
      <c r="AY427" s="28"/>
      <c r="AZ427" s="28"/>
      <c r="BA427" s="141"/>
      <c r="BD427" s="196" t="s">
        <v>99</v>
      </c>
      <c r="BE427" s="138">
        <v>0</v>
      </c>
      <c r="BF427" s="141">
        <v>0</v>
      </c>
      <c r="BG427" s="28">
        <v>0</v>
      </c>
      <c r="BH427" s="28">
        <v>0</v>
      </c>
      <c r="BI427" s="28">
        <v>0</v>
      </c>
      <c r="BJ427" s="138">
        <v>85577</v>
      </c>
      <c r="BK427" s="141">
        <v>19998</v>
      </c>
      <c r="BL427" s="43">
        <v>28</v>
      </c>
      <c r="BM427" s="28" t="s">
        <v>100</v>
      </c>
      <c r="BN427" s="141"/>
    </row>
    <row r="428" spans="3:66" x14ac:dyDescent="0.3">
      <c r="C428" s="134"/>
      <c r="D428" s="134"/>
      <c r="E428" s="135"/>
      <c r="F428" s="134"/>
      <c r="G428" s="135"/>
      <c r="H428" s="135"/>
      <c r="I428" s="195"/>
      <c r="J428" s="135" t="s">
        <v>87</v>
      </c>
      <c r="K428" s="135"/>
      <c r="L428" s="136"/>
      <c r="N428" s="134"/>
      <c r="O428" s="134"/>
      <c r="P428" s="195"/>
      <c r="Q428" s="134"/>
      <c r="R428" s="195"/>
      <c r="S428" s="136"/>
      <c r="T428" s="134"/>
      <c r="U428" s="195"/>
      <c r="V428" s="134" t="s">
        <v>6</v>
      </c>
      <c r="W428" s="136"/>
      <c r="AD428" s="41"/>
      <c r="AG428" s="42"/>
      <c r="AH428" s="28"/>
      <c r="AI428" s="40"/>
      <c r="AL428" s="41"/>
      <c r="AM428" s="42">
        <v>2</v>
      </c>
      <c r="AN428" s="43" t="s">
        <v>1633</v>
      </c>
      <c r="AO428" s="40"/>
      <c r="AR428" s="138" t="s">
        <v>72</v>
      </c>
      <c r="AS428" s="138">
        <v>0</v>
      </c>
      <c r="AT428" s="141">
        <v>1</v>
      </c>
      <c r="AU428" s="138"/>
      <c r="AV428" s="141"/>
      <c r="AW428" s="28"/>
      <c r="AX428" s="28"/>
      <c r="AY428" s="28"/>
      <c r="AZ428" s="28"/>
      <c r="BA428" s="141"/>
      <c r="BD428" s="199" t="s">
        <v>84</v>
      </c>
      <c r="BE428" s="138">
        <f>SUM(BE426:BE427)</f>
        <v>0</v>
      </c>
      <c r="BF428" s="141">
        <f>SUM(BF426:BF427)</f>
        <v>0</v>
      </c>
      <c r="BG428" s="143"/>
      <c r="BH428" s="143"/>
      <c r="BI428" s="143"/>
      <c r="BJ428" s="138"/>
      <c r="BK428" s="141"/>
      <c r="BL428" s="28">
        <v>0</v>
      </c>
      <c r="BM428" s="28" t="s">
        <v>506</v>
      </c>
      <c r="BN428" s="141">
        <f>SUM(BL427:BL428)</f>
        <v>28</v>
      </c>
    </row>
    <row r="429" spans="3:66" ht="15" thickBot="1" x14ac:dyDescent="0.35">
      <c r="C429" s="138" t="s">
        <v>93</v>
      </c>
      <c r="D429" s="138">
        <v>5026</v>
      </c>
      <c r="E429" s="28">
        <v>5352</v>
      </c>
      <c r="F429" s="138"/>
      <c r="G429" s="28" t="s">
        <v>60</v>
      </c>
      <c r="H429" s="28"/>
      <c r="I429" s="196">
        <v>5487</v>
      </c>
      <c r="J429" s="43">
        <v>2</v>
      </c>
      <c r="K429" s="28" t="s">
        <v>94</v>
      </c>
      <c r="L429" s="141"/>
      <c r="N429" s="138"/>
      <c r="O429" s="138"/>
      <c r="P429" s="196"/>
      <c r="Q429" s="138"/>
      <c r="R429" s="196"/>
      <c r="S429" s="141"/>
      <c r="T429" s="138"/>
      <c r="U429" s="196"/>
      <c r="V429" s="138"/>
      <c r="W429" s="141"/>
      <c r="AD429" s="46" t="s">
        <v>1300</v>
      </c>
      <c r="AE429" s="48">
        <v>369</v>
      </c>
      <c r="AF429" s="48">
        <v>378</v>
      </c>
      <c r="AG429" s="47">
        <v>0</v>
      </c>
      <c r="AH429" s="48">
        <v>0</v>
      </c>
      <c r="AI429" s="49">
        <v>0</v>
      </c>
      <c r="AJ429" s="48">
        <v>0</v>
      </c>
      <c r="AK429" s="48">
        <v>0</v>
      </c>
      <c r="AL429" s="46">
        <v>0</v>
      </c>
      <c r="AM429" s="47">
        <v>7</v>
      </c>
      <c r="AN429" s="48" t="s">
        <v>145</v>
      </c>
      <c r="AO429" s="49"/>
      <c r="AR429" s="138" t="s">
        <v>78</v>
      </c>
      <c r="AS429" s="138">
        <v>30</v>
      </c>
      <c r="AT429" s="141">
        <v>2</v>
      </c>
      <c r="AU429" s="138"/>
      <c r="AV429" s="141"/>
      <c r="AW429" s="28"/>
      <c r="AX429" s="28"/>
      <c r="AY429" s="28"/>
      <c r="AZ429" s="28"/>
      <c r="BA429" s="141"/>
      <c r="BB429" t="s">
        <v>6</v>
      </c>
      <c r="BD429" s="138" t="s">
        <v>89</v>
      </c>
      <c r="BE429" s="134">
        <v>1175</v>
      </c>
      <c r="BF429" s="136">
        <v>1267</v>
      </c>
      <c r="BJ429" s="134"/>
      <c r="BK429" s="135"/>
      <c r="BL429" s="134"/>
      <c r="BM429" s="135" t="s">
        <v>91</v>
      </c>
      <c r="BN429" s="136"/>
    </row>
    <row r="430" spans="3:66" x14ac:dyDescent="0.3">
      <c r="C430" s="138"/>
      <c r="D430" s="138"/>
      <c r="E430" s="28"/>
      <c r="F430" s="138"/>
      <c r="G430" s="28"/>
      <c r="H430" s="28"/>
      <c r="I430" s="196"/>
      <c r="J430" s="28">
        <v>29</v>
      </c>
      <c r="K430" s="28" t="s">
        <v>101</v>
      </c>
      <c r="L430" s="141">
        <f>SUM(J429:J430)</f>
        <v>31</v>
      </c>
      <c r="N430" s="138"/>
      <c r="O430" s="138"/>
      <c r="P430" s="196"/>
      <c r="Q430" s="138"/>
      <c r="R430" s="196"/>
      <c r="S430" s="141"/>
      <c r="T430" s="138"/>
      <c r="U430" s="196"/>
      <c r="V430" s="138"/>
      <c r="W430" s="141"/>
      <c r="AD430" s="42" t="s">
        <v>89</v>
      </c>
      <c r="AE430" s="42">
        <v>73</v>
      </c>
      <c r="AF430" s="40">
        <v>81</v>
      </c>
      <c r="AG430" s="28"/>
      <c r="AH430" s="28"/>
      <c r="AI430" s="28"/>
      <c r="AJ430" s="42"/>
      <c r="AK430" s="40"/>
      <c r="AL430" s="41"/>
      <c r="AM430" s="28" t="s">
        <v>90</v>
      </c>
      <c r="AN430" s="28"/>
      <c r="AO430" s="40"/>
      <c r="AR430" s="138" t="s">
        <v>122</v>
      </c>
      <c r="AS430" s="138">
        <v>34</v>
      </c>
      <c r="AT430" s="141">
        <v>24</v>
      </c>
      <c r="AU430" s="138"/>
      <c r="AV430" s="141"/>
      <c r="AW430" s="28"/>
      <c r="AX430" s="28">
        <v>20</v>
      </c>
      <c r="AY430" s="28" t="s">
        <v>123</v>
      </c>
      <c r="AZ430" s="28" t="s">
        <v>6</v>
      </c>
      <c r="BA430" s="141"/>
      <c r="BD430" s="138" t="s">
        <v>137</v>
      </c>
      <c r="BE430" s="138">
        <v>787</v>
      </c>
      <c r="BF430" s="141">
        <v>902</v>
      </c>
      <c r="BJ430" s="138"/>
      <c r="BK430" s="28"/>
      <c r="BL430" s="212"/>
      <c r="BM430" s="43"/>
      <c r="BN430" s="141"/>
    </row>
    <row r="431" spans="3:66" x14ac:dyDescent="0.3">
      <c r="C431" s="134" t="s">
        <v>108</v>
      </c>
      <c r="D431" s="134">
        <v>0</v>
      </c>
      <c r="E431" s="136">
        <v>0</v>
      </c>
      <c r="F431" s="135"/>
      <c r="G431" s="135">
        <v>502</v>
      </c>
      <c r="H431" s="135"/>
      <c r="I431" s="195"/>
      <c r="J431" s="135" t="s">
        <v>104</v>
      </c>
      <c r="K431" s="135"/>
      <c r="L431" s="136"/>
      <c r="N431" s="142"/>
      <c r="O431" s="142"/>
      <c r="P431" s="199"/>
      <c r="Q431" s="142"/>
      <c r="R431" s="199"/>
      <c r="S431" s="146"/>
      <c r="T431" s="142"/>
      <c r="U431" s="199"/>
      <c r="V431" s="142"/>
      <c r="W431" s="146"/>
      <c r="AD431" s="42" t="s">
        <v>137</v>
      </c>
      <c r="AE431" s="42"/>
      <c r="AF431" s="40"/>
      <c r="AG431" s="28">
        <v>0</v>
      </c>
      <c r="AH431" s="28">
        <v>0</v>
      </c>
      <c r="AI431" s="28">
        <v>0</v>
      </c>
      <c r="AJ431" s="42">
        <v>0</v>
      </c>
      <c r="AK431" s="40">
        <v>0</v>
      </c>
      <c r="AL431" s="41">
        <v>0</v>
      </c>
      <c r="AM431" s="28"/>
      <c r="AN431" s="28" t="s">
        <v>529</v>
      </c>
      <c r="AO431" s="40"/>
      <c r="AR431" s="138" t="s">
        <v>125</v>
      </c>
      <c r="AS431" s="138">
        <v>0</v>
      </c>
      <c r="AT431" s="141">
        <v>8</v>
      </c>
      <c r="AU431" s="138"/>
      <c r="AV431" s="141"/>
      <c r="AW431" s="28"/>
      <c r="AX431" s="28">
        <v>34</v>
      </c>
      <c r="AY431" s="28" t="s">
        <v>126</v>
      </c>
      <c r="AZ431" s="28"/>
      <c r="BA431" s="141"/>
      <c r="BC431" t="s">
        <v>6</v>
      </c>
      <c r="BD431" s="212" t="s">
        <v>97</v>
      </c>
      <c r="BE431" s="212">
        <v>1007</v>
      </c>
      <c r="BF431" s="209">
        <v>855</v>
      </c>
      <c r="BJ431" s="138"/>
      <c r="BK431" s="28"/>
      <c r="BL431" s="138">
        <v>36</v>
      </c>
      <c r="BM431" s="43" t="s">
        <v>1134</v>
      </c>
      <c r="BN431" s="141"/>
    </row>
    <row r="432" spans="3:66" ht="15" thickBot="1" x14ac:dyDescent="0.35">
      <c r="C432" s="138" t="s">
        <v>109</v>
      </c>
      <c r="D432" s="138">
        <v>3960</v>
      </c>
      <c r="E432" s="141">
        <v>1927</v>
      </c>
      <c r="F432" s="28"/>
      <c r="G432" s="28">
        <v>0</v>
      </c>
      <c r="H432" s="28"/>
      <c r="I432" s="196"/>
      <c r="J432" s="28">
        <v>13</v>
      </c>
      <c r="K432" s="28" t="s">
        <v>114</v>
      </c>
      <c r="L432" s="141"/>
      <c r="N432" s="134"/>
      <c r="O432" s="134"/>
      <c r="P432" s="195"/>
      <c r="Q432" s="134"/>
      <c r="R432" s="195"/>
      <c r="S432" s="136"/>
      <c r="T432" s="134"/>
      <c r="U432" s="195"/>
      <c r="V432" s="134" t="s">
        <v>104</v>
      </c>
      <c r="W432" s="136"/>
      <c r="AD432" s="42" t="s">
        <v>84</v>
      </c>
      <c r="AE432" s="244">
        <f>SUM(AE430:AE431)</f>
        <v>73</v>
      </c>
      <c r="AF432" s="245">
        <f>SUM(AF430:AF431)</f>
        <v>81</v>
      </c>
      <c r="AG432" s="28"/>
      <c r="AH432" s="28"/>
      <c r="AI432" s="28"/>
      <c r="AJ432" s="244"/>
      <c r="AK432" s="245"/>
      <c r="AL432" s="41"/>
      <c r="AM432" s="28">
        <v>2</v>
      </c>
      <c r="AN432" s="28" t="s">
        <v>98</v>
      </c>
      <c r="AO432" s="40"/>
      <c r="AR432" s="138" t="s">
        <v>536</v>
      </c>
      <c r="AS432" s="138">
        <v>0</v>
      </c>
      <c r="AT432" s="141">
        <v>8</v>
      </c>
      <c r="AU432" s="138"/>
      <c r="AV432" s="141"/>
      <c r="AW432" s="28"/>
      <c r="AX432" s="28">
        <v>36</v>
      </c>
      <c r="AY432" s="28" t="s">
        <v>129</v>
      </c>
      <c r="AZ432" s="28" t="s">
        <v>6</v>
      </c>
      <c r="BA432" s="141"/>
      <c r="BC432" t="s">
        <v>6</v>
      </c>
      <c r="BD432" s="138" t="s">
        <v>113</v>
      </c>
      <c r="BE432" s="138">
        <f>11+522</f>
        <v>533</v>
      </c>
      <c r="BF432" s="141">
        <f>6+501</f>
        <v>507</v>
      </c>
      <c r="BJ432" s="138"/>
      <c r="BK432" s="28"/>
      <c r="BL432" s="212">
        <v>54</v>
      </c>
      <c r="BM432" s="28" t="s">
        <v>73</v>
      </c>
      <c r="BN432" s="141"/>
    </row>
    <row r="433" spans="3:67" x14ac:dyDescent="0.3">
      <c r="C433" s="138" t="s">
        <v>84</v>
      </c>
      <c r="D433" s="138">
        <f>SUM(D431:D432)</f>
        <v>3960</v>
      </c>
      <c r="E433" s="141">
        <f>SUM(E431:E432)</f>
        <v>1927</v>
      </c>
      <c r="F433" s="28"/>
      <c r="G433" s="28">
        <f>SUM(G431:G432)</f>
        <v>502</v>
      </c>
      <c r="H433" s="28"/>
      <c r="I433" s="196">
        <v>4521</v>
      </c>
      <c r="J433" s="28"/>
      <c r="K433" s="28"/>
      <c r="L433" s="141">
        <f>SUM(J432)</f>
        <v>13</v>
      </c>
      <c r="N433" s="138" t="s">
        <v>109</v>
      </c>
      <c r="O433" s="138">
        <v>0</v>
      </c>
      <c r="P433" s="196">
        <v>0</v>
      </c>
      <c r="Q433" s="138">
        <v>0</v>
      </c>
      <c r="R433" s="196">
        <v>0</v>
      </c>
      <c r="S433" s="141">
        <v>0</v>
      </c>
      <c r="T433" s="138">
        <v>0</v>
      </c>
      <c r="U433" s="196">
        <v>0</v>
      </c>
      <c r="V433" s="138"/>
      <c r="W433" s="141"/>
      <c r="AD433" s="32" t="s">
        <v>108</v>
      </c>
      <c r="AE433" s="135"/>
      <c r="AF433" s="135"/>
      <c r="AG433" s="33"/>
      <c r="AH433" s="34"/>
      <c r="AI433" s="35"/>
      <c r="AJ433" s="135"/>
      <c r="AK433" s="135"/>
      <c r="AL433" s="32"/>
      <c r="AM433" s="34" t="s">
        <v>1284</v>
      </c>
      <c r="AN433" s="34"/>
      <c r="AO433" s="35"/>
      <c r="AR433" s="138" t="s">
        <v>132</v>
      </c>
      <c r="AS433" s="138">
        <v>0</v>
      </c>
      <c r="AT433" s="141">
        <v>0</v>
      </c>
      <c r="AU433" s="138"/>
      <c r="AV433" s="141"/>
      <c r="AW433" s="28"/>
      <c r="AX433" s="28"/>
      <c r="AY433" s="28"/>
      <c r="AZ433" s="28"/>
      <c r="BA433" s="141"/>
      <c r="BB433" t="s">
        <v>6</v>
      </c>
      <c r="BD433" s="212" t="s">
        <v>1120</v>
      </c>
      <c r="BE433" s="212">
        <v>110</v>
      </c>
      <c r="BF433" s="209">
        <v>139</v>
      </c>
      <c r="BJ433" s="138"/>
      <c r="BK433" s="28"/>
      <c r="BL433" s="138">
        <v>1</v>
      </c>
      <c r="BM433" s="43" t="s">
        <v>1294</v>
      </c>
      <c r="BN433" s="141"/>
    </row>
    <row r="434" spans="3:67" x14ac:dyDescent="0.3">
      <c r="C434" s="138"/>
      <c r="D434" s="138"/>
      <c r="E434" s="141"/>
      <c r="F434" s="28"/>
      <c r="G434" s="28"/>
      <c r="H434" s="28"/>
      <c r="I434" s="196"/>
      <c r="J434" s="28"/>
      <c r="K434" s="28"/>
      <c r="L434" s="141"/>
      <c r="N434" s="142"/>
      <c r="O434" s="142"/>
      <c r="P434" s="199"/>
      <c r="Q434" s="142"/>
      <c r="R434" s="199"/>
      <c r="S434" s="146"/>
      <c r="T434" s="142"/>
      <c r="U434" s="199"/>
      <c r="V434" s="142"/>
      <c r="W434" s="146"/>
      <c r="AD434" s="41" t="s">
        <v>817</v>
      </c>
      <c r="AE434" s="28">
        <v>216</v>
      </c>
      <c r="AF434" s="43">
        <v>5317</v>
      </c>
      <c r="AG434" s="42">
        <v>0</v>
      </c>
      <c r="AH434" s="28">
        <v>0</v>
      </c>
      <c r="AI434" s="40">
        <v>0</v>
      </c>
      <c r="AJ434" s="28"/>
      <c r="AK434" s="28"/>
      <c r="AL434" s="41">
        <v>0</v>
      </c>
      <c r="AM434" s="28"/>
      <c r="AN434" s="28" t="s">
        <v>6</v>
      </c>
      <c r="AO434" s="40"/>
      <c r="AR434" s="138" t="s">
        <v>81</v>
      </c>
      <c r="AS434" s="138">
        <v>42</v>
      </c>
      <c r="AT434" s="141">
        <v>61</v>
      </c>
      <c r="AU434" s="138"/>
      <c r="AV434" s="141"/>
      <c r="AW434" s="28"/>
      <c r="AX434" s="28"/>
      <c r="AY434" s="28"/>
      <c r="AZ434" s="28"/>
      <c r="BA434" s="141" t="s">
        <v>6</v>
      </c>
      <c r="BC434" t="s">
        <v>6</v>
      </c>
      <c r="BD434" s="212" t="s">
        <v>817</v>
      </c>
      <c r="BE434" s="212">
        <v>33</v>
      </c>
      <c r="BF434" s="209">
        <v>1035</v>
      </c>
      <c r="BJ434" s="138"/>
      <c r="BK434" s="28"/>
      <c r="BL434" s="138">
        <v>0</v>
      </c>
      <c r="BM434" s="43" t="s">
        <v>1577</v>
      </c>
      <c r="BN434" s="141"/>
      <c r="BO434" s="28"/>
    </row>
    <row r="435" spans="3:67" x14ac:dyDescent="0.3">
      <c r="C435" s="134" t="s">
        <v>785</v>
      </c>
      <c r="D435" s="134">
        <v>2457</v>
      </c>
      <c r="E435" s="242">
        <v>2558</v>
      </c>
      <c r="F435" s="135"/>
      <c r="G435" s="135"/>
      <c r="H435" s="135"/>
      <c r="I435" s="195">
        <v>2751</v>
      </c>
      <c r="J435" s="135"/>
      <c r="K435" s="135"/>
      <c r="L435" s="136"/>
      <c r="N435" s="134" t="s">
        <v>93</v>
      </c>
      <c r="O435" s="134">
        <v>0</v>
      </c>
      <c r="P435" s="195">
        <v>0</v>
      </c>
      <c r="Q435" s="134"/>
      <c r="R435" s="195"/>
      <c r="S435" s="136"/>
      <c r="T435" s="134">
        <v>0</v>
      </c>
      <c r="U435" s="195">
        <v>0</v>
      </c>
      <c r="V435" s="134" t="s">
        <v>116</v>
      </c>
      <c r="W435" s="136"/>
      <c r="AD435" s="41" t="s">
        <v>164</v>
      </c>
      <c r="AE435" s="28"/>
      <c r="AF435" s="43"/>
      <c r="AG435" s="42">
        <v>0</v>
      </c>
      <c r="AH435" s="28"/>
      <c r="AI435" s="40">
        <v>0</v>
      </c>
      <c r="AJ435" s="28"/>
      <c r="AK435" s="28"/>
      <c r="AL435" s="41"/>
      <c r="AM435" s="28">
        <v>38</v>
      </c>
      <c r="AN435" s="43" t="s">
        <v>1285</v>
      </c>
      <c r="AO435" s="40"/>
      <c r="AR435" s="138" t="s">
        <v>1599</v>
      </c>
      <c r="AS435" s="138">
        <v>0</v>
      </c>
      <c r="AT435" s="141">
        <v>0</v>
      </c>
      <c r="AU435" s="138"/>
      <c r="AV435" s="141"/>
      <c r="AW435" s="28"/>
      <c r="AX435" s="28"/>
      <c r="AY435" s="28"/>
      <c r="AZ435" s="28"/>
      <c r="BA435" s="141"/>
      <c r="BD435" s="138" t="s">
        <v>84</v>
      </c>
      <c r="BE435" s="138">
        <f>SUM(BE429:BE434)</f>
        <v>3645</v>
      </c>
      <c r="BF435" s="141">
        <f>SUM(BF429:BF434)</f>
        <v>4705</v>
      </c>
      <c r="BG435">
        <v>0</v>
      </c>
      <c r="BH435">
        <v>0</v>
      </c>
      <c r="BI435">
        <v>0</v>
      </c>
      <c r="BJ435" s="142">
        <v>0</v>
      </c>
      <c r="BK435" s="143">
        <v>0</v>
      </c>
      <c r="BL435" s="142"/>
      <c r="BM435" s="143" t="s">
        <v>6</v>
      </c>
      <c r="BN435" s="146">
        <f>SUM(BL431:BL435)</f>
        <v>91</v>
      </c>
    </row>
    <row r="436" spans="3:67" ht="15" thickBot="1" x14ac:dyDescent="0.35">
      <c r="C436" s="138" t="s">
        <v>93</v>
      </c>
      <c r="D436" s="138">
        <v>12703</v>
      </c>
      <c r="E436" s="209">
        <v>13134</v>
      </c>
      <c r="F436" s="28"/>
      <c r="G436" s="28"/>
      <c r="H436" s="28"/>
      <c r="I436" s="196">
        <v>14013</v>
      </c>
      <c r="J436" s="28" t="s">
        <v>118</v>
      </c>
      <c r="K436" s="28"/>
      <c r="L436" s="141"/>
      <c r="N436" s="138" t="s">
        <v>99</v>
      </c>
      <c r="O436" s="138">
        <v>11261</v>
      </c>
      <c r="P436" s="196">
        <v>9968</v>
      </c>
      <c r="Q436" s="138"/>
      <c r="R436" s="196"/>
      <c r="S436" s="141"/>
      <c r="T436" s="138">
        <v>2509</v>
      </c>
      <c r="U436" s="196">
        <v>198</v>
      </c>
      <c r="V436" s="138"/>
      <c r="W436" s="141"/>
      <c r="AD436" s="46" t="s">
        <v>1120</v>
      </c>
      <c r="AF436" s="43"/>
      <c r="AG436" s="42"/>
      <c r="AH436" s="28"/>
      <c r="AI436" s="40"/>
      <c r="AL436" s="41"/>
      <c r="AM436" s="28"/>
      <c r="AN436" s="28"/>
      <c r="AO436" s="40"/>
      <c r="AR436" s="138" t="s">
        <v>56</v>
      </c>
      <c r="AS436" s="138">
        <v>3</v>
      </c>
      <c r="AT436" s="141">
        <v>1</v>
      </c>
      <c r="AU436" s="138"/>
      <c r="AV436" s="141"/>
      <c r="AW436" s="28"/>
      <c r="AX436" s="28"/>
      <c r="AY436" s="28"/>
      <c r="AZ436" s="28"/>
      <c r="BA436" s="141"/>
      <c r="BD436" s="134"/>
      <c r="BE436" s="134"/>
      <c r="BF436" s="136"/>
      <c r="BG436" s="135"/>
      <c r="BH436" s="135"/>
      <c r="BI436" s="135"/>
      <c r="BJ436" s="138"/>
      <c r="BK436" s="141"/>
      <c r="BL436" s="28" t="s">
        <v>1025</v>
      </c>
      <c r="BM436" s="28"/>
      <c r="BN436" s="141"/>
    </row>
    <row r="437" spans="3:67" ht="15" thickBot="1" x14ac:dyDescent="0.35">
      <c r="C437" s="138" t="s">
        <v>120</v>
      </c>
      <c r="D437" s="212">
        <v>10034</v>
      </c>
      <c r="E437" s="209">
        <v>9544</v>
      </c>
      <c r="F437" s="28"/>
      <c r="G437" s="28" t="s">
        <v>60</v>
      </c>
      <c r="H437" s="28"/>
      <c r="I437" s="211">
        <v>11380</v>
      </c>
      <c r="J437" s="28">
        <v>152</v>
      </c>
      <c r="K437" s="28" t="s">
        <v>101</v>
      </c>
      <c r="L437" s="141"/>
      <c r="N437" s="138" t="s">
        <v>120</v>
      </c>
      <c r="O437" s="138">
        <v>137</v>
      </c>
      <c r="P437" s="196">
        <v>6698</v>
      </c>
      <c r="Q437" s="138"/>
      <c r="R437" s="196"/>
      <c r="S437" s="141"/>
      <c r="T437" s="138">
        <v>0</v>
      </c>
      <c r="U437" s="196">
        <v>1</v>
      </c>
      <c r="V437" s="138"/>
      <c r="W437" s="141"/>
      <c r="AD437" s="42" t="s">
        <v>84</v>
      </c>
      <c r="AE437" s="42">
        <f>SUM(AE433:AE436)</f>
        <v>216</v>
      </c>
      <c r="AF437" s="28">
        <f>SUM(AF433:AF436)</f>
        <v>5317</v>
      </c>
      <c r="AG437" s="47">
        <v>0</v>
      </c>
      <c r="AH437" s="48">
        <v>0</v>
      </c>
      <c r="AI437" s="49">
        <v>0</v>
      </c>
      <c r="AJ437" s="28"/>
      <c r="AK437" s="28"/>
      <c r="AL437" s="46"/>
      <c r="AM437" s="48"/>
      <c r="AN437" s="48"/>
      <c r="AO437" s="49"/>
      <c r="AR437" s="138" t="s">
        <v>67</v>
      </c>
      <c r="AS437" s="138">
        <v>111</v>
      </c>
      <c r="AT437" s="141">
        <v>64</v>
      </c>
      <c r="AU437" s="138"/>
      <c r="AV437" s="141"/>
      <c r="AW437" s="28"/>
      <c r="AX437" s="28"/>
      <c r="AY437" s="28"/>
      <c r="AZ437" s="28"/>
      <c r="BA437" s="141"/>
      <c r="BD437" s="142" t="s">
        <v>64</v>
      </c>
      <c r="BE437" s="142">
        <v>104</v>
      </c>
      <c r="BF437" s="146">
        <v>76</v>
      </c>
      <c r="BG437" s="143">
        <v>0</v>
      </c>
      <c r="BH437" s="143">
        <v>0</v>
      </c>
      <c r="BI437" s="143">
        <v>0</v>
      </c>
      <c r="BJ437" s="142">
        <v>0</v>
      </c>
      <c r="BK437" s="146">
        <v>0</v>
      </c>
      <c r="BL437" s="143">
        <v>9</v>
      </c>
      <c r="BM437" s="143" t="s">
        <v>1026</v>
      </c>
      <c r="BN437" s="146">
        <f>SUM(BL437)</f>
        <v>9</v>
      </c>
      <c r="BO437" t="s">
        <v>6</v>
      </c>
    </row>
    <row r="438" spans="3:67" x14ac:dyDescent="0.3">
      <c r="C438" s="138" t="s">
        <v>84</v>
      </c>
      <c r="D438" s="138">
        <f>SUM(D435:D437)</f>
        <v>25194</v>
      </c>
      <c r="E438" s="141">
        <f>SUM(E435:E437)</f>
        <v>25236</v>
      </c>
      <c r="F438" s="28"/>
      <c r="G438" s="28"/>
      <c r="H438" s="28"/>
      <c r="I438" s="196">
        <f>SUM(I435:I437)</f>
        <v>28144</v>
      </c>
      <c r="J438" s="28">
        <v>21</v>
      </c>
      <c r="K438" s="28" t="s">
        <v>927</v>
      </c>
      <c r="L438" s="141">
        <f>SUM(J437:J438)</f>
        <v>173</v>
      </c>
      <c r="N438" s="142" t="s">
        <v>84</v>
      </c>
      <c r="O438" s="142">
        <f>SUM(O435:O437)</f>
        <v>11398</v>
      </c>
      <c r="P438" s="199">
        <f>SUM(P435:P437)</f>
        <v>16666</v>
      </c>
      <c r="Q438" s="142">
        <v>0</v>
      </c>
      <c r="R438" s="199">
        <v>0</v>
      </c>
      <c r="S438" s="146">
        <v>0</v>
      </c>
      <c r="T438" s="142">
        <f>SUM(T435:T437)</f>
        <v>2509</v>
      </c>
      <c r="U438" s="199">
        <f>SUM(U435:U437)</f>
        <v>199</v>
      </c>
      <c r="V438" s="142"/>
      <c r="W438" s="146"/>
      <c r="AD438" s="33"/>
      <c r="AE438" s="33"/>
      <c r="AF438" s="35"/>
      <c r="AG438" s="34"/>
      <c r="AH438" s="34"/>
      <c r="AI438" s="34"/>
      <c r="AJ438" s="33"/>
      <c r="AK438" s="35"/>
      <c r="AL438" s="32"/>
      <c r="AM438" s="34"/>
      <c r="AN438" s="34" t="s">
        <v>117</v>
      </c>
      <c r="AO438" s="35"/>
      <c r="AR438" s="142" t="s">
        <v>84</v>
      </c>
      <c r="AS438" s="142">
        <f>SUM(AS426:AS437)</f>
        <v>266</v>
      </c>
      <c r="AT438" s="146">
        <f>SUM(AT426:AT437)</f>
        <v>216</v>
      </c>
      <c r="AU438" s="142"/>
      <c r="AV438" s="146">
        <v>0</v>
      </c>
      <c r="AW438" s="143"/>
      <c r="AX438" s="143"/>
      <c r="AY438" s="143"/>
      <c r="AZ438" s="143"/>
      <c r="BA438" s="146">
        <f>SUM(AX430:AX432)</f>
        <v>90</v>
      </c>
      <c r="BD438" s="138" t="s">
        <v>113</v>
      </c>
      <c r="BE438" s="138">
        <v>451</v>
      </c>
      <c r="BF438" s="141">
        <v>477</v>
      </c>
      <c r="BG438" s="28"/>
      <c r="BH438" s="28"/>
      <c r="BI438" s="28"/>
      <c r="BJ438" s="138"/>
      <c r="BK438" s="141"/>
      <c r="BL438" s="28" t="s">
        <v>994</v>
      </c>
      <c r="BM438" s="28"/>
      <c r="BN438" s="141"/>
    </row>
    <row r="439" spans="3:67" ht="15" thickBot="1" x14ac:dyDescent="0.35">
      <c r="C439" s="142"/>
      <c r="D439" s="142"/>
      <c r="E439" s="146"/>
      <c r="F439" s="143"/>
      <c r="G439" s="143"/>
      <c r="H439" s="143"/>
      <c r="I439" s="199"/>
      <c r="J439" s="143"/>
      <c r="K439" s="143"/>
      <c r="L439" s="146"/>
      <c r="N439" s="134"/>
      <c r="O439" s="134"/>
      <c r="P439" s="195"/>
      <c r="Q439" s="134"/>
      <c r="R439" s="195"/>
      <c r="S439" s="136"/>
      <c r="T439" s="134"/>
      <c r="U439" s="195"/>
      <c r="V439" s="134"/>
      <c r="W439" s="136"/>
      <c r="AD439" s="47"/>
      <c r="AE439" s="47"/>
      <c r="AF439" s="49"/>
      <c r="AG439" s="48"/>
      <c r="AH439" s="48"/>
      <c r="AI439" s="48"/>
      <c r="AJ439" s="47"/>
      <c r="AK439" s="49"/>
      <c r="AL439" s="46"/>
      <c r="AM439" s="48">
        <v>2</v>
      </c>
      <c r="AN439" s="48" t="s">
        <v>124</v>
      </c>
      <c r="AO439" s="49"/>
      <c r="AR439" s="134"/>
      <c r="AS439" s="134"/>
      <c r="AT439" s="136"/>
      <c r="AU439" s="134"/>
      <c r="AV439" s="136"/>
      <c r="AW439" s="135"/>
      <c r="AX439" s="135"/>
      <c r="AY439" s="135"/>
      <c r="AZ439" s="135"/>
      <c r="BA439" s="136"/>
      <c r="BD439" s="138" t="s">
        <v>133</v>
      </c>
      <c r="BE439" s="138">
        <v>0</v>
      </c>
      <c r="BF439" s="141">
        <v>0</v>
      </c>
      <c r="BG439" s="28"/>
      <c r="BH439" s="28"/>
      <c r="BI439" s="28"/>
      <c r="BJ439" s="138"/>
      <c r="BK439" s="141"/>
      <c r="BL439" s="28">
        <v>19</v>
      </c>
      <c r="BM439" s="28" t="s">
        <v>100</v>
      </c>
      <c r="BN439" s="141"/>
    </row>
    <row r="440" spans="3:67" x14ac:dyDescent="0.3">
      <c r="C440" s="138" t="s">
        <v>93</v>
      </c>
      <c r="D440" s="138">
        <v>9154</v>
      </c>
      <c r="E440" s="28">
        <v>9026</v>
      </c>
      <c r="F440" s="138"/>
      <c r="G440" s="28" t="s">
        <v>60</v>
      </c>
      <c r="H440" s="28"/>
      <c r="I440" s="196">
        <v>9990</v>
      </c>
      <c r="J440" s="28" t="s">
        <v>116</v>
      </c>
      <c r="K440" s="28"/>
      <c r="L440" s="141"/>
      <c r="N440" s="138" t="s">
        <v>105</v>
      </c>
      <c r="O440" s="138">
        <v>0</v>
      </c>
      <c r="P440" s="196">
        <v>0</v>
      </c>
      <c r="Q440" s="138" t="s">
        <v>6</v>
      </c>
      <c r="R440" s="196"/>
      <c r="S440" s="141"/>
      <c r="T440" s="138">
        <v>0</v>
      </c>
      <c r="U440" s="196">
        <v>0</v>
      </c>
      <c r="V440" s="138"/>
      <c r="W440" s="141"/>
      <c r="AD440" s="33" t="s">
        <v>97</v>
      </c>
      <c r="AE440" s="33">
        <v>96</v>
      </c>
      <c r="AF440" s="35">
        <v>128</v>
      </c>
      <c r="AG440" s="34"/>
      <c r="AH440" s="34"/>
      <c r="AI440" s="34"/>
      <c r="AJ440" s="33"/>
      <c r="AK440" s="35"/>
      <c r="AL440" s="32"/>
      <c r="AM440" s="34"/>
      <c r="AN440" s="34"/>
      <c r="AO440" s="35"/>
      <c r="AR440" s="138" t="s">
        <v>56</v>
      </c>
      <c r="AS440" s="138">
        <v>0</v>
      </c>
      <c r="AT440" s="141">
        <v>0</v>
      </c>
      <c r="AU440" s="138"/>
      <c r="AV440" s="141"/>
      <c r="AW440" s="28"/>
      <c r="AX440" s="28" t="s">
        <v>173</v>
      </c>
      <c r="AY440" s="28"/>
      <c r="AZ440" s="28"/>
      <c r="BA440" s="141"/>
      <c r="BD440" s="142" t="s">
        <v>84</v>
      </c>
      <c r="BE440" s="142">
        <f>SUM(BE438:BE439)</f>
        <v>451</v>
      </c>
      <c r="BF440" s="146">
        <f>SUM(BF438:BF439)</f>
        <v>477</v>
      </c>
      <c r="BG440" s="143">
        <v>0</v>
      </c>
      <c r="BH440" s="143">
        <v>0</v>
      </c>
      <c r="BI440" s="143">
        <v>0</v>
      </c>
      <c r="BJ440" s="142">
        <v>0</v>
      </c>
      <c r="BK440" s="146">
        <v>0</v>
      </c>
      <c r="BL440" s="43">
        <v>22</v>
      </c>
      <c r="BM440" s="43" t="s">
        <v>73</v>
      </c>
      <c r="BN440" s="146">
        <f>SUM(BL439:BL440)</f>
        <v>41</v>
      </c>
    </row>
    <row r="441" spans="3:67" x14ac:dyDescent="0.3">
      <c r="C441" s="138" t="s">
        <v>99</v>
      </c>
      <c r="D441" s="138">
        <v>14467</v>
      </c>
      <c r="E441" s="43">
        <v>14091</v>
      </c>
      <c r="F441" s="138"/>
      <c r="G441" s="28" t="s">
        <v>60</v>
      </c>
      <c r="H441" s="28"/>
      <c r="I441" s="196">
        <v>15789</v>
      </c>
      <c r="J441" s="43">
        <v>159</v>
      </c>
      <c r="K441" s="28" t="s">
        <v>144</v>
      </c>
      <c r="L441" s="141"/>
      <c r="N441" s="138" t="s">
        <v>99</v>
      </c>
      <c r="O441" s="138">
        <v>0</v>
      </c>
      <c r="P441" s="196">
        <v>0</v>
      </c>
      <c r="Q441" s="138"/>
      <c r="R441" s="196"/>
      <c r="S441" s="141"/>
      <c r="T441" s="138">
        <v>0</v>
      </c>
      <c r="U441" s="196">
        <v>0</v>
      </c>
      <c r="V441" s="138" t="s">
        <v>135</v>
      </c>
      <c r="W441" s="141"/>
      <c r="AD441" s="42" t="s">
        <v>89</v>
      </c>
      <c r="AE441" s="42">
        <v>438</v>
      </c>
      <c r="AF441" s="40">
        <v>407</v>
      </c>
      <c r="AG441" s="28"/>
      <c r="AH441" s="28"/>
      <c r="AI441" s="28"/>
      <c r="AJ441" s="42"/>
      <c r="AK441" s="40"/>
      <c r="AL441" s="41"/>
      <c r="AM441" s="28" t="s">
        <v>953</v>
      </c>
      <c r="AN441" s="28"/>
      <c r="AO441" s="40"/>
      <c r="AR441" s="138" t="s">
        <v>67</v>
      </c>
      <c r="AS441" s="138">
        <v>0</v>
      </c>
      <c r="AT441" s="141">
        <v>0</v>
      </c>
      <c r="AU441" s="138"/>
      <c r="AV441" s="141"/>
      <c r="AW441" s="28"/>
      <c r="AX441" s="28"/>
      <c r="AY441" s="28"/>
      <c r="AZ441" s="28"/>
      <c r="BA441" s="141"/>
      <c r="BD441" s="196" t="s">
        <v>384</v>
      </c>
      <c r="BE441" s="138">
        <v>0</v>
      </c>
      <c r="BF441" s="141">
        <v>1</v>
      </c>
      <c r="BG441" s="134"/>
      <c r="BH441" s="135"/>
      <c r="BI441" s="136"/>
      <c r="BJ441" s="138"/>
      <c r="BK441" s="141"/>
      <c r="BL441" s="134" t="s">
        <v>140</v>
      </c>
      <c r="BM441" s="135"/>
      <c r="BN441" s="136"/>
    </row>
    <row r="442" spans="3:67" x14ac:dyDescent="0.3">
      <c r="C442" s="138" t="s">
        <v>120</v>
      </c>
      <c r="D442" s="138">
        <v>4616</v>
      </c>
      <c r="E442" s="43">
        <v>4379</v>
      </c>
      <c r="F442" s="138"/>
      <c r="G442" s="28" t="s">
        <v>60</v>
      </c>
      <c r="H442" s="28"/>
      <c r="I442" s="196">
        <v>5020</v>
      </c>
      <c r="J442" s="43">
        <v>1</v>
      </c>
      <c r="K442" s="28" t="s">
        <v>148</v>
      </c>
      <c r="L442" s="141"/>
      <c r="N442" s="138"/>
      <c r="O442" s="138"/>
      <c r="P442" s="196"/>
      <c r="Q442" s="138"/>
      <c r="R442" s="196"/>
      <c r="S442" s="141"/>
      <c r="T442" s="138"/>
      <c r="U442" s="196"/>
      <c r="V442" s="138"/>
      <c r="W442" s="141"/>
      <c r="AD442" s="42" t="s">
        <v>137</v>
      </c>
      <c r="AE442" s="42">
        <v>149</v>
      </c>
      <c r="AF442" s="40">
        <v>195</v>
      </c>
      <c r="AG442" s="28"/>
      <c r="AH442" s="28"/>
      <c r="AI442" s="28"/>
      <c r="AJ442" s="42"/>
      <c r="AK442" s="40"/>
      <c r="AL442" s="41"/>
      <c r="AM442" s="28">
        <v>0</v>
      </c>
      <c r="AN442" s="28" t="s">
        <v>884</v>
      </c>
      <c r="AO442" s="40"/>
      <c r="AR442" s="138" t="s">
        <v>78</v>
      </c>
      <c r="AS442" s="138">
        <v>0</v>
      </c>
      <c r="AT442" s="141">
        <v>0</v>
      </c>
      <c r="AU442" s="138"/>
      <c r="AV442" s="141"/>
      <c r="AW442" s="28"/>
      <c r="AX442" s="28">
        <v>0</v>
      </c>
      <c r="AY442" s="28" t="s">
        <v>183</v>
      </c>
      <c r="AZ442" s="28"/>
      <c r="BA442" s="141"/>
      <c r="BD442" s="196" t="s">
        <v>1374</v>
      </c>
      <c r="BE442" s="138">
        <v>8</v>
      </c>
      <c r="BF442" s="141">
        <v>8</v>
      </c>
      <c r="BG442" s="138"/>
      <c r="BH442" s="28"/>
      <c r="BI442" s="141"/>
      <c r="BJ442" s="138"/>
      <c r="BK442" s="141"/>
      <c r="BL442" s="138"/>
      <c r="BM442" s="28"/>
      <c r="BN442" s="141"/>
    </row>
    <row r="443" spans="3:67" x14ac:dyDescent="0.3">
      <c r="C443" s="138" t="s">
        <v>84</v>
      </c>
      <c r="D443" s="138">
        <f>SUM(D440:D442)</f>
        <v>28237</v>
      </c>
      <c r="E443" s="28">
        <f>SUM(E440:E442)</f>
        <v>27496</v>
      </c>
      <c r="F443" s="138"/>
      <c r="G443" s="28" t="s">
        <v>60</v>
      </c>
      <c r="H443" s="28"/>
      <c r="I443" s="196">
        <f>SUM(I440:I442)</f>
        <v>30799</v>
      </c>
      <c r="J443" s="43">
        <v>0</v>
      </c>
      <c r="K443" s="28" t="s">
        <v>152</v>
      </c>
      <c r="L443" s="141"/>
      <c r="N443" s="142" t="s">
        <v>84</v>
      </c>
      <c r="O443" s="142">
        <f>SUM(O440:O442)</f>
        <v>0</v>
      </c>
      <c r="P443" s="199">
        <f>SUM(P440:P442)</f>
        <v>0</v>
      </c>
      <c r="Q443" s="142">
        <v>0</v>
      </c>
      <c r="R443" s="199">
        <v>0</v>
      </c>
      <c r="S443" s="146">
        <v>0</v>
      </c>
      <c r="T443" s="142">
        <f>SUM(T440:T442)</f>
        <v>0</v>
      </c>
      <c r="U443" s="199">
        <f>SUM(U440:U441)</f>
        <v>0</v>
      </c>
      <c r="V443" s="142"/>
      <c r="W443" s="146"/>
      <c r="AD443" s="42" t="s">
        <v>84</v>
      </c>
      <c r="AE443" s="42">
        <f>SUM(AE440:AE442)</f>
        <v>683</v>
      </c>
      <c r="AF443" s="40">
        <f>SUM(AF440:AF442)</f>
        <v>730</v>
      </c>
      <c r="AG443" s="28">
        <v>0</v>
      </c>
      <c r="AH443" s="28">
        <v>0</v>
      </c>
      <c r="AI443" s="28">
        <v>0</v>
      </c>
      <c r="AJ443" s="42">
        <v>0</v>
      </c>
      <c r="AK443" s="40">
        <v>0</v>
      </c>
      <c r="AL443" s="41">
        <v>0</v>
      </c>
      <c r="AM443" s="43">
        <v>20</v>
      </c>
      <c r="AN443" s="28" t="s">
        <v>141</v>
      </c>
      <c r="AO443" s="40"/>
      <c r="AR443" s="142" t="s">
        <v>84</v>
      </c>
      <c r="AS443" s="142">
        <f>SUM(AS440:AS442)</f>
        <v>0</v>
      </c>
      <c r="AT443" s="146">
        <f>SUM(AT440:AT442)</f>
        <v>0</v>
      </c>
      <c r="AU443" s="142"/>
      <c r="AV443" s="146"/>
      <c r="AW443" s="143"/>
      <c r="AX443" s="143"/>
      <c r="AY443" s="143"/>
      <c r="AZ443" s="143"/>
      <c r="BA443" s="146">
        <f>SUM(AX442)</f>
        <v>0</v>
      </c>
      <c r="BD443" s="196" t="s">
        <v>211</v>
      </c>
      <c r="BE443" s="138">
        <v>57</v>
      </c>
      <c r="BF443" s="141">
        <v>0</v>
      </c>
      <c r="BG443" s="138"/>
      <c r="BH443" s="28"/>
      <c r="BI443" s="141"/>
      <c r="BJ443" s="138"/>
      <c r="BK443" s="141"/>
      <c r="BL443" s="138"/>
      <c r="BM443" s="28"/>
      <c r="BN443" s="141"/>
    </row>
    <row r="444" spans="3:67" ht="15" thickBot="1" x14ac:dyDescent="0.35">
      <c r="C444" s="142"/>
      <c r="D444" s="142"/>
      <c r="E444" s="143"/>
      <c r="F444" s="142"/>
      <c r="G444" s="143"/>
      <c r="H444" s="143"/>
      <c r="I444" s="199"/>
      <c r="J444" s="143">
        <v>26</v>
      </c>
      <c r="K444" s="143" t="s">
        <v>958</v>
      </c>
      <c r="L444" s="146">
        <f>SUM(J441:J444)</f>
        <v>186</v>
      </c>
      <c r="N444" s="138"/>
      <c r="O444" s="138"/>
      <c r="P444" s="196"/>
      <c r="Q444" s="138"/>
      <c r="R444" s="196"/>
      <c r="S444" s="141"/>
      <c r="T444" s="138"/>
      <c r="U444" s="196"/>
      <c r="V444" s="138"/>
      <c r="W444" s="141"/>
      <c r="AD444" s="47"/>
      <c r="AE444" s="47"/>
      <c r="AF444" s="49"/>
      <c r="AG444" s="48"/>
      <c r="AH444" s="48"/>
      <c r="AI444" s="48"/>
      <c r="AJ444" s="47"/>
      <c r="AK444" s="49"/>
      <c r="AL444" s="46"/>
      <c r="AM444" s="48">
        <v>0</v>
      </c>
      <c r="AN444" s="48" t="s">
        <v>996</v>
      </c>
      <c r="AO444" s="49"/>
      <c r="AR444" s="134"/>
      <c r="AS444" s="134"/>
      <c r="AT444" s="136"/>
      <c r="AU444" s="134"/>
      <c r="AV444" s="136"/>
      <c r="AW444" s="135"/>
      <c r="AX444" s="28" t="s">
        <v>140</v>
      </c>
      <c r="AY444" s="135"/>
      <c r="AZ444" s="135"/>
      <c r="BA444" s="136"/>
      <c r="BC444" t="s">
        <v>6</v>
      </c>
      <c r="BD444" s="196" t="s">
        <v>113</v>
      </c>
      <c r="BE444" s="138">
        <f>44+12+5</f>
        <v>61</v>
      </c>
      <c r="BF444" s="141">
        <f>56+11+5</f>
        <v>72</v>
      </c>
      <c r="BG444" s="138"/>
      <c r="BH444" s="28">
        <v>2</v>
      </c>
      <c r="BI444" s="141">
        <v>5</v>
      </c>
      <c r="BJ444" s="138"/>
      <c r="BK444" s="141"/>
      <c r="BL444" s="138" t="s">
        <v>142</v>
      </c>
      <c r="BM444" s="28"/>
      <c r="BN444" s="141" t="s">
        <v>1414</v>
      </c>
    </row>
    <row r="445" spans="3:67" x14ac:dyDescent="0.3">
      <c r="C445" s="134" t="s">
        <v>105</v>
      </c>
      <c r="D445" s="134">
        <v>2181</v>
      </c>
      <c r="E445" s="135">
        <v>1483</v>
      </c>
      <c r="F445" s="134"/>
      <c r="G445" s="135">
        <v>1604</v>
      </c>
      <c r="H445" s="135"/>
      <c r="I445" s="195"/>
      <c r="J445" s="135" t="s">
        <v>162</v>
      </c>
      <c r="K445" s="135"/>
      <c r="L445" s="136"/>
      <c r="N445" s="138"/>
      <c r="O445" s="138"/>
      <c r="P445" s="196"/>
      <c r="Q445" s="138"/>
      <c r="R445" s="196"/>
      <c r="S445" s="141"/>
      <c r="T445" s="138"/>
      <c r="U445" s="196"/>
      <c r="V445" s="138"/>
      <c r="W445" s="141"/>
      <c r="AD445" s="42"/>
      <c r="AE445" s="42"/>
      <c r="AF445" s="40"/>
      <c r="AG445" s="28"/>
      <c r="AH445" s="28"/>
      <c r="AI445" s="28"/>
      <c r="AJ445" s="42"/>
      <c r="AK445" s="40"/>
      <c r="AL445" s="41"/>
      <c r="AM445" s="28" t="s">
        <v>149</v>
      </c>
      <c r="AN445" s="28"/>
      <c r="AO445" s="40"/>
      <c r="AP445" t="s">
        <v>6</v>
      </c>
      <c r="AR445" s="138" t="s">
        <v>63</v>
      </c>
      <c r="AS445" s="138">
        <f>2+15+1</f>
        <v>18</v>
      </c>
      <c r="AT445" s="141">
        <f>3+17+1</f>
        <v>21</v>
      </c>
      <c r="AU445" s="138"/>
      <c r="AV445" s="141"/>
      <c r="AW445" s="28"/>
      <c r="AX445">
        <v>1</v>
      </c>
      <c r="AY445" s="28" t="s">
        <v>235</v>
      </c>
      <c r="AZ445" s="28"/>
      <c r="BA445" s="141"/>
      <c r="BD445" s="196" t="s">
        <v>495</v>
      </c>
      <c r="BE445" s="138">
        <v>0</v>
      </c>
      <c r="BF445" s="141">
        <v>0</v>
      </c>
      <c r="BG445" s="138"/>
      <c r="BH445" s="28"/>
      <c r="BI445" s="141"/>
      <c r="BJ445" s="138"/>
      <c r="BK445" s="141"/>
      <c r="BL445" s="138" t="s">
        <v>146</v>
      </c>
      <c r="BM445" s="28"/>
      <c r="BN445" s="141" t="s">
        <v>1634</v>
      </c>
    </row>
    <row r="446" spans="3:67" x14ac:dyDescent="0.3">
      <c r="C446" s="138" t="s">
        <v>99</v>
      </c>
      <c r="D446" s="138">
        <v>2082</v>
      </c>
      <c r="E446" s="43">
        <v>2231</v>
      </c>
      <c r="F446" s="138"/>
      <c r="G446" s="28">
        <v>1294</v>
      </c>
      <c r="H446" s="28"/>
      <c r="I446" s="196"/>
      <c r="J446" s="28"/>
      <c r="K446" s="28"/>
      <c r="L446" s="141"/>
      <c r="N446" s="138"/>
      <c r="O446" s="138"/>
      <c r="P446" s="196"/>
      <c r="Q446" s="138"/>
      <c r="R446" s="196"/>
      <c r="S446" s="141"/>
      <c r="T446" s="138"/>
      <c r="U446" s="196"/>
      <c r="V446" s="138"/>
      <c r="W446" s="141"/>
      <c r="AA446" t="s">
        <v>6</v>
      </c>
      <c r="AD446" s="42" t="s">
        <v>99</v>
      </c>
      <c r="AE446" s="42">
        <v>0</v>
      </c>
      <c r="AF446" s="40">
        <v>0</v>
      </c>
      <c r="AG446" s="28">
        <v>0</v>
      </c>
      <c r="AH446" s="28">
        <v>0</v>
      </c>
      <c r="AI446" s="28">
        <v>0</v>
      </c>
      <c r="AJ446" s="42">
        <v>62036</v>
      </c>
      <c r="AK446" s="40">
        <v>17155</v>
      </c>
      <c r="AL446" s="41">
        <v>0</v>
      </c>
      <c r="AM446" s="43">
        <v>5</v>
      </c>
      <c r="AN446" s="28" t="s">
        <v>153</v>
      </c>
      <c r="AO446" s="40"/>
      <c r="AR446" s="138" t="s">
        <v>78</v>
      </c>
      <c r="AS446" s="138">
        <f>20+8+18+35+9</f>
        <v>90</v>
      </c>
      <c r="AT446" s="141">
        <f>15+4+6+25+5</f>
        <v>55</v>
      </c>
      <c r="AU446" s="138"/>
      <c r="AV446" s="141"/>
      <c r="AW446" s="28"/>
      <c r="AX446" s="28">
        <v>1</v>
      </c>
      <c r="AY446" s="28" t="s">
        <v>1635</v>
      </c>
      <c r="AZ446" s="28"/>
      <c r="BA446" s="141"/>
      <c r="BD446" s="196" t="s">
        <v>574</v>
      </c>
      <c r="BE446" s="138">
        <v>0</v>
      </c>
      <c r="BF446" s="141">
        <v>7</v>
      </c>
      <c r="BG446" s="138"/>
      <c r="BH446" s="28"/>
      <c r="BI446" s="141"/>
      <c r="BJ446" s="138"/>
      <c r="BK446" s="141"/>
      <c r="BL446" s="138"/>
      <c r="BM446" s="28"/>
      <c r="BN446" s="141" t="s">
        <v>712</v>
      </c>
    </row>
    <row r="447" spans="3:67" x14ac:dyDescent="0.3">
      <c r="C447" s="138"/>
      <c r="D447" s="138"/>
      <c r="E447" s="28"/>
      <c r="F447" s="138"/>
      <c r="G447" s="28"/>
      <c r="H447" s="28"/>
      <c r="I447" s="196"/>
      <c r="J447" s="43">
        <v>51</v>
      </c>
      <c r="K447" s="28" t="s">
        <v>101</v>
      </c>
      <c r="L447" s="141"/>
      <c r="N447" s="138"/>
      <c r="O447" s="138"/>
      <c r="P447" s="196"/>
      <c r="Q447" s="138"/>
      <c r="R447" s="196"/>
      <c r="S447" s="141"/>
      <c r="T447" s="138"/>
      <c r="U447" s="196"/>
      <c r="V447" s="138"/>
      <c r="W447" s="141"/>
      <c r="AD447" s="42"/>
      <c r="AE447" s="42"/>
      <c r="AF447" s="40"/>
      <c r="AG447" s="28"/>
      <c r="AH447" s="28"/>
      <c r="AI447" s="28"/>
      <c r="AJ447" s="42"/>
      <c r="AK447" s="40"/>
      <c r="AL447" s="41"/>
      <c r="AM447" s="28"/>
      <c r="AN447" s="28"/>
      <c r="AO447" s="40"/>
      <c r="AR447" s="138" t="s">
        <v>209</v>
      </c>
      <c r="AS447" s="138">
        <v>0</v>
      </c>
      <c r="AT447" s="141">
        <v>0</v>
      </c>
      <c r="AU447" s="138"/>
      <c r="AV447" s="141"/>
      <c r="AW447" s="28"/>
      <c r="AX447" s="28">
        <v>6</v>
      </c>
      <c r="AY447" s="28" t="s">
        <v>1117</v>
      </c>
      <c r="AZ447" s="28"/>
      <c r="BA447" s="141"/>
      <c r="BD447" s="196" t="s">
        <v>99</v>
      </c>
      <c r="BE447" s="138">
        <v>0</v>
      </c>
      <c r="BF447" s="141">
        <v>0</v>
      </c>
      <c r="BG447" s="138" t="s">
        <v>150</v>
      </c>
      <c r="BH447" s="28"/>
      <c r="BI447" s="141"/>
      <c r="BJ447" s="138"/>
      <c r="BK447" s="141"/>
      <c r="BL447" s="138" t="s">
        <v>151</v>
      </c>
      <c r="BM447" s="28"/>
      <c r="BN447" s="141"/>
    </row>
    <row r="448" spans="3:67" x14ac:dyDescent="0.3">
      <c r="C448" s="138" t="s">
        <v>84</v>
      </c>
      <c r="D448" s="142">
        <f>SUM(D445:D447)</f>
        <v>4263</v>
      </c>
      <c r="E448" s="143">
        <f>SUM(E445:E447)</f>
        <v>3714</v>
      </c>
      <c r="F448" s="142"/>
      <c r="G448" s="143">
        <f>SUM(G445:G447)</f>
        <v>2898</v>
      </c>
      <c r="H448" s="143"/>
      <c r="I448" s="199">
        <v>7548</v>
      </c>
      <c r="J448" s="143"/>
      <c r="K448" s="143"/>
      <c r="L448" s="146">
        <f>SUM(J447)</f>
        <v>51</v>
      </c>
      <c r="N448" s="138"/>
      <c r="O448" s="138"/>
      <c r="P448" s="196"/>
      <c r="Q448" s="138"/>
      <c r="R448" s="196"/>
      <c r="S448" s="141"/>
      <c r="T448" s="138"/>
      <c r="U448" s="196"/>
      <c r="V448" s="138"/>
      <c r="W448" s="141"/>
      <c r="AD448" s="278" t="s">
        <v>99</v>
      </c>
      <c r="AE448" s="278">
        <v>0</v>
      </c>
      <c r="AF448" s="279">
        <v>0</v>
      </c>
      <c r="AG448" s="135">
        <v>0</v>
      </c>
      <c r="AH448" s="135">
        <v>0</v>
      </c>
      <c r="AI448" s="135">
        <v>0</v>
      </c>
      <c r="AJ448" s="278">
        <v>192763</v>
      </c>
      <c r="AK448" s="279">
        <v>89522</v>
      </c>
      <c r="AL448" s="314">
        <v>0</v>
      </c>
      <c r="AM448" s="135" t="s">
        <v>157</v>
      </c>
      <c r="AN448" s="135"/>
      <c r="AO448" s="279"/>
      <c r="AR448" s="138" t="s">
        <v>168</v>
      </c>
      <c r="AS448" s="138">
        <v>0</v>
      </c>
      <c r="AT448" s="141">
        <v>0</v>
      </c>
      <c r="AU448" s="138"/>
      <c r="AV448" s="141"/>
      <c r="AW448" s="28"/>
      <c r="AX448" s="28">
        <v>2</v>
      </c>
      <c r="AY448" s="28" t="s">
        <v>213</v>
      </c>
      <c r="AZ448" s="28" t="s">
        <v>6</v>
      </c>
      <c r="BA448" s="141"/>
      <c r="BD448" s="196" t="s">
        <v>85</v>
      </c>
      <c r="BE448" s="138">
        <v>7</v>
      </c>
      <c r="BF448" s="141">
        <v>0</v>
      </c>
      <c r="BG448" s="138"/>
      <c r="BH448" s="28"/>
      <c r="BI448" s="141"/>
      <c r="BJ448" s="138"/>
      <c r="BK448" s="141"/>
      <c r="BL448" s="316" t="s">
        <v>961</v>
      </c>
      <c r="BM448" s="257" t="s">
        <v>1636</v>
      </c>
      <c r="BN448" s="141" t="s">
        <v>1637</v>
      </c>
    </row>
    <row r="449" spans="3:66" x14ac:dyDescent="0.3">
      <c r="C449" s="195" t="s">
        <v>181</v>
      </c>
      <c r="D449" s="135">
        <v>4541</v>
      </c>
      <c r="E449" s="135">
        <v>4602</v>
      </c>
      <c r="F449" s="134"/>
      <c r="G449" s="135" t="s">
        <v>60</v>
      </c>
      <c r="H449" s="136"/>
      <c r="I449" s="195"/>
      <c r="J449" s="134" t="s">
        <v>182</v>
      </c>
      <c r="K449" s="135"/>
      <c r="L449" s="136"/>
      <c r="N449" s="142" t="s">
        <v>84</v>
      </c>
      <c r="O449" s="142">
        <f t="shared" ref="O449:U449" si="6">SUM(O443+O438+O433+O431+O426+O422)</f>
        <v>46903</v>
      </c>
      <c r="P449" s="199">
        <f t="shared" si="6"/>
        <v>76054</v>
      </c>
      <c r="Q449" s="142">
        <f t="shared" si="6"/>
        <v>0</v>
      </c>
      <c r="R449" s="199">
        <f t="shared" si="6"/>
        <v>0</v>
      </c>
      <c r="S449" s="143">
        <f t="shared" si="6"/>
        <v>0</v>
      </c>
      <c r="T449" s="142">
        <f t="shared" si="6"/>
        <v>2514</v>
      </c>
      <c r="U449" s="199">
        <f t="shared" si="6"/>
        <v>199</v>
      </c>
      <c r="V449" s="142"/>
      <c r="W449" s="146"/>
      <c r="AD449" s="42" t="s">
        <v>6</v>
      </c>
      <c r="AE449" s="42"/>
      <c r="AF449" s="40"/>
      <c r="AG449" s="28"/>
      <c r="AH449" s="28"/>
      <c r="AI449" s="28"/>
      <c r="AJ449" s="42"/>
      <c r="AK449" s="40"/>
      <c r="AL449" s="41"/>
      <c r="AM449" s="28">
        <v>13</v>
      </c>
      <c r="AN449" s="28" t="s">
        <v>153</v>
      </c>
      <c r="AO449" s="40"/>
      <c r="AR449" s="138" t="s">
        <v>81</v>
      </c>
      <c r="AS449" s="138">
        <f>3+10+2</f>
        <v>15</v>
      </c>
      <c r="AT449" s="141">
        <f>3+20</f>
        <v>23</v>
      </c>
      <c r="AU449" s="138"/>
      <c r="AV449" s="141"/>
      <c r="AW449" s="28"/>
      <c r="AX449" s="28">
        <f>28+3</f>
        <v>31</v>
      </c>
      <c r="AY449" s="28" t="s">
        <v>903</v>
      </c>
      <c r="AZ449" s="28"/>
      <c r="BA449" s="141" t="s">
        <v>6</v>
      </c>
      <c r="BD449" s="196" t="s">
        <v>107</v>
      </c>
      <c r="BE449" s="138">
        <v>0</v>
      </c>
      <c r="BF449" s="141">
        <v>0</v>
      </c>
      <c r="BG449" s="138"/>
      <c r="BH449" s="28"/>
      <c r="BI449" s="141"/>
      <c r="BJ449" s="138"/>
      <c r="BK449" s="141"/>
      <c r="BL449" s="315" t="s">
        <v>713</v>
      </c>
      <c r="BM449" s="28" t="s">
        <v>1638</v>
      </c>
      <c r="BN449" s="141" t="s">
        <v>563</v>
      </c>
    </row>
    <row r="450" spans="3:66" ht="15" thickBot="1" x14ac:dyDescent="0.35">
      <c r="C450" s="196"/>
      <c r="D450" s="28"/>
      <c r="E450" s="28"/>
      <c r="F450" s="138"/>
      <c r="G450" s="28" t="s">
        <v>60</v>
      </c>
      <c r="H450" s="141"/>
      <c r="I450" s="196"/>
      <c r="J450" s="138">
        <v>1</v>
      </c>
      <c r="K450" s="28" t="s">
        <v>927</v>
      </c>
      <c r="L450" s="141"/>
      <c r="AD450" s="42" t="s">
        <v>6</v>
      </c>
      <c r="AE450" s="42"/>
      <c r="AF450" s="40"/>
      <c r="AG450" s="28"/>
      <c r="AH450" s="28"/>
      <c r="AI450" s="28"/>
      <c r="AJ450" s="42"/>
      <c r="AK450" s="40"/>
      <c r="AL450" s="41"/>
      <c r="AM450" s="28"/>
      <c r="AN450" s="28"/>
      <c r="AO450" s="40"/>
      <c r="AR450" s="138" t="s">
        <v>72</v>
      </c>
      <c r="AS450" s="138">
        <f>3+7+14</f>
        <v>24</v>
      </c>
      <c r="AT450" s="141">
        <f>7+22+4</f>
        <v>33</v>
      </c>
      <c r="AU450" s="138"/>
      <c r="AV450" s="141"/>
      <c r="AW450" s="28"/>
      <c r="AX450" s="43"/>
      <c r="AY450" s="28" t="s">
        <v>216</v>
      </c>
      <c r="AZ450" s="28"/>
      <c r="BA450" s="141"/>
      <c r="BD450" s="196" t="s">
        <v>523</v>
      </c>
      <c r="BE450" s="138">
        <v>0</v>
      </c>
      <c r="BF450" s="141">
        <v>2</v>
      </c>
      <c r="BG450" s="138"/>
      <c r="BH450" s="28"/>
      <c r="BI450" s="141"/>
      <c r="BJ450" s="138"/>
      <c r="BK450" s="141"/>
      <c r="BL450" s="315" t="s">
        <v>1017</v>
      </c>
      <c r="BM450" s="28" t="s">
        <v>264</v>
      </c>
      <c r="BN450" s="141"/>
    </row>
    <row r="451" spans="3:66" x14ac:dyDescent="0.3">
      <c r="C451" s="196" t="s">
        <v>84</v>
      </c>
      <c r="D451" s="28">
        <f>SUM(D449:D450)</f>
        <v>4541</v>
      </c>
      <c r="E451" s="28">
        <f>SUM(E449:E450)</f>
        <v>4602</v>
      </c>
      <c r="F451" s="138"/>
      <c r="G451" s="28" t="s">
        <v>60</v>
      </c>
      <c r="H451" s="141"/>
      <c r="I451" s="196">
        <v>5171</v>
      </c>
      <c r="J451" s="138">
        <v>29</v>
      </c>
      <c r="K451" s="28" t="s">
        <v>101</v>
      </c>
      <c r="L451" s="141"/>
      <c r="N451" t="s">
        <v>6</v>
      </c>
      <c r="AD451" s="33" t="s">
        <v>102</v>
      </c>
      <c r="AE451" s="33">
        <v>867</v>
      </c>
      <c r="AF451" s="35">
        <v>515</v>
      </c>
      <c r="AG451" s="34">
        <v>0</v>
      </c>
      <c r="AH451" s="34">
        <v>0</v>
      </c>
      <c r="AI451" s="34">
        <v>0</v>
      </c>
      <c r="AJ451" s="33">
        <v>0</v>
      </c>
      <c r="AK451" s="35">
        <v>0</v>
      </c>
      <c r="AL451" s="32">
        <v>0</v>
      </c>
      <c r="AM451" s="34" t="s">
        <v>1326</v>
      </c>
      <c r="AN451" s="34"/>
      <c r="AO451" s="35"/>
      <c r="AR451" s="138" t="s">
        <v>115</v>
      </c>
      <c r="AS451" s="138">
        <v>19</v>
      </c>
      <c r="AT451" s="141">
        <v>25</v>
      </c>
      <c r="AU451" s="138"/>
      <c r="AV451" s="141"/>
      <c r="AW451" s="28"/>
      <c r="AX451" s="43">
        <v>8</v>
      </c>
      <c r="AY451" s="28" t="s">
        <v>217</v>
      </c>
      <c r="AZ451" s="28"/>
      <c r="BA451" s="141"/>
      <c r="BD451" s="196" t="s">
        <v>133</v>
      </c>
      <c r="BE451" s="138">
        <f>17+8+1</f>
        <v>26</v>
      </c>
      <c r="BF451" s="141">
        <f>26+7+2</f>
        <v>35</v>
      </c>
      <c r="BG451" s="138"/>
      <c r="BH451" s="28"/>
      <c r="BI451" s="141"/>
      <c r="BJ451" s="138"/>
      <c r="BK451" s="141"/>
      <c r="BL451" s="138" t="s">
        <v>638</v>
      </c>
      <c r="BM451" s="43" t="s">
        <v>1639</v>
      </c>
      <c r="BN451" s="141"/>
    </row>
    <row r="452" spans="3:66" ht="15" thickBot="1" x14ac:dyDescent="0.35">
      <c r="C452" s="199"/>
      <c r="D452" s="28"/>
      <c r="E452" s="28"/>
      <c r="F452" s="142"/>
      <c r="G452" s="143"/>
      <c r="H452" s="146"/>
      <c r="I452" s="196"/>
      <c r="J452" s="138">
        <v>1</v>
      </c>
      <c r="K452" s="43" t="s">
        <v>152</v>
      </c>
      <c r="L452" s="141">
        <v>30</v>
      </c>
      <c r="AD452" s="47"/>
      <c r="AE452" s="47"/>
      <c r="AF452" s="49"/>
      <c r="AG452" s="48"/>
      <c r="AH452" s="48"/>
      <c r="AI452" s="48"/>
      <c r="AJ452" s="47"/>
      <c r="AK452" s="49"/>
      <c r="AL452" s="46"/>
      <c r="AM452" s="48">
        <v>9</v>
      </c>
      <c r="AN452" s="48" t="s">
        <v>780</v>
      </c>
      <c r="AO452" s="49"/>
      <c r="AR452" s="138" t="s">
        <v>56</v>
      </c>
      <c r="AS452" s="138">
        <f>8+3+15</f>
        <v>26</v>
      </c>
      <c r="AT452" s="141">
        <f>13+10</f>
        <v>23</v>
      </c>
      <c r="AU452" s="138"/>
      <c r="AV452" s="141"/>
      <c r="AW452" s="28"/>
      <c r="AX452" s="43">
        <v>4</v>
      </c>
      <c r="AY452" s="28" t="s">
        <v>1640</v>
      </c>
      <c r="AZ452" s="28"/>
      <c r="BA452" s="141"/>
      <c r="BD452" s="196" t="s">
        <v>158</v>
      </c>
      <c r="BE452" s="138">
        <v>0</v>
      </c>
      <c r="BF452" s="141">
        <v>0</v>
      </c>
      <c r="BG452" s="138"/>
      <c r="BH452" s="28"/>
      <c r="BI452" s="141"/>
      <c r="BJ452" s="138"/>
      <c r="BK452" s="141"/>
      <c r="BL452" s="138" t="s">
        <v>693</v>
      </c>
      <c r="BM452" s="28" t="s">
        <v>1641</v>
      </c>
      <c r="BN452" s="141"/>
    </row>
    <row r="453" spans="3:66" ht="15" thickBot="1" x14ac:dyDescent="0.35">
      <c r="C453" s="47" t="s">
        <v>84</v>
      </c>
      <c r="D453" s="253">
        <f>SUM(D451+D448+D443+D438+D433+D429+D425+D422)</f>
        <v>74605</v>
      </c>
      <c r="E453" s="253">
        <f>SUM(E451+E448+E443+E438+E433+E429+E425+E422)</f>
        <v>72676</v>
      </c>
      <c r="F453" s="253">
        <f>SUM(F451+F448+F443+F438+F433+F429+F425+F422)</f>
        <v>0</v>
      </c>
      <c r="G453" s="253">
        <f>SUM(G448+G433)</f>
        <v>3400</v>
      </c>
      <c r="H453" s="253">
        <f>SUM(H451+H448+H443+H438+H433+H429+H425+H422)</f>
        <v>0</v>
      </c>
      <c r="I453" s="254">
        <v>86872</v>
      </c>
      <c r="J453" s="171" t="s">
        <v>844</v>
      </c>
      <c r="K453" s="170"/>
      <c r="L453" s="172">
        <v>518</v>
      </c>
      <c r="AD453" s="33" t="s">
        <v>108</v>
      </c>
      <c r="AE453" s="33">
        <v>0</v>
      </c>
      <c r="AF453" s="35">
        <v>0</v>
      </c>
      <c r="AG453" s="34">
        <v>0</v>
      </c>
      <c r="AH453" s="34">
        <v>0</v>
      </c>
      <c r="AI453" s="34">
        <v>0</v>
      </c>
      <c r="AJ453" s="33">
        <v>0</v>
      </c>
      <c r="AK453" s="35">
        <v>0</v>
      </c>
      <c r="AL453" s="32">
        <v>0</v>
      </c>
      <c r="AM453" s="34" t="s">
        <v>1642</v>
      </c>
      <c r="AN453" s="34"/>
      <c r="AO453" s="35"/>
      <c r="AR453" s="138" t="s">
        <v>138</v>
      </c>
      <c r="AS453" s="138">
        <v>0</v>
      </c>
      <c r="AT453" s="141">
        <v>0</v>
      </c>
      <c r="AU453" s="138"/>
      <c r="AV453" s="141"/>
      <c r="AW453" s="28"/>
      <c r="AX453" s="43">
        <v>9</v>
      </c>
      <c r="AY453" s="28" t="s">
        <v>1294</v>
      </c>
      <c r="AZ453" s="28"/>
      <c r="BA453" s="141"/>
      <c r="BC453" t="s">
        <v>6</v>
      </c>
      <c r="BD453" s="196" t="s">
        <v>139</v>
      </c>
      <c r="BE453" s="138">
        <v>5</v>
      </c>
      <c r="BF453" s="141">
        <v>4</v>
      </c>
      <c r="BG453" s="138"/>
      <c r="BH453" s="28"/>
      <c r="BI453" s="141"/>
      <c r="BJ453" s="138"/>
      <c r="BK453" s="141"/>
      <c r="BL453" s="315" t="s">
        <v>1643</v>
      </c>
      <c r="BM453" s="28" t="s">
        <v>1644</v>
      </c>
      <c r="BN453" s="141"/>
    </row>
    <row r="454" spans="3:66" x14ac:dyDescent="0.3">
      <c r="F454" s="28"/>
      <c r="G454" s="28"/>
      <c r="H454" s="28"/>
      <c r="I454" t="s">
        <v>6</v>
      </c>
      <c r="AD454" s="42" t="s">
        <v>6</v>
      </c>
      <c r="AE454" s="42"/>
      <c r="AF454" s="40"/>
      <c r="AG454" s="28"/>
      <c r="AH454" s="28"/>
      <c r="AI454" s="28"/>
      <c r="AJ454" s="42"/>
      <c r="AK454" s="40"/>
      <c r="AL454" s="41"/>
      <c r="AM454" s="28">
        <v>6</v>
      </c>
      <c r="AN454" s="28" t="s">
        <v>1328</v>
      </c>
      <c r="AO454" s="40"/>
      <c r="AR454" s="138" t="s">
        <v>67</v>
      </c>
      <c r="AS454" s="138">
        <f>3+3+22+4</f>
        <v>32</v>
      </c>
      <c r="AT454" s="141">
        <f>7+4+45+1</f>
        <v>57</v>
      </c>
      <c r="AU454" s="138"/>
      <c r="AV454" s="141"/>
      <c r="AW454" s="28"/>
      <c r="AX454" s="43">
        <v>1</v>
      </c>
      <c r="AY454" s="28" t="s">
        <v>681</v>
      </c>
      <c r="AZ454" s="28"/>
      <c r="BA454" s="141"/>
      <c r="BD454" s="196" t="s">
        <v>1095</v>
      </c>
      <c r="BE454" s="138">
        <v>4</v>
      </c>
      <c r="BF454" s="141">
        <v>0</v>
      </c>
      <c r="BG454" s="138"/>
      <c r="BH454" s="28"/>
      <c r="BI454" s="141"/>
      <c r="BJ454" s="138"/>
      <c r="BK454" s="141"/>
      <c r="BL454" s="316" t="s">
        <v>1585</v>
      </c>
      <c r="BM454" s="186" t="s">
        <v>1271</v>
      </c>
      <c r="BN454" s="209"/>
    </row>
    <row r="455" spans="3:66" ht="16.2" thickBot="1" x14ac:dyDescent="0.35">
      <c r="Y455" t="s">
        <v>6</v>
      </c>
      <c r="AD455" s="47"/>
      <c r="AE455" s="47"/>
      <c r="AF455" s="49"/>
      <c r="AG455" s="48"/>
      <c r="AH455" s="48"/>
      <c r="AI455" s="48"/>
      <c r="AJ455" s="47"/>
      <c r="AK455" s="49"/>
      <c r="AL455" s="46"/>
      <c r="AM455" s="48"/>
      <c r="AN455" s="48"/>
      <c r="AO455" s="49"/>
      <c r="AR455" s="138" t="s">
        <v>122</v>
      </c>
      <c r="AS455" s="138">
        <f>2+3+8</f>
        <v>13</v>
      </c>
      <c r="AT455" s="141">
        <f>1+8</f>
        <v>9</v>
      </c>
      <c r="AU455" s="138"/>
      <c r="AV455" s="141"/>
      <c r="AW455" s="28"/>
      <c r="AX455" s="43">
        <v>25</v>
      </c>
      <c r="AY455" s="28" t="s">
        <v>618</v>
      </c>
      <c r="AZ455" s="28"/>
      <c r="BA455" s="141"/>
      <c r="BD455" s="196" t="s">
        <v>1611</v>
      </c>
      <c r="BE455" s="138">
        <v>0</v>
      </c>
      <c r="BF455" s="141">
        <v>0</v>
      </c>
      <c r="BG455" s="138"/>
      <c r="BH455" s="28"/>
      <c r="BI455" s="141"/>
      <c r="BJ455" s="138"/>
      <c r="BK455" s="141"/>
      <c r="BL455" s="138" t="s">
        <v>1645</v>
      </c>
      <c r="BM455" s="258" t="s">
        <v>791</v>
      </c>
      <c r="BN455" s="261"/>
    </row>
    <row r="456" spans="3:66" ht="15" thickBot="1" x14ac:dyDescent="0.35">
      <c r="C456" s="28"/>
      <c r="D456" s="140"/>
      <c r="E456" s="140"/>
      <c r="F456" s="28"/>
      <c r="G456" s="140"/>
      <c r="H456" s="28"/>
      <c r="I456" s="28"/>
      <c r="J456" s="28"/>
      <c r="K456" s="28"/>
      <c r="L456" s="28"/>
      <c r="Q456" s="322"/>
      <c r="AD456" s="47" t="s">
        <v>84</v>
      </c>
      <c r="AE456" s="202">
        <f>SUM(AE443+AE437+AE432+AE429+AE426+AE423+AE451)</f>
        <v>4682</v>
      </c>
      <c r="AF456" s="203">
        <f>SUM(AF443+AF437+AF432+AF429+AF426+AF423+AF450+AF451)</f>
        <v>9524</v>
      </c>
      <c r="AG456" s="48">
        <v>0</v>
      </c>
      <c r="AH456" s="48">
        <v>0</v>
      </c>
      <c r="AI456" s="48">
        <v>0</v>
      </c>
      <c r="AJ456" s="202">
        <f>SUM(AJ449+AJ448+AJ446+AJ423)</f>
        <v>254799</v>
      </c>
      <c r="AK456" s="203">
        <f>SUM(AK448+AK446+AK423)</f>
        <v>106677</v>
      </c>
      <c r="AL456" s="48">
        <v>0</v>
      </c>
      <c r="AM456" s="202" t="s">
        <v>199</v>
      </c>
      <c r="AN456" s="48"/>
      <c r="AO456" s="49">
        <f>SUM(AM422:AM455)</f>
        <v>115</v>
      </c>
      <c r="AR456" s="138" t="s">
        <v>227</v>
      </c>
      <c r="AS456" s="138">
        <v>0</v>
      </c>
      <c r="AT456" s="141">
        <v>0</v>
      </c>
      <c r="AU456" s="138"/>
      <c r="AV456" s="141"/>
      <c r="AW456" s="28"/>
      <c r="AX456" s="43">
        <v>2</v>
      </c>
      <c r="AY456" s="28" t="s">
        <v>352</v>
      </c>
      <c r="AZ456" s="28"/>
      <c r="BA456" s="141"/>
      <c r="BD456" s="196" t="s">
        <v>108</v>
      </c>
      <c r="BE456" s="138">
        <v>4</v>
      </c>
      <c r="BF456" s="141">
        <v>2</v>
      </c>
      <c r="BG456" s="138"/>
      <c r="BH456" s="28"/>
      <c r="BI456" s="141"/>
      <c r="BJ456" s="138"/>
      <c r="BK456" s="141"/>
      <c r="BL456" s="138" t="s">
        <v>1646</v>
      </c>
      <c r="BM456" s="186" t="s">
        <v>1647</v>
      </c>
      <c r="BN456" s="141"/>
    </row>
    <row r="457" spans="3:66" ht="15.6" x14ac:dyDescent="0.3"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AD457" t="s">
        <v>193</v>
      </c>
      <c r="AO457" t="s">
        <v>6</v>
      </c>
      <c r="AR457" s="138" t="s">
        <v>230</v>
      </c>
      <c r="AS457" s="138">
        <v>59</v>
      </c>
      <c r="AT457" s="141">
        <f>57+2</f>
        <v>59</v>
      </c>
      <c r="AU457" s="138"/>
      <c r="AV457" s="141"/>
      <c r="AW457" s="28"/>
      <c r="AX457" s="28">
        <v>4</v>
      </c>
      <c r="AY457" s="28" t="s">
        <v>655</v>
      </c>
      <c r="AZ457" s="28"/>
      <c r="BA457" s="141"/>
      <c r="BD457" s="259" t="s">
        <v>220</v>
      </c>
      <c r="BE457" s="138">
        <v>0</v>
      </c>
      <c r="BF457" s="141">
        <v>0</v>
      </c>
      <c r="BG457" s="138"/>
      <c r="BH457" s="28"/>
      <c r="BI457" s="141"/>
      <c r="BJ457" s="138"/>
      <c r="BK457" s="141"/>
      <c r="BL457" s="138" t="s">
        <v>1648</v>
      </c>
      <c r="BM457" s="258" t="s">
        <v>680</v>
      </c>
      <c r="BN457" s="141"/>
    </row>
    <row r="458" spans="3:66" ht="16.2" thickBot="1" x14ac:dyDescent="0.35"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AR458" s="138" t="s">
        <v>125</v>
      </c>
      <c r="AS458" s="138">
        <v>0</v>
      </c>
      <c r="AT458" s="141">
        <v>0</v>
      </c>
      <c r="AU458" s="138"/>
      <c r="AV458" s="141"/>
      <c r="AW458" s="28"/>
      <c r="AX458" s="43">
        <v>1</v>
      </c>
      <c r="AY458" s="28" t="s">
        <v>1649</v>
      </c>
      <c r="AZ458" s="28"/>
      <c r="BA458" s="141"/>
      <c r="BD458" s="196" t="s">
        <v>564</v>
      </c>
      <c r="BE458" s="138">
        <v>0</v>
      </c>
      <c r="BF458" s="141">
        <v>0</v>
      </c>
      <c r="BG458" s="138"/>
      <c r="BH458" s="28"/>
      <c r="BI458" s="141"/>
      <c r="BJ458" s="138"/>
      <c r="BK458" s="141"/>
      <c r="BL458" s="138" t="s">
        <v>1650</v>
      </c>
      <c r="BM458" s="258" t="s">
        <v>1651</v>
      </c>
      <c r="BN458" s="141"/>
    </row>
    <row r="459" spans="3:66" ht="16.2" thickBot="1" x14ac:dyDescent="0.35"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D459" s="171" t="s">
        <v>1830</v>
      </c>
      <c r="AE459" s="170">
        <v>3083</v>
      </c>
      <c r="AF459" s="170">
        <v>3374</v>
      </c>
      <c r="AG459" s="170">
        <v>0</v>
      </c>
      <c r="AH459" s="170">
        <v>0</v>
      </c>
      <c r="AI459" s="170">
        <v>0</v>
      </c>
      <c r="AJ459" s="170">
        <v>233570</v>
      </c>
      <c r="AK459" s="170">
        <v>156688</v>
      </c>
      <c r="AL459" s="170"/>
      <c r="AM459" s="170" t="s">
        <v>939</v>
      </c>
      <c r="AN459" s="170"/>
      <c r="AO459" s="172">
        <v>54</v>
      </c>
      <c r="AR459" s="138" t="s">
        <v>132</v>
      </c>
      <c r="AS459" s="138">
        <v>0</v>
      </c>
      <c r="AT459" s="141">
        <v>0</v>
      </c>
      <c r="AU459" s="138"/>
      <c r="AV459" s="141"/>
      <c r="AW459" s="28"/>
      <c r="AX459" s="43">
        <v>5</v>
      </c>
      <c r="AY459" s="28" t="s">
        <v>682</v>
      </c>
      <c r="AZ459" s="28"/>
      <c r="BA459" s="141"/>
      <c r="BD459" s="196" t="s">
        <v>862</v>
      </c>
      <c r="BE459" s="138">
        <v>4</v>
      </c>
      <c r="BF459" s="141">
        <v>8</v>
      </c>
      <c r="BG459" s="138"/>
      <c r="BH459" s="28"/>
      <c r="BI459" s="141"/>
      <c r="BJ459" s="138"/>
      <c r="BK459" s="141"/>
      <c r="BL459" s="138"/>
      <c r="BM459" s="258"/>
      <c r="BN459" s="141"/>
    </row>
    <row r="460" spans="3:66" x14ac:dyDescent="0.3"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AR460" s="138" t="s">
        <v>536</v>
      </c>
      <c r="AS460" s="138">
        <v>0</v>
      </c>
      <c r="AT460" s="141">
        <v>0</v>
      </c>
      <c r="AU460" s="138"/>
      <c r="AV460" s="141"/>
      <c r="AW460" s="28"/>
      <c r="AX460" s="43">
        <f>63+19+1</f>
        <v>83</v>
      </c>
      <c r="AY460" s="28" t="s">
        <v>215</v>
      </c>
      <c r="AZ460" s="28"/>
      <c r="BA460" s="141"/>
      <c r="BD460" s="196" t="s">
        <v>200</v>
      </c>
      <c r="BE460" s="138">
        <v>0</v>
      </c>
      <c r="BF460" s="141">
        <v>1</v>
      </c>
      <c r="BG460" s="138"/>
      <c r="BH460" s="28"/>
      <c r="BI460" s="141"/>
      <c r="BJ460" s="138"/>
      <c r="BK460" s="141"/>
      <c r="BL460" s="138"/>
      <c r="BM460" s="28"/>
      <c r="BN460" s="141"/>
    </row>
    <row r="461" spans="3:66" ht="15" thickBot="1" x14ac:dyDescent="0.35"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AR461" s="138" t="s">
        <v>84</v>
      </c>
      <c r="AS461" s="138">
        <f>SUM(AS445:AS460)</f>
        <v>296</v>
      </c>
      <c r="AT461" s="141">
        <f>SUM(AT445:AT460)</f>
        <v>305</v>
      </c>
      <c r="AU461" s="138"/>
      <c r="AV461" s="141"/>
      <c r="AW461" s="28"/>
      <c r="AX461" s="28">
        <v>2</v>
      </c>
      <c r="AY461" s="28" t="s">
        <v>244</v>
      </c>
      <c r="AZ461" s="28"/>
      <c r="BA461" s="141">
        <f>SUM(AX445:AX461)</f>
        <v>185</v>
      </c>
      <c r="BD461" s="196" t="s">
        <v>169</v>
      </c>
      <c r="BE461" s="138">
        <v>2</v>
      </c>
      <c r="BF461" s="141">
        <f>1+1</f>
        <v>2</v>
      </c>
      <c r="BG461" s="138"/>
      <c r="BH461" s="28"/>
      <c r="BI461" s="141"/>
      <c r="BJ461" s="138"/>
      <c r="BK461" s="141"/>
      <c r="BL461" s="138"/>
      <c r="BM461" s="28"/>
      <c r="BN461" s="141"/>
    </row>
    <row r="462" spans="3:66" ht="15" thickBot="1" x14ac:dyDescent="0.35"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AR462" s="171" t="s">
        <v>84</v>
      </c>
      <c r="AS462" s="207">
        <f>SUM(AS461+AS443+AS438+AS423)</f>
        <v>2129</v>
      </c>
      <c r="AT462" s="207">
        <f>SUM(AT461+AT443+AT438+AT423)</f>
        <v>2179</v>
      </c>
      <c r="AU462" s="207"/>
      <c r="AV462" s="208"/>
      <c r="AW462" s="170"/>
      <c r="AX462" s="170"/>
      <c r="AY462" s="170"/>
      <c r="AZ462" s="170"/>
      <c r="BA462" s="172">
        <f>SUM(BA423:BA461)</f>
        <v>377</v>
      </c>
      <c r="BD462" s="196" t="s">
        <v>596</v>
      </c>
      <c r="BE462" s="138">
        <v>1</v>
      </c>
      <c r="BF462" s="141">
        <v>1</v>
      </c>
      <c r="BG462" s="138"/>
      <c r="BH462" s="28"/>
      <c r="BI462" s="141"/>
      <c r="BJ462" s="138"/>
      <c r="BK462" s="141"/>
      <c r="BL462" s="138"/>
      <c r="BM462" s="28"/>
      <c r="BN462" s="141"/>
    </row>
    <row r="463" spans="3:66" x14ac:dyDescent="0.3"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AO463" t="s">
        <v>6</v>
      </c>
      <c r="BD463" s="196" t="s">
        <v>218</v>
      </c>
      <c r="BE463" s="138">
        <v>0</v>
      </c>
      <c r="BF463" s="141">
        <v>72</v>
      </c>
      <c r="BG463" s="138"/>
      <c r="BH463" s="28">
        <v>0</v>
      </c>
      <c r="BI463" s="141"/>
      <c r="BJ463" s="138"/>
      <c r="BK463" s="141"/>
      <c r="BL463" s="138"/>
      <c r="BM463" s="28"/>
      <c r="BN463" s="141"/>
    </row>
    <row r="464" spans="3:66" x14ac:dyDescent="0.3"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BD464" s="196" t="s">
        <v>93</v>
      </c>
      <c r="BE464" s="138">
        <v>0</v>
      </c>
      <c r="BF464" s="141">
        <v>3</v>
      </c>
      <c r="BG464" s="138"/>
      <c r="BH464" s="28"/>
      <c r="BI464" s="141"/>
      <c r="BJ464" s="138"/>
      <c r="BK464" s="141"/>
      <c r="BL464" s="138"/>
      <c r="BM464" s="28"/>
      <c r="BN464" s="141"/>
    </row>
    <row r="465" spans="3:67" x14ac:dyDescent="0.3"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BD465" s="199" t="s">
        <v>84</v>
      </c>
      <c r="BE465" s="142">
        <f>SUM(BE441:BE464)</f>
        <v>179</v>
      </c>
      <c r="BF465" s="146">
        <f>SUM(BF441:BF464)</f>
        <v>218</v>
      </c>
      <c r="BG465" s="142">
        <v>0</v>
      </c>
      <c r="BH465" s="143">
        <f>SUM(BH441:BH464)</f>
        <v>2</v>
      </c>
      <c r="BI465" s="146">
        <f>SUM(BI441:BI464)</f>
        <v>5</v>
      </c>
      <c r="BJ465" s="142">
        <v>0</v>
      </c>
      <c r="BK465" s="146">
        <v>0</v>
      </c>
      <c r="BL465" s="142"/>
      <c r="BM465" s="143"/>
      <c r="BN465" s="146">
        <f>4+5+10+3+3+2+2+4+4+3+4+5</f>
        <v>49</v>
      </c>
    </row>
    <row r="466" spans="3:67" x14ac:dyDescent="0.3"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AR466" s="140"/>
      <c r="AS466" s="28"/>
      <c r="AT466" s="28"/>
      <c r="AU466" s="28"/>
      <c r="AV466" s="28"/>
      <c r="AW466" s="28"/>
      <c r="AX466" s="28"/>
      <c r="AY466" s="28"/>
      <c r="AZ466" s="28"/>
      <c r="BA466" s="28"/>
      <c r="BD466" t="s">
        <v>223</v>
      </c>
      <c r="BE466">
        <f>SUM(BE465+BE440+BE435+BE428+BE425+BE423+BE437)</f>
        <v>4880</v>
      </c>
      <c r="BF466">
        <f>SUM(BF465+BF440+BF435+BF428+BF423+BF425+BF437)</f>
        <v>5813</v>
      </c>
      <c r="BG466">
        <v>0</v>
      </c>
      <c r="BH466">
        <f>SUM(BH465+BH440+BH435+BH428+BH425+BH422)</f>
        <v>2</v>
      </c>
      <c r="BI466">
        <f>SUM(BI465)</f>
        <v>5</v>
      </c>
      <c r="BJ466">
        <f>SUM(BJ465+BJ440+BJ435+BJ427+BJ425+BJ422)</f>
        <v>85577</v>
      </c>
      <c r="BK466">
        <f>SUM(BK465+BK440+BK435+BK427+BK425+BK422)</f>
        <v>19998</v>
      </c>
      <c r="BM466" t="s">
        <v>939</v>
      </c>
      <c r="BN466">
        <f>SUM(+BN440+BN435+BN428+BN425+BN423)</f>
        <v>184</v>
      </c>
    </row>
    <row r="467" spans="3:67" x14ac:dyDescent="0.3"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BD467" t="s">
        <v>1340</v>
      </c>
      <c r="BF467">
        <f>SUM(BN465)</f>
        <v>49</v>
      </c>
    </row>
    <row r="468" spans="3:67" x14ac:dyDescent="0.3">
      <c r="I468" s="28"/>
      <c r="J468" s="28"/>
      <c r="K468" s="28"/>
      <c r="L468" s="28"/>
      <c r="M468" s="28"/>
      <c r="N468" s="28"/>
      <c r="O468" s="28"/>
      <c r="P468" s="43"/>
      <c r="Q468" s="28"/>
      <c r="R468" s="28"/>
      <c r="BD468" t="s">
        <v>229</v>
      </c>
      <c r="BF468">
        <f>3+16+2</f>
        <v>21</v>
      </c>
    </row>
    <row r="469" spans="3:67" x14ac:dyDescent="0.3"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C469" t="s">
        <v>6</v>
      </c>
      <c r="BD469" t="s">
        <v>232</v>
      </c>
      <c r="BF469" s="178" t="s">
        <v>233</v>
      </c>
      <c r="BH469">
        <f>SUM(AS462)</f>
        <v>2129</v>
      </c>
      <c r="BJ469" t="s">
        <v>234</v>
      </c>
      <c r="BL469" t="s">
        <v>233</v>
      </c>
      <c r="BN469">
        <f>SUM(BE466)</f>
        <v>4880</v>
      </c>
    </row>
    <row r="470" spans="3:67" x14ac:dyDescent="0.3"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F470" t="s">
        <v>236</v>
      </c>
      <c r="BH470">
        <f>SUM(AT462)</f>
        <v>2179</v>
      </c>
      <c r="BL470" t="s">
        <v>236</v>
      </c>
      <c r="BN470">
        <f>SUM(BF466)</f>
        <v>5813</v>
      </c>
    </row>
    <row r="471" spans="3:67" x14ac:dyDescent="0.3"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D471" t="s">
        <v>238</v>
      </c>
      <c r="BE471" t="s">
        <v>239</v>
      </c>
      <c r="BG471" t="s">
        <v>240</v>
      </c>
      <c r="BH471" t="s">
        <v>241</v>
      </c>
      <c r="BK471" t="s">
        <v>242</v>
      </c>
      <c r="BL471" s="131" t="s">
        <v>243</v>
      </c>
    </row>
    <row r="472" spans="3:67" x14ac:dyDescent="0.3"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D472" t="s">
        <v>233</v>
      </c>
      <c r="BF472">
        <f>SUM(D453)</f>
        <v>74605</v>
      </c>
      <c r="BG472" s="236" t="s">
        <v>233</v>
      </c>
      <c r="BI472">
        <f>SUM(AE456)</f>
        <v>4682</v>
      </c>
      <c r="BJ472" t="s">
        <v>233</v>
      </c>
      <c r="BL472">
        <f>SUM(BI472+BE466)</f>
        <v>9562</v>
      </c>
      <c r="BM472" t="s">
        <v>245</v>
      </c>
      <c r="BN472">
        <f>SUM(BF472+BL472)</f>
        <v>84167</v>
      </c>
    </row>
    <row r="473" spans="3:67" ht="15" thickBot="1" x14ac:dyDescent="0.35"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R473" s="28"/>
      <c r="AS473" s="28"/>
      <c r="AT473" s="28"/>
      <c r="AU473" s="28"/>
      <c r="AV473" s="28"/>
      <c r="AW473" s="28"/>
      <c r="AX473" s="28"/>
      <c r="AY473" s="28"/>
      <c r="AZ473" s="322"/>
      <c r="BA473" s="28"/>
      <c r="BD473" t="s">
        <v>236</v>
      </c>
      <c r="BF473">
        <f>SUM(E453)</f>
        <v>72676</v>
      </c>
      <c r="BG473" s="236" t="s">
        <v>236</v>
      </c>
      <c r="BI473">
        <f>SUM(AF456)</f>
        <v>9524</v>
      </c>
      <c r="BJ473" t="s">
        <v>236</v>
      </c>
      <c r="BL473">
        <f>SUM(BI473+BF466)</f>
        <v>15337</v>
      </c>
      <c r="BN473">
        <f>SUM(BF473+BL473)</f>
        <v>88013</v>
      </c>
      <c r="BO473">
        <f>SUM(BN472:BN473)</f>
        <v>172180</v>
      </c>
    </row>
    <row r="474" spans="3:67" ht="15.6" x14ac:dyDescent="0.3">
      <c r="C474" s="28"/>
      <c r="D474" s="28"/>
      <c r="E474" s="28"/>
      <c r="F474" s="28"/>
      <c r="G474" s="28"/>
      <c r="H474" s="28"/>
      <c r="I474" s="28"/>
      <c r="J474" s="28"/>
      <c r="K474" s="322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D474" s="321" t="s">
        <v>1532</v>
      </c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5"/>
    </row>
    <row r="475" spans="3:67" x14ac:dyDescent="0.3"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D475" s="42" t="s">
        <v>238</v>
      </c>
      <c r="BE475" s="28" t="s">
        <v>239</v>
      </c>
      <c r="BF475" s="28"/>
      <c r="BG475" s="28" t="s">
        <v>240</v>
      </c>
      <c r="BH475" s="28" t="s">
        <v>241</v>
      </c>
      <c r="BI475" s="28"/>
      <c r="BJ475" s="28"/>
      <c r="BK475" s="28" t="s">
        <v>242</v>
      </c>
      <c r="BL475" s="257" t="s">
        <v>243</v>
      </c>
      <c r="BM475" s="28"/>
      <c r="BN475" s="28"/>
      <c r="BO475" s="40"/>
    </row>
    <row r="476" spans="3:67" x14ac:dyDescent="0.3">
      <c r="E476" t="s">
        <v>0</v>
      </c>
      <c r="M476" s="28"/>
      <c r="R476" t="s">
        <v>1</v>
      </c>
      <c r="AD476" t="s">
        <v>0</v>
      </c>
      <c r="AL476" s="28"/>
      <c r="AM476" s="28"/>
      <c r="AN476" s="28"/>
      <c r="AO476" s="28"/>
      <c r="AU476" t="s">
        <v>4</v>
      </c>
      <c r="BD476" s="42" t="s">
        <v>233</v>
      </c>
      <c r="BE476" s="28"/>
      <c r="BF476" s="28">
        <f>SUM(D456)</f>
        <v>0</v>
      </c>
      <c r="BG476" s="218" t="s">
        <v>233</v>
      </c>
      <c r="BH476" s="28"/>
      <c r="BI476" s="28">
        <f>SUM(AE459)</f>
        <v>3083</v>
      </c>
      <c r="BJ476" s="28" t="s">
        <v>233</v>
      </c>
      <c r="BK476" s="28"/>
      <c r="BL476" s="28">
        <f>3083+2427</f>
        <v>5510</v>
      </c>
      <c r="BM476" s="28" t="s">
        <v>245</v>
      </c>
      <c r="BN476" s="28">
        <f>SUM(BF476+BL476)</f>
        <v>5510</v>
      </c>
      <c r="BO476" s="40"/>
    </row>
    <row r="477" spans="3:67" ht="15" thickBot="1" x14ac:dyDescent="0.35">
      <c r="F477" t="s">
        <v>2</v>
      </c>
      <c r="M477" s="28"/>
      <c r="S477" t="s">
        <v>3</v>
      </c>
      <c r="AD477" t="s">
        <v>9</v>
      </c>
      <c r="AL477" s="28"/>
      <c r="AM477" s="28"/>
      <c r="AN477" s="28"/>
      <c r="AO477" s="28"/>
      <c r="AV477" t="s">
        <v>2</v>
      </c>
      <c r="BD477" s="47" t="s">
        <v>236</v>
      </c>
      <c r="BE477" s="48"/>
      <c r="BF477" s="48">
        <f>SUM(E456)</f>
        <v>0</v>
      </c>
      <c r="BG477" s="320" t="s">
        <v>236</v>
      </c>
      <c r="BH477" s="48"/>
      <c r="BI477" s="48">
        <f>SUM(AF459)</f>
        <v>3374</v>
      </c>
      <c r="BJ477" s="48" t="s">
        <v>236</v>
      </c>
      <c r="BK477" s="48"/>
      <c r="BL477" s="48">
        <f>3374+2526</f>
        <v>5900</v>
      </c>
      <c r="BM477" s="48"/>
      <c r="BN477" s="48">
        <f>SUM(BF477+BL477)</f>
        <v>5900</v>
      </c>
      <c r="BO477" s="49">
        <f>SUM(BN476:BN477)</f>
        <v>11410</v>
      </c>
    </row>
    <row r="478" spans="3:67" x14ac:dyDescent="0.3">
      <c r="C478" t="s">
        <v>6</v>
      </c>
      <c r="E478" t="s">
        <v>7</v>
      </c>
      <c r="M478" s="28"/>
      <c r="Q478" t="s">
        <v>8</v>
      </c>
      <c r="AD478" t="s">
        <v>11</v>
      </c>
      <c r="AL478" s="28"/>
      <c r="AM478" s="28"/>
      <c r="AN478" s="28"/>
      <c r="AO478" s="28"/>
      <c r="AT478" t="s">
        <v>12</v>
      </c>
    </row>
    <row r="479" spans="3:67" x14ac:dyDescent="0.3">
      <c r="F479" t="s">
        <v>1652</v>
      </c>
      <c r="M479" s="28"/>
      <c r="S479" t="s">
        <v>1652</v>
      </c>
      <c r="AE479" t="s">
        <v>1652</v>
      </c>
      <c r="AL479" s="28"/>
      <c r="AM479" s="28"/>
      <c r="AN479" s="28"/>
      <c r="AO479" s="28"/>
      <c r="AV479" t="s">
        <v>1652</v>
      </c>
    </row>
    <row r="480" spans="3:67" x14ac:dyDescent="0.3">
      <c r="K480" s="194" t="s">
        <v>949</v>
      </c>
      <c r="M480" s="28"/>
      <c r="W480" t="s">
        <v>15</v>
      </c>
      <c r="AJ480" s="28" t="s">
        <v>25</v>
      </c>
      <c r="AL480" s="28"/>
      <c r="AM480" s="28"/>
      <c r="AN480" s="28"/>
      <c r="AO480" s="28"/>
      <c r="AZ480" s="194" t="s">
        <v>951</v>
      </c>
    </row>
    <row r="481" spans="3:68" x14ac:dyDescent="0.3">
      <c r="C481" s="134" t="s">
        <v>17</v>
      </c>
      <c r="D481" s="134" t="s">
        <v>18</v>
      </c>
      <c r="E481" s="136"/>
      <c r="F481" s="135" t="s">
        <v>19</v>
      </c>
      <c r="G481" s="135"/>
      <c r="H481" s="135"/>
      <c r="I481" s="195" t="s">
        <v>20</v>
      </c>
      <c r="J481" s="135" t="s">
        <v>21</v>
      </c>
      <c r="K481" s="135"/>
      <c r="L481" s="136"/>
      <c r="M481" s="28"/>
      <c r="N481" s="134" t="s">
        <v>17</v>
      </c>
      <c r="O481" s="135" t="s">
        <v>22</v>
      </c>
      <c r="P481" s="135"/>
      <c r="Q481" s="135" t="s">
        <v>23</v>
      </c>
      <c r="R481" s="135"/>
      <c r="S481" s="135"/>
      <c r="T481" s="135" t="s">
        <v>24</v>
      </c>
      <c r="U481" s="135"/>
      <c r="V481" s="135" t="s">
        <v>21</v>
      </c>
      <c r="W481" s="136"/>
      <c r="Z481" s="134" t="s">
        <v>34</v>
      </c>
      <c r="AA481" s="134" t="s">
        <v>35</v>
      </c>
      <c r="AB481" s="136"/>
      <c r="AC481" s="135" t="s">
        <v>36</v>
      </c>
      <c r="AD481" s="135"/>
      <c r="AE481" s="135"/>
      <c r="AF481" s="134" t="s">
        <v>37</v>
      </c>
      <c r="AG481" s="136"/>
      <c r="AH481" s="135" t="s">
        <v>30</v>
      </c>
      <c r="AI481" s="134" t="s">
        <v>38</v>
      </c>
      <c r="AJ481" s="135"/>
      <c r="AK481" s="136"/>
      <c r="AL481" s="28"/>
      <c r="AM481" s="28"/>
      <c r="AN481" s="28"/>
      <c r="AO481" s="28"/>
      <c r="AR481" s="134" t="s">
        <v>17</v>
      </c>
      <c r="AS481" s="134" t="s">
        <v>39</v>
      </c>
      <c r="AT481" s="136"/>
      <c r="AU481" s="134" t="s">
        <v>29</v>
      </c>
      <c r="AV481" s="136" t="s">
        <v>30</v>
      </c>
      <c r="AW481" s="135" t="s">
        <v>40</v>
      </c>
      <c r="AX481" s="135"/>
      <c r="AY481" s="135"/>
      <c r="AZ481" s="135"/>
      <c r="BA481" s="136"/>
      <c r="BH481" t="s">
        <v>5</v>
      </c>
      <c r="BK481" s="28"/>
      <c r="BL481" s="28"/>
      <c r="BM481" s="28"/>
      <c r="BN481" s="28"/>
      <c r="BO481" s="28"/>
    </row>
    <row r="482" spans="3:68" ht="15" thickBot="1" x14ac:dyDescent="0.35">
      <c r="C482" s="138" t="s">
        <v>32</v>
      </c>
      <c r="D482" s="138"/>
      <c r="E482" s="141"/>
      <c r="F482" s="28"/>
      <c r="G482" s="28"/>
      <c r="H482" s="28"/>
      <c r="I482" s="196"/>
      <c r="J482" s="28" t="s">
        <v>33</v>
      </c>
      <c r="K482" s="28"/>
      <c r="L482" s="141"/>
      <c r="M482" s="28"/>
      <c r="N482" s="138"/>
      <c r="O482" s="28"/>
      <c r="P482" s="28"/>
      <c r="Q482" s="28"/>
      <c r="R482" s="28"/>
      <c r="S482" s="28"/>
      <c r="T482" s="28"/>
      <c r="U482" s="28"/>
      <c r="V482" s="28" t="s">
        <v>33</v>
      </c>
      <c r="W482" s="141"/>
      <c r="Z482" s="138" t="s">
        <v>50</v>
      </c>
      <c r="AA482" s="138" t="s">
        <v>43</v>
      </c>
      <c r="AB482" s="141" t="s">
        <v>44</v>
      </c>
      <c r="AC482" s="28" t="s">
        <v>45</v>
      </c>
      <c r="AD482" s="28" t="s">
        <v>46</v>
      </c>
      <c r="AE482" s="28" t="s">
        <v>52</v>
      </c>
      <c r="AF482" s="138" t="s">
        <v>43</v>
      </c>
      <c r="AG482" s="141" t="s">
        <v>44</v>
      </c>
      <c r="AH482" s="28" t="s">
        <v>43</v>
      </c>
      <c r="AI482" s="138" t="s">
        <v>53</v>
      </c>
      <c r="AJ482" s="28"/>
      <c r="AK482" s="141"/>
      <c r="AL482" s="28"/>
      <c r="AM482" s="28"/>
      <c r="AN482" s="28"/>
      <c r="AO482" s="28"/>
      <c r="AR482" s="138" t="s">
        <v>42</v>
      </c>
      <c r="AS482" s="138" t="s">
        <v>43</v>
      </c>
      <c r="AT482" s="141" t="s">
        <v>44</v>
      </c>
      <c r="AU482" s="138" t="s">
        <v>43</v>
      </c>
      <c r="AV482" s="141" t="s">
        <v>44</v>
      </c>
      <c r="AW482" s="28"/>
      <c r="AX482" s="28"/>
      <c r="AY482" s="28"/>
      <c r="AZ482" s="28"/>
      <c r="BA482" s="141"/>
      <c r="BI482" t="s">
        <v>2</v>
      </c>
      <c r="BK482" s="28"/>
      <c r="BL482" s="28"/>
      <c r="BM482" s="28"/>
      <c r="BN482" s="28"/>
      <c r="BO482" s="28"/>
    </row>
    <row r="483" spans="3:68" x14ac:dyDescent="0.3">
      <c r="C483" s="142" t="s">
        <v>42</v>
      </c>
      <c r="D483" s="142" t="s">
        <v>43</v>
      </c>
      <c r="E483" s="143" t="s">
        <v>44</v>
      </c>
      <c r="F483" s="197" t="s">
        <v>45</v>
      </c>
      <c r="G483" s="198" t="s">
        <v>46</v>
      </c>
      <c r="H483" s="198" t="s">
        <v>47</v>
      </c>
      <c r="I483" s="199" t="s">
        <v>48</v>
      </c>
      <c r="J483" s="143" t="s">
        <v>49</v>
      </c>
      <c r="K483" s="143"/>
      <c r="L483" s="146"/>
      <c r="M483" s="28"/>
      <c r="N483" s="142" t="s">
        <v>50</v>
      </c>
      <c r="O483" s="143" t="s">
        <v>43</v>
      </c>
      <c r="P483" s="143" t="s">
        <v>44</v>
      </c>
      <c r="Q483" s="143" t="s">
        <v>43</v>
      </c>
      <c r="R483" s="143" t="s">
        <v>51</v>
      </c>
      <c r="S483" s="143" t="s">
        <v>44</v>
      </c>
      <c r="T483" s="143" t="s">
        <v>43</v>
      </c>
      <c r="U483" s="143" t="s">
        <v>44</v>
      </c>
      <c r="V483" s="143" t="s">
        <v>49</v>
      </c>
      <c r="W483" s="146"/>
      <c r="Z483" s="33"/>
      <c r="AA483" s="33"/>
      <c r="AB483" s="35"/>
      <c r="AC483" s="34"/>
      <c r="AD483" s="34"/>
      <c r="AE483" s="34"/>
      <c r="AF483" s="33"/>
      <c r="AG483" s="35"/>
      <c r="AH483" s="32"/>
      <c r="AI483" s="33" t="s">
        <v>62</v>
      </c>
      <c r="AJ483" s="34"/>
      <c r="AK483" s="35"/>
      <c r="AL483" s="28"/>
      <c r="AM483" s="28"/>
      <c r="AN483" s="43"/>
      <c r="AO483" s="28"/>
      <c r="AR483" s="134"/>
      <c r="AS483" s="134"/>
      <c r="AT483" s="136"/>
      <c r="AU483" s="134"/>
      <c r="AV483" s="136"/>
      <c r="AW483" s="135"/>
      <c r="AX483" s="135"/>
      <c r="AY483" s="135"/>
      <c r="AZ483" s="135"/>
      <c r="BA483" s="136"/>
      <c r="BG483" t="s">
        <v>13</v>
      </c>
      <c r="BK483" s="28"/>
      <c r="BL483" s="28"/>
      <c r="BM483" s="28"/>
      <c r="BN483" s="28"/>
      <c r="BO483" s="28"/>
      <c r="BP483" s="28"/>
    </row>
    <row r="484" spans="3:68" x14ac:dyDescent="0.3">
      <c r="C484" s="134"/>
      <c r="D484" s="134"/>
      <c r="E484" s="135"/>
      <c r="F484" s="134"/>
      <c r="G484" s="135"/>
      <c r="H484" s="135"/>
      <c r="I484" s="195"/>
      <c r="J484" s="135" t="s">
        <v>396</v>
      </c>
      <c r="K484" s="135"/>
      <c r="L484" s="136"/>
      <c r="M484" s="28"/>
      <c r="N484" s="134"/>
      <c r="O484" s="134"/>
      <c r="P484" s="195"/>
      <c r="Q484" s="134"/>
      <c r="R484" s="195"/>
      <c r="S484" s="136"/>
      <c r="T484" s="134"/>
      <c r="U484" s="195"/>
      <c r="V484" s="134" t="s">
        <v>396</v>
      </c>
      <c r="W484" s="136"/>
      <c r="Z484" s="42"/>
      <c r="AA484" s="42"/>
      <c r="AB484" s="40"/>
      <c r="AC484" s="28"/>
      <c r="AD484" s="28"/>
      <c r="AE484" s="28"/>
      <c r="AF484" s="42"/>
      <c r="AG484" s="40"/>
      <c r="AH484" s="41"/>
      <c r="AI484" s="42">
        <v>4</v>
      </c>
      <c r="AJ484" s="28" t="s">
        <v>1290</v>
      </c>
      <c r="AK484" s="40"/>
      <c r="AL484" s="28"/>
      <c r="AM484" s="28"/>
      <c r="AN484" s="28"/>
      <c r="AO484" s="28"/>
      <c r="AR484" s="138"/>
      <c r="AS484" s="138"/>
      <c r="AT484" s="141"/>
      <c r="AU484" s="138"/>
      <c r="AV484" s="141"/>
      <c r="AW484" s="28"/>
      <c r="AX484" s="28" t="s">
        <v>91</v>
      </c>
      <c r="AY484" s="28"/>
      <c r="AZ484" s="28"/>
      <c r="BA484" s="141"/>
      <c r="BI484" t="s">
        <v>1652</v>
      </c>
      <c r="BK484" s="28"/>
      <c r="BL484" s="238"/>
      <c r="BM484" s="322"/>
      <c r="BN484" s="238" t="s">
        <v>1653</v>
      </c>
      <c r="BO484" s="28"/>
      <c r="BP484" s="28"/>
    </row>
    <row r="485" spans="3:68" x14ac:dyDescent="0.3">
      <c r="C485" s="138" t="s">
        <v>59</v>
      </c>
      <c r="D485" s="138">
        <v>2674</v>
      </c>
      <c r="E485" s="28">
        <v>2771</v>
      </c>
      <c r="F485" s="138"/>
      <c r="G485" s="28" t="s">
        <v>60</v>
      </c>
      <c r="H485" s="28"/>
      <c r="I485" s="196">
        <v>2826</v>
      </c>
      <c r="J485" s="28">
        <v>10</v>
      </c>
      <c r="K485" s="28" t="s">
        <v>61</v>
      </c>
      <c r="L485" s="141"/>
      <c r="M485" s="28"/>
      <c r="N485" s="138" t="s">
        <v>59</v>
      </c>
      <c r="O485" s="138">
        <v>15425</v>
      </c>
      <c r="P485" s="196">
        <v>33541</v>
      </c>
      <c r="Q485" s="138">
        <v>0</v>
      </c>
      <c r="R485" s="196">
        <v>0</v>
      </c>
      <c r="S485" s="141">
        <v>0</v>
      </c>
      <c r="T485" s="138">
        <v>0</v>
      </c>
      <c r="U485" s="196">
        <v>0</v>
      </c>
      <c r="V485" s="138"/>
      <c r="W485" s="141"/>
      <c r="Z485" s="42" t="s">
        <v>59</v>
      </c>
      <c r="AA485" s="42">
        <v>2441</v>
      </c>
      <c r="AB485" s="40">
        <v>2674</v>
      </c>
      <c r="AC485" s="28">
        <v>0</v>
      </c>
      <c r="AD485" s="28">
        <v>0</v>
      </c>
      <c r="AE485" s="28">
        <v>0</v>
      </c>
      <c r="AF485" s="42">
        <v>0</v>
      </c>
      <c r="AG485" s="40">
        <v>0</v>
      </c>
      <c r="AH485" s="41">
        <v>0</v>
      </c>
      <c r="AI485" s="42">
        <v>5</v>
      </c>
      <c r="AJ485" s="28" t="s">
        <v>66</v>
      </c>
      <c r="AK485" s="40"/>
      <c r="AL485" s="28"/>
      <c r="AM485" s="28"/>
      <c r="AN485" s="28"/>
      <c r="AO485" s="28"/>
      <c r="AR485" s="138" t="s">
        <v>56</v>
      </c>
      <c r="AS485" s="138">
        <v>1411</v>
      </c>
      <c r="AT485" s="141">
        <v>1537</v>
      </c>
      <c r="AU485" s="138"/>
      <c r="AV485" s="141"/>
      <c r="AW485" s="28"/>
      <c r="AX485" s="28"/>
      <c r="AY485" s="28"/>
      <c r="AZ485" s="28"/>
      <c r="BA485" s="141"/>
      <c r="BD485" s="195" t="s">
        <v>17</v>
      </c>
      <c r="BE485" s="134" t="s">
        <v>27</v>
      </c>
      <c r="BF485" s="135"/>
      <c r="BG485" s="134" t="s">
        <v>28</v>
      </c>
      <c r="BH485" s="135"/>
      <c r="BI485" s="136"/>
      <c r="BJ485" s="134" t="s">
        <v>29</v>
      </c>
      <c r="BK485" s="136"/>
      <c r="BL485" s="135" t="s">
        <v>31</v>
      </c>
      <c r="BM485" s="135"/>
      <c r="BN485" s="136"/>
      <c r="BO485" s="28"/>
      <c r="BP485" s="28"/>
    </row>
    <row r="486" spans="3:68" ht="15" thickBot="1" x14ac:dyDescent="0.35">
      <c r="C486" s="138" t="s">
        <v>6</v>
      </c>
      <c r="D486" s="138"/>
      <c r="E486" s="28"/>
      <c r="F486" s="138"/>
      <c r="G486" s="28"/>
      <c r="H486" s="28"/>
      <c r="I486" s="196"/>
      <c r="J486" s="28"/>
      <c r="K486" s="28" t="s">
        <v>528</v>
      </c>
      <c r="L486" s="141">
        <v>10</v>
      </c>
      <c r="M486" s="28"/>
      <c r="N486" s="142"/>
      <c r="O486" s="142"/>
      <c r="P486" s="199"/>
      <c r="Q486" s="142"/>
      <c r="R486" s="199"/>
      <c r="S486" s="146"/>
      <c r="T486" s="142"/>
      <c r="U486" s="199"/>
      <c r="V486" s="142"/>
      <c r="W486" s="146"/>
      <c r="Z486" s="244"/>
      <c r="AA486" s="244"/>
      <c r="AB486" s="245"/>
      <c r="AC486" s="143"/>
      <c r="AD486" s="143"/>
      <c r="AE486" s="143"/>
      <c r="AF486" s="244"/>
      <c r="AG486" s="245"/>
      <c r="AH486" s="313"/>
      <c r="AI486" s="47"/>
      <c r="AJ486" s="48" t="s">
        <v>436</v>
      </c>
      <c r="AK486" s="49"/>
      <c r="AL486" s="28"/>
      <c r="AM486" s="28"/>
      <c r="AN486" s="28"/>
      <c r="AO486" s="28"/>
      <c r="AR486" s="142" t="s">
        <v>6</v>
      </c>
      <c r="AS486" s="142"/>
      <c r="AT486" s="146"/>
      <c r="AU486" s="142"/>
      <c r="AV486" s="146"/>
      <c r="AW486" s="143"/>
      <c r="AX486" s="143">
        <v>101</v>
      </c>
      <c r="AY486" s="143" t="s">
        <v>73</v>
      </c>
      <c r="AZ486" s="143"/>
      <c r="BA486" s="146">
        <f>SUM(AX486)</f>
        <v>101</v>
      </c>
      <c r="BD486" s="196"/>
      <c r="BE486" s="138"/>
      <c r="BF486" s="28"/>
      <c r="BG486" s="138"/>
      <c r="BH486" s="28"/>
      <c r="BI486" s="141"/>
      <c r="BJ486" s="138"/>
      <c r="BK486" s="141"/>
      <c r="BL486" s="28" t="s">
        <v>41</v>
      </c>
      <c r="BM486" s="28"/>
      <c r="BN486" s="141"/>
      <c r="BO486" s="28"/>
      <c r="BP486" s="28"/>
    </row>
    <row r="487" spans="3:68" x14ac:dyDescent="0.3">
      <c r="C487" s="134"/>
      <c r="D487" s="134"/>
      <c r="E487" s="135"/>
      <c r="F487" s="134"/>
      <c r="G487" s="135"/>
      <c r="H487" s="135"/>
      <c r="I487" s="195"/>
      <c r="J487" s="135" t="s">
        <v>70</v>
      </c>
      <c r="K487" s="135"/>
      <c r="L487" s="136"/>
      <c r="M487" s="28"/>
      <c r="N487" s="134"/>
      <c r="O487" s="134"/>
      <c r="P487" s="195"/>
      <c r="Q487" s="134"/>
      <c r="R487" s="195"/>
      <c r="S487" s="136"/>
      <c r="T487" s="134"/>
      <c r="U487" s="195"/>
      <c r="V487" s="134"/>
      <c r="W487" s="136"/>
      <c r="Z487" s="278" t="s">
        <v>6</v>
      </c>
      <c r="AA487" s="278"/>
      <c r="AB487" s="279"/>
      <c r="AC487" s="135"/>
      <c r="AD487" s="135"/>
      <c r="AE487" s="135"/>
      <c r="AF487" s="278"/>
      <c r="AG487" s="279"/>
      <c r="AH487" s="314"/>
      <c r="AI487" s="28" t="s">
        <v>952</v>
      </c>
      <c r="AJ487" s="28"/>
      <c r="AK487" s="40"/>
      <c r="AL487" s="28"/>
      <c r="AM487" s="28"/>
      <c r="AN487" s="28"/>
      <c r="AO487" s="28"/>
      <c r="AR487" s="134"/>
      <c r="AS487" s="134"/>
      <c r="AT487" s="136"/>
      <c r="AU487" s="134"/>
      <c r="AV487" s="136"/>
      <c r="AW487" s="135"/>
      <c r="AX487" s="135"/>
      <c r="AY487" s="135"/>
      <c r="AZ487" s="135"/>
      <c r="BA487" s="136"/>
      <c r="BD487" s="199" t="s">
        <v>42</v>
      </c>
      <c r="BE487" s="142" t="s">
        <v>43</v>
      </c>
      <c r="BF487" s="143" t="s">
        <v>44</v>
      </c>
      <c r="BG487" s="142" t="s">
        <v>45</v>
      </c>
      <c r="BH487" s="143" t="s">
        <v>46</v>
      </c>
      <c r="BI487" s="146" t="s">
        <v>52</v>
      </c>
      <c r="BJ487" s="142" t="s">
        <v>43</v>
      </c>
      <c r="BK487" s="146"/>
      <c r="BL487" s="143" t="s">
        <v>54</v>
      </c>
      <c r="BM487" s="143"/>
      <c r="BN487" s="146"/>
      <c r="BO487" s="28"/>
      <c r="BP487" s="28"/>
    </row>
    <row r="488" spans="3:68" ht="15" thickBot="1" x14ac:dyDescent="0.35">
      <c r="C488" s="138" t="s">
        <v>74</v>
      </c>
      <c r="D488" s="138">
        <v>1184</v>
      </c>
      <c r="E488" s="28">
        <v>2288</v>
      </c>
      <c r="F488" s="138"/>
      <c r="G488" s="28" t="s">
        <v>60</v>
      </c>
      <c r="H488" s="28"/>
      <c r="I488" s="196">
        <v>2640</v>
      </c>
      <c r="J488" s="28">
        <v>6</v>
      </c>
      <c r="K488" s="28" t="s">
        <v>75</v>
      </c>
      <c r="L488" s="141"/>
      <c r="M488" s="28"/>
      <c r="N488" s="138"/>
      <c r="O488" s="138"/>
      <c r="P488" s="196"/>
      <c r="Q488" s="138"/>
      <c r="R488" s="196"/>
      <c r="S488" s="141"/>
      <c r="T488" s="138"/>
      <c r="U488" s="196"/>
      <c r="V488" s="138" t="s">
        <v>80</v>
      </c>
      <c r="W488" s="141"/>
      <c r="Z488" s="42" t="s">
        <v>76</v>
      </c>
      <c r="AA488" s="42">
        <v>0</v>
      </c>
      <c r="AB488" s="40">
        <v>0</v>
      </c>
      <c r="AC488" s="28">
        <v>0</v>
      </c>
      <c r="AD488" s="28">
        <v>0</v>
      </c>
      <c r="AE488" s="28">
        <v>0</v>
      </c>
      <c r="AF488" s="42">
        <v>0</v>
      </c>
      <c r="AG488" s="40">
        <v>0</v>
      </c>
      <c r="AH488" s="41">
        <v>0</v>
      </c>
      <c r="AI488" s="43">
        <v>2</v>
      </c>
      <c r="AJ488" s="28" t="s">
        <v>780</v>
      </c>
      <c r="AK488" s="40"/>
      <c r="AL488" s="28"/>
      <c r="AM488" s="28"/>
      <c r="AN488" s="28"/>
      <c r="AO488" s="28"/>
      <c r="AR488" s="138" t="s">
        <v>63</v>
      </c>
      <c r="AS488" s="138">
        <v>17</v>
      </c>
      <c r="AT488" s="141">
        <v>24</v>
      </c>
      <c r="AU488" s="138"/>
      <c r="AV488" s="141"/>
      <c r="AW488" s="28"/>
      <c r="AX488" s="28" t="s">
        <v>110</v>
      </c>
      <c r="AY488" s="28" t="s">
        <v>111</v>
      </c>
      <c r="AZ488" s="28" t="s">
        <v>112</v>
      </c>
      <c r="BA488" s="141"/>
      <c r="BD488" s="195" t="s">
        <v>64</v>
      </c>
      <c r="BE488" s="135">
        <v>272</v>
      </c>
      <c r="BF488" s="135">
        <v>272</v>
      </c>
      <c r="BG488" s="138"/>
      <c r="BH488" s="28"/>
      <c r="BI488" s="28"/>
      <c r="BJ488" s="138"/>
      <c r="BK488" s="141"/>
      <c r="BL488" s="28" t="s">
        <v>58</v>
      </c>
      <c r="BM488" s="28"/>
      <c r="BN488" s="141"/>
      <c r="BP488" s="28"/>
    </row>
    <row r="489" spans="3:68" x14ac:dyDescent="0.3">
      <c r="C489" s="138"/>
      <c r="D489" s="138"/>
      <c r="E489" s="28"/>
      <c r="F489" s="138"/>
      <c r="G489" s="28"/>
      <c r="H489" s="28"/>
      <c r="I489" s="196"/>
      <c r="J489" s="28">
        <v>1</v>
      </c>
      <c r="K489" s="28" t="s">
        <v>79</v>
      </c>
      <c r="L489" s="141"/>
      <c r="M489" s="28"/>
      <c r="N489" s="138" t="s">
        <v>74</v>
      </c>
      <c r="O489" s="138">
        <v>8536</v>
      </c>
      <c r="P489" s="196">
        <v>494</v>
      </c>
      <c r="Q489" s="138">
        <v>0</v>
      </c>
      <c r="R489" s="196">
        <v>0</v>
      </c>
      <c r="S489" s="141">
        <v>0</v>
      </c>
      <c r="T489" s="138">
        <v>0</v>
      </c>
      <c r="U489" s="196">
        <v>0</v>
      </c>
      <c r="V489" s="138"/>
      <c r="W489" s="141"/>
      <c r="Z489" s="32"/>
      <c r="AA489" s="34"/>
      <c r="AB489" s="34"/>
      <c r="AC489" s="33"/>
      <c r="AD489" s="34"/>
      <c r="AE489" s="35"/>
      <c r="AF489" s="34"/>
      <c r="AG489" s="34"/>
      <c r="AH489" s="32"/>
      <c r="AI489" s="33" t="s">
        <v>1298</v>
      </c>
      <c r="AJ489" s="34"/>
      <c r="AK489" s="35"/>
      <c r="AL489" s="28"/>
      <c r="AM489" s="28"/>
      <c r="AN489" s="28"/>
      <c r="AO489" s="28"/>
      <c r="AR489" s="138" t="s">
        <v>115</v>
      </c>
      <c r="AS489" s="138">
        <v>13</v>
      </c>
      <c r="AT489" s="141">
        <v>19</v>
      </c>
      <c r="AU489" s="138"/>
      <c r="AV489" s="141"/>
      <c r="AW489" s="28"/>
      <c r="AX489" s="28"/>
      <c r="AY489" s="28"/>
      <c r="AZ489" s="28"/>
      <c r="BA489" s="141"/>
      <c r="BD489" s="196" t="s">
        <v>56</v>
      </c>
      <c r="BE489" s="28">
        <v>0</v>
      </c>
      <c r="BF489" s="28">
        <v>0</v>
      </c>
      <c r="BG489" s="138">
        <v>0</v>
      </c>
      <c r="BH489" s="43">
        <v>0</v>
      </c>
      <c r="BI489" s="43">
        <v>0</v>
      </c>
      <c r="BJ489" s="138">
        <v>0</v>
      </c>
      <c r="BK489" s="141">
        <v>0</v>
      </c>
      <c r="BL489" s="43">
        <v>13</v>
      </c>
      <c r="BM489" s="28" t="s">
        <v>474</v>
      </c>
      <c r="BN489" s="141" t="s">
        <v>1654</v>
      </c>
      <c r="BP489" s="28"/>
    </row>
    <row r="490" spans="3:68" x14ac:dyDescent="0.3">
      <c r="C490" s="142"/>
      <c r="D490" s="142"/>
      <c r="E490" s="143"/>
      <c r="F490" s="142"/>
      <c r="G490" s="143"/>
      <c r="H490" s="143"/>
      <c r="I490" s="199"/>
      <c r="J490" s="143">
        <v>11</v>
      </c>
      <c r="K490" s="143" t="s">
        <v>83</v>
      </c>
      <c r="L490" s="146">
        <v>18</v>
      </c>
      <c r="M490" s="28"/>
      <c r="N490" s="142"/>
      <c r="O490" s="142"/>
      <c r="P490" s="199"/>
      <c r="Q490" s="142"/>
      <c r="R490" s="199"/>
      <c r="S490" s="146"/>
      <c r="T490" s="142"/>
      <c r="U490" s="199"/>
      <c r="V490" s="142"/>
      <c r="W490" s="146"/>
      <c r="Z490" s="41"/>
      <c r="AC490" s="42"/>
      <c r="AD490" s="28"/>
      <c r="AE490" s="40"/>
      <c r="AH490" s="41"/>
      <c r="AI490" s="42">
        <v>2</v>
      </c>
      <c r="AJ490" s="43" t="s">
        <v>1633</v>
      </c>
      <c r="AK490" s="40" t="s">
        <v>1655</v>
      </c>
      <c r="AL490" s="28"/>
      <c r="AM490" s="28"/>
      <c r="AN490" s="43"/>
      <c r="AO490" s="28"/>
      <c r="AR490" s="138" t="s">
        <v>72</v>
      </c>
      <c r="AS490" s="138">
        <v>7</v>
      </c>
      <c r="AT490" s="141">
        <v>6</v>
      </c>
      <c r="AU490" s="138"/>
      <c r="AV490" s="141"/>
      <c r="AW490" s="28"/>
      <c r="AX490" s="28"/>
      <c r="AY490" s="28"/>
      <c r="AZ490" s="28"/>
      <c r="BA490" s="141"/>
      <c r="BD490" s="199" t="s">
        <v>84</v>
      </c>
      <c r="BE490" s="143">
        <v>272</v>
      </c>
      <c r="BF490" s="143">
        <v>272</v>
      </c>
      <c r="BG490" s="138">
        <v>0</v>
      </c>
      <c r="BH490" s="43">
        <v>0</v>
      </c>
      <c r="BI490" s="43">
        <v>0</v>
      </c>
      <c r="BJ490" s="138">
        <v>0</v>
      </c>
      <c r="BK490" s="141">
        <v>0</v>
      </c>
      <c r="BL490" s="143">
        <v>2</v>
      </c>
      <c r="BM490" s="143" t="s">
        <v>69</v>
      </c>
      <c r="BN490" s="146">
        <v>17</v>
      </c>
      <c r="BP490" s="28"/>
    </row>
    <row r="491" spans="3:68" ht="15" thickBot="1" x14ac:dyDescent="0.35">
      <c r="C491" s="134"/>
      <c r="D491" s="134"/>
      <c r="E491" s="135"/>
      <c r="F491" s="134"/>
      <c r="G491" s="135"/>
      <c r="H491" s="135"/>
      <c r="I491" s="195"/>
      <c r="J491" s="135" t="s">
        <v>87</v>
      </c>
      <c r="K491" s="135"/>
      <c r="L491" s="136"/>
      <c r="M491" s="28"/>
      <c r="N491" s="134"/>
      <c r="O491" s="134"/>
      <c r="P491" s="195"/>
      <c r="Q491" s="134"/>
      <c r="R491" s="195"/>
      <c r="S491" s="136"/>
      <c r="T491" s="134"/>
      <c r="U491" s="195"/>
      <c r="V491" s="134" t="s">
        <v>6</v>
      </c>
      <c r="W491" s="136"/>
      <c r="Z491" s="46" t="s">
        <v>1300</v>
      </c>
      <c r="AA491" s="48">
        <v>392</v>
      </c>
      <c r="AB491" s="48">
        <v>420</v>
      </c>
      <c r="AC491" s="47">
        <v>0</v>
      </c>
      <c r="AD491" s="48">
        <v>0</v>
      </c>
      <c r="AE491" s="49">
        <v>0</v>
      </c>
      <c r="AF491" s="48">
        <v>0</v>
      </c>
      <c r="AG491" s="48">
        <v>0</v>
      </c>
      <c r="AH491" s="46">
        <v>0</v>
      </c>
      <c r="AI491" s="47">
        <v>5</v>
      </c>
      <c r="AJ491" s="48" t="s">
        <v>145</v>
      </c>
      <c r="AK491" s="49"/>
      <c r="AL491" s="28"/>
      <c r="AM491" s="28"/>
      <c r="AN491" s="28"/>
      <c r="AO491" s="28"/>
      <c r="AR491" s="138" t="s">
        <v>78</v>
      </c>
      <c r="AS491" s="138">
        <v>11</v>
      </c>
      <c r="AT491" s="141">
        <v>0</v>
      </c>
      <c r="AU491" s="138"/>
      <c r="AV491" s="141"/>
      <c r="AW491" s="28"/>
      <c r="AX491" s="28"/>
      <c r="AY491" s="28"/>
      <c r="AZ491" s="28"/>
      <c r="BA491" s="141"/>
      <c r="BD491" s="195" t="s">
        <v>6</v>
      </c>
      <c r="BE491" s="134"/>
      <c r="BF491" s="136"/>
      <c r="BG491" s="135"/>
      <c r="BH491" s="135"/>
      <c r="BI491" s="135"/>
      <c r="BJ491" s="134"/>
      <c r="BK491" s="136"/>
      <c r="BL491" s="135" t="s">
        <v>1656</v>
      </c>
      <c r="BM491" s="135"/>
      <c r="BN491" s="136"/>
      <c r="BP491" s="28"/>
    </row>
    <row r="492" spans="3:68" x14ac:dyDescent="0.3">
      <c r="C492" s="138" t="s">
        <v>93</v>
      </c>
      <c r="D492" s="138">
        <v>4612</v>
      </c>
      <c r="E492" s="28">
        <v>5467</v>
      </c>
      <c r="F492" s="138"/>
      <c r="G492" s="28" t="s">
        <v>60</v>
      </c>
      <c r="H492" s="28"/>
      <c r="I492" s="196">
        <v>5563</v>
      </c>
      <c r="J492" s="43"/>
      <c r="K492" s="28" t="s">
        <v>94</v>
      </c>
      <c r="L492" s="141"/>
      <c r="M492" s="178"/>
      <c r="N492" s="138"/>
      <c r="O492" s="138"/>
      <c r="P492" s="196"/>
      <c r="Q492" s="138"/>
      <c r="R492" s="196"/>
      <c r="S492" s="141"/>
      <c r="T492" s="138"/>
      <c r="U492" s="196"/>
      <c r="V492" s="138"/>
      <c r="W492" s="141"/>
      <c r="Z492" s="42" t="s">
        <v>89</v>
      </c>
      <c r="AA492" s="42">
        <v>78</v>
      </c>
      <c r="AB492" s="40">
        <v>62</v>
      </c>
      <c r="AC492" s="28"/>
      <c r="AD492" s="28"/>
      <c r="AE492" s="28"/>
      <c r="AF492" s="42"/>
      <c r="AG492" s="40"/>
      <c r="AH492" s="41"/>
      <c r="AI492" s="28" t="s">
        <v>90</v>
      </c>
      <c r="AJ492" s="28"/>
      <c r="AK492" s="40"/>
      <c r="AL492" s="28"/>
      <c r="AM492" s="28"/>
      <c r="AN492" s="28"/>
      <c r="AO492" s="28"/>
      <c r="AR492" s="138" t="s">
        <v>122</v>
      </c>
      <c r="AS492" s="138">
        <v>13</v>
      </c>
      <c r="AT492" s="141">
        <v>18</v>
      </c>
      <c r="AU492" s="138"/>
      <c r="AV492" s="141"/>
      <c r="AW492" s="28"/>
      <c r="AX492" s="28">
        <v>35</v>
      </c>
      <c r="AY492" s="28" t="s">
        <v>123</v>
      </c>
      <c r="AZ492" s="28" t="s">
        <v>6</v>
      </c>
      <c r="BA492" s="141"/>
      <c r="BD492" s="199" t="s">
        <v>108</v>
      </c>
      <c r="BE492" s="142">
        <v>88</v>
      </c>
      <c r="BF492" s="146">
        <v>105</v>
      </c>
      <c r="BG492" s="143"/>
      <c r="BH492" s="143"/>
      <c r="BI492" s="143"/>
      <c r="BJ492" s="142"/>
      <c r="BK492" s="146"/>
      <c r="BL492" s="143">
        <v>9</v>
      </c>
      <c r="BM492" s="143" t="s">
        <v>73</v>
      </c>
      <c r="BN492" s="146">
        <f>SUM(BL492)</f>
        <v>9</v>
      </c>
      <c r="BP492" s="28"/>
    </row>
    <row r="493" spans="3:68" x14ac:dyDescent="0.3">
      <c r="C493" s="138"/>
      <c r="D493" s="138"/>
      <c r="E493" s="28"/>
      <c r="F493" s="138"/>
      <c r="G493" s="28"/>
      <c r="H493" s="28"/>
      <c r="I493" s="196"/>
      <c r="J493" s="43">
        <v>31</v>
      </c>
      <c r="K493" s="28" t="s">
        <v>101</v>
      </c>
      <c r="L493" s="141">
        <v>31</v>
      </c>
      <c r="M493" s="28"/>
      <c r="N493" s="138"/>
      <c r="O493" s="138"/>
      <c r="P493" s="196"/>
      <c r="Q493" s="138"/>
      <c r="R493" s="196"/>
      <c r="S493" s="141"/>
      <c r="T493" s="138"/>
      <c r="U493" s="196"/>
      <c r="V493" s="138"/>
      <c r="W493" s="141"/>
      <c r="Z493" s="42" t="s">
        <v>137</v>
      </c>
      <c r="AA493" s="42">
        <v>0</v>
      </c>
      <c r="AB493" s="40">
        <v>0</v>
      </c>
      <c r="AC493" s="28">
        <v>0</v>
      </c>
      <c r="AD493" s="28">
        <v>0</v>
      </c>
      <c r="AE493" s="28">
        <v>0</v>
      </c>
      <c r="AF493" s="42">
        <v>0</v>
      </c>
      <c r="AG493" s="40">
        <v>0</v>
      </c>
      <c r="AH493" s="41">
        <v>0</v>
      </c>
      <c r="AI493" s="43">
        <v>0</v>
      </c>
      <c r="AJ493" s="28" t="s">
        <v>529</v>
      </c>
      <c r="AK493" s="40"/>
      <c r="AL493" s="28"/>
      <c r="AM493" s="28"/>
      <c r="AN493" s="28"/>
      <c r="AO493" s="28"/>
      <c r="AR493" s="138" t="s">
        <v>125</v>
      </c>
      <c r="AS493" s="138">
        <v>0</v>
      </c>
      <c r="AT493" s="141">
        <v>0</v>
      </c>
      <c r="AU493" s="138"/>
      <c r="AV493" s="141"/>
      <c r="AW493" s="28"/>
      <c r="AX493" s="28">
        <v>2</v>
      </c>
      <c r="AY493" s="28" t="s">
        <v>126</v>
      </c>
      <c r="AZ493" s="28"/>
      <c r="BA493" s="141"/>
      <c r="BD493" s="195" t="s">
        <v>107</v>
      </c>
      <c r="BE493" s="134">
        <v>0</v>
      </c>
      <c r="BF493" s="136">
        <v>0</v>
      </c>
      <c r="BG493" s="135"/>
      <c r="BH493" s="135"/>
      <c r="BI493" s="135"/>
      <c r="BJ493" s="134"/>
      <c r="BK493" s="136"/>
      <c r="BL493" s="135"/>
      <c r="BM493" s="135" t="s">
        <v>92</v>
      </c>
      <c r="BN493" s="136"/>
      <c r="BP493" s="28"/>
    </row>
    <row r="494" spans="3:68" ht="15" thickBot="1" x14ac:dyDescent="0.35">
      <c r="C494" s="134" t="s">
        <v>108</v>
      </c>
      <c r="D494" s="134">
        <v>0</v>
      </c>
      <c r="E494" s="136">
        <v>0</v>
      </c>
      <c r="F494" s="135"/>
      <c r="G494" s="135">
        <v>502</v>
      </c>
      <c r="H494" s="135"/>
      <c r="I494" s="195"/>
      <c r="J494" s="135" t="s">
        <v>104</v>
      </c>
      <c r="K494" s="135"/>
      <c r="L494" s="136"/>
      <c r="N494" s="142"/>
      <c r="O494" s="142"/>
      <c r="P494" s="199"/>
      <c r="Q494" s="142"/>
      <c r="R494" s="199"/>
      <c r="S494" s="146"/>
      <c r="T494" s="142"/>
      <c r="U494" s="199"/>
      <c r="V494" s="142"/>
      <c r="W494" s="146"/>
      <c r="Z494" s="42" t="s">
        <v>84</v>
      </c>
      <c r="AA494" s="244">
        <v>78</v>
      </c>
      <c r="AB494" s="245">
        <v>62</v>
      </c>
      <c r="AC494" s="28"/>
      <c r="AD494" s="28"/>
      <c r="AE494" s="28"/>
      <c r="AF494" s="244"/>
      <c r="AG494" s="245"/>
      <c r="AH494" s="41"/>
      <c r="AI494" s="28">
        <v>2</v>
      </c>
      <c r="AJ494" s="28" t="s">
        <v>98</v>
      </c>
      <c r="AK494" s="40"/>
      <c r="AL494" s="28"/>
      <c r="AM494" s="28"/>
      <c r="AN494" s="28"/>
      <c r="AO494" s="28"/>
      <c r="AR494" s="138" t="s">
        <v>536</v>
      </c>
      <c r="AS494" s="138">
        <v>0</v>
      </c>
      <c r="AT494" s="141">
        <v>0</v>
      </c>
      <c r="AU494" s="138"/>
      <c r="AV494" s="141"/>
      <c r="AW494" s="28"/>
      <c r="AX494" s="28">
        <v>33</v>
      </c>
      <c r="AY494" s="28" t="s">
        <v>129</v>
      </c>
      <c r="AZ494" s="28" t="s">
        <v>6</v>
      </c>
      <c r="BA494" s="141"/>
      <c r="BD494" s="196" t="s">
        <v>99</v>
      </c>
      <c r="BE494" s="138">
        <v>0</v>
      </c>
      <c r="BF494" s="141">
        <v>0</v>
      </c>
      <c r="BG494" s="28">
        <v>0</v>
      </c>
      <c r="BH494" s="28">
        <v>0</v>
      </c>
      <c r="BI494" s="28">
        <v>0</v>
      </c>
      <c r="BJ494" s="138">
        <v>89000</v>
      </c>
      <c r="BK494" s="141">
        <v>21000</v>
      </c>
      <c r="BL494" s="43">
        <v>28</v>
      </c>
      <c r="BM494" s="28" t="s">
        <v>100</v>
      </c>
      <c r="BN494" s="141"/>
      <c r="BP494" s="28"/>
    </row>
    <row r="495" spans="3:68" x14ac:dyDescent="0.3">
      <c r="C495" s="138" t="s">
        <v>109</v>
      </c>
      <c r="D495" s="138">
        <v>3214</v>
      </c>
      <c r="E495" s="141">
        <v>4087</v>
      </c>
      <c r="F495" s="28"/>
      <c r="G495" s="28">
        <v>0</v>
      </c>
      <c r="H495" s="28"/>
      <c r="I495" s="196"/>
      <c r="J495" s="28">
        <v>14</v>
      </c>
      <c r="K495" s="28" t="s">
        <v>114</v>
      </c>
      <c r="L495" s="141"/>
      <c r="M495" s="140"/>
      <c r="N495" s="134"/>
      <c r="O495" s="134"/>
      <c r="P495" s="195"/>
      <c r="Q495" s="134"/>
      <c r="R495" s="195"/>
      <c r="S495" s="136"/>
      <c r="T495" s="134"/>
      <c r="U495" s="195"/>
      <c r="V495" s="134" t="s">
        <v>104</v>
      </c>
      <c r="W495" s="136"/>
      <c r="Z495" s="32" t="s">
        <v>108</v>
      </c>
      <c r="AA495" s="135">
        <v>0</v>
      </c>
      <c r="AB495" s="135"/>
      <c r="AC495" s="33">
        <v>0</v>
      </c>
      <c r="AD495" s="34">
        <v>0</v>
      </c>
      <c r="AE495" s="35">
        <v>0</v>
      </c>
      <c r="AF495" s="135">
        <v>0</v>
      </c>
      <c r="AG495" s="135">
        <v>0</v>
      </c>
      <c r="AH495" s="32">
        <v>0</v>
      </c>
      <c r="AI495" s="34" t="s">
        <v>1284</v>
      </c>
      <c r="AJ495" s="34"/>
      <c r="AK495" s="35"/>
      <c r="AL495" s="28"/>
      <c r="AM495" s="28"/>
      <c r="AN495" s="28"/>
      <c r="AO495" s="28"/>
      <c r="AR495" s="138" t="s">
        <v>132</v>
      </c>
      <c r="AS495" s="138">
        <v>0</v>
      </c>
      <c r="AT495" s="141">
        <v>0</v>
      </c>
      <c r="AU495" s="138"/>
      <c r="AV495" s="141"/>
      <c r="AW495" s="28"/>
      <c r="AX495" s="28"/>
      <c r="AY495" s="28"/>
      <c r="AZ495" s="28"/>
      <c r="BA495" s="141"/>
      <c r="BD495" s="199" t="s">
        <v>84</v>
      </c>
      <c r="BE495" s="138">
        <v>0</v>
      </c>
      <c r="BF495" s="141">
        <v>0</v>
      </c>
      <c r="BG495" s="143"/>
      <c r="BH495" s="143"/>
      <c r="BI495" s="143"/>
      <c r="BJ495" s="138"/>
      <c r="BK495" s="141"/>
      <c r="BL495" s="43">
        <v>0</v>
      </c>
      <c r="BM495" s="28" t="s">
        <v>506</v>
      </c>
      <c r="BN495" s="141">
        <f>SUM(BL494:BL495)</f>
        <v>28</v>
      </c>
      <c r="BP495" s="28"/>
    </row>
    <row r="496" spans="3:68" x14ac:dyDescent="0.3">
      <c r="C496" s="138" t="s">
        <v>84</v>
      </c>
      <c r="D496" s="138">
        <v>3214</v>
      </c>
      <c r="E496" s="141">
        <v>4087</v>
      </c>
      <c r="F496" s="28"/>
      <c r="G496" s="28">
        <v>502</v>
      </c>
      <c r="H496" s="28"/>
      <c r="I496" s="196">
        <v>7513</v>
      </c>
      <c r="J496" s="28"/>
      <c r="K496" s="28"/>
      <c r="L496" s="141">
        <v>14</v>
      </c>
      <c r="M496" s="28"/>
      <c r="N496" s="138" t="s">
        <v>109</v>
      </c>
      <c r="O496" s="138">
        <v>10917</v>
      </c>
      <c r="P496" s="196">
        <v>0</v>
      </c>
      <c r="Q496" s="138">
        <v>0</v>
      </c>
      <c r="R496" s="196">
        <v>0</v>
      </c>
      <c r="S496" s="141">
        <v>0</v>
      </c>
      <c r="T496" s="138">
        <v>0</v>
      </c>
      <c r="U496" s="196">
        <v>0</v>
      </c>
      <c r="V496" s="138"/>
      <c r="W496" s="141"/>
      <c r="Z496" s="41" t="s">
        <v>817</v>
      </c>
      <c r="AA496" s="43">
        <v>257</v>
      </c>
      <c r="AB496" s="43">
        <v>4741</v>
      </c>
      <c r="AC496" s="42">
        <v>0</v>
      </c>
      <c r="AD496" s="28">
        <v>0</v>
      </c>
      <c r="AE496" s="40">
        <v>0</v>
      </c>
      <c r="AF496" s="43">
        <v>0</v>
      </c>
      <c r="AG496" s="43">
        <v>0</v>
      </c>
      <c r="AH496" s="41">
        <v>0</v>
      </c>
      <c r="AI496" s="28"/>
      <c r="AJ496" s="28" t="s">
        <v>6</v>
      </c>
      <c r="AK496" s="40"/>
      <c r="AL496" s="28"/>
      <c r="AM496" s="28"/>
      <c r="AN496" s="28"/>
      <c r="AO496" s="28"/>
      <c r="AR496" s="138" t="s">
        <v>81</v>
      </c>
      <c r="AS496" s="138">
        <v>29</v>
      </c>
      <c r="AT496" s="141">
        <v>5</v>
      </c>
      <c r="AU496" s="138"/>
      <c r="AV496" s="141"/>
      <c r="AW496" s="28"/>
      <c r="AX496" s="28"/>
      <c r="AY496" s="28"/>
      <c r="AZ496" s="28"/>
      <c r="BA496" s="141" t="s">
        <v>6</v>
      </c>
      <c r="BD496" s="138" t="s">
        <v>89</v>
      </c>
      <c r="BE496" s="134">
        <v>1121</v>
      </c>
      <c r="BF496" s="136">
        <v>1103</v>
      </c>
      <c r="BG496" s="134"/>
      <c r="BH496" s="135"/>
      <c r="BI496" s="136"/>
      <c r="BJ496" s="134"/>
      <c r="BK496" s="136"/>
      <c r="BL496" s="134"/>
      <c r="BM496" s="135" t="s">
        <v>91</v>
      </c>
      <c r="BN496" s="136"/>
      <c r="BP496" s="28"/>
    </row>
    <row r="497" spans="3:68" x14ac:dyDescent="0.3">
      <c r="C497" s="138"/>
      <c r="D497" s="138"/>
      <c r="E497" s="141"/>
      <c r="F497" s="28"/>
      <c r="G497" s="28"/>
      <c r="H497" s="28"/>
      <c r="I497" s="196"/>
      <c r="J497" s="28"/>
      <c r="K497" s="28"/>
      <c r="L497" s="141"/>
      <c r="M497" s="28"/>
      <c r="N497" s="142"/>
      <c r="O497" s="142"/>
      <c r="P497" s="199"/>
      <c r="Q497" s="142"/>
      <c r="R497" s="199"/>
      <c r="S497" s="146"/>
      <c r="T497" s="142"/>
      <c r="U497" s="199"/>
      <c r="V497" s="142"/>
      <c r="W497" s="146"/>
      <c r="Z497" s="41" t="s">
        <v>164</v>
      </c>
      <c r="AA497" s="43">
        <v>0</v>
      </c>
      <c r="AB497" s="43">
        <v>0</v>
      </c>
      <c r="AC497" s="42">
        <v>0</v>
      </c>
      <c r="AD497" s="43">
        <v>0</v>
      </c>
      <c r="AE497" s="40">
        <v>0</v>
      </c>
      <c r="AF497" s="43">
        <v>0</v>
      </c>
      <c r="AG497" s="43">
        <v>0</v>
      </c>
      <c r="AH497" s="41">
        <v>0</v>
      </c>
      <c r="AI497" s="28">
        <v>41</v>
      </c>
      <c r="AJ497" s="43" t="s">
        <v>1285</v>
      </c>
      <c r="AK497" s="40"/>
      <c r="AL497" s="28"/>
      <c r="AM497" s="28"/>
      <c r="AN497" s="28"/>
      <c r="AO497" s="28"/>
      <c r="AR497" s="138" t="s">
        <v>1599</v>
      </c>
      <c r="AS497" s="138">
        <v>0</v>
      </c>
      <c r="AT497" s="141">
        <v>0</v>
      </c>
      <c r="AU497" s="138"/>
      <c r="AV497" s="141"/>
      <c r="AW497" s="28"/>
      <c r="AX497" s="28"/>
      <c r="AY497" s="28"/>
      <c r="AZ497" s="28"/>
      <c r="BA497" s="141"/>
      <c r="BD497" s="138" t="s">
        <v>174</v>
      </c>
      <c r="BE497" s="138">
        <v>150</v>
      </c>
      <c r="BF497" s="141">
        <v>134</v>
      </c>
      <c r="BG497" s="138"/>
      <c r="BH497" s="28"/>
      <c r="BI497" s="141"/>
      <c r="BJ497" s="138"/>
      <c r="BK497" s="141"/>
      <c r="BL497" s="212"/>
      <c r="BM497" s="43"/>
      <c r="BN497" s="141"/>
      <c r="BP497" s="28"/>
    </row>
    <row r="498" spans="3:68" ht="15" thickBot="1" x14ac:dyDescent="0.35">
      <c r="C498" s="134" t="s">
        <v>785</v>
      </c>
      <c r="D498" s="134">
        <v>2411</v>
      </c>
      <c r="E498" s="242">
        <v>2630</v>
      </c>
      <c r="F498" s="135"/>
      <c r="G498" s="135"/>
      <c r="H498" s="135"/>
      <c r="I498" s="195">
        <v>2750</v>
      </c>
      <c r="J498" s="135" t="s">
        <v>118</v>
      </c>
      <c r="K498" s="135"/>
      <c r="L498" s="136"/>
      <c r="M498" s="28"/>
      <c r="N498" s="134" t="s">
        <v>93</v>
      </c>
      <c r="O498" s="134">
        <v>0</v>
      </c>
      <c r="P498" s="195">
        <v>0</v>
      </c>
      <c r="Q498" s="134"/>
      <c r="R498" s="195"/>
      <c r="S498" s="136"/>
      <c r="T498" s="134">
        <v>0</v>
      </c>
      <c r="U498" s="195">
        <v>0</v>
      </c>
      <c r="V498" s="134" t="s">
        <v>116</v>
      </c>
      <c r="W498" s="136"/>
      <c r="Z498" s="46" t="s">
        <v>1120</v>
      </c>
      <c r="AA498" s="43">
        <v>0</v>
      </c>
      <c r="AB498" s="43">
        <v>0</v>
      </c>
      <c r="AC498" s="42">
        <v>0</v>
      </c>
      <c r="AD498" s="43">
        <v>0</v>
      </c>
      <c r="AE498" s="40">
        <v>0</v>
      </c>
      <c r="AF498" s="43">
        <v>0</v>
      </c>
      <c r="AG498" s="43">
        <v>0</v>
      </c>
      <c r="AH498" s="41"/>
      <c r="AI498" s="28"/>
      <c r="AJ498" s="28"/>
      <c r="AK498" s="40"/>
      <c r="AL498" s="28"/>
      <c r="AM498" s="28"/>
      <c r="AN498" s="28"/>
      <c r="AO498" s="28"/>
      <c r="AR498" s="138" t="s">
        <v>56</v>
      </c>
      <c r="AS498" s="138">
        <v>5</v>
      </c>
      <c r="AT498" s="141">
        <v>0</v>
      </c>
      <c r="AU498" s="138"/>
      <c r="AV498" s="141"/>
      <c r="AW498" s="28"/>
      <c r="AX498" s="28"/>
      <c r="AY498" s="28"/>
      <c r="AZ498" s="28"/>
      <c r="BA498" s="141"/>
      <c r="BD498" s="212" t="s">
        <v>137</v>
      </c>
      <c r="BE498" s="212">
        <v>1235</v>
      </c>
      <c r="BF498" s="209">
        <v>960</v>
      </c>
      <c r="BG498" s="138"/>
      <c r="BH498" s="28"/>
      <c r="BI498" s="141"/>
      <c r="BJ498" s="138"/>
      <c r="BK498" s="141"/>
      <c r="BL498" s="138">
        <v>36</v>
      </c>
      <c r="BM498" s="43" t="s">
        <v>1134</v>
      </c>
      <c r="BN498" s="141"/>
      <c r="BP498" s="28"/>
    </row>
    <row r="499" spans="3:68" ht="15" thickBot="1" x14ac:dyDescent="0.35">
      <c r="C499" s="138" t="s">
        <v>93</v>
      </c>
      <c r="D499" s="138">
        <v>12051</v>
      </c>
      <c r="E499" s="209">
        <v>13194</v>
      </c>
      <c r="F499" s="28"/>
      <c r="G499" s="28"/>
      <c r="H499" s="28"/>
      <c r="I499" s="196">
        <v>14082</v>
      </c>
      <c r="J499" s="28">
        <v>149</v>
      </c>
      <c r="K499" s="28" t="s">
        <v>101</v>
      </c>
      <c r="L499" s="141"/>
      <c r="M499" s="28"/>
      <c r="N499" s="138" t="s">
        <v>99</v>
      </c>
      <c r="O499" s="138">
        <v>8639</v>
      </c>
      <c r="P499" s="196">
        <v>7831</v>
      </c>
      <c r="Q499" s="138"/>
      <c r="R499" s="196"/>
      <c r="S499" s="141"/>
      <c r="T499" s="138">
        <v>2099</v>
      </c>
      <c r="U499" s="196">
        <v>228</v>
      </c>
      <c r="V499" s="138"/>
      <c r="W499" s="141"/>
      <c r="Z499" s="42" t="s">
        <v>84</v>
      </c>
      <c r="AA499" s="42">
        <v>257</v>
      </c>
      <c r="AB499" s="43">
        <v>4741</v>
      </c>
      <c r="AC499" s="47">
        <v>0</v>
      </c>
      <c r="AD499" s="48">
        <v>0</v>
      </c>
      <c r="AE499" s="49">
        <v>0</v>
      </c>
      <c r="AF499" s="43">
        <v>0</v>
      </c>
      <c r="AG499" s="43">
        <v>0</v>
      </c>
      <c r="AH499" s="46">
        <v>0</v>
      </c>
      <c r="AI499" s="48"/>
      <c r="AJ499" s="48"/>
      <c r="AK499" s="49"/>
      <c r="AL499" s="28"/>
      <c r="AM499" s="28"/>
      <c r="AN499" s="28"/>
      <c r="AO499" s="28"/>
      <c r="AR499" s="138" t="s">
        <v>67</v>
      </c>
      <c r="AS499" s="138">
        <v>44</v>
      </c>
      <c r="AT499" s="141">
        <v>37</v>
      </c>
      <c r="AU499" s="138"/>
      <c r="AV499" s="141"/>
      <c r="AW499" s="28"/>
      <c r="AX499" s="28"/>
      <c r="AY499" s="28"/>
      <c r="AZ499" s="28"/>
      <c r="BA499" s="141"/>
      <c r="BD499" s="138" t="s">
        <v>97</v>
      </c>
      <c r="BE499" s="138">
        <v>942</v>
      </c>
      <c r="BF499" s="141">
        <v>881</v>
      </c>
      <c r="BG499" s="138"/>
      <c r="BH499" s="28"/>
      <c r="BI499" s="141"/>
      <c r="BJ499" s="138"/>
      <c r="BK499" s="141"/>
      <c r="BL499" s="212">
        <v>25</v>
      </c>
      <c r="BM499" s="28" t="s">
        <v>73</v>
      </c>
      <c r="BN499" s="141"/>
      <c r="BP499" s="28"/>
    </row>
    <row r="500" spans="3:68" x14ac:dyDescent="0.3">
      <c r="C500" s="138" t="s">
        <v>120</v>
      </c>
      <c r="D500" s="212">
        <v>9795</v>
      </c>
      <c r="E500" s="209">
        <v>11182</v>
      </c>
      <c r="F500" s="28"/>
      <c r="G500" s="28" t="s">
        <v>60</v>
      </c>
      <c r="H500" s="28"/>
      <c r="I500" s="211">
        <v>11750</v>
      </c>
      <c r="J500" s="28">
        <v>26</v>
      </c>
      <c r="K500" s="28" t="s">
        <v>927</v>
      </c>
      <c r="L500" s="141"/>
      <c r="M500" s="28"/>
      <c r="N500" s="138" t="s">
        <v>120</v>
      </c>
      <c r="O500" s="138">
        <v>93</v>
      </c>
      <c r="P500" s="196">
        <v>6661</v>
      </c>
      <c r="Q500" s="138"/>
      <c r="R500" s="196"/>
      <c r="S500" s="141"/>
      <c r="T500" s="138">
        <v>0</v>
      </c>
      <c r="U500" s="196">
        <v>0</v>
      </c>
      <c r="V500" s="138"/>
      <c r="W500" s="141"/>
      <c r="Z500" s="33"/>
      <c r="AA500" s="33"/>
      <c r="AB500" s="35"/>
      <c r="AC500" s="34"/>
      <c r="AD500" s="34"/>
      <c r="AE500" s="34"/>
      <c r="AF500" s="33"/>
      <c r="AG500" s="35"/>
      <c r="AH500" s="32"/>
      <c r="AI500" s="34"/>
      <c r="AJ500" s="34" t="s">
        <v>117</v>
      </c>
      <c r="AK500" s="35"/>
      <c r="AL500" s="28"/>
      <c r="AM500" s="28"/>
      <c r="AN500" s="28"/>
      <c r="AO500" s="28"/>
      <c r="AR500" s="142" t="s">
        <v>84</v>
      </c>
      <c r="AS500" s="142">
        <v>133</v>
      </c>
      <c r="AT500" s="146">
        <f>SUM(AT488:AT499)</f>
        <v>109</v>
      </c>
      <c r="AU500" s="142"/>
      <c r="AV500" s="146"/>
      <c r="AW500" s="143"/>
      <c r="AX500" s="143"/>
      <c r="AY500" s="143"/>
      <c r="AZ500" s="143"/>
      <c r="BA500" s="146">
        <v>69</v>
      </c>
      <c r="BD500" s="212" t="s">
        <v>113</v>
      </c>
      <c r="BE500" s="212">
        <v>496</v>
      </c>
      <c r="BF500" s="209">
        <v>588</v>
      </c>
      <c r="BG500" s="138"/>
      <c r="BH500" s="28"/>
      <c r="BI500" s="141"/>
      <c r="BJ500" s="138"/>
      <c r="BK500" s="141"/>
      <c r="BL500" s="138">
        <v>0</v>
      </c>
      <c r="BM500" s="43" t="s">
        <v>1294</v>
      </c>
      <c r="BN500" s="141"/>
      <c r="BP500" s="28"/>
    </row>
    <row r="501" spans="3:68" ht="15" thickBot="1" x14ac:dyDescent="0.35">
      <c r="C501" s="138" t="s">
        <v>84</v>
      </c>
      <c r="D501" s="138">
        <v>24257</v>
      </c>
      <c r="E501" s="141">
        <v>27006</v>
      </c>
      <c r="F501" s="28"/>
      <c r="G501" s="28"/>
      <c r="H501" s="28"/>
      <c r="I501" s="196">
        <f>SUM(I498:I500)</f>
        <v>28582</v>
      </c>
      <c r="J501" s="28">
        <v>1</v>
      </c>
      <c r="K501" s="28" t="s">
        <v>1306</v>
      </c>
      <c r="L501" s="141">
        <v>176</v>
      </c>
      <c r="M501" s="28"/>
      <c r="N501" s="142" t="s">
        <v>84</v>
      </c>
      <c r="O501" s="142">
        <f>SUM(O498:O500)</f>
        <v>8732</v>
      </c>
      <c r="P501" s="199">
        <f>SUM(P498:P500)</f>
        <v>14492</v>
      </c>
      <c r="Q501" s="142">
        <v>0</v>
      </c>
      <c r="R501" s="199">
        <v>0</v>
      </c>
      <c r="S501" s="146">
        <v>0</v>
      </c>
      <c r="T501" s="142">
        <v>2099</v>
      </c>
      <c r="U501" s="199">
        <v>228</v>
      </c>
      <c r="V501" s="142"/>
      <c r="W501" s="146"/>
      <c r="Z501" s="47"/>
      <c r="AA501" s="47"/>
      <c r="AB501" s="49"/>
      <c r="AC501" s="48"/>
      <c r="AD501" s="48"/>
      <c r="AE501" s="48"/>
      <c r="AF501" s="47"/>
      <c r="AG501" s="49"/>
      <c r="AH501" s="46"/>
      <c r="AI501" s="48">
        <v>3</v>
      </c>
      <c r="AJ501" s="48" t="s">
        <v>124</v>
      </c>
      <c r="AK501" s="49"/>
      <c r="AL501" s="28"/>
      <c r="AM501" s="28"/>
      <c r="AN501" s="28"/>
      <c r="AO501" s="28"/>
      <c r="AR501" s="134"/>
      <c r="AS501" s="134"/>
      <c r="AT501" s="136"/>
      <c r="AU501" s="134"/>
      <c r="AV501" s="136"/>
      <c r="AW501" s="135"/>
      <c r="AX501" s="135"/>
      <c r="AY501" s="135"/>
      <c r="AZ501" s="135"/>
      <c r="BA501" s="136"/>
      <c r="BD501" s="212" t="s">
        <v>1657</v>
      </c>
      <c r="BE501" s="212">
        <v>136</v>
      </c>
      <c r="BF501" s="209">
        <v>151</v>
      </c>
      <c r="BG501" s="138"/>
      <c r="BH501" s="28"/>
      <c r="BI501" s="141"/>
      <c r="BJ501" s="138"/>
      <c r="BK501" s="141"/>
      <c r="BL501" s="138">
        <v>0</v>
      </c>
      <c r="BM501" s="43" t="s">
        <v>1577</v>
      </c>
      <c r="BN501" s="141"/>
      <c r="BO501" s="28"/>
      <c r="BP501" s="28"/>
    </row>
    <row r="502" spans="3:68" x14ac:dyDescent="0.3">
      <c r="C502" s="142"/>
      <c r="D502" s="142"/>
      <c r="E502" s="146"/>
      <c r="F502" s="143"/>
      <c r="G502" s="143"/>
      <c r="H502" s="143"/>
      <c r="I502" s="199"/>
      <c r="J502" s="143"/>
      <c r="K502" s="143"/>
      <c r="L502" s="146"/>
      <c r="M502" s="28"/>
      <c r="N502" s="134"/>
      <c r="O502" s="134"/>
      <c r="P502" s="195"/>
      <c r="Q502" s="134"/>
      <c r="R502" s="195"/>
      <c r="S502" s="136"/>
      <c r="T502" s="134"/>
      <c r="U502" s="195"/>
      <c r="V502" s="134"/>
      <c r="W502" s="136"/>
      <c r="Z502" s="33" t="s">
        <v>97</v>
      </c>
      <c r="AA502" s="33">
        <v>229</v>
      </c>
      <c r="AB502" s="35">
        <v>263</v>
      </c>
      <c r="AC502" s="34">
        <v>0</v>
      </c>
      <c r="AD502" s="34">
        <v>0</v>
      </c>
      <c r="AE502" s="34">
        <v>0</v>
      </c>
      <c r="AF502" s="33"/>
      <c r="AG502" s="35"/>
      <c r="AH502" s="32"/>
      <c r="AI502" s="34"/>
      <c r="AJ502" s="34"/>
      <c r="AK502" s="35"/>
      <c r="AL502" s="28"/>
      <c r="AM502" s="28"/>
      <c r="AN502" s="28"/>
      <c r="AO502" s="28"/>
      <c r="AR502" s="138" t="s">
        <v>56</v>
      </c>
      <c r="AS502" s="138">
        <v>0</v>
      </c>
      <c r="AT502" s="141">
        <v>0</v>
      </c>
      <c r="AU502" s="138"/>
      <c r="AV502" s="141"/>
      <c r="AW502" s="28"/>
      <c r="AX502" s="28" t="s">
        <v>173</v>
      </c>
      <c r="AY502" s="28"/>
      <c r="AZ502" s="28"/>
      <c r="BA502" s="141"/>
      <c r="BD502" s="212" t="s">
        <v>817</v>
      </c>
      <c r="BE502" s="212">
        <v>22</v>
      </c>
      <c r="BF502" s="209">
        <v>749</v>
      </c>
      <c r="BG502" s="138"/>
      <c r="BH502" s="43"/>
      <c r="BI502" s="141"/>
      <c r="BJ502" s="138"/>
      <c r="BK502" s="141"/>
      <c r="BL502" s="138"/>
      <c r="BM502" s="28"/>
      <c r="BN502" s="141">
        <v>61</v>
      </c>
      <c r="BO502" s="28"/>
      <c r="BP502" s="28"/>
    </row>
    <row r="503" spans="3:68" x14ac:dyDescent="0.3">
      <c r="C503" s="138" t="s">
        <v>93</v>
      </c>
      <c r="D503" s="138">
        <v>8014</v>
      </c>
      <c r="E503" s="209">
        <v>9265</v>
      </c>
      <c r="F503" s="138"/>
      <c r="G503" s="28" t="s">
        <v>60</v>
      </c>
      <c r="H503" s="28"/>
      <c r="I503" s="196">
        <v>9669</v>
      </c>
      <c r="J503" s="28" t="s">
        <v>116</v>
      </c>
      <c r="K503" s="28"/>
      <c r="L503" s="141"/>
      <c r="M503" s="28"/>
      <c r="N503" s="138" t="s">
        <v>105</v>
      </c>
      <c r="O503" s="138">
        <v>332</v>
      </c>
      <c r="P503" s="196">
        <v>176</v>
      </c>
      <c r="Q503" s="138"/>
      <c r="R503" s="196"/>
      <c r="S503" s="141"/>
      <c r="T503" s="138">
        <v>27</v>
      </c>
      <c r="U503" s="196">
        <v>0</v>
      </c>
      <c r="V503" s="138"/>
      <c r="W503" s="141"/>
      <c r="Z503" s="42" t="s">
        <v>89</v>
      </c>
      <c r="AA503" s="42">
        <v>451</v>
      </c>
      <c r="AB503" s="40">
        <v>362</v>
      </c>
      <c r="AC503" s="43">
        <v>0</v>
      </c>
      <c r="AD503" s="43">
        <v>0</v>
      </c>
      <c r="AE503" s="43">
        <v>0</v>
      </c>
      <c r="AF503" s="42"/>
      <c r="AG503" s="40"/>
      <c r="AH503" s="41"/>
      <c r="AI503" s="28" t="s">
        <v>953</v>
      </c>
      <c r="AJ503" s="28"/>
      <c r="AK503" s="40"/>
      <c r="AL503" s="28"/>
      <c r="AM503" s="28"/>
      <c r="AN503" s="28"/>
      <c r="AO503" s="28"/>
      <c r="AR503" s="138" t="s">
        <v>67</v>
      </c>
      <c r="AS503" s="138">
        <v>0</v>
      </c>
      <c r="AT503" s="141">
        <v>0</v>
      </c>
      <c r="AU503" s="138"/>
      <c r="AV503" s="141"/>
      <c r="AW503" s="28"/>
      <c r="AX503" s="28"/>
      <c r="AY503" s="28"/>
      <c r="AZ503" s="28"/>
      <c r="BA503" s="141"/>
      <c r="BD503" s="247" t="s">
        <v>84</v>
      </c>
      <c r="BE503" s="247">
        <v>4102</v>
      </c>
      <c r="BF503" s="248">
        <v>4566</v>
      </c>
      <c r="BG503" s="197">
        <v>0</v>
      </c>
      <c r="BH503" s="198">
        <v>0</v>
      </c>
      <c r="BI503" s="249">
        <v>0</v>
      </c>
      <c r="BJ503" s="197">
        <v>0</v>
      </c>
      <c r="BK503" s="249">
        <v>0</v>
      </c>
      <c r="BL503" s="197"/>
      <c r="BM503" s="198"/>
      <c r="BN503" s="249"/>
      <c r="BO503" s="28"/>
      <c r="BP503" s="28"/>
    </row>
    <row r="504" spans="3:68" x14ac:dyDescent="0.3">
      <c r="C504" s="138" t="s">
        <v>99</v>
      </c>
      <c r="D504" s="138">
        <v>11347</v>
      </c>
      <c r="E504" s="209">
        <v>13677</v>
      </c>
      <c r="F504" s="138"/>
      <c r="G504" s="28" t="s">
        <v>60</v>
      </c>
      <c r="H504" s="28"/>
      <c r="I504" s="196">
        <v>4990</v>
      </c>
      <c r="J504" s="43">
        <v>178</v>
      </c>
      <c r="K504" s="28" t="s">
        <v>144</v>
      </c>
      <c r="L504" s="141"/>
      <c r="M504" s="28"/>
      <c r="N504" s="138" t="s">
        <v>99</v>
      </c>
      <c r="O504" s="138">
        <v>93</v>
      </c>
      <c r="P504" s="196"/>
      <c r="Q504" s="138"/>
      <c r="R504" s="196"/>
      <c r="S504" s="141"/>
      <c r="T504" s="138">
        <v>0</v>
      </c>
      <c r="U504" s="196">
        <v>0</v>
      </c>
      <c r="V504" s="138" t="s">
        <v>135</v>
      </c>
      <c r="W504" s="141"/>
      <c r="Z504" s="42" t="s">
        <v>137</v>
      </c>
      <c r="AA504" s="42">
        <v>349</v>
      </c>
      <c r="AB504" s="40">
        <v>280</v>
      </c>
      <c r="AC504" s="43">
        <v>0</v>
      </c>
      <c r="AD504" s="43">
        <v>0</v>
      </c>
      <c r="AE504" s="43">
        <v>0</v>
      </c>
      <c r="AF504" s="42"/>
      <c r="AG504" s="40"/>
      <c r="AH504" s="41"/>
      <c r="AI504" s="28">
        <v>2</v>
      </c>
      <c r="AJ504" s="28" t="s">
        <v>884</v>
      </c>
      <c r="AK504" s="40"/>
      <c r="AL504" s="28"/>
      <c r="AM504" s="28"/>
      <c r="AN504" s="28"/>
      <c r="AO504" s="28"/>
      <c r="AR504" s="138" t="s">
        <v>78</v>
      </c>
      <c r="AS504" s="138">
        <v>0</v>
      </c>
      <c r="AT504" s="141">
        <v>0</v>
      </c>
      <c r="AU504" s="138"/>
      <c r="AV504" s="141"/>
      <c r="AW504" s="28"/>
      <c r="AX504" s="28">
        <v>0</v>
      </c>
      <c r="AY504" s="28" t="s">
        <v>183</v>
      </c>
      <c r="AZ504" s="28"/>
      <c r="BA504" s="141"/>
      <c r="BD504" s="134"/>
      <c r="BE504" s="134"/>
      <c r="BF504" s="136"/>
      <c r="BG504" s="135"/>
      <c r="BH504" s="135"/>
      <c r="BI504" s="135"/>
      <c r="BJ504" s="138"/>
      <c r="BK504" s="141"/>
      <c r="BL504" s="28" t="s">
        <v>1025</v>
      </c>
      <c r="BM504" s="28"/>
      <c r="BN504" s="141"/>
      <c r="BP504" s="28"/>
    </row>
    <row r="505" spans="3:68" x14ac:dyDescent="0.3">
      <c r="C505" s="138" t="s">
        <v>120</v>
      </c>
      <c r="D505" s="138">
        <v>4196</v>
      </c>
      <c r="E505" s="209">
        <v>4896</v>
      </c>
      <c r="F505" s="138"/>
      <c r="G505" s="28" t="s">
        <v>60</v>
      </c>
      <c r="H505" s="28"/>
      <c r="I505" s="196">
        <v>14795</v>
      </c>
      <c r="J505" s="43">
        <v>0</v>
      </c>
      <c r="K505" s="28" t="s">
        <v>148</v>
      </c>
      <c r="L505" s="141"/>
      <c r="M505" s="28"/>
      <c r="N505" s="138"/>
      <c r="O505" s="138"/>
      <c r="P505" s="196"/>
      <c r="Q505" s="138"/>
      <c r="R505" s="196"/>
      <c r="S505" s="141"/>
      <c r="T505" s="138"/>
      <c r="U505" s="196"/>
      <c r="V505" s="138"/>
      <c r="W505" s="141"/>
      <c r="Z505" s="42" t="s">
        <v>84</v>
      </c>
      <c r="AA505" s="42">
        <f>SUM(AA502:AA504)</f>
        <v>1029</v>
      </c>
      <c r="AB505" s="40">
        <f>SUM(AB502:AB504)</f>
        <v>905</v>
      </c>
      <c r="AC505" s="28">
        <v>0</v>
      </c>
      <c r="AD505" s="28">
        <v>0</v>
      </c>
      <c r="AE505" s="28">
        <v>0</v>
      </c>
      <c r="AF505" s="42">
        <v>0</v>
      </c>
      <c r="AG505" s="40">
        <v>0</v>
      </c>
      <c r="AH505" s="41">
        <v>0</v>
      </c>
      <c r="AI505" s="43">
        <v>12</v>
      </c>
      <c r="AJ505" s="28" t="s">
        <v>141</v>
      </c>
      <c r="AK505" s="40"/>
      <c r="AL505" s="28"/>
      <c r="AM505" s="28"/>
      <c r="AN505" s="28"/>
      <c r="AO505" s="28"/>
      <c r="AR505" s="142" t="s">
        <v>84</v>
      </c>
      <c r="AS505" s="142">
        <v>0</v>
      </c>
      <c r="AT505" s="146">
        <v>0</v>
      </c>
      <c r="AU505" s="142"/>
      <c r="AV505" s="146"/>
      <c r="AW505" s="143"/>
      <c r="AX505" s="143"/>
      <c r="AY505" s="143"/>
      <c r="AZ505" s="143"/>
      <c r="BA505" s="146">
        <f>SUM(AX504)</f>
        <v>0</v>
      </c>
      <c r="BD505" s="142" t="s">
        <v>64</v>
      </c>
      <c r="BE505" s="142">
        <v>113</v>
      </c>
      <c r="BF505" s="146">
        <v>114</v>
      </c>
      <c r="BG505" s="143">
        <v>0</v>
      </c>
      <c r="BH505" s="143">
        <v>0</v>
      </c>
      <c r="BI505" s="143"/>
      <c r="BJ505" s="142">
        <v>0</v>
      </c>
      <c r="BK505" s="146">
        <v>0</v>
      </c>
      <c r="BL505" s="143">
        <v>9</v>
      </c>
      <c r="BM505" s="143" t="s">
        <v>1026</v>
      </c>
      <c r="BN505" s="146">
        <f>SUM(BL505)</f>
        <v>9</v>
      </c>
      <c r="BO505" t="s">
        <v>6</v>
      </c>
      <c r="BP505" s="28"/>
    </row>
    <row r="506" spans="3:68" ht="15" thickBot="1" x14ac:dyDescent="0.35">
      <c r="C506" s="138" t="s">
        <v>84</v>
      </c>
      <c r="D506" s="138">
        <f>SUM(D503:D505)</f>
        <v>23557</v>
      </c>
      <c r="E506" s="28">
        <f>SUM(E503:E505)</f>
        <v>27838</v>
      </c>
      <c r="F506" s="138"/>
      <c r="G506" s="28" t="s">
        <v>60</v>
      </c>
      <c r="H506" s="28"/>
      <c r="I506" s="196">
        <f>SUM(I503:I505)</f>
        <v>29454</v>
      </c>
      <c r="J506" s="43">
        <v>0</v>
      </c>
      <c r="K506" s="28" t="s">
        <v>152</v>
      </c>
      <c r="L506" s="141"/>
      <c r="M506" s="28"/>
      <c r="N506" s="142" t="s">
        <v>84</v>
      </c>
      <c r="O506" s="142">
        <f>SUM(O503:O505)</f>
        <v>425</v>
      </c>
      <c r="P506" s="199">
        <v>176</v>
      </c>
      <c r="Q506" s="142">
        <v>0</v>
      </c>
      <c r="R506" s="199">
        <v>0</v>
      </c>
      <c r="S506" s="146"/>
      <c r="T506" s="142">
        <v>27</v>
      </c>
      <c r="U506" s="199">
        <v>0</v>
      </c>
      <c r="V506" s="142"/>
      <c r="W506" s="146"/>
      <c r="Z506" s="47"/>
      <c r="AA506" s="47"/>
      <c r="AB506" s="49"/>
      <c r="AC506" s="48"/>
      <c r="AD506" s="48"/>
      <c r="AE506" s="48"/>
      <c r="AF506" s="47"/>
      <c r="AG506" s="49"/>
      <c r="AH506" s="46"/>
      <c r="AI506" s="48">
        <v>1</v>
      </c>
      <c r="AJ506" s="48" t="s">
        <v>996</v>
      </c>
      <c r="AK506" s="49"/>
      <c r="AL506" s="28"/>
      <c r="AM506" s="28"/>
      <c r="AN506" s="28"/>
      <c r="AO506" s="28"/>
      <c r="AR506" s="134"/>
      <c r="AS506" s="134"/>
      <c r="AT506" s="136"/>
      <c r="AU506" s="134"/>
      <c r="AV506" s="136"/>
      <c r="AW506" s="135"/>
      <c r="AX506" s="28" t="s">
        <v>140</v>
      </c>
      <c r="AY506" s="135"/>
      <c r="AZ506" s="135"/>
      <c r="BA506" s="136"/>
      <c r="BD506" s="138" t="s">
        <v>113</v>
      </c>
      <c r="BE506" s="138">
        <v>331</v>
      </c>
      <c r="BF506" s="141">
        <v>246</v>
      </c>
      <c r="BG506" s="28"/>
      <c r="BH506" s="28"/>
      <c r="BI506" s="28"/>
      <c r="BJ506" s="138"/>
      <c r="BK506" s="141"/>
      <c r="BL506" s="28" t="s">
        <v>994</v>
      </c>
      <c r="BM506" s="28"/>
      <c r="BN506" s="141"/>
      <c r="BP506" s="28"/>
    </row>
    <row r="507" spans="3:68" x14ac:dyDescent="0.3">
      <c r="C507" s="142"/>
      <c r="D507" s="142"/>
      <c r="E507" s="143"/>
      <c r="F507" s="142"/>
      <c r="G507" s="143"/>
      <c r="H507" s="143"/>
      <c r="I507" s="199"/>
      <c r="J507" s="143">
        <v>4</v>
      </c>
      <c r="K507" s="143" t="s">
        <v>958</v>
      </c>
      <c r="L507" s="146">
        <v>182</v>
      </c>
      <c r="M507" s="28"/>
      <c r="N507" s="138"/>
      <c r="O507" s="138"/>
      <c r="P507" s="196"/>
      <c r="Q507" s="138"/>
      <c r="R507" s="196"/>
      <c r="S507" s="141"/>
      <c r="T507" s="138"/>
      <c r="U507" s="196"/>
      <c r="V507" s="138"/>
      <c r="W507" s="141"/>
      <c r="Z507" s="42"/>
      <c r="AA507" s="42">
        <v>0</v>
      </c>
      <c r="AB507" s="40">
        <v>0</v>
      </c>
      <c r="AC507" s="43">
        <v>0</v>
      </c>
      <c r="AD507" s="43">
        <v>0</v>
      </c>
      <c r="AE507" s="43">
        <v>0</v>
      </c>
      <c r="AF507" s="42"/>
      <c r="AG507" s="40"/>
      <c r="AH507" s="41"/>
      <c r="AI507" s="28" t="s">
        <v>149</v>
      </c>
      <c r="AJ507" s="28"/>
      <c r="AK507" s="40"/>
      <c r="AL507" s="28"/>
      <c r="AM507" s="28"/>
      <c r="AN507" s="28"/>
      <c r="AO507" s="28"/>
      <c r="AR507" s="138" t="s">
        <v>63</v>
      </c>
      <c r="AS507" s="138">
        <v>3</v>
      </c>
      <c r="AT507" s="141">
        <v>14</v>
      </c>
      <c r="AU507" s="138"/>
      <c r="AV507" s="141"/>
      <c r="AW507" s="28"/>
      <c r="AX507">
        <v>6</v>
      </c>
      <c r="AY507" s="28" t="s">
        <v>235</v>
      </c>
      <c r="AZ507" s="28"/>
      <c r="BA507" s="141"/>
      <c r="BD507" s="138" t="s">
        <v>133</v>
      </c>
      <c r="BE507" s="138">
        <v>0</v>
      </c>
      <c r="BF507" s="141">
        <v>0</v>
      </c>
      <c r="BG507" s="28"/>
      <c r="BH507" s="28"/>
      <c r="BI507" s="28"/>
      <c r="BJ507" s="138"/>
      <c r="BK507" s="141"/>
      <c r="BL507" s="28">
        <v>17</v>
      </c>
      <c r="BM507" s="28" t="s">
        <v>100</v>
      </c>
      <c r="BN507" s="141"/>
      <c r="BP507" s="28"/>
    </row>
    <row r="508" spans="3:68" x14ac:dyDescent="0.3">
      <c r="C508" s="134" t="s">
        <v>105</v>
      </c>
      <c r="D508" s="134">
        <v>1585</v>
      </c>
      <c r="E508" s="135">
        <v>1951</v>
      </c>
      <c r="F508" s="134"/>
      <c r="G508" s="135">
        <v>1604</v>
      </c>
      <c r="H508" s="135"/>
      <c r="I508" s="195"/>
      <c r="J508" s="135" t="s">
        <v>162</v>
      </c>
      <c r="K508" s="135"/>
      <c r="L508" s="136"/>
      <c r="M508" s="28"/>
      <c r="N508" s="138"/>
      <c r="O508" s="138"/>
      <c r="P508" s="196"/>
      <c r="Q508" s="138"/>
      <c r="R508" s="196"/>
      <c r="S508" s="141"/>
      <c r="T508" s="138"/>
      <c r="U508" s="196"/>
      <c r="V508" s="138"/>
      <c r="W508" s="141"/>
      <c r="Z508" s="42" t="s">
        <v>99</v>
      </c>
      <c r="AA508" s="42">
        <v>0</v>
      </c>
      <c r="AB508" s="40">
        <v>0</v>
      </c>
      <c r="AC508" s="28">
        <v>0</v>
      </c>
      <c r="AD508" s="28">
        <v>0</v>
      </c>
      <c r="AE508" s="28">
        <v>0</v>
      </c>
      <c r="AF508" s="42">
        <v>50633</v>
      </c>
      <c r="AG508" s="40">
        <v>6925</v>
      </c>
      <c r="AH508" s="41">
        <v>0</v>
      </c>
      <c r="AI508" s="43">
        <v>4</v>
      </c>
      <c r="AJ508" s="28" t="s">
        <v>153</v>
      </c>
      <c r="AK508" s="40"/>
      <c r="AL508" s="28"/>
      <c r="AM508" s="28"/>
      <c r="AN508" s="28"/>
      <c r="AO508" s="28"/>
      <c r="AR508" s="138" t="s">
        <v>78</v>
      </c>
      <c r="AS508" s="138">
        <v>34</v>
      </c>
      <c r="AT508" s="141">
        <v>24</v>
      </c>
      <c r="AU508" s="138"/>
      <c r="AV508" s="141"/>
      <c r="AW508" s="28"/>
      <c r="AX508" s="28">
        <v>1</v>
      </c>
      <c r="AY508" s="28" t="s">
        <v>1658</v>
      </c>
      <c r="AZ508" s="28"/>
      <c r="BA508" s="141"/>
      <c r="BD508" s="142" t="s">
        <v>84</v>
      </c>
      <c r="BE508" s="142">
        <v>331</v>
      </c>
      <c r="BF508" s="146">
        <v>246</v>
      </c>
      <c r="BG508" s="143"/>
      <c r="BH508" s="143"/>
      <c r="BI508" s="143"/>
      <c r="BJ508" s="142"/>
      <c r="BK508" s="146"/>
      <c r="BL508" s="43">
        <v>23</v>
      </c>
      <c r="BM508" s="43" t="s">
        <v>73</v>
      </c>
      <c r="BN508" s="146">
        <v>40</v>
      </c>
      <c r="BP508" s="28"/>
    </row>
    <row r="509" spans="3:68" x14ac:dyDescent="0.3">
      <c r="C509" s="138" t="s">
        <v>99</v>
      </c>
      <c r="D509" s="138">
        <v>1472</v>
      </c>
      <c r="E509" s="43">
        <v>2025</v>
      </c>
      <c r="F509" s="138"/>
      <c r="G509" s="28">
        <v>1294</v>
      </c>
      <c r="H509" s="28"/>
      <c r="I509" s="196"/>
      <c r="J509" s="28"/>
      <c r="K509" s="28"/>
      <c r="L509" s="141"/>
      <c r="M509" s="28"/>
      <c r="N509" s="138"/>
      <c r="O509" s="138"/>
      <c r="P509" s="196"/>
      <c r="Q509" s="138"/>
      <c r="R509" s="196"/>
      <c r="S509" s="141"/>
      <c r="T509" s="138"/>
      <c r="U509" s="196"/>
      <c r="V509" s="138"/>
      <c r="W509" s="141"/>
      <c r="Z509" s="42"/>
      <c r="AA509" s="42">
        <v>0</v>
      </c>
      <c r="AB509" s="40">
        <v>0</v>
      </c>
      <c r="AC509" s="43">
        <v>0</v>
      </c>
      <c r="AD509" s="43">
        <v>0</v>
      </c>
      <c r="AE509" s="43">
        <v>0</v>
      </c>
      <c r="AF509" s="42"/>
      <c r="AG509" s="40"/>
      <c r="AH509" s="41"/>
      <c r="AI509" s="43"/>
      <c r="AJ509" s="43"/>
      <c r="AK509" s="40"/>
      <c r="AL509" s="28"/>
      <c r="AM509" s="28"/>
      <c r="AN509" s="28"/>
      <c r="AO509" s="28"/>
      <c r="AR509" s="138" t="s">
        <v>209</v>
      </c>
      <c r="AS509" s="138">
        <v>0</v>
      </c>
      <c r="AT509" s="141">
        <v>0</v>
      </c>
      <c r="AU509" s="138"/>
      <c r="AV509" s="141"/>
      <c r="AW509" s="28"/>
      <c r="AX509" s="28">
        <v>1</v>
      </c>
      <c r="AY509" s="28" t="s">
        <v>126</v>
      </c>
      <c r="AZ509" s="28"/>
      <c r="BA509" s="141"/>
      <c r="BD509" s="196" t="s">
        <v>403</v>
      </c>
      <c r="BE509" s="138">
        <v>10</v>
      </c>
      <c r="BF509" s="141">
        <v>10</v>
      </c>
      <c r="BG509" s="134"/>
      <c r="BH509" s="135"/>
      <c r="BI509" s="136"/>
      <c r="BJ509" s="138"/>
      <c r="BK509" s="141"/>
      <c r="BL509" s="134" t="s">
        <v>140</v>
      </c>
      <c r="BM509" s="135"/>
      <c r="BN509" s="136"/>
      <c r="BP509" s="28"/>
    </row>
    <row r="510" spans="3:68" x14ac:dyDescent="0.3">
      <c r="C510" s="138"/>
      <c r="D510" s="138"/>
      <c r="E510" s="28"/>
      <c r="F510" s="138"/>
      <c r="G510" s="28"/>
      <c r="H510" s="28"/>
      <c r="I510" s="196"/>
      <c r="J510" s="43">
        <v>58</v>
      </c>
      <c r="K510" s="28" t="s">
        <v>101</v>
      </c>
      <c r="L510" s="141">
        <v>58</v>
      </c>
      <c r="N510" s="138"/>
      <c r="O510" s="138"/>
      <c r="P510" s="196"/>
      <c r="Q510" s="138"/>
      <c r="R510" s="196"/>
      <c r="S510" s="141"/>
      <c r="T510" s="138"/>
      <c r="U510" s="196"/>
      <c r="V510" s="138"/>
      <c r="W510" s="141"/>
      <c r="Z510" s="278" t="s">
        <v>99</v>
      </c>
      <c r="AA510" s="278">
        <v>0</v>
      </c>
      <c r="AB510" s="279">
        <v>0</v>
      </c>
      <c r="AC510" s="135">
        <v>0</v>
      </c>
      <c r="AD510" s="135">
        <v>0</v>
      </c>
      <c r="AE510" s="135">
        <v>0</v>
      </c>
      <c r="AF510" s="278">
        <v>164766</v>
      </c>
      <c r="AG510" s="279">
        <v>82385</v>
      </c>
      <c r="AH510" s="314">
        <v>0</v>
      </c>
      <c r="AI510" s="135" t="s">
        <v>157</v>
      </c>
      <c r="AJ510" s="135"/>
      <c r="AK510" s="279"/>
      <c r="AL510" s="28"/>
      <c r="AM510" s="28"/>
      <c r="AN510" s="28"/>
      <c r="AO510" s="28"/>
      <c r="AR510" s="138" t="s">
        <v>168</v>
      </c>
      <c r="AS510" s="138">
        <v>0</v>
      </c>
      <c r="AT510" s="141">
        <v>0</v>
      </c>
      <c r="AU510" s="138"/>
      <c r="AV510" s="141"/>
      <c r="AW510" s="28"/>
      <c r="AX510" s="28">
        <v>1</v>
      </c>
      <c r="AY510" s="28" t="s">
        <v>1659</v>
      </c>
      <c r="AZ510" s="28" t="s">
        <v>6</v>
      </c>
      <c r="BA510" s="141"/>
      <c r="BD510" s="196" t="s">
        <v>1660</v>
      </c>
      <c r="BE510" s="138">
        <v>0</v>
      </c>
      <c r="BF510" s="141">
        <v>7</v>
      </c>
      <c r="BG510" s="138"/>
      <c r="BH510" s="28"/>
      <c r="BI510" s="141"/>
      <c r="BJ510" s="138"/>
      <c r="BK510" s="141"/>
      <c r="BL510" s="138"/>
      <c r="BM510" s="28"/>
      <c r="BN510" s="141"/>
      <c r="BP510" s="28"/>
    </row>
    <row r="511" spans="3:68" x14ac:dyDescent="0.3">
      <c r="C511" s="138" t="s">
        <v>84</v>
      </c>
      <c r="D511" s="142">
        <f>SUM(D508:D510)</f>
        <v>3057</v>
      </c>
      <c r="E511" s="143">
        <f>SUM(E508:E510)</f>
        <v>3976</v>
      </c>
      <c r="F511" s="142"/>
      <c r="G511" s="143">
        <f>SUM(G508:G510)</f>
        <v>2898</v>
      </c>
      <c r="H511" s="143"/>
      <c r="I511" s="199">
        <v>4868</v>
      </c>
      <c r="J511" s="143"/>
      <c r="K511" s="143"/>
      <c r="L511" s="146"/>
      <c r="N511" s="138"/>
      <c r="O511" s="138"/>
      <c r="P511" s="196"/>
      <c r="Q511" s="138"/>
      <c r="R511" s="196"/>
      <c r="S511" s="141"/>
      <c r="T511" s="138"/>
      <c r="U511" s="196"/>
      <c r="V511" s="138"/>
      <c r="W511" s="141"/>
      <c r="Z511" s="42" t="s">
        <v>6</v>
      </c>
      <c r="AA511" s="42"/>
      <c r="AB511" s="40"/>
      <c r="AC511" s="28"/>
      <c r="AD511" s="28"/>
      <c r="AE511" s="28"/>
      <c r="AF511" s="42"/>
      <c r="AG511" s="40"/>
      <c r="AH511" s="41"/>
      <c r="AI511" s="43">
        <v>14</v>
      </c>
      <c r="AJ511" s="28" t="s">
        <v>153</v>
      </c>
      <c r="AK511" s="40"/>
      <c r="AL511" s="28"/>
      <c r="AM511" s="28"/>
      <c r="AN511" s="28"/>
      <c r="AO511" s="28"/>
      <c r="AR511" s="138" t="s">
        <v>81</v>
      </c>
      <c r="AS511" s="138">
        <v>20</v>
      </c>
      <c r="AT511" s="141">
        <v>22</v>
      </c>
      <c r="AU511" s="138"/>
      <c r="AV511" s="141"/>
      <c r="AW511" s="28"/>
      <c r="AX511" s="28">
        <v>35</v>
      </c>
      <c r="AY511" s="28" t="s">
        <v>903</v>
      </c>
      <c r="AZ511" s="28"/>
      <c r="BA511" s="141" t="s">
        <v>6</v>
      </c>
      <c r="BD511" s="196" t="s">
        <v>211</v>
      </c>
      <c r="BE511" s="138">
        <v>9</v>
      </c>
      <c r="BF511" s="141">
        <v>13</v>
      </c>
      <c r="BG511" s="138"/>
      <c r="BH511" s="28"/>
      <c r="BI511" s="141"/>
      <c r="BJ511" s="138"/>
      <c r="BK511" s="141"/>
      <c r="BL511" s="138"/>
      <c r="BM511" s="28"/>
      <c r="BN511" s="141"/>
      <c r="BP511" s="28"/>
    </row>
    <row r="512" spans="3:68" ht="15" thickBot="1" x14ac:dyDescent="0.35">
      <c r="C512" s="195" t="s">
        <v>181</v>
      </c>
      <c r="D512" s="135">
        <v>4128</v>
      </c>
      <c r="E512" s="135">
        <v>4767</v>
      </c>
      <c r="F512" s="134"/>
      <c r="G512" s="135" t="s">
        <v>60</v>
      </c>
      <c r="H512" s="136"/>
      <c r="I512" s="195"/>
      <c r="J512" s="134" t="s">
        <v>182</v>
      </c>
      <c r="K512" s="135"/>
      <c r="L512" s="136"/>
      <c r="N512" s="142" t="s">
        <v>84</v>
      </c>
      <c r="O512" s="142">
        <v>44035</v>
      </c>
      <c r="P512" s="199">
        <v>48796</v>
      </c>
      <c r="Q512" s="142">
        <v>0</v>
      </c>
      <c r="R512" s="199">
        <v>0</v>
      </c>
      <c r="S512" s="143"/>
      <c r="T512" s="142">
        <v>2126</v>
      </c>
      <c r="U512" s="199">
        <v>228</v>
      </c>
      <c r="V512" s="142"/>
      <c r="W512" s="146"/>
      <c r="Z512" s="42" t="s">
        <v>6</v>
      </c>
      <c r="AA512" s="42"/>
      <c r="AB512" s="40"/>
      <c r="AC512" s="28"/>
      <c r="AD512" s="28"/>
      <c r="AE512" s="28"/>
      <c r="AF512" s="42"/>
      <c r="AG512" s="40"/>
      <c r="AH512" s="41"/>
      <c r="AI512" s="28"/>
      <c r="AJ512" s="28"/>
      <c r="AK512" s="40"/>
      <c r="AL512" s="28"/>
      <c r="AM512" s="28"/>
      <c r="AN512" s="28"/>
      <c r="AO512" s="28"/>
      <c r="AR512" s="138" t="s">
        <v>72</v>
      </c>
      <c r="AS512" s="138">
        <v>22</v>
      </c>
      <c r="AT512" s="141">
        <v>28</v>
      </c>
      <c r="AU512" s="138"/>
      <c r="AV512" s="141"/>
      <c r="AW512" s="28"/>
      <c r="AX512" s="43">
        <v>1</v>
      </c>
      <c r="AY512" s="28" t="s">
        <v>216</v>
      </c>
      <c r="AZ512" s="28"/>
      <c r="BA512" s="141"/>
      <c r="BD512" s="196" t="s">
        <v>113</v>
      </c>
      <c r="BE512" s="138">
        <v>25</v>
      </c>
      <c r="BF512" s="141">
        <v>37</v>
      </c>
      <c r="BG512" s="138"/>
      <c r="BH512" s="28">
        <v>2</v>
      </c>
      <c r="BI512" s="141">
        <v>5</v>
      </c>
      <c r="BJ512" s="138"/>
      <c r="BK512" s="141"/>
      <c r="BL512" s="138" t="s">
        <v>142</v>
      </c>
      <c r="BM512" s="28"/>
      <c r="BN512" s="141" t="s">
        <v>1414</v>
      </c>
      <c r="BP512" s="28"/>
    </row>
    <row r="513" spans="3:68" x14ac:dyDescent="0.3">
      <c r="C513" s="196"/>
      <c r="D513" s="28"/>
      <c r="E513" s="28"/>
      <c r="F513" s="138"/>
      <c r="G513" s="28" t="s">
        <v>60</v>
      </c>
      <c r="H513" s="141"/>
      <c r="I513" s="196"/>
      <c r="J513" s="138">
        <v>1</v>
      </c>
      <c r="K513" s="28" t="s">
        <v>927</v>
      </c>
      <c r="L513" s="141"/>
      <c r="Z513" s="33" t="s">
        <v>102</v>
      </c>
      <c r="AA513" s="33">
        <v>721</v>
      </c>
      <c r="AB513" s="35">
        <v>874</v>
      </c>
      <c r="AC513" s="34">
        <v>0</v>
      </c>
      <c r="AD513" s="34">
        <v>0</v>
      </c>
      <c r="AE513" s="34">
        <v>0</v>
      </c>
      <c r="AF513" s="33">
        <v>0</v>
      </c>
      <c r="AG513" s="35">
        <v>0</v>
      </c>
      <c r="AH513" s="32">
        <v>0</v>
      </c>
      <c r="AI513" s="34" t="s">
        <v>1326</v>
      </c>
      <c r="AJ513" s="34"/>
      <c r="AK513" s="35"/>
      <c r="AL513" s="28"/>
      <c r="AM513" s="28"/>
      <c r="AN513" s="28"/>
      <c r="AO513" s="28"/>
      <c r="AR513" s="138" t="s">
        <v>115</v>
      </c>
      <c r="AS513" s="138">
        <v>8</v>
      </c>
      <c r="AT513" s="141">
        <v>14</v>
      </c>
      <c r="AU513" s="138"/>
      <c r="AV513" s="141"/>
      <c r="AW513" s="28"/>
      <c r="AX513" s="43">
        <v>8</v>
      </c>
      <c r="AY513" s="28" t="s">
        <v>217</v>
      </c>
      <c r="AZ513" s="28"/>
      <c r="BA513" s="141"/>
      <c r="BD513" s="196" t="s">
        <v>1661</v>
      </c>
      <c r="BE513" s="138">
        <v>0</v>
      </c>
      <c r="BF513" s="141">
        <v>7</v>
      </c>
      <c r="BG513" s="138"/>
      <c r="BH513" s="28"/>
      <c r="BI513" s="141"/>
      <c r="BJ513" s="138"/>
      <c r="BK513" s="141"/>
      <c r="BL513" s="138" t="s">
        <v>146</v>
      </c>
      <c r="BM513" s="28"/>
      <c r="BN513" s="141" t="s">
        <v>1662</v>
      </c>
      <c r="BP513" s="28"/>
    </row>
    <row r="514" spans="3:68" ht="15" thickBot="1" x14ac:dyDescent="0.35">
      <c r="C514" s="196" t="s">
        <v>84</v>
      </c>
      <c r="D514" s="28">
        <v>4128</v>
      </c>
      <c r="E514" s="28">
        <v>4767</v>
      </c>
      <c r="F514" s="138"/>
      <c r="G514" s="28" t="s">
        <v>60</v>
      </c>
      <c r="H514" s="141"/>
      <c r="I514" s="196">
        <v>5192</v>
      </c>
      <c r="J514" s="138">
        <v>26</v>
      </c>
      <c r="K514" s="28" t="s">
        <v>101</v>
      </c>
      <c r="L514" s="141"/>
      <c r="Z514" s="47"/>
      <c r="AA514" s="47"/>
      <c r="AB514" s="49"/>
      <c r="AC514" s="48"/>
      <c r="AD514" s="48"/>
      <c r="AE514" s="48"/>
      <c r="AF514" s="47"/>
      <c r="AG514" s="49"/>
      <c r="AH514" s="46"/>
      <c r="AI514" s="48">
        <v>9</v>
      </c>
      <c r="AJ514" s="48" t="s">
        <v>780</v>
      </c>
      <c r="AK514" s="49"/>
      <c r="AL514" s="28"/>
      <c r="AM514" s="28"/>
      <c r="AN514" s="28"/>
      <c r="AO514" s="28"/>
      <c r="AR514" s="138" t="s">
        <v>56</v>
      </c>
      <c r="AS514" s="138">
        <v>18</v>
      </c>
      <c r="AT514" s="141">
        <v>33</v>
      </c>
      <c r="AU514" s="138"/>
      <c r="AV514" s="141"/>
      <c r="AW514" s="28"/>
      <c r="AX514" s="43">
        <v>0</v>
      </c>
      <c r="AY514" s="28" t="s">
        <v>1640</v>
      </c>
      <c r="AZ514" s="28"/>
      <c r="BA514" s="141"/>
      <c r="BD514" s="196" t="s">
        <v>574</v>
      </c>
      <c r="BE514" s="138">
        <v>0</v>
      </c>
      <c r="BF514" s="141">
        <v>2</v>
      </c>
      <c r="BG514" s="138"/>
      <c r="BH514" s="28"/>
      <c r="BI514" s="141"/>
      <c r="BJ514" s="138"/>
      <c r="BK514" s="141"/>
      <c r="BL514" s="138"/>
      <c r="BM514" s="28"/>
      <c r="BN514" s="141" t="s">
        <v>712</v>
      </c>
      <c r="BP514" s="28"/>
    </row>
    <row r="515" spans="3:68" ht="15" thickBot="1" x14ac:dyDescent="0.35">
      <c r="C515" s="199"/>
      <c r="D515" s="28"/>
      <c r="E515" s="28"/>
      <c r="F515" s="142"/>
      <c r="G515" s="143"/>
      <c r="H515" s="146"/>
      <c r="I515" s="196"/>
      <c r="J515" s="138">
        <v>4</v>
      </c>
      <c r="K515" s="43" t="s">
        <v>94</v>
      </c>
      <c r="L515" s="141">
        <v>27</v>
      </c>
      <c r="Z515" s="33"/>
      <c r="AA515" s="33"/>
      <c r="AB515" s="35"/>
      <c r="AC515" s="34"/>
      <c r="AD515" s="34"/>
      <c r="AE515" s="34"/>
      <c r="AF515" s="33"/>
      <c r="AG515" s="35"/>
      <c r="AH515" s="32"/>
      <c r="AI515" s="34" t="s">
        <v>1831</v>
      </c>
      <c r="AJ515" s="34"/>
      <c r="AK515" s="35"/>
      <c r="AR515" s="138" t="s">
        <v>138</v>
      </c>
      <c r="AS515" s="138">
        <v>0</v>
      </c>
      <c r="AT515" s="141">
        <v>0</v>
      </c>
      <c r="AU515" s="138"/>
      <c r="AV515" s="141"/>
      <c r="AW515" s="28"/>
      <c r="AX515" s="43">
        <v>11</v>
      </c>
      <c r="AY515" s="28" t="s">
        <v>1294</v>
      </c>
      <c r="AZ515" s="28"/>
      <c r="BA515" s="141"/>
      <c r="BD515" s="196" t="s">
        <v>99</v>
      </c>
      <c r="BE515" s="138">
        <v>0</v>
      </c>
      <c r="BF515" s="141">
        <v>2</v>
      </c>
      <c r="BG515" s="138"/>
      <c r="BH515" s="28"/>
      <c r="BI515" s="141"/>
      <c r="BJ515" s="138"/>
      <c r="BK515" s="141"/>
      <c r="BL515" s="138" t="s">
        <v>151</v>
      </c>
      <c r="BM515" s="28"/>
      <c r="BN515" s="141"/>
      <c r="BP515" s="28"/>
    </row>
    <row r="516" spans="3:68" ht="15" thickBot="1" x14ac:dyDescent="0.35">
      <c r="C516" s="47" t="s">
        <v>84</v>
      </c>
      <c r="D516" s="253">
        <v>66683</v>
      </c>
      <c r="E516" s="253">
        <v>78140</v>
      </c>
      <c r="F516" s="253"/>
      <c r="G516" s="253">
        <v>3400</v>
      </c>
      <c r="H516" s="253"/>
      <c r="I516" s="254">
        <v>86638</v>
      </c>
      <c r="J516" s="171" t="s">
        <v>844</v>
      </c>
      <c r="K516" s="170"/>
      <c r="L516" s="172">
        <v>516</v>
      </c>
      <c r="Z516" s="42" t="s">
        <v>108</v>
      </c>
      <c r="AA516" s="42">
        <v>219</v>
      </c>
      <c r="AB516" s="40">
        <v>300</v>
      </c>
      <c r="AC516" s="28">
        <v>0</v>
      </c>
      <c r="AD516" s="43">
        <v>0</v>
      </c>
      <c r="AE516" s="43">
        <v>0</v>
      </c>
      <c r="AF516" s="42">
        <v>0</v>
      </c>
      <c r="AG516" s="40">
        <v>0</v>
      </c>
      <c r="AH516" s="41">
        <v>0</v>
      </c>
      <c r="AI516" s="43">
        <v>6</v>
      </c>
      <c r="AJ516" s="28" t="s">
        <v>780</v>
      </c>
      <c r="AK516" s="40"/>
      <c r="AR516" s="138" t="s">
        <v>67</v>
      </c>
      <c r="AS516" s="138">
        <v>23</v>
      </c>
      <c r="AT516" s="141">
        <v>36</v>
      </c>
      <c r="AU516" s="138"/>
      <c r="AV516" s="141"/>
      <c r="AW516" s="28"/>
      <c r="AX516" s="43">
        <v>5</v>
      </c>
      <c r="AY516" s="28" t="s">
        <v>472</v>
      </c>
      <c r="AZ516" s="28"/>
      <c r="BA516" s="141"/>
      <c r="BD516" s="196" t="s">
        <v>1663</v>
      </c>
      <c r="BE516" s="138">
        <v>1</v>
      </c>
      <c r="BF516" s="141">
        <v>1</v>
      </c>
      <c r="BG516" s="138"/>
      <c r="BH516" s="28"/>
      <c r="BI516" s="141"/>
      <c r="BJ516" s="138"/>
      <c r="BK516" s="141"/>
      <c r="BL516" s="138" t="s">
        <v>1664</v>
      </c>
      <c r="BM516" s="257" t="s">
        <v>1665</v>
      </c>
      <c r="BN516" s="141" t="s">
        <v>1666</v>
      </c>
      <c r="BP516" s="28"/>
    </row>
    <row r="517" spans="3:68" ht="15" thickBot="1" x14ac:dyDescent="0.35">
      <c r="C517" s="28"/>
      <c r="D517" s="178"/>
      <c r="E517" s="178"/>
      <c r="F517" s="178"/>
      <c r="G517" s="178"/>
      <c r="H517" s="178"/>
      <c r="I517" s="28"/>
      <c r="J517" s="28"/>
      <c r="K517" s="28"/>
      <c r="L517" s="28"/>
      <c r="Z517" s="47"/>
      <c r="AA517" s="47"/>
      <c r="AB517" s="49"/>
      <c r="AC517" s="48"/>
      <c r="AD517" s="48"/>
      <c r="AE517" s="48"/>
      <c r="AF517" s="47"/>
      <c r="AG517" s="49"/>
      <c r="AH517" s="46"/>
      <c r="AI517" s="48"/>
      <c r="AJ517" s="48"/>
      <c r="AK517" s="49"/>
      <c r="AR517" s="138" t="s">
        <v>122</v>
      </c>
      <c r="AS517" s="138">
        <v>5</v>
      </c>
      <c r="AT517" s="141">
        <v>1</v>
      </c>
      <c r="AU517" s="138"/>
      <c r="AV517" s="141"/>
      <c r="AW517" s="28"/>
      <c r="AX517" s="43">
        <v>5</v>
      </c>
      <c r="AY517" s="28" t="s">
        <v>618</v>
      </c>
      <c r="AZ517" s="28"/>
      <c r="BA517" s="141"/>
      <c r="BD517" s="196" t="s">
        <v>107</v>
      </c>
      <c r="BE517" s="138">
        <v>1</v>
      </c>
      <c r="BF517" s="141">
        <v>0</v>
      </c>
      <c r="BG517" s="138"/>
      <c r="BH517" s="28"/>
      <c r="BI517" s="141"/>
      <c r="BJ517" s="138"/>
      <c r="BK517" s="141"/>
      <c r="BL517" s="212" t="s">
        <v>1667</v>
      </c>
      <c r="BM517" s="28" t="s">
        <v>1668</v>
      </c>
      <c r="BN517" s="141" t="s">
        <v>1669</v>
      </c>
      <c r="BP517" s="28"/>
    </row>
    <row r="518" spans="3:68" ht="15" thickBot="1" x14ac:dyDescent="0.35"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Z518" s="47" t="s">
        <v>84</v>
      </c>
      <c r="AA518" s="202">
        <v>5137</v>
      </c>
      <c r="AB518" s="203">
        <v>9976</v>
      </c>
      <c r="AC518" s="48">
        <v>0</v>
      </c>
      <c r="AD518" s="48">
        <v>0</v>
      </c>
      <c r="AE518" s="48">
        <v>0</v>
      </c>
      <c r="AF518" s="202">
        <v>215399</v>
      </c>
      <c r="AG518" s="203">
        <v>89310</v>
      </c>
      <c r="AH518" s="48">
        <v>0</v>
      </c>
      <c r="AI518" s="202" t="s">
        <v>1260</v>
      </c>
      <c r="AJ518" s="48"/>
      <c r="AK518" s="49">
        <v>122</v>
      </c>
      <c r="AR518" s="138" t="s">
        <v>227</v>
      </c>
      <c r="AS518" s="138">
        <v>0</v>
      </c>
      <c r="AT518" s="141">
        <v>0</v>
      </c>
      <c r="AU518" s="138"/>
      <c r="AV518" s="141"/>
      <c r="AW518" s="28"/>
      <c r="AX518" s="43">
        <v>0</v>
      </c>
      <c r="AY518" s="28" t="s">
        <v>352</v>
      </c>
      <c r="AZ518" s="28"/>
      <c r="BA518" s="141"/>
      <c r="BD518" s="196" t="s">
        <v>1670</v>
      </c>
      <c r="BE518" s="138">
        <v>0</v>
      </c>
      <c r="BF518" s="141">
        <v>3</v>
      </c>
      <c r="BG518" s="138"/>
      <c r="BH518" s="28"/>
      <c r="BI518" s="141"/>
      <c r="BJ518" s="138"/>
      <c r="BK518" s="141"/>
      <c r="BL518" s="212" t="s">
        <v>1671</v>
      </c>
      <c r="BM518" s="28" t="s">
        <v>1672</v>
      </c>
      <c r="BN518" s="141"/>
      <c r="BP518" s="28"/>
    </row>
    <row r="519" spans="3:68" x14ac:dyDescent="0.3"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Z519" t="s">
        <v>193</v>
      </c>
      <c r="AK519" t="s">
        <v>6</v>
      </c>
      <c r="AR519" s="138" t="s">
        <v>230</v>
      </c>
      <c r="AS519" s="138">
        <v>21</v>
      </c>
      <c r="AT519" s="141">
        <v>23</v>
      </c>
      <c r="AU519" s="138"/>
      <c r="AV519" s="141"/>
      <c r="AW519" s="28"/>
      <c r="AX519" s="28">
        <v>4</v>
      </c>
      <c r="AY519" s="28" t="s">
        <v>655</v>
      </c>
      <c r="AZ519" s="28"/>
      <c r="BA519" s="141"/>
      <c r="BD519" s="196" t="s">
        <v>133</v>
      </c>
      <c r="BE519" s="138">
        <v>16</v>
      </c>
      <c r="BF519" s="141">
        <v>17</v>
      </c>
      <c r="BG519" s="138"/>
      <c r="BH519" s="28"/>
      <c r="BI519" s="141"/>
      <c r="BJ519" s="138"/>
      <c r="BK519" s="141"/>
      <c r="BL519" s="138" t="s">
        <v>1673</v>
      </c>
      <c r="BM519" s="43" t="s">
        <v>1674</v>
      </c>
      <c r="BN519" s="141" t="s">
        <v>1675</v>
      </c>
      <c r="BP519" s="28"/>
    </row>
    <row r="520" spans="3:68" ht="15" thickBot="1" x14ac:dyDescent="0.35">
      <c r="C520" s="28"/>
      <c r="D520" s="140"/>
      <c r="E520" s="140"/>
      <c r="F520" s="28"/>
      <c r="G520" s="140"/>
      <c r="H520" s="28"/>
      <c r="I520" s="28"/>
      <c r="J520" s="28"/>
      <c r="K520" s="28"/>
      <c r="L520" s="28"/>
      <c r="AR520" s="138" t="s">
        <v>125</v>
      </c>
      <c r="AS520" s="138">
        <v>0</v>
      </c>
      <c r="AT520" s="141">
        <v>0</v>
      </c>
      <c r="AU520" s="138"/>
      <c r="AV520" s="141"/>
      <c r="AW520" s="28"/>
      <c r="AX520" s="43">
        <v>2</v>
      </c>
      <c r="AY520" s="28" t="s">
        <v>1676</v>
      </c>
      <c r="AZ520" s="28"/>
      <c r="BA520" s="141"/>
      <c r="BD520" s="196" t="s">
        <v>108</v>
      </c>
      <c r="BE520" s="138">
        <v>0</v>
      </c>
      <c r="BF520" s="141">
        <v>5</v>
      </c>
      <c r="BG520" s="138"/>
      <c r="BH520" s="28"/>
      <c r="BI520" s="141"/>
      <c r="BJ520" s="138"/>
      <c r="BK520" s="141"/>
      <c r="BL520" s="138" t="s">
        <v>1677</v>
      </c>
      <c r="BM520" s="28" t="s">
        <v>1678</v>
      </c>
      <c r="BN520" s="141" t="s">
        <v>1679</v>
      </c>
      <c r="BP520" s="28"/>
    </row>
    <row r="521" spans="3:68" ht="15" thickBot="1" x14ac:dyDescent="0.35">
      <c r="Z521" s="171" t="s">
        <v>1830</v>
      </c>
      <c r="AA521" s="170">
        <v>3083</v>
      </c>
      <c r="AB521" s="170">
        <v>3374</v>
      </c>
      <c r="AC521" s="170">
        <v>0</v>
      </c>
      <c r="AD521" s="170">
        <v>0</v>
      </c>
      <c r="AE521" s="170">
        <v>0</v>
      </c>
      <c r="AF521" s="170">
        <v>233570</v>
      </c>
      <c r="AG521" s="170">
        <v>106677</v>
      </c>
      <c r="AH521" s="170"/>
      <c r="AI521" s="170" t="s">
        <v>939</v>
      </c>
      <c r="AJ521" s="170"/>
      <c r="AK521" s="172">
        <v>54</v>
      </c>
      <c r="AR521" s="138" t="s">
        <v>132</v>
      </c>
      <c r="AS521" s="138">
        <v>1</v>
      </c>
      <c r="AT521" s="141">
        <v>0</v>
      </c>
      <c r="AU521" s="138"/>
      <c r="AV521" s="141"/>
      <c r="AW521" s="28"/>
      <c r="AX521" s="43">
        <v>3</v>
      </c>
      <c r="AY521" s="28" t="s">
        <v>682</v>
      </c>
      <c r="AZ521" s="28"/>
      <c r="BA521" s="141"/>
      <c r="BD521" s="196" t="s">
        <v>139</v>
      </c>
      <c r="BE521" s="138">
        <v>3</v>
      </c>
      <c r="BF521" s="141">
        <v>0</v>
      </c>
      <c r="BG521" s="138"/>
      <c r="BH521" s="28"/>
      <c r="BI521" s="141"/>
      <c r="BJ521" s="138"/>
      <c r="BK521" s="141"/>
      <c r="BL521" s="212" t="s">
        <v>1680</v>
      </c>
      <c r="BM521" s="28" t="s">
        <v>376</v>
      </c>
      <c r="BN521" s="141" t="s">
        <v>1681</v>
      </c>
      <c r="BP521" s="28"/>
    </row>
    <row r="522" spans="3:68" x14ac:dyDescent="0.3">
      <c r="AR522" s="138" t="s">
        <v>536</v>
      </c>
      <c r="AS522" s="138">
        <v>0</v>
      </c>
      <c r="AT522" s="141">
        <v>0</v>
      </c>
      <c r="AU522" s="138"/>
      <c r="AV522" s="141"/>
      <c r="AW522" s="28"/>
      <c r="AX522" s="43">
        <v>57</v>
      </c>
      <c r="AY522" s="28" t="s">
        <v>215</v>
      </c>
      <c r="AZ522" s="28"/>
      <c r="BA522" s="141"/>
      <c r="BD522" s="196" t="s">
        <v>605</v>
      </c>
      <c r="BE522" s="138">
        <v>5</v>
      </c>
      <c r="BF522" s="141">
        <v>5</v>
      </c>
      <c r="BG522" s="138"/>
      <c r="BH522" s="28"/>
      <c r="BI522" s="141"/>
      <c r="BJ522" s="138"/>
      <c r="BK522" s="141"/>
      <c r="BL522" s="138" t="s">
        <v>1682</v>
      </c>
      <c r="BM522" s="43" t="s">
        <v>1683</v>
      </c>
      <c r="BN522" s="209" t="s">
        <v>1684</v>
      </c>
      <c r="BP522" s="28"/>
    </row>
    <row r="523" spans="3:68" ht="16.2" thickBot="1" x14ac:dyDescent="0.35">
      <c r="AR523" s="138" t="s">
        <v>84</v>
      </c>
      <c r="AS523" s="138">
        <v>155</v>
      </c>
      <c r="AT523" s="141">
        <v>195</v>
      </c>
      <c r="AU523" s="138"/>
      <c r="AV523" s="141"/>
      <c r="AW523" s="28"/>
      <c r="AX523" s="28">
        <v>0</v>
      </c>
      <c r="AY523" s="28" t="s">
        <v>244</v>
      </c>
      <c r="AZ523" s="28"/>
      <c r="BA523" s="141">
        <v>136</v>
      </c>
      <c r="BD523" s="196" t="s">
        <v>1685</v>
      </c>
      <c r="BE523" s="138">
        <v>1</v>
      </c>
      <c r="BF523" s="141">
        <v>0</v>
      </c>
      <c r="BG523" s="138"/>
      <c r="BH523" s="28"/>
      <c r="BI523" s="141"/>
      <c r="BJ523" s="138"/>
      <c r="BK523" s="141"/>
      <c r="BL523" s="138" t="s">
        <v>1686</v>
      </c>
      <c r="BM523" s="258" t="s">
        <v>1687</v>
      </c>
      <c r="BN523" s="209" t="s">
        <v>1688</v>
      </c>
      <c r="BP523" s="28"/>
    </row>
    <row r="524" spans="3:68" ht="15" thickBot="1" x14ac:dyDescent="0.35">
      <c r="AR524" s="171" t="s">
        <v>84</v>
      </c>
      <c r="AS524" s="207">
        <v>1699</v>
      </c>
      <c r="AT524" s="207">
        <v>1841</v>
      </c>
      <c r="AU524" s="207"/>
      <c r="AV524" s="208"/>
      <c r="AW524" s="170"/>
      <c r="AX524" s="170"/>
      <c r="AY524" s="170"/>
      <c r="AZ524" s="170"/>
      <c r="BA524" s="172">
        <v>306</v>
      </c>
      <c r="BD524" s="196" t="s">
        <v>1689</v>
      </c>
      <c r="BE524" s="138">
        <v>1</v>
      </c>
      <c r="BF524" s="141">
        <v>25</v>
      </c>
      <c r="BG524" s="138"/>
      <c r="BH524" s="28"/>
      <c r="BI524" s="141"/>
      <c r="BJ524" s="138"/>
      <c r="BK524" s="141"/>
      <c r="BL524" s="138" t="s">
        <v>1690</v>
      </c>
      <c r="BM524" s="43" t="s">
        <v>1691</v>
      </c>
      <c r="BN524" s="141" t="s">
        <v>1692</v>
      </c>
      <c r="BP524" s="28"/>
    </row>
    <row r="525" spans="3:68" ht="15.6" x14ac:dyDescent="0.3">
      <c r="BD525" s="259" t="s">
        <v>1624</v>
      </c>
      <c r="BE525" s="138">
        <v>0</v>
      </c>
      <c r="BF525" s="141">
        <v>135</v>
      </c>
      <c r="BG525" s="138"/>
      <c r="BH525" s="28"/>
      <c r="BI525" s="141"/>
      <c r="BJ525" s="138"/>
      <c r="BK525" s="141"/>
      <c r="BL525" s="138" t="s">
        <v>1693</v>
      </c>
      <c r="BM525" s="258"/>
      <c r="BN525" s="260"/>
      <c r="BP525" s="28"/>
    </row>
    <row r="526" spans="3:68" ht="15.6" x14ac:dyDescent="0.3">
      <c r="BD526" s="196" t="s">
        <v>564</v>
      </c>
      <c r="BE526" s="138">
        <v>0</v>
      </c>
      <c r="BF526" s="141">
        <v>0</v>
      </c>
      <c r="BG526" s="138"/>
      <c r="BH526" s="28"/>
      <c r="BI526" s="141"/>
      <c r="BJ526" s="138"/>
      <c r="BK526" s="141"/>
      <c r="BL526" s="138"/>
      <c r="BM526" s="258"/>
      <c r="BN526" s="141"/>
      <c r="BP526" s="28"/>
    </row>
    <row r="527" spans="3:68" ht="15.6" x14ac:dyDescent="0.3">
      <c r="BD527" s="196" t="s">
        <v>862</v>
      </c>
      <c r="BE527" s="138">
        <v>0</v>
      </c>
      <c r="BF527" s="141">
        <v>12</v>
      </c>
      <c r="BG527" s="138"/>
      <c r="BH527" s="28"/>
      <c r="BI527" s="141"/>
      <c r="BJ527" s="138"/>
      <c r="BK527" s="141"/>
      <c r="BL527" s="138"/>
      <c r="BM527" s="258"/>
      <c r="BN527" s="141"/>
      <c r="BP527" s="28"/>
    </row>
    <row r="528" spans="3:68" ht="15.6" x14ac:dyDescent="0.3">
      <c r="BD528" s="196" t="s">
        <v>200</v>
      </c>
      <c r="BE528" s="138">
        <v>3</v>
      </c>
      <c r="BF528" s="141">
        <v>0</v>
      </c>
      <c r="BG528" s="138"/>
      <c r="BH528" s="28"/>
      <c r="BI528" s="141"/>
      <c r="BJ528" s="138"/>
      <c r="BK528" s="141"/>
      <c r="BL528" s="138"/>
      <c r="BM528" s="258"/>
      <c r="BN528" s="141"/>
      <c r="BP528" s="28"/>
    </row>
    <row r="529" spans="3:68" ht="15.6" x14ac:dyDescent="0.3">
      <c r="BD529" s="196" t="s">
        <v>169</v>
      </c>
      <c r="BE529" s="138">
        <v>0</v>
      </c>
      <c r="BF529" s="141">
        <v>2</v>
      </c>
      <c r="BG529" s="138"/>
      <c r="BH529" s="28"/>
      <c r="BI529" s="141"/>
      <c r="BJ529" s="138"/>
      <c r="BK529" s="141"/>
      <c r="BL529" s="138"/>
      <c r="BM529" s="258"/>
      <c r="BN529" s="141"/>
      <c r="BP529" s="28"/>
    </row>
    <row r="530" spans="3:68" ht="15.6" x14ac:dyDescent="0.3">
      <c r="BD530" s="196" t="s">
        <v>596</v>
      </c>
      <c r="BE530" s="138">
        <v>1</v>
      </c>
      <c r="BF530" s="141">
        <v>3</v>
      </c>
      <c r="BG530" s="138"/>
      <c r="BH530" s="28"/>
      <c r="BI530" s="141"/>
      <c r="BJ530" s="138"/>
      <c r="BK530" s="141"/>
      <c r="BL530" s="138"/>
      <c r="BM530" s="258"/>
      <c r="BN530" s="141"/>
      <c r="BP530" s="28"/>
    </row>
    <row r="531" spans="3:68" ht="15.6" x14ac:dyDescent="0.3">
      <c r="BD531" s="196" t="s">
        <v>218</v>
      </c>
      <c r="BE531" s="138">
        <v>6</v>
      </c>
      <c r="BF531" s="141">
        <v>13</v>
      </c>
      <c r="BG531" s="138"/>
      <c r="BH531" s="28"/>
      <c r="BI531" s="141"/>
      <c r="BJ531" s="138"/>
      <c r="BK531" s="141"/>
      <c r="BL531" s="138"/>
      <c r="BM531" s="258"/>
      <c r="BN531" s="141"/>
      <c r="BP531" s="28"/>
    </row>
    <row r="532" spans="3:68" ht="15.6" x14ac:dyDescent="0.3">
      <c r="BD532" s="196" t="s">
        <v>93</v>
      </c>
      <c r="BE532" s="138">
        <v>4</v>
      </c>
      <c r="BF532" s="141">
        <v>7</v>
      </c>
      <c r="BG532" s="138"/>
      <c r="BH532" s="28"/>
      <c r="BI532" s="141"/>
      <c r="BJ532" s="138"/>
      <c r="BK532" s="141"/>
      <c r="BL532" s="138"/>
      <c r="BM532" s="258"/>
      <c r="BN532" s="141"/>
      <c r="BP532" s="28"/>
    </row>
    <row r="533" spans="3:68" x14ac:dyDescent="0.3">
      <c r="BD533" s="199" t="s">
        <v>84</v>
      </c>
      <c r="BE533" s="142">
        <v>86</v>
      </c>
      <c r="BF533" s="146">
        <v>283</v>
      </c>
      <c r="BG533" s="142"/>
      <c r="BH533" s="143"/>
      <c r="BI533" s="146"/>
      <c r="BJ533" s="142"/>
      <c r="BK533" s="146"/>
      <c r="BL533" s="142"/>
      <c r="BM533" s="143"/>
      <c r="BN533" s="146">
        <v>52</v>
      </c>
      <c r="BP533" s="28"/>
    </row>
    <row r="534" spans="3:68" x14ac:dyDescent="0.3">
      <c r="BD534" t="s">
        <v>223</v>
      </c>
      <c r="BE534">
        <v>5092</v>
      </c>
      <c r="BF534">
        <v>5811</v>
      </c>
      <c r="BG534">
        <v>0</v>
      </c>
      <c r="BH534">
        <v>2</v>
      </c>
      <c r="BI534">
        <v>5</v>
      </c>
      <c r="BJ534">
        <v>89000</v>
      </c>
      <c r="BK534">
        <v>21000</v>
      </c>
      <c r="BM534" t="s">
        <v>939</v>
      </c>
      <c r="BN534">
        <v>155</v>
      </c>
      <c r="BP534" s="28"/>
    </row>
    <row r="535" spans="3:68" x14ac:dyDescent="0.3">
      <c r="BD535" t="s">
        <v>1340</v>
      </c>
      <c r="BF535">
        <f>SUM(BN533)</f>
        <v>52</v>
      </c>
      <c r="BP535" s="28"/>
    </row>
    <row r="536" spans="3:68" x14ac:dyDescent="0.3">
      <c r="BD536" t="s">
        <v>229</v>
      </c>
      <c r="BF536">
        <v>20</v>
      </c>
      <c r="BP536" s="28"/>
    </row>
    <row r="537" spans="3:68" x14ac:dyDescent="0.3">
      <c r="BD537" t="s">
        <v>232</v>
      </c>
      <c r="BF537" s="178" t="s">
        <v>233</v>
      </c>
      <c r="BH537">
        <v>1699</v>
      </c>
      <c r="BJ537" t="s">
        <v>234</v>
      </c>
      <c r="BL537" t="s">
        <v>233</v>
      </c>
      <c r="BN537">
        <v>5092</v>
      </c>
      <c r="BP537" s="28"/>
    </row>
    <row r="538" spans="3:68" x14ac:dyDescent="0.3">
      <c r="E538" t="s">
        <v>0</v>
      </c>
      <c r="R538" t="s">
        <v>1</v>
      </c>
      <c r="AC538" t="s">
        <v>0</v>
      </c>
      <c r="AO538" t="s">
        <v>4</v>
      </c>
      <c r="AW538" s="28"/>
      <c r="AX538" s="28"/>
      <c r="AY538" s="28"/>
      <c r="AZ538" s="28"/>
      <c r="BA538" s="28"/>
      <c r="BB538" s="28"/>
      <c r="BC538" s="28"/>
      <c r="BF538" t="s">
        <v>236</v>
      </c>
      <c r="BH538">
        <v>1841</v>
      </c>
      <c r="BL538" t="s">
        <v>236</v>
      </c>
      <c r="BN538">
        <v>5811</v>
      </c>
      <c r="BP538" s="28"/>
    </row>
    <row r="539" spans="3:68" x14ac:dyDescent="0.3">
      <c r="F539" t="s">
        <v>2</v>
      </c>
      <c r="S539" t="s">
        <v>3</v>
      </c>
      <c r="AC539" t="s">
        <v>9</v>
      </c>
      <c r="AP539" t="s">
        <v>2</v>
      </c>
      <c r="AW539" s="28"/>
      <c r="AX539" s="28"/>
      <c r="AY539" s="28"/>
      <c r="AZ539" s="28"/>
      <c r="BA539" s="28"/>
      <c r="BB539" s="28"/>
      <c r="BC539" s="28"/>
      <c r="BD539" t="s">
        <v>238</v>
      </c>
      <c r="BE539" t="s">
        <v>239</v>
      </c>
      <c r="BG539" t="s">
        <v>240</v>
      </c>
      <c r="BH539" t="s">
        <v>241</v>
      </c>
      <c r="BK539" t="s">
        <v>242</v>
      </c>
      <c r="BL539" s="131" t="s">
        <v>243</v>
      </c>
      <c r="BP539" s="28"/>
    </row>
    <row r="540" spans="3:68" x14ac:dyDescent="0.3">
      <c r="C540" t="s">
        <v>6</v>
      </c>
      <c r="E540" t="s">
        <v>7</v>
      </c>
      <c r="Q540" t="s">
        <v>8</v>
      </c>
      <c r="AC540" t="s">
        <v>11</v>
      </c>
      <c r="AN540" t="s">
        <v>12</v>
      </c>
      <c r="AW540" s="28"/>
      <c r="AX540" s="28"/>
      <c r="AY540" s="28"/>
      <c r="AZ540" s="28"/>
      <c r="BA540" s="28"/>
      <c r="BB540" s="28"/>
      <c r="BC540" s="28"/>
      <c r="BD540" t="s">
        <v>233</v>
      </c>
      <c r="BF540">
        <v>66683</v>
      </c>
      <c r="BG540" s="236" t="s">
        <v>233</v>
      </c>
      <c r="BI540">
        <v>5137</v>
      </c>
      <c r="BJ540" t="s">
        <v>233</v>
      </c>
      <c r="BL540">
        <v>15113</v>
      </c>
      <c r="BM540" t="s">
        <v>245</v>
      </c>
      <c r="BN540">
        <f>SUM(BF540+BL540)</f>
        <v>81796</v>
      </c>
      <c r="BP540" s="28"/>
    </row>
    <row r="541" spans="3:68" x14ac:dyDescent="0.3">
      <c r="F541" t="s">
        <v>1694</v>
      </c>
      <c r="S541" t="s">
        <v>1694</v>
      </c>
      <c r="AD541" t="s">
        <v>1694</v>
      </c>
      <c r="AP541" t="s">
        <v>1694</v>
      </c>
      <c r="AW541" s="28"/>
      <c r="AX541" s="28"/>
      <c r="AY541" s="28"/>
      <c r="AZ541" s="28"/>
      <c r="BA541" s="28"/>
      <c r="BB541" s="28"/>
      <c r="BC541" s="28"/>
      <c r="BD541" t="s">
        <v>236</v>
      </c>
      <c r="BF541">
        <v>78140</v>
      </c>
      <c r="BG541" s="236" t="s">
        <v>236</v>
      </c>
      <c r="BI541">
        <v>9976</v>
      </c>
      <c r="BJ541" t="s">
        <v>236</v>
      </c>
      <c r="BL541">
        <v>10903</v>
      </c>
      <c r="BN541">
        <f>SUM(BF541+BL541)</f>
        <v>89043</v>
      </c>
      <c r="BO541">
        <f>SUM(BN540:BN541)</f>
        <v>170839</v>
      </c>
      <c r="BP541" s="28"/>
    </row>
    <row r="542" spans="3:68" x14ac:dyDescent="0.3">
      <c r="K542" s="194" t="s">
        <v>949</v>
      </c>
      <c r="W542" t="s">
        <v>15</v>
      </c>
      <c r="AI542" s="28" t="s">
        <v>25</v>
      </c>
      <c r="AT542" s="194" t="s">
        <v>951</v>
      </c>
      <c r="AW542" s="28"/>
      <c r="AX542" s="28"/>
      <c r="AY542" s="28"/>
      <c r="AZ542" s="28"/>
      <c r="BA542" s="28"/>
      <c r="BB542" s="28"/>
      <c r="BC542" s="28"/>
      <c r="BD542" s="28"/>
      <c r="BE542" s="28"/>
      <c r="BF542" s="28"/>
      <c r="BG542" s="28"/>
      <c r="BH542" s="28"/>
      <c r="BI542" s="28"/>
      <c r="BJ542" s="28"/>
      <c r="BK542" s="28"/>
      <c r="BL542" s="28"/>
      <c r="BM542" s="28"/>
      <c r="BN542" s="28"/>
      <c r="BO542" s="28"/>
      <c r="BP542" s="28"/>
    </row>
    <row r="543" spans="3:68" x14ac:dyDescent="0.3">
      <c r="C543" s="134" t="s">
        <v>17</v>
      </c>
      <c r="D543" s="134" t="s">
        <v>18</v>
      </c>
      <c r="E543" s="136"/>
      <c r="F543" s="135" t="s">
        <v>19</v>
      </c>
      <c r="G543" s="135"/>
      <c r="H543" s="135"/>
      <c r="I543" s="195" t="s">
        <v>20</v>
      </c>
      <c r="J543" s="135" t="s">
        <v>21</v>
      </c>
      <c r="K543" s="135"/>
      <c r="L543" s="136"/>
      <c r="N543" s="134" t="s">
        <v>17</v>
      </c>
      <c r="O543" s="135" t="s">
        <v>22</v>
      </c>
      <c r="P543" s="135"/>
      <c r="Q543" s="135" t="s">
        <v>23</v>
      </c>
      <c r="R543" s="135"/>
      <c r="S543" s="135"/>
      <c r="T543" s="135" t="s">
        <v>24</v>
      </c>
      <c r="U543" s="135"/>
      <c r="V543" s="135" t="s">
        <v>21</v>
      </c>
      <c r="W543" s="136"/>
      <c r="X543" s="28"/>
      <c r="Y543" s="134" t="s">
        <v>34</v>
      </c>
      <c r="Z543" s="134" t="s">
        <v>35</v>
      </c>
      <c r="AA543" s="136"/>
      <c r="AB543" s="135" t="s">
        <v>36</v>
      </c>
      <c r="AC543" s="135"/>
      <c r="AD543" s="135"/>
      <c r="AE543" s="134" t="s">
        <v>37</v>
      </c>
      <c r="AF543" s="136" t="s">
        <v>1288</v>
      </c>
      <c r="AG543" s="135" t="s">
        <v>30</v>
      </c>
      <c r="AH543" s="134" t="s">
        <v>38</v>
      </c>
      <c r="AI543" s="135"/>
      <c r="AJ543" s="136"/>
      <c r="AL543" s="134" t="s">
        <v>17</v>
      </c>
      <c r="AM543" s="134" t="s">
        <v>39</v>
      </c>
      <c r="AN543" s="136"/>
      <c r="AO543" s="134" t="s">
        <v>29</v>
      </c>
      <c r="AP543" s="136" t="s">
        <v>30</v>
      </c>
      <c r="AQ543" s="135" t="s">
        <v>40</v>
      </c>
      <c r="AR543" s="135"/>
      <c r="AS543" s="135"/>
      <c r="AT543" s="135"/>
      <c r="AU543" s="136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  <c r="BK543" s="28"/>
      <c r="BL543" s="28"/>
      <c r="BM543" s="28"/>
      <c r="BN543" s="28"/>
      <c r="BO543" s="28"/>
      <c r="BP543" s="28"/>
    </row>
    <row r="544" spans="3:68" ht="15" thickBot="1" x14ac:dyDescent="0.35">
      <c r="C544" s="138" t="s">
        <v>32</v>
      </c>
      <c r="D544" s="138"/>
      <c r="E544" s="141"/>
      <c r="F544" s="28"/>
      <c r="G544" s="28"/>
      <c r="H544" s="28"/>
      <c r="I544" s="196"/>
      <c r="J544" s="28" t="s">
        <v>33</v>
      </c>
      <c r="K544" s="28"/>
      <c r="L544" s="141"/>
      <c r="N544" s="138"/>
      <c r="O544" s="28"/>
      <c r="P544" s="28"/>
      <c r="Q544" s="28"/>
      <c r="R544" s="28"/>
      <c r="S544" s="28"/>
      <c r="T544" s="28"/>
      <c r="U544" s="28"/>
      <c r="V544" s="28" t="s">
        <v>33</v>
      </c>
      <c r="W544" s="141"/>
      <c r="X544" s="28"/>
      <c r="Y544" s="138" t="s">
        <v>50</v>
      </c>
      <c r="Z544" s="138" t="s">
        <v>43</v>
      </c>
      <c r="AA544" s="141" t="s">
        <v>44</v>
      </c>
      <c r="AB544" s="28" t="s">
        <v>45</v>
      </c>
      <c r="AC544" s="28" t="s">
        <v>46</v>
      </c>
      <c r="AD544" s="28" t="s">
        <v>52</v>
      </c>
      <c r="AE544" s="138" t="s">
        <v>43</v>
      </c>
      <c r="AF544" s="141" t="s">
        <v>44</v>
      </c>
      <c r="AG544" s="28" t="s">
        <v>43</v>
      </c>
      <c r="AH544" s="138" t="s">
        <v>53</v>
      </c>
      <c r="AI544" s="28"/>
      <c r="AJ544" s="141"/>
      <c r="AL544" s="138" t="s">
        <v>42</v>
      </c>
      <c r="AM544" s="138" t="s">
        <v>43</v>
      </c>
      <c r="AN544" s="141" t="s">
        <v>44</v>
      </c>
      <c r="AO544" s="138" t="s">
        <v>43</v>
      </c>
      <c r="AP544" s="141" t="s">
        <v>44</v>
      </c>
      <c r="AQ544" s="28"/>
      <c r="AR544" s="28"/>
      <c r="AS544" s="28"/>
      <c r="AT544" s="28"/>
      <c r="AU544" s="141"/>
      <c r="AW544" s="28"/>
      <c r="AX544" s="28"/>
      <c r="AY544" s="28"/>
      <c r="AZ544" s="28"/>
      <c r="BA544" s="28"/>
      <c r="BB544" s="28"/>
      <c r="BC544" s="28"/>
      <c r="BD544" s="28"/>
      <c r="BE544" s="28"/>
      <c r="BF544" s="28"/>
      <c r="BG544" s="28"/>
      <c r="BH544" s="28"/>
      <c r="BI544" s="28"/>
      <c r="BJ544" s="28"/>
      <c r="BK544" s="28"/>
      <c r="BL544" s="28"/>
      <c r="BM544" s="28"/>
      <c r="BN544" s="28"/>
      <c r="BO544" s="28"/>
      <c r="BP544" s="28"/>
    </row>
    <row r="545" spans="3:67" x14ac:dyDescent="0.3">
      <c r="C545" s="142" t="s">
        <v>42</v>
      </c>
      <c r="D545" s="142" t="s">
        <v>43</v>
      </c>
      <c r="E545" s="143" t="s">
        <v>44</v>
      </c>
      <c r="F545" s="197" t="s">
        <v>45</v>
      </c>
      <c r="G545" s="198" t="s">
        <v>46</v>
      </c>
      <c r="H545" s="198" t="s">
        <v>47</v>
      </c>
      <c r="I545" s="199" t="s">
        <v>48</v>
      </c>
      <c r="J545" s="143" t="s">
        <v>49</v>
      </c>
      <c r="K545" s="143"/>
      <c r="L545" s="146"/>
      <c r="N545" s="142" t="s">
        <v>50</v>
      </c>
      <c r="O545" s="143" t="s">
        <v>43</v>
      </c>
      <c r="P545" s="143" t="s">
        <v>44</v>
      </c>
      <c r="Q545" s="143" t="s">
        <v>43</v>
      </c>
      <c r="R545" s="143" t="s">
        <v>51</v>
      </c>
      <c r="S545" s="143" t="s">
        <v>44</v>
      </c>
      <c r="T545" s="143" t="s">
        <v>43</v>
      </c>
      <c r="U545" s="143" t="s">
        <v>44</v>
      </c>
      <c r="V545" s="143" t="s">
        <v>49</v>
      </c>
      <c r="W545" s="146"/>
      <c r="X545" s="28"/>
      <c r="Y545" s="33"/>
      <c r="Z545" s="33"/>
      <c r="AA545" s="35"/>
      <c r="AB545" s="34"/>
      <c r="AC545" s="34"/>
      <c r="AD545" s="34"/>
      <c r="AE545" s="33"/>
      <c r="AF545" s="35"/>
      <c r="AG545" s="32"/>
      <c r="AH545" s="33" t="s">
        <v>62</v>
      </c>
      <c r="AI545" s="34"/>
      <c r="AJ545" s="35"/>
      <c r="AL545" s="134"/>
      <c r="AM545" s="134"/>
      <c r="AN545" s="136"/>
      <c r="AO545" s="134"/>
      <c r="AP545" s="136"/>
      <c r="AQ545" s="135"/>
      <c r="AR545" s="135"/>
      <c r="AS545" s="135"/>
      <c r="AT545" s="135"/>
      <c r="AU545" s="136"/>
      <c r="AW545" s="28"/>
      <c r="AX545" s="28"/>
      <c r="AY545" s="28"/>
      <c r="AZ545" s="28"/>
      <c r="BA545" s="28"/>
      <c r="BB545" s="28"/>
      <c r="BC545" s="28"/>
      <c r="BD545" s="28"/>
      <c r="BE545" s="28"/>
      <c r="BF545" s="28"/>
      <c r="BG545" s="28"/>
      <c r="BH545" s="28"/>
      <c r="BI545" s="28"/>
      <c r="BJ545" s="28"/>
      <c r="BK545" s="28"/>
      <c r="BL545" s="257"/>
      <c r="BM545" s="28"/>
      <c r="BN545" s="28"/>
      <c r="BO545" s="28"/>
    </row>
    <row r="546" spans="3:67" x14ac:dyDescent="0.3">
      <c r="C546" s="134"/>
      <c r="D546" s="134"/>
      <c r="E546" s="135"/>
      <c r="F546" s="134"/>
      <c r="G546" s="135"/>
      <c r="H546" s="135"/>
      <c r="I546" s="195"/>
      <c r="J546" s="135" t="s">
        <v>396</v>
      </c>
      <c r="K546" s="135"/>
      <c r="L546" s="136"/>
      <c r="N546" s="134"/>
      <c r="O546" s="134"/>
      <c r="P546" s="195"/>
      <c r="Q546" s="134"/>
      <c r="R546" s="195"/>
      <c r="S546" s="136"/>
      <c r="T546" s="134"/>
      <c r="U546" s="195"/>
      <c r="V546" s="134" t="s">
        <v>396</v>
      </c>
      <c r="W546" s="136"/>
      <c r="X546" s="28"/>
      <c r="Y546" s="42"/>
      <c r="Z546" s="42"/>
      <c r="AA546" s="40"/>
      <c r="AB546" s="28"/>
      <c r="AC546" s="28"/>
      <c r="AD546" s="28"/>
      <c r="AE546" s="42"/>
      <c r="AF546" s="40"/>
      <c r="AG546" s="41"/>
      <c r="AH546" s="42"/>
      <c r="AI546" s="28" t="s">
        <v>1290</v>
      </c>
      <c r="AJ546" s="40"/>
      <c r="AL546" s="138"/>
      <c r="AM546" s="138"/>
      <c r="AN546" s="141"/>
      <c r="AO546" s="138"/>
      <c r="AP546" s="141"/>
      <c r="AQ546" s="28"/>
      <c r="AR546" s="28" t="s">
        <v>91</v>
      </c>
      <c r="AS546" s="28"/>
      <c r="AT546" s="28"/>
      <c r="AU546" s="141"/>
      <c r="AW546" s="28"/>
      <c r="AX546" s="28"/>
      <c r="AY546" s="28"/>
      <c r="AZ546" s="28"/>
      <c r="BA546" s="43"/>
      <c r="BB546" s="43"/>
      <c r="BC546" s="28"/>
      <c r="BD546" s="28"/>
      <c r="BE546" s="43"/>
      <c r="BF546" s="28"/>
      <c r="BG546" s="28"/>
      <c r="BH546" s="28"/>
      <c r="BI546" s="28"/>
      <c r="BJ546" s="28"/>
      <c r="BK546" s="28"/>
      <c r="BL546" s="28"/>
      <c r="BM546" s="28"/>
      <c r="BN546" s="28"/>
      <c r="BO546" s="28"/>
    </row>
    <row r="547" spans="3:67" x14ac:dyDescent="0.3">
      <c r="C547" s="138" t="s">
        <v>59</v>
      </c>
      <c r="D547" s="138">
        <v>1166</v>
      </c>
      <c r="E547" s="28">
        <v>1563</v>
      </c>
      <c r="F547" s="138"/>
      <c r="G547" s="28" t="s">
        <v>1291</v>
      </c>
      <c r="H547" s="28"/>
      <c r="I547" s="196">
        <v>1694</v>
      </c>
      <c r="J547" s="28">
        <v>6</v>
      </c>
      <c r="K547" s="28" t="s">
        <v>61</v>
      </c>
      <c r="L547" s="141"/>
      <c r="N547" s="138" t="s">
        <v>59</v>
      </c>
      <c r="O547" s="138">
        <v>16161</v>
      </c>
      <c r="P547" s="196">
        <v>14533</v>
      </c>
      <c r="Q547" s="138">
        <v>0</v>
      </c>
      <c r="R547" s="196">
        <v>0</v>
      </c>
      <c r="S547" s="141">
        <v>0</v>
      </c>
      <c r="T547" s="138">
        <v>0</v>
      </c>
      <c r="U547" s="196">
        <v>0</v>
      </c>
      <c r="V547" s="138"/>
      <c r="W547" s="141"/>
      <c r="X547" s="28"/>
      <c r="Y547" s="42" t="s">
        <v>59</v>
      </c>
      <c r="Z547" s="42">
        <v>1209</v>
      </c>
      <c r="AA547" s="40">
        <v>1339</v>
      </c>
      <c r="AB547" s="28">
        <v>0</v>
      </c>
      <c r="AC547" s="28">
        <v>0</v>
      </c>
      <c r="AD547" s="28">
        <v>0</v>
      </c>
      <c r="AE547" s="42">
        <v>330</v>
      </c>
      <c r="AF547" s="40">
        <v>0</v>
      </c>
      <c r="AG547" s="41">
        <v>0</v>
      </c>
      <c r="AH547" s="42">
        <v>4</v>
      </c>
      <c r="AI547" s="28" t="s">
        <v>66</v>
      </c>
      <c r="AJ547" s="40"/>
      <c r="AL547" s="138" t="s">
        <v>56</v>
      </c>
      <c r="AM547" s="138">
        <v>938</v>
      </c>
      <c r="AN547" s="141">
        <v>989</v>
      </c>
      <c r="AO547" s="138"/>
      <c r="AP547" s="141"/>
      <c r="AQ547" s="28"/>
      <c r="AR547" s="28"/>
      <c r="AS547" s="28"/>
      <c r="AT547" s="28"/>
      <c r="AU547" s="141"/>
      <c r="AW547" s="28"/>
      <c r="BB547" t="s">
        <v>5</v>
      </c>
      <c r="BE547" s="28"/>
      <c r="BF547" s="28"/>
      <c r="BG547" s="28"/>
      <c r="BH547" s="28"/>
      <c r="BI547" s="28"/>
      <c r="BJ547" s="28"/>
      <c r="BK547" s="28"/>
      <c r="BL547" s="28"/>
      <c r="BM547" s="28"/>
      <c r="BN547" s="28"/>
      <c r="BO547" s="28"/>
    </row>
    <row r="548" spans="3:67" ht="15" thickBot="1" x14ac:dyDescent="0.35">
      <c r="C548" s="138" t="s">
        <v>6</v>
      </c>
      <c r="D548" s="138"/>
      <c r="E548" s="28"/>
      <c r="F548" s="138"/>
      <c r="G548" s="28"/>
      <c r="H548" s="28"/>
      <c r="I548" s="196"/>
      <c r="J548" s="28"/>
      <c r="K548" s="28" t="s">
        <v>528</v>
      </c>
      <c r="L548" s="141">
        <v>6</v>
      </c>
      <c r="N548" s="142"/>
      <c r="O548" s="142"/>
      <c r="P548" s="199"/>
      <c r="Q548" s="142"/>
      <c r="R548" s="199"/>
      <c r="S548" s="146"/>
      <c r="T548" s="142"/>
      <c r="U548" s="199"/>
      <c r="V548" s="142"/>
      <c r="W548" s="146"/>
      <c r="X548" s="28"/>
      <c r="Y548" s="244"/>
      <c r="Z548" s="244"/>
      <c r="AA548" s="245"/>
      <c r="AB548" s="143"/>
      <c r="AC548" s="143"/>
      <c r="AD548" s="143"/>
      <c r="AE548" s="244"/>
      <c r="AF548" s="245"/>
      <c r="AG548" s="313"/>
      <c r="AH548" s="47"/>
      <c r="AI548" s="48" t="s">
        <v>436</v>
      </c>
      <c r="AJ548" s="49"/>
      <c r="AL548" s="142" t="s">
        <v>6</v>
      </c>
      <c r="AM548" s="142"/>
      <c r="AN548" s="146"/>
      <c r="AO548" s="142"/>
      <c r="AP548" s="146"/>
      <c r="AQ548" s="143"/>
      <c r="AR548" s="143">
        <v>67</v>
      </c>
      <c r="AS548" s="143" t="s">
        <v>1292</v>
      </c>
      <c r="AT548" s="143"/>
      <c r="AU548" s="146">
        <f>SUM(AR548)</f>
        <v>67</v>
      </c>
      <c r="AW548" s="28"/>
      <c r="BC548" t="s">
        <v>2</v>
      </c>
      <c r="BE548" s="28"/>
      <c r="BF548" s="28"/>
      <c r="BG548" s="28"/>
      <c r="BH548" s="28"/>
      <c r="BI548" s="28"/>
      <c r="BJ548" s="28"/>
      <c r="BK548" s="28"/>
      <c r="BL548" s="28"/>
      <c r="BM548" s="28"/>
      <c r="BN548" s="28"/>
      <c r="BO548" s="28"/>
    </row>
    <row r="549" spans="3:67" x14ac:dyDescent="0.3">
      <c r="C549" s="134"/>
      <c r="D549" s="134"/>
      <c r="E549" s="135"/>
      <c r="F549" s="134"/>
      <c r="G549" s="135"/>
      <c r="H549" s="135"/>
      <c r="I549" s="195"/>
      <c r="J549" s="135" t="s">
        <v>70</v>
      </c>
      <c r="K549" s="135"/>
      <c r="L549" s="136"/>
      <c r="N549" s="134"/>
      <c r="O549" s="134"/>
      <c r="P549" s="195"/>
      <c r="Q549" s="134"/>
      <c r="R549" s="195"/>
      <c r="S549" s="136"/>
      <c r="T549" s="134"/>
      <c r="U549" s="195"/>
      <c r="V549" s="134"/>
      <c r="W549" s="136"/>
      <c r="X549" s="28"/>
      <c r="Y549" s="278" t="s">
        <v>6</v>
      </c>
      <c r="Z549" s="278"/>
      <c r="AA549" s="279"/>
      <c r="AB549" s="135"/>
      <c r="AC549" s="135"/>
      <c r="AD549" s="135"/>
      <c r="AE549" s="278"/>
      <c r="AF549" s="279"/>
      <c r="AG549" s="314"/>
      <c r="AH549" s="28" t="s">
        <v>952</v>
      </c>
      <c r="AI549" s="28"/>
      <c r="AJ549" s="40"/>
      <c r="AL549" s="134"/>
      <c r="AM549" s="134"/>
      <c r="AN549" s="136"/>
      <c r="AO549" s="134"/>
      <c r="AP549" s="136"/>
      <c r="AQ549" s="135"/>
      <c r="AR549" s="135"/>
      <c r="AS549" s="135"/>
      <c r="AT549" s="135"/>
      <c r="AU549" s="136"/>
      <c r="AW549" s="28"/>
      <c r="BA549" t="s">
        <v>13</v>
      </c>
      <c r="BE549" s="28"/>
      <c r="BF549" s="28"/>
      <c r="BG549" s="28"/>
      <c r="BH549" s="28"/>
      <c r="BI549" s="28"/>
    </row>
    <row r="550" spans="3:67" ht="15" thickBot="1" x14ac:dyDescent="0.35">
      <c r="C550" s="138" t="s">
        <v>74</v>
      </c>
      <c r="D550" s="138">
        <v>746</v>
      </c>
      <c r="E550" s="28">
        <v>2479</v>
      </c>
      <c r="F550" s="138"/>
      <c r="G550" s="28" t="s">
        <v>1291</v>
      </c>
      <c r="H550" s="28"/>
      <c r="I550" s="196">
        <v>2584</v>
      </c>
      <c r="J550" s="28"/>
      <c r="K550" s="28" t="s">
        <v>75</v>
      </c>
      <c r="L550" s="141"/>
      <c r="N550" s="138"/>
      <c r="O550" s="138"/>
      <c r="P550" s="196"/>
      <c r="Q550" s="138"/>
      <c r="R550" s="196"/>
      <c r="S550" s="141"/>
      <c r="T550" s="138"/>
      <c r="U550" s="196"/>
      <c r="V550" s="138" t="s">
        <v>80</v>
      </c>
      <c r="W550" s="141"/>
      <c r="X550" s="28"/>
      <c r="Y550" s="42" t="s">
        <v>76</v>
      </c>
      <c r="Z550" s="42">
        <v>0</v>
      </c>
      <c r="AA550" s="40">
        <v>0</v>
      </c>
      <c r="AB550" s="28">
        <v>0</v>
      </c>
      <c r="AC550" s="28">
        <v>0</v>
      </c>
      <c r="AD550" s="28">
        <v>0</v>
      </c>
      <c r="AE550" s="42">
        <v>0</v>
      </c>
      <c r="AF550" s="40">
        <v>0</v>
      </c>
      <c r="AG550" s="41">
        <v>0</v>
      </c>
      <c r="AH550" s="43">
        <v>2</v>
      </c>
      <c r="AI550" s="28" t="s">
        <v>780</v>
      </c>
      <c r="AJ550" s="40"/>
      <c r="AL550" s="138" t="s">
        <v>63</v>
      </c>
      <c r="AM550" s="138">
        <v>25</v>
      </c>
      <c r="AN550" s="141">
        <v>32</v>
      </c>
      <c r="AO550" s="138"/>
      <c r="AP550" s="141"/>
      <c r="AQ550" s="28"/>
      <c r="AR550" s="28" t="s">
        <v>110</v>
      </c>
      <c r="AS550" s="28" t="s">
        <v>111</v>
      </c>
      <c r="AT550" s="28" t="s">
        <v>112</v>
      </c>
      <c r="AU550" s="141"/>
      <c r="AW550" s="28"/>
      <c r="BC550" t="s">
        <v>1694</v>
      </c>
      <c r="BE550" s="28"/>
      <c r="BF550" s="28"/>
      <c r="BG550" s="238" t="s">
        <v>1653</v>
      </c>
      <c r="BH550" s="28"/>
      <c r="BI550" s="28"/>
    </row>
    <row r="551" spans="3:67" x14ac:dyDescent="0.3">
      <c r="C551" s="138"/>
      <c r="D551" s="138"/>
      <c r="E551" s="28"/>
      <c r="F551" s="138"/>
      <c r="G551" s="28"/>
      <c r="H551" s="28"/>
      <c r="I551" s="196"/>
      <c r="J551" s="28"/>
      <c r="K551" s="28" t="s">
        <v>79</v>
      </c>
      <c r="L551" s="141"/>
      <c r="N551" s="138" t="s">
        <v>74</v>
      </c>
      <c r="O551" s="138">
        <v>16360</v>
      </c>
      <c r="P551" s="196">
        <v>201</v>
      </c>
      <c r="Q551" s="138">
        <v>0</v>
      </c>
      <c r="R551" s="196">
        <v>0</v>
      </c>
      <c r="S551" s="141">
        <v>0</v>
      </c>
      <c r="T551" s="138">
        <v>18</v>
      </c>
      <c r="U551" s="196">
        <v>0</v>
      </c>
      <c r="V551" s="138"/>
      <c r="W551" s="141"/>
      <c r="X551" s="28"/>
      <c r="Y551" s="32"/>
      <c r="Z551" s="34"/>
      <c r="AA551" s="34"/>
      <c r="AB551" s="33"/>
      <c r="AC551" s="34"/>
      <c r="AD551" s="35"/>
      <c r="AE551" s="34"/>
      <c r="AF551" s="34"/>
      <c r="AG551" s="32"/>
      <c r="AH551" s="33" t="s">
        <v>1298</v>
      </c>
      <c r="AI551" s="34"/>
      <c r="AJ551" s="35"/>
      <c r="AL551" s="138" t="s">
        <v>115</v>
      </c>
      <c r="AM551" s="138">
        <v>9</v>
      </c>
      <c r="AN551" s="141">
        <v>15</v>
      </c>
      <c r="AO551" s="138"/>
      <c r="AP551" s="141"/>
      <c r="AQ551" s="28"/>
      <c r="AR551" s="28"/>
      <c r="AS551" s="28"/>
      <c r="AT551" s="28"/>
      <c r="AU551" s="141"/>
      <c r="AW551" s="28"/>
      <c r="AX551" s="195" t="s">
        <v>17</v>
      </c>
      <c r="AY551" s="134" t="s">
        <v>27</v>
      </c>
      <c r="AZ551" s="135"/>
      <c r="BA551" s="134" t="s">
        <v>28</v>
      </c>
      <c r="BB551" s="135"/>
      <c r="BC551" s="136"/>
      <c r="BD551" s="134" t="s">
        <v>1289</v>
      </c>
      <c r="BE551" s="136"/>
      <c r="BF551" s="135" t="s">
        <v>31</v>
      </c>
      <c r="BG551" s="135"/>
      <c r="BH551" s="136"/>
      <c r="BI551" s="28"/>
    </row>
    <row r="552" spans="3:67" x14ac:dyDescent="0.3">
      <c r="C552" s="142"/>
      <c r="D552" s="142"/>
      <c r="E552" s="143"/>
      <c r="F552" s="142"/>
      <c r="G552" s="143"/>
      <c r="H552" s="143"/>
      <c r="I552" s="199"/>
      <c r="J552" s="143">
        <v>16</v>
      </c>
      <c r="K552" s="143" t="s">
        <v>83</v>
      </c>
      <c r="L552" s="146">
        <v>16</v>
      </c>
      <c r="N552" s="142"/>
      <c r="O552" s="142"/>
      <c r="P552" s="199"/>
      <c r="Q552" s="142"/>
      <c r="R552" s="199"/>
      <c r="S552" s="146"/>
      <c r="T552" s="142"/>
      <c r="U552" s="199"/>
      <c r="V552" s="142"/>
      <c r="W552" s="146"/>
      <c r="X552" s="28"/>
      <c r="Y552" s="41"/>
      <c r="AB552" s="42"/>
      <c r="AC552" s="28"/>
      <c r="AD552" s="40"/>
      <c r="AG552" s="41"/>
      <c r="AH552" s="42">
        <v>5</v>
      </c>
      <c r="AI552" s="43" t="s">
        <v>1633</v>
      </c>
      <c r="AJ552" s="40" t="s">
        <v>1695</v>
      </c>
      <c r="AL552" s="138" t="s">
        <v>72</v>
      </c>
      <c r="AM552" s="138">
        <v>2</v>
      </c>
      <c r="AN552" s="141">
        <v>0</v>
      </c>
      <c r="AO552" s="138"/>
      <c r="AP552" s="141"/>
      <c r="AQ552" s="28"/>
      <c r="AR552" s="28"/>
      <c r="AS552" s="28"/>
      <c r="AT552" s="28"/>
      <c r="AU552" s="141"/>
      <c r="AW552" s="28"/>
      <c r="AX552" s="196"/>
      <c r="AY552" s="138"/>
      <c r="AZ552" s="28"/>
      <c r="BA552" s="138"/>
      <c r="BB552" s="28"/>
      <c r="BC552" s="141"/>
      <c r="BD552" s="138"/>
      <c r="BE552" s="141"/>
      <c r="BF552" s="28" t="s">
        <v>41</v>
      </c>
      <c r="BG552" s="28"/>
      <c r="BH552" s="141"/>
      <c r="BI552" s="28"/>
    </row>
    <row r="553" spans="3:67" ht="15" thickBot="1" x14ac:dyDescent="0.35">
      <c r="C553" s="134"/>
      <c r="D553" s="134"/>
      <c r="E553" s="135"/>
      <c r="F553" s="134"/>
      <c r="G553" s="135"/>
      <c r="H553" s="135"/>
      <c r="I553" s="195"/>
      <c r="J553" s="135" t="s">
        <v>87</v>
      </c>
      <c r="K553" s="135"/>
      <c r="L553" s="136"/>
      <c r="N553" s="134"/>
      <c r="O553" s="134"/>
      <c r="P553" s="195"/>
      <c r="Q553" s="134"/>
      <c r="R553" s="195"/>
      <c r="S553" s="136"/>
      <c r="T553" s="134"/>
      <c r="U553" s="195"/>
      <c r="V553" s="134" t="s">
        <v>6</v>
      </c>
      <c r="W553" s="136"/>
      <c r="X553" s="28"/>
      <c r="Y553" s="46" t="s">
        <v>1300</v>
      </c>
      <c r="Z553" s="48">
        <v>252</v>
      </c>
      <c r="AA553" s="48">
        <v>361</v>
      </c>
      <c r="AB553" s="47">
        <v>0</v>
      </c>
      <c r="AC553" s="48">
        <v>0</v>
      </c>
      <c r="AD553" s="49">
        <v>0</v>
      </c>
      <c r="AE553" s="48">
        <v>0</v>
      </c>
      <c r="AF553" s="48">
        <v>0</v>
      </c>
      <c r="AG553" s="46">
        <v>0</v>
      </c>
      <c r="AH553" s="47">
        <v>2</v>
      </c>
      <c r="AI553" s="48" t="s">
        <v>145</v>
      </c>
      <c r="AJ553" s="49"/>
      <c r="AL553" s="138" t="s">
        <v>78</v>
      </c>
      <c r="AM553" s="138">
        <v>5</v>
      </c>
      <c r="AN553" s="141">
        <v>4</v>
      </c>
      <c r="AO553" s="138"/>
      <c r="AP553" s="141"/>
      <c r="AQ553" s="28"/>
      <c r="AR553" s="28"/>
      <c r="AS553" s="28"/>
      <c r="AT553" s="28"/>
      <c r="AU553" s="141"/>
      <c r="AW553" s="28"/>
      <c r="AX553" s="199" t="s">
        <v>42</v>
      </c>
      <c r="AY553" s="142" t="s">
        <v>43</v>
      </c>
      <c r="AZ553" s="143" t="s">
        <v>44</v>
      </c>
      <c r="BA553" s="142" t="s">
        <v>45</v>
      </c>
      <c r="BB553" s="143" t="s">
        <v>46</v>
      </c>
      <c r="BC553" s="146" t="s">
        <v>52</v>
      </c>
      <c r="BD553" s="142" t="s">
        <v>43</v>
      </c>
      <c r="BE553" s="146"/>
      <c r="BF553" s="143" t="s">
        <v>54</v>
      </c>
      <c r="BG553" s="143"/>
      <c r="BH553" s="146"/>
      <c r="BI553" s="28"/>
    </row>
    <row r="554" spans="3:67" x14ac:dyDescent="0.3">
      <c r="C554" s="138" t="s">
        <v>93</v>
      </c>
      <c r="D554" s="138">
        <v>2472</v>
      </c>
      <c r="E554" s="28">
        <v>3264</v>
      </c>
      <c r="F554" s="138"/>
      <c r="G554" s="28" t="s">
        <v>1291</v>
      </c>
      <c r="H554" s="28"/>
      <c r="I554" s="196">
        <v>3580</v>
      </c>
      <c r="J554" s="43"/>
      <c r="K554" s="28" t="s">
        <v>94</v>
      </c>
      <c r="L554" s="141"/>
      <c r="N554" s="138"/>
      <c r="O554" s="138"/>
      <c r="P554" s="196"/>
      <c r="Q554" s="138"/>
      <c r="R554" s="196"/>
      <c r="S554" s="141"/>
      <c r="T554" s="138"/>
      <c r="U554" s="196"/>
      <c r="V554" s="138"/>
      <c r="W554" s="141"/>
      <c r="X554" s="28"/>
      <c r="Y554" s="42" t="s">
        <v>89</v>
      </c>
      <c r="Z554" s="42">
        <v>36</v>
      </c>
      <c r="AA554" s="40">
        <v>37</v>
      </c>
      <c r="AB554" s="28"/>
      <c r="AC554" s="28"/>
      <c r="AD554" s="28"/>
      <c r="AE554" s="42"/>
      <c r="AF554" s="40"/>
      <c r="AG554" s="41"/>
      <c r="AH554" s="28" t="s">
        <v>90</v>
      </c>
      <c r="AI554" s="28"/>
      <c r="AJ554" s="40"/>
      <c r="AL554" s="138" t="s">
        <v>122</v>
      </c>
      <c r="AM554" s="138">
        <v>5</v>
      </c>
      <c r="AN554" s="141">
        <v>9</v>
      </c>
      <c r="AO554" s="138"/>
      <c r="AP554" s="141"/>
      <c r="AQ554" s="28"/>
      <c r="AR554" s="28">
        <v>27</v>
      </c>
      <c r="AS554" s="28" t="s">
        <v>123</v>
      </c>
      <c r="AT554" s="28" t="s">
        <v>6</v>
      </c>
      <c r="AU554" s="141"/>
      <c r="AW554" s="28"/>
      <c r="AX554" s="195" t="s">
        <v>64</v>
      </c>
      <c r="AY554" s="134">
        <v>99</v>
      </c>
      <c r="AZ554" s="136">
        <v>132</v>
      </c>
      <c r="BA554" s="134"/>
      <c r="BB554" s="135"/>
      <c r="BC554" s="136"/>
      <c r="BD554" s="134"/>
      <c r="BE554" s="136"/>
      <c r="BF554" s="134" t="s">
        <v>58</v>
      </c>
      <c r="BG554" s="135"/>
      <c r="BH554" s="136"/>
    </row>
    <row r="555" spans="3:67" x14ac:dyDescent="0.3">
      <c r="C555" s="138"/>
      <c r="D555" s="138"/>
      <c r="E555" s="28"/>
      <c r="F555" s="138"/>
      <c r="G555" s="28"/>
      <c r="H555" s="28"/>
      <c r="I555" s="196"/>
      <c r="J555" s="43">
        <v>20</v>
      </c>
      <c r="K555" s="28" t="s">
        <v>101</v>
      </c>
      <c r="L555" s="141">
        <v>20</v>
      </c>
      <c r="N555" s="138"/>
      <c r="O555" s="138"/>
      <c r="P555" s="196"/>
      <c r="Q555" s="138"/>
      <c r="R555" s="196"/>
      <c r="S555" s="141"/>
      <c r="T555" s="138"/>
      <c r="U555" s="196"/>
      <c r="V555" s="138"/>
      <c r="W555" s="141"/>
      <c r="X555" s="28"/>
      <c r="Y555" s="42" t="s">
        <v>137</v>
      </c>
      <c r="Z555" s="42">
        <v>0</v>
      </c>
      <c r="AA555" s="40">
        <v>0</v>
      </c>
      <c r="AB555" s="28">
        <v>0</v>
      </c>
      <c r="AC555" s="28">
        <v>0</v>
      </c>
      <c r="AD555" s="28">
        <v>0</v>
      </c>
      <c r="AE555" s="42">
        <v>0</v>
      </c>
      <c r="AF555" s="40">
        <v>0</v>
      </c>
      <c r="AG555" s="41">
        <v>0</v>
      </c>
      <c r="AH555" s="43">
        <v>0</v>
      </c>
      <c r="AI555" s="28" t="s">
        <v>529</v>
      </c>
      <c r="AJ555" s="40"/>
      <c r="AL555" s="138" t="s">
        <v>81</v>
      </c>
      <c r="AM555" s="138">
        <v>4</v>
      </c>
      <c r="AN555" s="141">
        <v>7</v>
      </c>
      <c r="AO555" s="138"/>
      <c r="AP555" s="141"/>
      <c r="AQ555" s="28"/>
      <c r="AR555" s="28">
        <v>0</v>
      </c>
      <c r="AS555" s="28" t="s">
        <v>126</v>
      </c>
      <c r="AT555" s="28"/>
      <c r="AU555" s="141"/>
      <c r="AW555" s="43"/>
      <c r="AX555" s="196" t="s">
        <v>56</v>
      </c>
      <c r="AY555" s="138">
        <v>7</v>
      </c>
      <c r="AZ555" s="141">
        <v>4</v>
      </c>
      <c r="BA555" s="138">
        <v>0</v>
      </c>
      <c r="BB555" s="43">
        <v>0</v>
      </c>
      <c r="BC555" s="209">
        <v>0</v>
      </c>
      <c r="BD555" s="138">
        <v>0</v>
      </c>
      <c r="BE555" s="141">
        <v>0</v>
      </c>
      <c r="BF555" s="212">
        <v>13</v>
      </c>
      <c r="BG555" s="28" t="s">
        <v>474</v>
      </c>
      <c r="BH555" s="141" t="s">
        <v>1654</v>
      </c>
    </row>
    <row r="556" spans="3:67" ht="15" thickBot="1" x14ac:dyDescent="0.35">
      <c r="C556" s="134" t="s">
        <v>108</v>
      </c>
      <c r="D556" s="134">
        <v>0</v>
      </c>
      <c r="E556" s="136">
        <v>0</v>
      </c>
      <c r="F556" s="135"/>
      <c r="G556" s="243">
        <v>234</v>
      </c>
      <c r="H556" s="135"/>
      <c r="I556" s="195"/>
      <c r="J556" s="135" t="s">
        <v>104</v>
      </c>
      <c r="K556" s="135"/>
      <c r="L556" s="136"/>
      <c r="N556" s="142"/>
      <c r="O556" s="142"/>
      <c r="P556" s="199"/>
      <c r="Q556" s="142"/>
      <c r="R556" s="199"/>
      <c r="S556" s="146"/>
      <c r="T556" s="142"/>
      <c r="U556" s="199"/>
      <c r="V556" s="142"/>
      <c r="W556" s="146"/>
      <c r="X556" s="28"/>
      <c r="Y556" s="42" t="s">
        <v>84</v>
      </c>
      <c r="Z556" s="244">
        <v>36</v>
      </c>
      <c r="AA556" s="245">
        <v>37</v>
      </c>
      <c r="AB556" s="28"/>
      <c r="AC556" s="28"/>
      <c r="AD556" s="28"/>
      <c r="AE556" s="244"/>
      <c r="AF556" s="245"/>
      <c r="AG556" s="41"/>
      <c r="AH556" s="43">
        <v>1</v>
      </c>
      <c r="AI556" s="28" t="s">
        <v>145</v>
      </c>
      <c r="AJ556" s="40"/>
      <c r="AL556" s="138" t="s">
        <v>1696</v>
      </c>
      <c r="AM556" s="138">
        <v>0</v>
      </c>
      <c r="AN556" s="141">
        <v>0</v>
      </c>
      <c r="AO556" s="138"/>
      <c r="AP556" s="141"/>
      <c r="AQ556" s="28"/>
      <c r="AR556" s="28">
        <v>29</v>
      </c>
      <c r="AS556" s="28" t="s">
        <v>129</v>
      </c>
      <c r="AT556" s="28" t="s">
        <v>6</v>
      </c>
      <c r="AU556" s="141"/>
      <c r="AW556" s="28"/>
      <c r="AX556" s="196" t="s">
        <v>1663</v>
      </c>
      <c r="AY556" s="138">
        <v>8</v>
      </c>
      <c r="AZ556" s="141">
        <v>22</v>
      </c>
      <c r="BA556" s="138">
        <v>0</v>
      </c>
      <c r="BB556" s="43">
        <v>0</v>
      </c>
      <c r="BC556" s="209">
        <v>0</v>
      </c>
      <c r="BD556" s="138">
        <v>0</v>
      </c>
      <c r="BE556" s="141">
        <v>0</v>
      </c>
      <c r="BF556" s="138">
        <v>2</v>
      </c>
      <c r="BG556" s="28" t="s">
        <v>69</v>
      </c>
      <c r="BH556" s="141">
        <v>17</v>
      </c>
    </row>
    <row r="557" spans="3:67" x14ac:dyDescent="0.3">
      <c r="C557" s="138" t="s">
        <v>109</v>
      </c>
      <c r="D557" s="138">
        <v>1116</v>
      </c>
      <c r="E557" s="141">
        <v>2542</v>
      </c>
      <c r="F557" s="28"/>
      <c r="G557" s="107">
        <v>0</v>
      </c>
      <c r="H557" s="107"/>
      <c r="I557" s="196"/>
      <c r="J557" s="28">
        <v>7</v>
      </c>
      <c r="K557" s="28" t="s">
        <v>114</v>
      </c>
      <c r="L557" s="141"/>
      <c r="N557" s="134"/>
      <c r="O557" s="134"/>
      <c r="P557" s="195"/>
      <c r="Q557" s="134"/>
      <c r="R557" s="195"/>
      <c r="S557" s="136"/>
      <c r="T557" s="134"/>
      <c r="U557" s="195"/>
      <c r="V557" s="134" t="s">
        <v>104</v>
      </c>
      <c r="W557" s="136"/>
      <c r="X557" s="28"/>
      <c r="Y557" s="32" t="s">
        <v>108</v>
      </c>
      <c r="Z557" s="135">
        <v>0</v>
      </c>
      <c r="AA557" s="135">
        <v>0</v>
      </c>
      <c r="AB557" s="33">
        <v>0</v>
      </c>
      <c r="AC557" s="34">
        <v>0</v>
      </c>
      <c r="AD557" s="35">
        <v>0</v>
      </c>
      <c r="AE557" s="135">
        <v>0</v>
      </c>
      <c r="AF557" s="135">
        <v>0</v>
      </c>
      <c r="AG557" s="32">
        <v>0</v>
      </c>
      <c r="AH557" s="34"/>
      <c r="AI557" s="34"/>
      <c r="AJ557" s="35"/>
      <c r="AL557" s="138" t="s">
        <v>56</v>
      </c>
      <c r="AM557" s="138">
        <v>0</v>
      </c>
      <c r="AN557" s="141">
        <v>0</v>
      </c>
      <c r="AO557" s="138"/>
      <c r="AP557" s="141"/>
      <c r="AQ557" s="28"/>
      <c r="AR557" s="28"/>
      <c r="AS557" s="28"/>
      <c r="AT557" s="28"/>
      <c r="AU557" s="141"/>
      <c r="AW557" s="43"/>
      <c r="AX557" s="239" t="s">
        <v>84</v>
      </c>
      <c r="AY557" s="142">
        <v>114</v>
      </c>
      <c r="AZ557" s="146">
        <v>158</v>
      </c>
      <c r="BA557" s="142">
        <v>0</v>
      </c>
      <c r="BB557" s="143">
        <v>0</v>
      </c>
      <c r="BC557" s="146">
        <v>0</v>
      </c>
      <c r="BD557" s="142">
        <v>0</v>
      </c>
      <c r="BE557" s="146">
        <v>0</v>
      </c>
      <c r="BF557" s="142"/>
      <c r="BG557" s="143"/>
      <c r="BH557" s="146"/>
      <c r="BI557" s="28"/>
    </row>
    <row r="558" spans="3:67" x14ac:dyDescent="0.3">
      <c r="C558" s="138" t="s">
        <v>84</v>
      </c>
      <c r="D558" s="138">
        <v>1116</v>
      </c>
      <c r="E558" s="141">
        <f>SUM(E556:E557)</f>
        <v>2542</v>
      </c>
      <c r="F558" s="28"/>
      <c r="G558" s="107">
        <v>234</v>
      </c>
      <c r="H558" s="28"/>
      <c r="I558" s="196">
        <v>2763</v>
      </c>
      <c r="J558" s="28"/>
      <c r="K558" s="28"/>
      <c r="L558" s="141"/>
      <c r="N558" s="138" t="s">
        <v>109</v>
      </c>
      <c r="O558" s="138"/>
      <c r="P558" s="196"/>
      <c r="Q558" s="138">
        <v>0</v>
      </c>
      <c r="R558" s="196">
        <v>0</v>
      </c>
      <c r="S558" s="141">
        <v>0</v>
      </c>
      <c r="T558" s="138">
        <v>0</v>
      </c>
      <c r="U558" s="196">
        <v>0</v>
      </c>
      <c r="V558" s="138"/>
      <c r="W558" s="141"/>
      <c r="X558" s="28"/>
      <c r="Y558" s="41" t="s">
        <v>817</v>
      </c>
      <c r="Z558" s="43">
        <v>212</v>
      </c>
      <c r="AA558" s="43">
        <v>5610</v>
      </c>
      <c r="AB558" s="42">
        <v>0</v>
      </c>
      <c r="AC558" s="28">
        <v>0</v>
      </c>
      <c r="AD558" s="40">
        <v>0</v>
      </c>
      <c r="AE558" s="43">
        <v>0</v>
      </c>
      <c r="AF558" s="43">
        <v>0</v>
      </c>
      <c r="AG558" s="41">
        <v>0</v>
      </c>
      <c r="AH558" s="28" t="s">
        <v>1302</v>
      </c>
      <c r="AI558" s="28" t="s">
        <v>6</v>
      </c>
      <c r="AJ558" s="40"/>
      <c r="AL558" s="138" t="s">
        <v>67</v>
      </c>
      <c r="AM558" s="138">
        <v>22</v>
      </c>
      <c r="AN558" s="141">
        <v>36</v>
      </c>
      <c r="AO558" s="138"/>
      <c r="AP558" s="141"/>
      <c r="AQ558" s="28"/>
      <c r="AR558" s="28"/>
      <c r="AS558" s="28"/>
      <c r="AT558" s="28"/>
      <c r="AU558" s="141" t="s">
        <v>6</v>
      </c>
      <c r="AW558" s="43"/>
      <c r="AX558" s="195" t="s">
        <v>6</v>
      </c>
      <c r="AY558" s="134"/>
      <c r="AZ558" s="136"/>
      <c r="BA558" s="135"/>
      <c r="BB558" s="135"/>
      <c r="BC558" s="135"/>
      <c r="BD558" s="134"/>
      <c r="BE558" s="136"/>
      <c r="BF558" s="135" t="s">
        <v>1656</v>
      </c>
      <c r="BG558" s="135"/>
      <c r="BH558" s="136"/>
    </row>
    <row r="559" spans="3:67" x14ac:dyDescent="0.3">
      <c r="C559" s="138"/>
      <c r="D559" s="138"/>
      <c r="E559" s="141"/>
      <c r="F559" s="28"/>
      <c r="G559" s="28"/>
      <c r="H559" s="28"/>
      <c r="I559" s="196"/>
      <c r="J559" s="28"/>
      <c r="K559" s="28"/>
      <c r="L559" s="141">
        <v>7</v>
      </c>
      <c r="N559" s="142"/>
      <c r="O559" s="142"/>
      <c r="P559" s="199"/>
      <c r="Q559" s="142"/>
      <c r="R559" s="199"/>
      <c r="S559" s="146"/>
      <c r="T559" s="142"/>
      <c r="U559" s="199"/>
      <c r="V559" s="142"/>
      <c r="W559" s="146"/>
      <c r="X559" s="28"/>
      <c r="Y559" s="41" t="s">
        <v>1832</v>
      </c>
      <c r="Z559" s="43">
        <v>0</v>
      </c>
      <c r="AA559" s="43">
        <v>282</v>
      </c>
      <c r="AB559" s="42">
        <v>0</v>
      </c>
      <c r="AC559" s="43">
        <v>0</v>
      </c>
      <c r="AD559" s="40">
        <v>0</v>
      </c>
      <c r="AE559" s="43">
        <v>0</v>
      </c>
      <c r="AF559" s="43">
        <v>0</v>
      </c>
      <c r="AG559" s="41">
        <v>0</v>
      </c>
      <c r="AH559" s="28">
        <v>40</v>
      </c>
      <c r="AI559" s="43" t="s">
        <v>359</v>
      </c>
      <c r="AJ559" s="40"/>
      <c r="AL559" s="138" t="s">
        <v>125</v>
      </c>
      <c r="AM559" s="138">
        <v>0</v>
      </c>
      <c r="AN559" s="141">
        <v>0</v>
      </c>
      <c r="AO559" s="138"/>
      <c r="AP559" s="141"/>
      <c r="AQ559" s="28"/>
      <c r="AR559" s="28"/>
      <c r="AS559" s="28"/>
      <c r="AT559" s="28"/>
      <c r="AU559" s="141"/>
      <c r="AW559" s="43"/>
      <c r="AX559" s="199" t="s">
        <v>113</v>
      </c>
      <c r="AY559" s="142">
        <v>15</v>
      </c>
      <c r="AZ559" s="146">
        <v>19</v>
      </c>
      <c r="BA559" s="143">
        <v>0</v>
      </c>
      <c r="BB559" s="143">
        <v>0</v>
      </c>
      <c r="BC559" s="143">
        <v>0</v>
      </c>
      <c r="BD559" s="142"/>
      <c r="BE559" s="146"/>
      <c r="BF559" s="143">
        <v>1</v>
      </c>
      <c r="BG559" s="143" t="s">
        <v>73</v>
      </c>
      <c r="BH559" s="146">
        <f>SUM(BF559)</f>
        <v>1</v>
      </c>
    </row>
    <row r="560" spans="3:67" x14ac:dyDescent="0.3">
      <c r="C560" s="134" t="s">
        <v>785</v>
      </c>
      <c r="D560" s="134">
        <v>643</v>
      </c>
      <c r="E560" s="242">
        <v>731</v>
      </c>
      <c r="F560" s="135"/>
      <c r="G560" s="135"/>
      <c r="H560" s="135"/>
      <c r="I560" s="195">
        <v>761</v>
      </c>
      <c r="J560" s="135" t="s">
        <v>118</v>
      </c>
      <c r="K560" s="135"/>
      <c r="L560" s="136"/>
      <c r="N560" s="134" t="s">
        <v>93</v>
      </c>
      <c r="O560" s="134">
        <v>0</v>
      </c>
      <c r="P560" s="195">
        <v>0</v>
      </c>
      <c r="Q560" s="134">
        <v>0</v>
      </c>
      <c r="R560" s="195">
        <v>0</v>
      </c>
      <c r="S560" s="136">
        <v>0</v>
      </c>
      <c r="T560" s="134">
        <v>0</v>
      </c>
      <c r="U560" s="195">
        <v>0</v>
      </c>
      <c r="V560" s="134" t="s">
        <v>116</v>
      </c>
      <c r="W560" s="136"/>
      <c r="X560" s="28"/>
      <c r="Y560" s="41" t="s">
        <v>99</v>
      </c>
      <c r="Z560" s="43">
        <v>0</v>
      </c>
      <c r="AA560" s="43">
        <v>0</v>
      </c>
      <c r="AB560" s="42">
        <v>0</v>
      </c>
      <c r="AC560" s="43">
        <v>0</v>
      </c>
      <c r="AD560" s="40">
        <v>0</v>
      </c>
      <c r="AE560" s="43">
        <v>0</v>
      </c>
      <c r="AF560" s="43">
        <v>0</v>
      </c>
      <c r="AG560" s="41"/>
      <c r="AH560" s="43">
        <v>1</v>
      </c>
      <c r="AI560" s="43" t="s">
        <v>1346</v>
      </c>
      <c r="AJ560" s="40"/>
      <c r="AL560" s="138" t="s">
        <v>536</v>
      </c>
      <c r="AM560" s="138">
        <v>0</v>
      </c>
      <c r="AN560" s="141">
        <v>0</v>
      </c>
      <c r="AO560" s="138"/>
      <c r="AP560" s="141"/>
      <c r="AQ560" s="28"/>
      <c r="AR560" s="28"/>
      <c r="AS560" s="28"/>
      <c r="AT560" s="28"/>
      <c r="AU560" s="141"/>
      <c r="AW560" s="43"/>
      <c r="AX560" s="195" t="s">
        <v>107</v>
      </c>
      <c r="AY560" s="134">
        <v>0</v>
      </c>
      <c r="AZ560" s="136">
        <v>0</v>
      </c>
      <c r="BA560" s="135"/>
      <c r="BB560" s="135"/>
      <c r="BC560" s="135"/>
      <c r="BD560" s="134"/>
      <c r="BE560" s="136"/>
      <c r="BF560" s="135"/>
      <c r="BG560" s="135" t="s">
        <v>92</v>
      </c>
      <c r="BH560" s="136"/>
    </row>
    <row r="561" spans="3:68" ht="15" thickBot="1" x14ac:dyDescent="0.35">
      <c r="C561" s="138" t="s">
        <v>93</v>
      </c>
      <c r="D561" s="138">
        <v>6335</v>
      </c>
      <c r="E561" s="209">
        <v>6908</v>
      </c>
      <c r="F561" s="28"/>
      <c r="G561" s="28"/>
      <c r="H561" s="28"/>
      <c r="I561" s="196">
        <v>7850</v>
      </c>
      <c r="J561" s="28">
        <v>69</v>
      </c>
      <c r="K561" s="28" t="s">
        <v>101</v>
      </c>
      <c r="L561" s="141"/>
      <c r="N561" s="138" t="s">
        <v>99</v>
      </c>
      <c r="O561" s="138">
        <v>11564</v>
      </c>
      <c r="P561" s="196">
        <v>4623</v>
      </c>
      <c r="Q561" s="138"/>
      <c r="R561" s="196"/>
      <c r="S561" s="141"/>
      <c r="T561" s="138">
        <v>3677</v>
      </c>
      <c r="U561" s="196">
        <v>407</v>
      </c>
      <c r="V561" s="138"/>
      <c r="W561" s="141"/>
      <c r="X561" s="28"/>
      <c r="Y561" s="46" t="s">
        <v>84</v>
      </c>
      <c r="Z561" s="28">
        <v>212</v>
      </c>
      <c r="AA561" s="43">
        <v>5892</v>
      </c>
      <c r="AB561" s="47">
        <v>0</v>
      </c>
      <c r="AC561" s="48">
        <v>0</v>
      </c>
      <c r="AD561" s="49">
        <v>0</v>
      </c>
      <c r="AE561" s="43">
        <v>0</v>
      </c>
      <c r="AF561" s="43">
        <v>0</v>
      </c>
      <c r="AG561" s="46">
        <v>0</v>
      </c>
      <c r="AH561" s="48"/>
      <c r="AI561" s="48"/>
      <c r="AJ561" s="49"/>
      <c r="AL561" s="138" t="s">
        <v>132</v>
      </c>
      <c r="AM561" s="138">
        <v>0</v>
      </c>
      <c r="AN561" s="141">
        <v>0</v>
      </c>
      <c r="AO561" s="138"/>
      <c r="AP561" s="141"/>
      <c r="AQ561" s="28"/>
      <c r="AR561" s="28"/>
      <c r="AS561" s="28"/>
      <c r="AT561" s="28"/>
      <c r="AU561" s="141"/>
      <c r="AW561" s="28"/>
      <c r="AX561" s="196" t="s">
        <v>99</v>
      </c>
      <c r="AY561" s="138">
        <v>0</v>
      </c>
      <c r="AZ561" s="141">
        <v>0</v>
      </c>
      <c r="BA561" s="28">
        <v>0</v>
      </c>
      <c r="BB561" s="28">
        <v>0</v>
      </c>
      <c r="BC561" s="28">
        <v>0</v>
      </c>
      <c r="BD561" s="138">
        <v>66197</v>
      </c>
      <c r="BE561" s="141">
        <v>16362</v>
      </c>
      <c r="BF561" s="43">
        <v>23</v>
      </c>
      <c r="BG561" s="28" t="s">
        <v>100</v>
      </c>
      <c r="BH561" s="141"/>
    </row>
    <row r="562" spans="3:68" x14ac:dyDescent="0.3">
      <c r="C562" s="138" t="s">
        <v>120</v>
      </c>
      <c r="D562" s="212">
        <v>5368</v>
      </c>
      <c r="E562" s="209">
        <v>6606</v>
      </c>
      <c r="F562" s="28"/>
      <c r="G562" s="28" t="s">
        <v>1291</v>
      </c>
      <c r="H562" s="28"/>
      <c r="I562" s="211">
        <v>7100</v>
      </c>
      <c r="J562" s="28">
        <v>25</v>
      </c>
      <c r="K562" s="28" t="s">
        <v>927</v>
      </c>
      <c r="L562" s="141"/>
      <c r="N562" s="138" t="s">
        <v>120</v>
      </c>
      <c r="O562" s="138">
        <v>176</v>
      </c>
      <c r="P562" s="196">
        <v>12409</v>
      </c>
      <c r="Q562" s="138">
        <v>0</v>
      </c>
      <c r="R562" s="196">
        <v>0</v>
      </c>
      <c r="S562" s="141">
        <v>0</v>
      </c>
      <c r="T562" s="138">
        <v>0</v>
      </c>
      <c r="U562" s="196"/>
      <c r="V562" s="138"/>
      <c r="W562" s="141"/>
      <c r="X562" s="28"/>
      <c r="Y562" s="42"/>
      <c r="Z562" s="33"/>
      <c r="AA562" s="35"/>
      <c r="AB562" s="34"/>
      <c r="AC562" s="34"/>
      <c r="AD562" s="34"/>
      <c r="AE562" s="33"/>
      <c r="AF562" s="35"/>
      <c r="AG562" s="32"/>
      <c r="AH562" s="34"/>
      <c r="AI562" s="34" t="s">
        <v>117</v>
      </c>
      <c r="AJ562" s="35"/>
      <c r="AL562" s="142" t="s">
        <v>84</v>
      </c>
      <c r="AM562" s="142">
        <f>SUM(AM550:AM561)</f>
        <v>72</v>
      </c>
      <c r="AN562" s="146">
        <f>SUM(AN550:AN561)</f>
        <v>103</v>
      </c>
      <c r="AO562" s="142"/>
      <c r="AP562" s="146"/>
      <c r="AQ562" s="143"/>
      <c r="AR562" s="143"/>
      <c r="AS562" s="143"/>
      <c r="AT562" s="143"/>
      <c r="AU562" s="146">
        <v>56</v>
      </c>
      <c r="AW562" s="28"/>
      <c r="AX562" s="199" t="s">
        <v>84</v>
      </c>
      <c r="AY562" s="138">
        <v>0</v>
      </c>
      <c r="AZ562" s="141">
        <v>0</v>
      </c>
      <c r="BA562" s="143"/>
      <c r="BB562" s="143"/>
      <c r="BC562" s="143"/>
      <c r="BD562" s="138"/>
      <c r="BE562" s="141"/>
      <c r="BF562" s="43">
        <v>0</v>
      </c>
      <c r="BG562" s="28" t="s">
        <v>506</v>
      </c>
      <c r="BH562" s="141">
        <f>SUM(BF561:BF562)</f>
        <v>23</v>
      </c>
    </row>
    <row r="563" spans="3:68" ht="15" thickBot="1" x14ac:dyDescent="0.35">
      <c r="C563" s="138" t="s">
        <v>84</v>
      </c>
      <c r="D563" s="138">
        <f>SUM(D560:D562)</f>
        <v>12346</v>
      </c>
      <c r="E563" s="141">
        <f>SUM(E560:E562)</f>
        <v>14245</v>
      </c>
      <c r="F563" s="28"/>
      <c r="G563" s="28"/>
      <c r="H563" s="28"/>
      <c r="I563" s="196">
        <f>SUM(I560:I562)</f>
        <v>15711</v>
      </c>
      <c r="J563" s="28"/>
      <c r="K563" s="28" t="s">
        <v>1306</v>
      </c>
      <c r="L563" s="141"/>
      <c r="N563" s="142" t="s">
        <v>84</v>
      </c>
      <c r="O563" s="142">
        <f>SUM(O560:O562)</f>
        <v>11740</v>
      </c>
      <c r="P563" s="199">
        <f>SUM(P560:P562)</f>
        <v>17032</v>
      </c>
      <c r="Q563" s="142">
        <v>0</v>
      </c>
      <c r="R563" s="199">
        <v>0</v>
      </c>
      <c r="S563" s="146">
        <v>0</v>
      </c>
      <c r="T563" s="142">
        <v>3677</v>
      </c>
      <c r="U563" s="199">
        <v>407</v>
      </c>
      <c r="V563" s="142"/>
      <c r="W563" s="146"/>
      <c r="X563" s="28"/>
      <c r="Y563" s="47"/>
      <c r="Z563" s="47"/>
      <c r="AA563" s="49"/>
      <c r="AB563" s="48"/>
      <c r="AC563" s="48"/>
      <c r="AD563" s="48"/>
      <c r="AE563" s="47"/>
      <c r="AF563" s="49"/>
      <c r="AG563" s="46"/>
      <c r="AH563" s="48"/>
      <c r="AI563" s="48" t="s">
        <v>124</v>
      </c>
      <c r="AJ563" s="49"/>
      <c r="AL563" s="134"/>
      <c r="AM563" s="134"/>
      <c r="AN563" s="136"/>
      <c r="AO563" s="134"/>
      <c r="AP563" s="136"/>
      <c r="AQ563" s="135"/>
      <c r="AR563" s="135"/>
      <c r="AS563" s="135"/>
      <c r="AT563" s="135"/>
      <c r="AU563" s="136"/>
      <c r="AW563" s="28"/>
      <c r="AX563" s="138" t="s">
        <v>108</v>
      </c>
      <c r="AY563" s="134">
        <v>17</v>
      </c>
      <c r="AZ563" s="136">
        <v>0</v>
      </c>
      <c r="BA563" s="134"/>
      <c r="BB563" s="135"/>
      <c r="BC563" s="136"/>
      <c r="BD563" s="134"/>
      <c r="BE563" s="136"/>
      <c r="BF563" s="134"/>
      <c r="BG563" s="135" t="s">
        <v>91</v>
      </c>
      <c r="BH563" s="136"/>
    </row>
    <row r="564" spans="3:68" x14ac:dyDescent="0.3">
      <c r="C564" s="142"/>
      <c r="D564" s="142"/>
      <c r="E564" s="146"/>
      <c r="F564" s="143"/>
      <c r="G564" s="143"/>
      <c r="H564" s="143"/>
      <c r="I564" s="199"/>
      <c r="J564" s="143"/>
      <c r="K564" s="143"/>
      <c r="L564" s="146">
        <v>94</v>
      </c>
      <c r="N564" s="134"/>
      <c r="O564" s="134"/>
      <c r="P564" s="195"/>
      <c r="Q564" s="134"/>
      <c r="R564" s="195"/>
      <c r="S564" s="136"/>
      <c r="T564" s="134"/>
      <c r="U564" s="195"/>
      <c r="V564" s="134"/>
      <c r="W564" s="136"/>
      <c r="X564" s="28"/>
      <c r="Y564" s="33" t="s">
        <v>97</v>
      </c>
      <c r="Z564" s="33">
        <v>65</v>
      </c>
      <c r="AA564" s="35">
        <v>40</v>
      </c>
      <c r="AB564" s="34">
        <v>0</v>
      </c>
      <c r="AC564" s="34">
        <v>0</v>
      </c>
      <c r="AD564" s="34">
        <v>0</v>
      </c>
      <c r="AE564" s="33"/>
      <c r="AF564" s="35"/>
      <c r="AG564" s="32"/>
      <c r="AH564" s="34"/>
      <c r="AI564" s="34"/>
      <c r="AJ564" s="35"/>
      <c r="AL564" s="138" t="s">
        <v>56</v>
      </c>
      <c r="AM564" s="138">
        <v>0</v>
      </c>
      <c r="AN564" s="141">
        <v>0</v>
      </c>
      <c r="AO564" s="138"/>
      <c r="AP564" s="141"/>
      <c r="AQ564" s="28"/>
      <c r="AR564" s="28" t="s">
        <v>173</v>
      </c>
      <c r="AS564" s="28"/>
      <c r="AT564" s="28"/>
      <c r="AU564" s="141"/>
      <c r="AW564" s="28"/>
      <c r="AX564" s="138" t="s">
        <v>89</v>
      </c>
      <c r="AY564" s="138">
        <v>738</v>
      </c>
      <c r="AZ564" s="141">
        <v>928</v>
      </c>
      <c r="BA564" s="138"/>
      <c r="BB564" s="28"/>
      <c r="BC564" s="141"/>
      <c r="BD564" s="138"/>
      <c r="BE564" s="141"/>
      <c r="BF564" s="212"/>
      <c r="BG564" s="43"/>
      <c r="BH564" s="141"/>
    </row>
    <row r="565" spans="3:68" x14ac:dyDescent="0.3">
      <c r="C565" s="138" t="s">
        <v>93</v>
      </c>
      <c r="D565" s="138">
        <v>5481</v>
      </c>
      <c r="E565" s="209">
        <v>5491</v>
      </c>
      <c r="F565" s="138"/>
      <c r="G565" s="28" t="s">
        <v>1291</v>
      </c>
      <c r="H565" s="28"/>
      <c r="I565" s="196">
        <v>6888</v>
      </c>
      <c r="J565" s="28" t="s">
        <v>116</v>
      </c>
      <c r="K565" s="28"/>
      <c r="L565" s="141"/>
      <c r="N565" s="138" t="s">
        <v>105</v>
      </c>
      <c r="O565" s="138">
        <v>1006</v>
      </c>
      <c r="P565" s="196"/>
      <c r="Q565" s="138"/>
      <c r="R565" s="196"/>
      <c r="S565" s="141"/>
      <c r="T565" s="138"/>
      <c r="U565" s="196">
        <v>1</v>
      </c>
      <c r="V565" s="138"/>
      <c r="W565" s="141"/>
      <c r="X565" s="28"/>
      <c r="Y565" s="42" t="s">
        <v>89</v>
      </c>
      <c r="Z565" s="42">
        <v>328</v>
      </c>
      <c r="AA565" s="40">
        <v>220</v>
      </c>
      <c r="AB565" s="43">
        <v>0</v>
      </c>
      <c r="AC565" s="43">
        <v>0</v>
      </c>
      <c r="AD565" s="43">
        <v>0</v>
      </c>
      <c r="AE565" s="42"/>
      <c r="AF565" s="40"/>
      <c r="AG565" s="41"/>
      <c r="AH565" s="28" t="s">
        <v>953</v>
      </c>
      <c r="AI565" s="28"/>
      <c r="AJ565" s="40"/>
      <c r="AL565" s="138" t="s">
        <v>67</v>
      </c>
      <c r="AM565" s="138">
        <v>0</v>
      </c>
      <c r="AN565" s="141">
        <v>0</v>
      </c>
      <c r="AO565" s="138"/>
      <c r="AP565" s="141"/>
      <c r="AQ565" s="28"/>
      <c r="AR565" s="28"/>
      <c r="AS565" s="28"/>
      <c r="AT565" s="28"/>
      <c r="AU565" s="141"/>
      <c r="AW565" s="28"/>
      <c r="AX565" s="212" t="s">
        <v>88</v>
      </c>
      <c r="AY565" s="212">
        <v>1</v>
      </c>
      <c r="AZ565" s="209">
        <v>423</v>
      </c>
      <c r="BA565" s="138"/>
      <c r="BB565" s="28"/>
      <c r="BC565" s="141"/>
      <c r="BD565" s="138"/>
      <c r="BE565" s="141"/>
      <c r="BF565" s="138">
        <v>25</v>
      </c>
      <c r="BG565" s="43" t="s">
        <v>1134</v>
      </c>
      <c r="BH565" s="141"/>
    </row>
    <row r="566" spans="3:68" x14ac:dyDescent="0.3">
      <c r="C566" s="138" t="s">
        <v>99</v>
      </c>
      <c r="D566" s="138">
        <v>6838</v>
      </c>
      <c r="E566" s="209">
        <v>7527</v>
      </c>
      <c r="F566" s="138"/>
      <c r="G566" s="28" t="s">
        <v>1291</v>
      </c>
      <c r="H566" s="28"/>
      <c r="I566" s="196">
        <v>10456</v>
      </c>
      <c r="J566" s="43">
        <v>136</v>
      </c>
      <c r="K566" s="28" t="s">
        <v>144</v>
      </c>
      <c r="L566" s="141"/>
      <c r="N566" s="138" t="s">
        <v>99</v>
      </c>
      <c r="O566" s="138">
        <v>1200</v>
      </c>
      <c r="P566" s="196"/>
      <c r="Q566" s="138"/>
      <c r="R566" s="196"/>
      <c r="S566" s="141"/>
      <c r="T566" s="138"/>
      <c r="U566" s="196"/>
      <c r="V566" s="138" t="s">
        <v>135</v>
      </c>
      <c r="W566" s="141"/>
      <c r="X566" s="28"/>
      <c r="Y566" s="42" t="s">
        <v>137</v>
      </c>
      <c r="Z566" s="42">
        <v>207</v>
      </c>
      <c r="AA566" s="40">
        <v>260</v>
      </c>
      <c r="AB566" s="43">
        <v>0</v>
      </c>
      <c r="AC566" s="43">
        <v>0</v>
      </c>
      <c r="AD566" s="43">
        <v>0</v>
      </c>
      <c r="AE566" s="42"/>
      <c r="AF566" s="40"/>
      <c r="AG566" s="41"/>
      <c r="AH566" s="28">
        <v>4</v>
      </c>
      <c r="AI566" s="28" t="s">
        <v>884</v>
      </c>
      <c r="AJ566" s="40"/>
      <c r="AL566" s="138" t="s">
        <v>78</v>
      </c>
      <c r="AM566" s="138">
        <v>0</v>
      </c>
      <c r="AN566" s="141">
        <v>0</v>
      </c>
      <c r="AO566" s="138"/>
      <c r="AP566" s="141"/>
      <c r="AQ566" s="28"/>
      <c r="AR566" s="28">
        <v>0</v>
      </c>
      <c r="AS566" s="28" t="s">
        <v>183</v>
      </c>
      <c r="AT566" s="28"/>
      <c r="AU566" s="141"/>
      <c r="AW566" s="28"/>
      <c r="AX566" s="138" t="s">
        <v>137</v>
      </c>
      <c r="AY566" s="138">
        <v>559</v>
      </c>
      <c r="AZ566" s="141">
        <v>527</v>
      </c>
      <c r="BA566" s="138"/>
      <c r="BB566" s="28"/>
      <c r="BC566" s="141"/>
      <c r="BD566" s="138"/>
      <c r="BE566" s="141"/>
      <c r="BF566" s="212">
        <v>44</v>
      </c>
      <c r="BG566" s="28" t="s">
        <v>1292</v>
      </c>
      <c r="BH566" s="141"/>
    </row>
    <row r="567" spans="3:68" x14ac:dyDescent="0.3">
      <c r="C567" s="138" t="s">
        <v>120</v>
      </c>
      <c r="D567" s="138">
        <v>3628</v>
      </c>
      <c r="E567" s="209">
        <v>4458</v>
      </c>
      <c r="F567" s="138"/>
      <c r="G567" s="28" t="s">
        <v>1291</v>
      </c>
      <c r="H567" s="28"/>
      <c r="I567" s="196">
        <v>4834</v>
      </c>
      <c r="J567" s="43"/>
      <c r="K567" s="28" t="s">
        <v>148</v>
      </c>
      <c r="L567" s="141"/>
      <c r="N567" s="138"/>
      <c r="O567" s="138"/>
      <c r="P567" s="196"/>
      <c r="Q567" s="138"/>
      <c r="R567" s="196"/>
      <c r="S567" s="141"/>
      <c r="T567" s="138"/>
      <c r="U567" s="196"/>
      <c r="V567" s="138"/>
      <c r="W567" s="141"/>
      <c r="X567" s="28"/>
      <c r="Y567" s="42" t="s">
        <v>84</v>
      </c>
      <c r="Z567" s="42">
        <f>SUM(Z564:Z566)</f>
        <v>600</v>
      </c>
      <c r="AA567" s="40">
        <f>SUM(AA564:AA566)</f>
        <v>520</v>
      </c>
      <c r="AB567" s="28">
        <v>0</v>
      </c>
      <c r="AC567" s="28">
        <v>0</v>
      </c>
      <c r="AD567" s="28">
        <v>0</v>
      </c>
      <c r="AE567" s="42">
        <v>0</v>
      </c>
      <c r="AF567" s="40">
        <v>0</v>
      </c>
      <c r="AG567" s="41">
        <v>0</v>
      </c>
      <c r="AH567" s="43">
        <v>9</v>
      </c>
      <c r="AI567" s="28" t="s">
        <v>141</v>
      </c>
      <c r="AJ567" s="40"/>
      <c r="AL567" s="142" t="s">
        <v>84</v>
      </c>
      <c r="AM567" s="142">
        <v>0</v>
      </c>
      <c r="AN567" s="146">
        <v>0</v>
      </c>
      <c r="AO567" s="142"/>
      <c r="AP567" s="146"/>
      <c r="AQ567" s="143"/>
      <c r="AR567" s="143"/>
      <c r="AS567" s="143"/>
      <c r="AT567" s="143"/>
      <c r="AU567" s="146">
        <f>SUM(AR566)</f>
        <v>0</v>
      </c>
      <c r="AW567" s="28"/>
      <c r="AX567" s="212" t="s">
        <v>97</v>
      </c>
      <c r="AY567" s="212">
        <v>772</v>
      </c>
      <c r="AZ567" s="209">
        <v>627</v>
      </c>
      <c r="BA567" s="138"/>
      <c r="BB567" s="28"/>
      <c r="BC567" s="141"/>
      <c r="BD567" s="138"/>
      <c r="BE567" s="141"/>
      <c r="BF567" s="138">
        <v>0</v>
      </c>
      <c r="BG567" s="43" t="s">
        <v>1294</v>
      </c>
      <c r="BH567" s="141"/>
    </row>
    <row r="568" spans="3:68" ht="15" thickBot="1" x14ac:dyDescent="0.35">
      <c r="C568" s="138" t="s">
        <v>84</v>
      </c>
      <c r="D568" s="138">
        <f>SUM(D565:D567)</f>
        <v>15947</v>
      </c>
      <c r="E568" s="28">
        <f>SUM(E565:E567)</f>
        <v>17476</v>
      </c>
      <c r="F568" s="138"/>
      <c r="G568" s="28" t="s">
        <v>1291</v>
      </c>
      <c r="H568" s="28"/>
      <c r="I568" s="196">
        <f>SUM(I565:I567)</f>
        <v>22178</v>
      </c>
      <c r="J568" s="43"/>
      <c r="K568" s="28" t="s">
        <v>152</v>
      </c>
      <c r="L568" s="141"/>
      <c r="N568" s="142" t="s">
        <v>84</v>
      </c>
      <c r="O568" s="142"/>
      <c r="P568" s="199"/>
      <c r="Q568" s="142">
        <v>0</v>
      </c>
      <c r="R568" s="199">
        <v>0</v>
      </c>
      <c r="S568" s="146"/>
      <c r="T568" s="142"/>
      <c r="U568" s="199"/>
      <c r="V568" s="142"/>
      <c r="W568" s="146"/>
      <c r="X568" s="28"/>
      <c r="Y568" s="47"/>
      <c r="Z568" s="47"/>
      <c r="AA568" s="49"/>
      <c r="AB568" s="48"/>
      <c r="AC568" s="48"/>
      <c r="AD568" s="48"/>
      <c r="AE568" s="47"/>
      <c r="AF568" s="49"/>
      <c r="AG568" s="46"/>
      <c r="AH568" s="48"/>
      <c r="AI568" s="48" t="s">
        <v>996</v>
      </c>
      <c r="AJ568" s="49"/>
      <c r="AL568" s="134" t="s">
        <v>63</v>
      </c>
      <c r="AM568" s="134">
        <v>35</v>
      </c>
      <c r="AN568" s="136">
        <v>42</v>
      </c>
      <c r="AO568" s="134"/>
      <c r="AP568" s="136"/>
      <c r="AQ568" s="135"/>
      <c r="AR568" s="28" t="s">
        <v>140</v>
      </c>
      <c r="AS568" s="135"/>
      <c r="AT568" s="135"/>
      <c r="AU568" s="136"/>
      <c r="AW568" s="28"/>
      <c r="AX568" s="212" t="s">
        <v>113</v>
      </c>
      <c r="AY568" s="212">
        <v>471</v>
      </c>
      <c r="AZ568" s="209">
        <v>517</v>
      </c>
      <c r="BA568" s="138"/>
      <c r="BB568" s="28"/>
      <c r="BC568" s="141"/>
      <c r="BD568" s="138"/>
      <c r="BE568" s="141"/>
      <c r="BF568" s="138">
        <v>0</v>
      </c>
      <c r="BG568" s="43" t="s">
        <v>1577</v>
      </c>
      <c r="BH568" s="141"/>
      <c r="BI568" s="28"/>
    </row>
    <row r="569" spans="3:68" x14ac:dyDescent="0.3">
      <c r="C569" s="142"/>
      <c r="D569" s="142"/>
      <c r="E569" s="143"/>
      <c r="F569" s="142"/>
      <c r="G569" s="143"/>
      <c r="H569" s="143"/>
      <c r="I569" s="199"/>
      <c r="J569" s="143"/>
      <c r="K569" s="143" t="s">
        <v>958</v>
      </c>
      <c r="L569" s="146">
        <v>136</v>
      </c>
      <c r="N569" s="138"/>
      <c r="O569" s="138"/>
      <c r="P569" s="196"/>
      <c r="Q569" s="138"/>
      <c r="R569" s="196"/>
      <c r="S569" s="141"/>
      <c r="T569" s="138"/>
      <c r="U569" s="196"/>
      <c r="V569" s="138"/>
      <c r="W569" s="141"/>
      <c r="X569" s="28"/>
      <c r="Y569" s="42"/>
      <c r="Z569" s="42"/>
      <c r="AA569" s="40"/>
      <c r="AB569" s="43"/>
      <c r="AC569" s="43"/>
      <c r="AD569" s="43"/>
      <c r="AE569" s="42"/>
      <c r="AF569" s="40"/>
      <c r="AG569" s="41"/>
      <c r="AH569" s="28" t="s">
        <v>149</v>
      </c>
      <c r="AI569" s="28"/>
      <c r="AJ569" s="40"/>
      <c r="AL569" s="138" t="s">
        <v>56</v>
      </c>
      <c r="AM569" s="138">
        <v>26</v>
      </c>
      <c r="AN569" s="141">
        <v>28</v>
      </c>
      <c r="AO569" s="138"/>
      <c r="AP569" s="141"/>
      <c r="AQ569" s="28"/>
      <c r="AR569" t="s">
        <v>347</v>
      </c>
      <c r="AS569" s="28"/>
      <c r="AT569" s="28"/>
      <c r="AU569" s="141"/>
      <c r="AW569" s="28"/>
      <c r="AX569" s="212" t="s">
        <v>1663</v>
      </c>
      <c r="AY569" s="212">
        <v>0</v>
      </c>
      <c r="AZ569" s="209">
        <v>0</v>
      </c>
      <c r="BA569" s="138"/>
      <c r="BB569" s="43"/>
      <c r="BC569" s="141"/>
      <c r="BD569" s="138"/>
      <c r="BE569" s="141"/>
      <c r="BF569" s="138"/>
      <c r="BG569" s="28"/>
      <c r="BH569" s="141">
        <v>69</v>
      </c>
      <c r="BI569" s="28"/>
      <c r="BJ569" s="28"/>
      <c r="BK569" s="28"/>
      <c r="BL569" s="28"/>
      <c r="BM569" s="28"/>
      <c r="BN569" s="28"/>
      <c r="BO569" s="28"/>
      <c r="BP569" s="28"/>
    </row>
    <row r="570" spans="3:68" x14ac:dyDescent="0.3">
      <c r="C570" s="134" t="s">
        <v>105</v>
      </c>
      <c r="D570" s="134">
        <v>1012</v>
      </c>
      <c r="E570" s="135">
        <v>1665</v>
      </c>
      <c r="F570" s="134"/>
      <c r="G570" s="243">
        <v>706</v>
      </c>
      <c r="H570" s="135"/>
      <c r="I570" s="195"/>
      <c r="J570" s="135" t="s">
        <v>162</v>
      </c>
      <c r="K570" s="135"/>
      <c r="L570" s="136"/>
      <c r="N570" s="138"/>
      <c r="O570" s="138"/>
      <c r="P570" s="196"/>
      <c r="Q570" s="138"/>
      <c r="R570" s="196"/>
      <c r="S570" s="141"/>
      <c r="T570" s="138"/>
      <c r="U570" s="196"/>
      <c r="V570" s="138"/>
      <c r="W570" s="141"/>
      <c r="X570" s="28"/>
      <c r="Y570" s="42" t="s">
        <v>99</v>
      </c>
      <c r="Z570" s="42">
        <v>0</v>
      </c>
      <c r="AA570" s="40">
        <v>0</v>
      </c>
      <c r="AB570" s="28">
        <v>0</v>
      </c>
      <c r="AC570" s="28">
        <v>0</v>
      </c>
      <c r="AD570" s="28">
        <v>0</v>
      </c>
      <c r="AE570" s="42">
        <v>53840</v>
      </c>
      <c r="AF570" s="40">
        <v>5168</v>
      </c>
      <c r="AG570" s="41">
        <v>0</v>
      </c>
      <c r="AH570" s="43">
        <v>4</v>
      </c>
      <c r="AI570" s="28" t="s">
        <v>153</v>
      </c>
      <c r="AJ570" s="40"/>
      <c r="AL570" s="138" t="s">
        <v>78</v>
      </c>
      <c r="AM570" s="138">
        <v>17</v>
      </c>
      <c r="AN570" s="141">
        <v>31</v>
      </c>
      <c r="AO570" s="138"/>
      <c r="AP570" s="141"/>
      <c r="AQ570" s="28"/>
      <c r="AR570" s="28" t="s">
        <v>1697</v>
      </c>
      <c r="AS570" s="28"/>
      <c r="AT570" s="28"/>
      <c r="AU570" s="141"/>
      <c r="AW570" s="28"/>
      <c r="AX570" s="247" t="s">
        <v>84</v>
      </c>
      <c r="AY570" s="247">
        <f>SUM(AY559:AY569)</f>
        <v>2573</v>
      </c>
      <c r="AZ570" s="248">
        <f>SUM(AZ559:AZ569)</f>
        <v>3041</v>
      </c>
      <c r="BA570" s="197">
        <v>0</v>
      </c>
      <c r="BB570" s="198">
        <v>0</v>
      </c>
      <c r="BC570" s="249">
        <v>0</v>
      </c>
      <c r="BD570" s="197">
        <v>0</v>
      </c>
      <c r="BE570" s="249">
        <v>0</v>
      </c>
      <c r="BF570" s="197"/>
      <c r="BG570" s="198"/>
      <c r="BH570" s="249"/>
      <c r="BI570" s="28"/>
      <c r="BJ570" s="28"/>
      <c r="BK570" s="28"/>
      <c r="BL570" s="28"/>
      <c r="BM570" s="28"/>
      <c r="BN570" s="28"/>
      <c r="BO570" s="28"/>
      <c r="BP570" s="28"/>
    </row>
    <row r="571" spans="3:68" x14ac:dyDescent="0.3">
      <c r="C571" s="138" t="s">
        <v>99</v>
      </c>
      <c r="D571" s="138">
        <v>558</v>
      </c>
      <c r="E571" s="43">
        <v>713</v>
      </c>
      <c r="F571" s="138"/>
      <c r="G571" s="107">
        <v>847</v>
      </c>
      <c r="H571" s="28"/>
      <c r="I571" s="196"/>
      <c r="J571" s="28"/>
      <c r="K571" s="28"/>
      <c r="L571" s="141">
        <v>357</v>
      </c>
      <c r="N571" s="138"/>
      <c r="O571" s="138"/>
      <c r="P571" s="196"/>
      <c r="Q571" s="138"/>
      <c r="R571" s="196"/>
      <c r="S571" s="141"/>
      <c r="T571" s="138"/>
      <c r="U571" s="196"/>
      <c r="V571" s="138"/>
      <c r="W571" s="141"/>
      <c r="X571" s="28"/>
      <c r="Y571" s="42"/>
      <c r="Z571" s="42"/>
      <c r="AA571" s="40"/>
      <c r="AB571" s="43"/>
      <c r="AC571" s="43"/>
      <c r="AD571" s="43"/>
      <c r="AE571" s="42"/>
      <c r="AF571" s="40"/>
      <c r="AG571" s="41"/>
      <c r="AH571" s="43"/>
      <c r="AI571" s="43"/>
      <c r="AJ571" s="40"/>
      <c r="AL571" s="138" t="s">
        <v>72</v>
      </c>
      <c r="AM571" s="138">
        <v>7</v>
      </c>
      <c r="AN571" s="141">
        <v>10</v>
      </c>
      <c r="AO571" s="138"/>
      <c r="AP571" s="141"/>
      <c r="AQ571" s="28"/>
      <c r="AR571" s="43" t="s">
        <v>1698</v>
      </c>
      <c r="AS571" s="43"/>
      <c r="AT571" s="28"/>
      <c r="AU571" s="141"/>
      <c r="AW571" s="28"/>
      <c r="AX571" s="134"/>
      <c r="AY571" s="134"/>
      <c r="AZ571" s="136"/>
      <c r="BA571" s="135"/>
      <c r="BB571" s="135"/>
      <c r="BC571" s="135"/>
      <c r="BD571" s="138"/>
      <c r="BE571" s="141"/>
      <c r="BF571" s="28" t="s">
        <v>1025</v>
      </c>
      <c r="BG571" s="28"/>
      <c r="BH571" s="141"/>
      <c r="BJ571" s="28"/>
      <c r="BK571" s="28"/>
      <c r="BL571" s="28"/>
      <c r="BM571" s="28"/>
      <c r="BN571" s="28"/>
      <c r="BO571" s="28"/>
      <c r="BP571" s="28"/>
    </row>
    <row r="572" spans="3:68" x14ac:dyDescent="0.3">
      <c r="C572" s="138"/>
      <c r="D572" s="138"/>
      <c r="E572" s="28"/>
      <c r="F572" s="138"/>
      <c r="G572" s="28"/>
      <c r="H572" s="28"/>
      <c r="I572" s="196"/>
      <c r="J572" s="43">
        <v>55</v>
      </c>
      <c r="K572" s="28" t="s">
        <v>101</v>
      </c>
      <c r="L572" s="141"/>
      <c r="N572" s="138"/>
      <c r="O572" s="138"/>
      <c r="P572" s="196"/>
      <c r="Q572" s="138"/>
      <c r="R572" s="196"/>
      <c r="S572" s="141"/>
      <c r="T572" s="138"/>
      <c r="U572" s="196"/>
      <c r="V572" s="138"/>
      <c r="W572" s="141"/>
      <c r="X572" s="28"/>
      <c r="Y572" s="278"/>
      <c r="Z572" s="278"/>
      <c r="AA572" s="279"/>
      <c r="AB572" s="135"/>
      <c r="AC572" s="135"/>
      <c r="AD572" s="135"/>
      <c r="AE572" s="278"/>
      <c r="AF572" s="279"/>
      <c r="AG572" s="314"/>
      <c r="AH572" s="135" t="s">
        <v>157</v>
      </c>
      <c r="AI572" s="135"/>
      <c r="AJ572" s="279"/>
      <c r="AL572" s="138" t="s">
        <v>168</v>
      </c>
      <c r="AM572" s="138">
        <v>0</v>
      </c>
      <c r="AN572" s="141">
        <v>0</v>
      </c>
      <c r="AO572" s="138"/>
      <c r="AP572" s="141"/>
      <c r="AQ572" s="28"/>
      <c r="AR572" s="43" t="s">
        <v>1699</v>
      </c>
      <c r="AS572" s="28"/>
      <c r="AT572" s="28"/>
      <c r="AU572" s="141"/>
      <c r="AW572" s="28"/>
      <c r="AX572" s="142" t="s">
        <v>64</v>
      </c>
      <c r="AY572" s="142">
        <v>43</v>
      </c>
      <c r="AZ572" s="146">
        <v>57</v>
      </c>
      <c r="BA572" s="143">
        <v>0</v>
      </c>
      <c r="BB572" s="143">
        <v>0</v>
      </c>
      <c r="BC572" s="143"/>
      <c r="BD572" s="142">
        <v>0</v>
      </c>
      <c r="BE572" s="146">
        <v>0</v>
      </c>
      <c r="BF572" s="143">
        <v>5</v>
      </c>
      <c r="BG572" s="143" t="s">
        <v>1026</v>
      </c>
      <c r="BH572" s="146">
        <f>SUM(BF572)</f>
        <v>5</v>
      </c>
      <c r="BI572" t="s">
        <v>6</v>
      </c>
      <c r="BJ572" s="28"/>
      <c r="BK572" s="28"/>
      <c r="BL572" s="28"/>
      <c r="BM572" s="28"/>
      <c r="BN572" s="28"/>
      <c r="BO572" s="28"/>
      <c r="BP572" s="28"/>
    </row>
    <row r="573" spans="3:68" x14ac:dyDescent="0.3">
      <c r="C573" s="138" t="s">
        <v>84</v>
      </c>
      <c r="D573" s="142">
        <f>SUM(D570:D572)</f>
        <v>1570</v>
      </c>
      <c r="E573" s="143">
        <f>SUM(E570:E572)</f>
        <v>2378</v>
      </c>
      <c r="F573" s="142"/>
      <c r="G573" s="250">
        <f>SUM(G570:G572)</f>
        <v>1553</v>
      </c>
      <c r="H573" s="143"/>
      <c r="I573" s="199">
        <v>9384</v>
      </c>
      <c r="J573" s="143"/>
      <c r="K573" s="143"/>
      <c r="L573" s="146">
        <v>55</v>
      </c>
      <c r="N573" s="138"/>
      <c r="O573" s="138"/>
      <c r="P573" s="196"/>
      <c r="Q573" s="138"/>
      <c r="R573" s="196"/>
      <c r="S573" s="141"/>
      <c r="T573" s="138"/>
      <c r="U573" s="196"/>
      <c r="V573" s="138"/>
      <c r="W573" s="141"/>
      <c r="X573" s="28"/>
      <c r="Y573" s="42" t="s">
        <v>99</v>
      </c>
      <c r="Z573" s="42">
        <v>0</v>
      </c>
      <c r="AA573" s="40">
        <v>0</v>
      </c>
      <c r="AB573" s="43">
        <v>0</v>
      </c>
      <c r="AC573" s="43">
        <v>0</v>
      </c>
      <c r="AD573" s="43">
        <v>0</v>
      </c>
      <c r="AE573" s="42">
        <v>333929</v>
      </c>
      <c r="AF573" s="40">
        <v>66174</v>
      </c>
      <c r="AG573" s="41">
        <v>0</v>
      </c>
      <c r="AH573" s="43">
        <v>8</v>
      </c>
      <c r="AI573" s="28" t="s">
        <v>153</v>
      </c>
      <c r="AJ573" s="40"/>
      <c r="AL573" s="138" t="s">
        <v>81</v>
      </c>
      <c r="AM573" s="138">
        <v>19</v>
      </c>
      <c r="AN573" s="141">
        <v>22</v>
      </c>
      <c r="AO573" s="138"/>
      <c r="AP573" s="141"/>
      <c r="AQ573" s="28"/>
      <c r="AR573" s="43" t="s">
        <v>1700</v>
      </c>
      <c r="AS573" s="28"/>
      <c r="AT573" s="28"/>
      <c r="AU573" s="141"/>
      <c r="AW573" s="28"/>
      <c r="AX573" s="138"/>
      <c r="AY573" s="138"/>
      <c r="AZ573" s="141"/>
      <c r="BA573" s="28"/>
      <c r="BB573" s="28"/>
      <c r="BC573" s="28"/>
      <c r="BD573" s="138"/>
      <c r="BE573" s="141"/>
      <c r="BF573" s="28" t="s">
        <v>994</v>
      </c>
      <c r="BG573" s="28"/>
      <c r="BH573" s="141"/>
      <c r="BJ573" s="28"/>
      <c r="BK573" s="28"/>
      <c r="BL573" s="28"/>
      <c r="BM573" s="43"/>
      <c r="BN573" s="43"/>
      <c r="BO573" s="28"/>
      <c r="BP573" s="28"/>
    </row>
    <row r="574" spans="3:68" ht="15" thickBot="1" x14ac:dyDescent="0.35">
      <c r="C574" s="195" t="s">
        <v>181</v>
      </c>
      <c r="D574" s="135">
        <v>2469</v>
      </c>
      <c r="E574" s="135">
        <v>2914</v>
      </c>
      <c r="F574" s="134"/>
      <c r="G574" s="135" t="s">
        <v>1291</v>
      </c>
      <c r="H574" s="136"/>
      <c r="I574" s="195"/>
      <c r="J574" s="134" t="s">
        <v>182</v>
      </c>
      <c r="K574" s="135"/>
      <c r="L574" s="136"/>
      <c r="N574" s="142" t="s">
        <v>84</v>
      </c>
      <c r="O574" s="142">
        <v>58207</v>
      </c>
      <c r="P574" s="199">
        <v>48798</v>
      </c>
      <c r="Q574" s="142">
        <v>0</v>
      </c>
      <c r="R574" s="199">
        <v>0</v>
      </c>
      <c r="S574" s="143"/>
      <c r="T574" s="142">
        <v>3695</v>
      </c>
      <c r="U574" s="199">
        <v>408</v>
      </c>
      <c r="V574" s="142"/>
      <c r="W574" s="146"/>
      <c r="X574" s="28"/>
      <c r="Y574" s="42" t="s">
        <v>6</v>
      </c>
      <c r="Z574" s="42"/>
      <c r="AA574" s="40"/>
      <c r="AB574" s="28"/>
      <c r="AC574" s="28"/>
      <c r="AD574" s="28"/>
      <c r="AE574" s="42"/>
      <c r="AF574" s="40"/>
      <c r="AG574" s="41"/>
      <c r="AH574" s="28"/>
      <c r="AI574" s="28"/>
      <c r="AJ574" s="40"/>
      <c r="AL574" s="138" t="s">
        <v>115</v>
      </c>
      <c r="AM574" s="138">
        <v>23</v>
      </c>
      <c r="AN574" s="141">
        <v>31</v>
      </c>
      <c r="AO574" s="138"/>
      <c r="AP574" s="141"/>
      <c r="AQ574" s="28"/>
      <c r="AR574" s="43" t="s">
        <v>1701</v>
      </c>
      <c r="AS574" s="28"/>
      <c r="AT574" s="28"/>
      <c r="AU574" s="141"/>
      <c r="AW574" s="28"/>
      <c r="AX574" s="138" t="s">
        <v>113</v>
      </c>
      <c r="AY574" s="138">
        <v>414</v>
      </c>
      <c r="AZ574" s="141">
        <v>419</v>
      </c>
      <c r="BA574" s="28"/>
      <c r="BB574" s="28"/>
      <c r="BC574" s="28"/>
      <c r="BD574" s="138"/>
      <c r="BE574" s="141"/>
      <c r="BF574" s="28">
        <v>21</v>
      </c>
      <c r="BG574" s="28" t="s">
        <v>100</v>
      </c>
      <c r="BH574" s="141"/>
      <c r="BJ574" s="28"/>
      <c r="BK574" s="28"/>
      <c r="BL574" s="28"/>
      <c r="BM574" s="28"/>
      <c r="BN574" s="28"/>
      <c r="BO574" s="28"/>
      <c r="BP574" s="28"/>
    </row>
    <row r="575" spans="3:68" x14ac:dyDescent="0.3">
      <c r="C575" s="196"/>
      <c r="D575" s="28"/>
      <c r="E575" s="28"/>
      <c r="F575" s="138"/>
      <c r="G575" s="28" t="s">
        <v>1291</v>
      </c>
      <c r="H575" s="141"/>
      <c r="I575" s="196"/>
      <c r="J575" s="138"/>
      <c r="K575" s="28" t="s">
        <v>927</v>
      </c>
      <c r="L575" s="141"/>
      <c r="Q575" s="28"/>
      <c r="R575" s="28"/>
      <c r="S575" s="28"/>
      <c r="T575" s="28"/>
      <c r="U575" s="28"/>
      <c r="V575" s="28"/>
      <c r="W575" s="28"/>
      <c r="X575" s="28"/>
      <c r="Y575" s="33" t="s">
        <v>102</v>
      </c>
      <c r="Z575" s="33">
        <v>170</v>
      </c>
      <c r="AA575" s="35">
        <v>164</v>
      </c>
      <c r="AB575" s="34">
        <v>0</v>
      </c>
      <c r="AC575" s="34">
        <v>0</v>
      </c>
      <c r="AD575" s="34">
        <v>0</v>
      </c>
      <c r="AE575" s="33">
        <v>0</v>
      </c>
      <c r="AF575" s="35">
        <v>0</v>
      </c>
      <c r="AG575" s="32">
        <v>0</v>
      </c>
      <c r="AH575" s="34" t="s">
        <v>1326</v>
      </c>
      <c r="AI575" s="34"/>
      <c r="AJ575" s="35"/>
      <c r="AL575" s="138" t="s">
        <v>67</v>
      </c>
      <c r="AM575" s="138">
        <v>45</v>
      </c>
      <c r="AN575" s="141">
        <v>66</v>
      </c>
      <c r="AO575" s="138"/>
      <c r="AP575" s="141"/>
      <c r="AQ575" s="28"/>
      <c r="AR575" s="43" t="s">
        <v>1702</v>
      </c>
      <c r="AS575" s="28"/>
      <c r="AT575" s="28"/>
      <c r="AU575" s="141"/>
      <c r="AW575" s="28"/>
      <c r="AX575" s="142" t="s">
        <v>84</v>
      </c>
      <c r="AY575" s="142">
        <v>414</v>
      </c>
      <c r="AZ575" s="146">
        <v>419</v>
      </c>
      <c r="BA575" s="143"/>
      <c r="BB575" s="143"/>
      <c r="BC575" s="143"/>
      <c r="BD575" s="142"/>
      <c r="BE575" s="146"/>
      <c r="BF575" s="43">
        <v>30</v>
      </c>
      <c r="BG575" s="43" t="s">
        <v>1292</v>
      </c>
      <c r="BH575" s="146">
        <v>51</v>
      </c>
      <c r="BJ575" s="28"/>
      <c r="BK575" s="28"/>
      <c r="BL575" s="28"/>
      <c r="BM575" s="28"/>
      <c r="BN575" s="28"/>
      <c r="BO575" s="28"/>
      <c r="BP575" s="28"/>
    </row>
    <row r="576" spans="3:68" ht="15" thickBot="1" x14ac:dyDescent="0.35">
      <c r="C576" s="196" t="s">
        <v>84</v>
      </c>
      <c r="D576" s="28">
        <v>2469</v>
      </c>
      <c r="E576" s="28">
        <v>2914</v>
      </c>
      <c r="F576" s="138"/>
      <c r="G576" s="28" t="s">
        <v>1291</v>
      </c>
      <c r="H576" s="141"/>
      <c r="I576" s="196">
        <v>2584</v>
      </c>
      <c r="J576" s="138">
        <v>2</v>
      </c>
      <c r="K576" s="28" t="s">
        <v>101</v>
      </c>
      <c r="L576" s="141"/>
      <c r="Q576" s="28"/>
      <c r="R576" s="28"/>
      <c r="S576" s="28"/>
      <c r="T576" s="28"/>
      <c r="U576" s="28"/>
      <c r="V576" s="28"/>
      <c r="W576" s="28"/>
      <c r="X576" s="28"/>
      <c r="Y576" s="47"/>
      <c r="Z576" s="47"/>
      <c r="AA576" s="49"/>
      <c r="AB576" s="48"/>
      <c r="AC576" s="48"/>
      <c r="AD576" s="48"/>
      <c r="AE576" s="47"/>
      <c r="AF576" s="49"/>
      <c r="AG576" s="46"/>
      <c r="AH576" s="48">
        <v>2</v>
      </c>
      <c r="AI576" s="48" t="s">
        <v>780</v>
      </c>
      <c r="AJ576" s="49"/>
      <c r="AL576" s="138" t="s">
        <v>122</v>
      </c>
      <c r="AM576" s="138">
        <v>5</v>
      </c>
      <c r="AN576" s="141">
        <v>9</v>
      </c>
      <c r="AO576" s="138"/>
      <c r="AP576" s="141"/>
      <c r="AQ576" s="28"/>
      <c r="AR576" s="43" t="s">
        <v>309</v>
      </c>
      <c r="AS576" s="28"/>
      <c r="AT576" s="28"/>
      <c r="AU576" s="141"/>
      <c r="AW576" s="28"/>
      <c r="AX576" s="195" t="s">
        <v>113</v>
      </c>
      <c r="AY576" s="134">
        <v>16</v>
      </c>
      <c r="AZ576" s="136">
        <v>28</v>
      </c>
      <c r="BA576" s="134"/>
      <c r="BB576" s="135"/>
      <c r="BC576" s="136"/>
      <c r="BD576" s="134"/>
      <c r="BE576" s="136"/>
      <c r="BF576" s="134" t="s">
        <v>140</v>
      </c>
      <c r="BG576" s="135"/>
      <c r="BH576" s="136"/>
      <c r="BJ576" s="28"/>
      <c r="BK576" s="28"/>
      <c r="BL576" s="28"/>
      <c r="BM576" s="28"/>
      <c r="BN576" s="28"/>
      <c r="BO576" s="28"/>
      <c r="BP576" s="28"/>
    </row>
    <row r="577" spans="3:68" ht="15" thickBot="1" x14ac:dyDescent="0.35">
      <c r="C577" s="199"/>
      <c r="D577" s="28"/>
      <c r="E577" s="28"/>
      <c r="F577" s="142"/>
      <c r="G577" s="143"/>
      <c r="H577" s="146"/>
      <c r="I577" s="196"/>
      <c r="J577" s="138">
        <v>24</v>
      </c>
      <c r="K577" s="43" t="s">
        <v>94</v>
      </c>
      <c r="L577" s="141">
        <v>26</v>
      </c>
      <c r="P577" s="328"/>
      <c r="Q577" s="28"/>
      <c r="R577" s="28"/>
      <c r="S577" s="28"/>
      <c r="T577" s="28"/>
      <c r="U577" s="28"/>
      <c r="V577" s="28"/>
      <c r="W577" s="28"/>
      <c r="X577" s="28"/>
      <c r="Y577" s="33"/>
      <c r="Z577" s="33"/>
      <c r="AA577" s="35"/>
      <c r="AB577" s="34"/>
      <c r="AC577" s="34"/>
      <c r="AD577" s="34"/>
      <c r="AE577" s="33"/>
      <c r="AF577" s="35"/>
      <c r="AG577" s="32"/>
      <c r="AH577" s="34" t="s">
        <v>1831</v>
      </c>
      <c r="AI577" s="34"/>
      <c r="AJ577" s="35"/>
      <c r="AL577" s="138" t="s">
        <v>138</v>
      </c>
      <c r="AM577" s="138">
        <v>0</v>
      </c>
      <c r="AN577" s="141">
        <v>0</v>
      </c>
      <c r="AO577" s="138"/>
      <c r="AP577" s="141"/>
      <c r="AQ577" s="28"/>
      <c r="AR577" s="43" t="s">
        <v>1056</v>
      </c>
      <c r="AS577" s="28"/>
      <c r="AT577" s="28"/>
      <c r="AU577" s="141"/>
      <c r="AW577" s="28"/>
      <c r="AX577" s="196" t="s">
        <v>133</v>
      </c>
      <c r="AY577" s="138">
        <v>16</v>
      </c>
      <c r="AZ577" s="141">
        <v>12</v>
      </c>
      <c r="BA577" s="138"/>
      <c r="BB577" s="28"/>
      <c r="BC577" s="141"/>
      <c r="BD577" s="138"/>
      <c r="BE577" s="141"/>
      <c r="BF577" s="138"/>
      <c r="BG577" s="28"/>
      <c r="BH577" s="141"/>
      <c r="BJ577" s="28"/>
      <c r="BK577" s="28"/>
      <c r="BL577" s="28"/>
      <c r="BM577" s="28"/>
      <c r="BN577" s="28"/>
      <c r="BO577" s="28"/>
      <c r="BP577" s="28"/>
    </row>
    <row r="578" spans="3:68" ht="15" thickBot="1" x14ac:dyDescent="0.35">
      <c r="C578" s="47" t="s">
        <v>84</v>
      </c>
      <c r="D578" s="253">
        <v>37832</v>
      </c>
      <c r="E578" s="253">
        <v>46801</v>
      </c>
      <c r="F578" s="253"/>
      <c r="G578" s="253"/>
      <c r="H578" s="253"/>
      <c r="I578" s="254">
        <v>60478</v>
      </c>
      <c r="J578" s="171" t="s">
        <v>844</v>
      </c>
      <c r="K578" s="170"/>
      <c r="L578" s="172">
        <v>357</v>
      </c>
      <c r="Q578" s="28"/>
      <c r="R578" s="28"/>
      <c r="S578" s="28"/>
      <c r="T578" s="28"/>
      <c r="U578" s="28"/>
      <c r="V578" s="28"/>
      <c r="W578" s="28"/>
      <c r="X578" s="28"/>
      <c r="Y578" s="42" t="s">
        <v>108</v>
      </c>
      <c r="Z578" s="42">
        <v>61</v>
      </c>
      <c r="AA578" s="40">
        <v>39</v>
      </c>
      <c r="AB578" s="28">
        <v>0</v>
      </c>
      <c r="AC578" s="43">
        <v>0</v>
      </c>
      <c r="AD578" s="43">
        <v>0</v>
      </c>
      <c r="AE578" s="42">
        <v>0</v>
      </c>
      <c r="AF578" s="40">
        <v>0</v>
      </c>
      <c r="AG578" s="41">
        <v>0</v>
      </c>
      <c r="AH578" s="43">
        <v>2</v>
      </c>
      <c r="AI578" s="28" t="s">
        <v>780</v>
      </c>
      <c r="AJ578" s="40"/>
      <c r="AL578" s="138" t="s">
        <v>132</v>
      </c>
      <c r="AM578" s="138">
        <v>0</v>
      </c>
      <c r="AN578" s="141">
        <v>0</v>
      </c>
      <c r="AO578" s="138"/>
      <c r="AP578" s="141"/>
      <c r="AQ578" s="28"/>
      <c r="AR578" s="43" t="s">
        <v>1703</v>
      </c>
      <c r="AS578" s="28"/>
      <c r="AT578" s="28"/>
      <c r="AU578" s="141"/>
      <c r="AW578" s="28"/>
      <c r="AX578" s="196" t="s">
        <v>1704</v>
      </c>
      <c r="AY578" s="138">
        <v>3</v>
      </c>
      <c r="AZ578" s="141">
        <v>8</v>
      </c>
      <c r="BA578" s="138"/>
      <c r="BB578" s="28"/>
      <c r="BC578" s="141"/>
      <c r="BD578" s="138"/>
      <c r="BE578" s="141"/>
      <c r="BF578" s="138"/>
      <c r="BG578" s="28"/>
      <c r="BH578" s="141"/>
      <c r="BJ578" s="28"/>
      <c r="BK578" s="28"/>
      <c r="BL578" s="28"/>
      <c r="BM578" s="28"/>
      <c r="BN578" s="28"/>
      <c r="BO578" s="28"/>
      <c r="BP578" s="28"/>
    </row>
    <row r="579" spans="3:68" ht="15" thickBot="1" x14ac:dyDescent="0.35">
      <c r="Q579" s="28"/>
      <c r="R579" s="28"/>
      <c r="S579" s="28"/>
      <c r="T579" s="28"/>
      <c r="U579" s="28"/>
      <c r="V579" s="28"/>
      <c r="W579" s="28"/>
      <c r="X579" s="28"/>
      <c r="Y579" s="47"/>
      <c r="Z579" s="47"/>
      <c r="AA579" s="49"/>
      <c r="AB579" s="48"/>
      <c r="AC579" s="48"/>
      <c r="AD579" s="48"/>
      <c r="AE579" s="47"/>
      <c r="AF579" s="49"/>
      <c r="AG579" s="46"/>
      <c r="AH579" s="48"/>
      <c r="AI579" s="48"/>
      <c r="AJ579" s="49"/>
      <c r="AL579" s="138" t="s">
        <v>536</v>
      </c>
      <c r="AM579" s="138">
        <v>0</v>
      </c>
      <c r="AN579" s="141">
        <v>0</v>
      </c>
      <c r="AO579" s="138"/>
      <c r="AP579" s="141"/>
      <c r="AQ579" s="28"/>
      <c r="AR579" s="43" t="s">
        <v>1705</v>
      </c>
      <c r="AS579" s="28"/>
      <c r="AT579" s="28"/>
      <c r="AU579" s="141"/>
      <c r="AW579" s="28"/>
      <c r="AX579" s="196" t="s">
        <v>1706</v>
      </c>
      <c r="AY579" s="138">
        <v>0</v>
      </c>
      <c r="AZ579" s="141">
        <v>4</v>
      </c>
      <c r="BA579" s="138"/>
      <c r="BB579" s="28"/>
      <c r="BC579" s="141"/>
      <c r="BD579" s="138"/>
      <c r="BE579" s="141"/>
      <c r="BF579" s="138" t="s">
        <v>142</v>
      </c>
      <c r="BG579" s="28"/>
      <c r="BH579" s="141" t="s">
        <v>1360</v>
      </c>
      <c r="BJ579" s="28"/>
      <c r="BK579" s="28"/>
      <c r="BL579" s="28"/>
      <c r="BM579" s="28"/>
      <c r="BN579" s="28"/>
      <c r="BO579" s="28"/>
      <c r="BP579" s="28"/>
    </row>
    <row r="580" spans="3:68" ht="15" thickBot="1" x14ac:dyDescent="0.35">
      <c r="Y580" s="47" t="s">
        <v>84</v>
      </c>
      <c r="Z580" s="202">
        <v>1331</v>
      </c>
      <c r="AA580" s="203">
        <v>7013</v>
      </c>
      <c r="AB580" s="48">
        <v>0</v>
      </c>
      <c r="AC580" s="48">
        <v>0</v>
      </c>
      <c r="AD580" s="48">
        <v>0</v>
      </c>
      <c r="AE580" s="202">
        <v>775538</v>
      </c>
      <c r="AF580" s="203">
        <v>142684</v>
      </c>
      <c r="AG580" s="48">
        <v>0</v>
      </c>
      <c r="AH580" s="202" t="s">
        <v>1260</v>
      </c>
      <c r="AI580" s="48"/>
      <c r="AJ580" s="49">
        <v>84</v>
      </c>
      <c r="AL580" s="138" t="s">
        <v>227</v>
      </c>
      <c r="AM580" s="138">
        <v>0</v>
      </c>
      <c r="AN580" s="141">
        <v>0</v>
      </c>
      <c r="AO580" s="138"/>
      <c r="AP580" s="141"/>
      <c r="AQ580" s="28"/>
      <c r="AR580" s="43" t="s">
        <v>1707</v>
      </c>
      <c r="AS580" s="28"/>
      <c r="AT580" s="28"/>
      <c r="AU580" s="141"/>
      <c r="AW580" s="28"/>
      <c r="AX580" s="196" t="s">
        <v>704</v>
      </c>
      <c r="AY580" s="138">
        <v>0</v>
      </c>
      <c r="AZ580" s="141">
        <v>2</v>
      </c>
      <c r="BA580" s="138"/>
      <c r="BB580" s="28"/>
      <c r="BC580" s="141"/>
      <c r="BD580" s="138"/>
      <c r="BE580" s="141"/>
      <c r="BF580" s="138" t="s">
        <v>146</v>
      </c>
      <c r="BG580" s="28"/>
      <c r="BH580" s="141" t="s">
        <v>1662</v>
      </c>
      <c r="BJ580" s="28"/>
      <c r="BK580" s="28"/>
      <c r="BL580" s="28"/>
      <c r="BM580" s="28"/>
      <c r="BN580" s="28"/>
      <c r="BO580" s="28"/>
      <c r="BP580" s="28"/>
    </row>
    <row r="581" spans="3:68" x14ac:dyDescent="0.3">
      <c r="Y581" t="s">
        <v>193</v>
      </c>
      <c r="AJ581" t="s">
        <v>6</v>
      </c>
      <c r="AL581" s="138" t="s">
        <v>230</v>
      </c>
      <c r="AM581" s="138">
        <v>10</v>
      </c>
      <c r="AN581" s="141">
        <v>11</v>
      </c>
      <c r="AO581" s="138"/>
      <c r="AP581" s="141"/>
      <c r="AQ581" s="28"/>
      <c r="AR581" s="43" t="s">
        <v>1125</v>
      </c>
      <c r="AS581" s="28"/>
      <c r="AT581" s="28"/>
      <c r="AU581" s="141"/>
      <c r="AW581" s="28"/>
      <c r="AX581" s="196" t="s">
        <v>432</v>
      </c>
      <c r="AY581" s="138">
        <v>0</v>
      </c>
      <c r="AZ581" s="141">
        <v>2</v>
      </c>
      <c r="BA581" s="138"/>
      <c r="BB581" s="28"/>
      <c r="BC581" s="141"/>
      <c r="BD581" s="138"/>
      <c r="BE581" s="141"/>
      <c r="BF581" s="138"/>
      <c r="BG581" s="28"/>
      <c r="BH581" s="141" t="s">
        <v>1063</v>
      </c>
      <c r="BJ581" s="28"/>
      <c r="BK581" s="28"/>
      <c r="BL581" s="28"/>
      <c r="BM581" s="28"/>
      <c r="BN581" s="257"/>
      <c r="BO581" s="28"/>
      <c r="BP581" s="28"/>
    </row>
    <row r="582" spans="3:68" ht="15.6" x14ac:dyDescent="0.3">
      <c r="AL582" s="138" t="s">
        <v>125</v>
      </c>
      <c r="AM582" s="138">
        <v>0</v>
      </c>
      <c r="AN582" s="141">
        <v>0</v>
      </c>
      <c r="AO582" s="138"/>
      <c r="AP582" s="141"/>
      <c r="AQ582" s="28"/>
      <c r="AR582" s="43" t="s">
        <v>1708</v>
      </c>
      <c r="AS582" s="28"/>
      <c r="AT582" s="28"/>
      <c r="AU582" s="141"/>
      <c r="AW582" s="267"/>
      <c r="AX582" s="196" t="s">
        <v>1709</v>
      </c>
      <c r="AY582" s="138">
        <v>3</v>
      </c>
      <c r="AZ582" s="141">
        <v>1</v>
      </c>
      <c r="BA582" s="138"/>
      <c r="BB582" s="28"/>
      <c r="BC582" s="141"/>
      <c r="BD582" s="138"/>
      <c r="BE582" s="141"/>
      <c r="BF582" s="138" t="s">
        <v>151</v>
      </c>
      <c r="BG582" s="28"/>
      <c r="BH582" s="141"/>
      <c r="BJ582" s="28"/>
      <c r="BK582" s="28"/>
      <c r="BL582" s="28"/>
      <c r="BM582" s="186"/>
      <c r="BN582" s="28"/>
      <c r="BO582" s="28"/>
      <c r="BP582" s="28"/>
    </row>
    <row r="583" spans="3:68" x14ac:dyDescent="0.3">
      <c r="AL583" s="138" t="s">
        <v>132</v>
      </c>
      <c r="AM583" s="138">
        <v>0</v>
      </c>
      <c r="AN583" s="141">
        <v>0</v>
      </c>
      <c r="AO583" s="138"/>
      <c r="AP583" s="141"/>
      <c r="AQ583" s="28"/>
      <c r="AR583" s="43"/>
      <c r="AS583" s="43"/>
      <c r="AT583" s="28"/>
      <c r="AU583" s="141"/>
      <c r="AW583" s="28"/>
      <c r="AX583" s="196" t="s">
        <v>85</v>
      </c>
      <c r="AY583" s="138">
        <v>18</v>
      </c>
      <c r="AZ583" s="141">
        <v>11</v>
      </c>
      <c r="BA583" s="138"/>
      <c r="BB583" s="28"/>
      <c r="BC583" s="141"/>
      <c r="BD583" s="138"/>
      <c r="BE583" s="141"/>
      <c r="BF583" s="138" t="s">
        <v>1089</v>
      </c>
      <c r="BG583" s="257" t="s">
        <v>1665</v>
      </c>
      <c r="BH583" s="141" t="s">
        <v>1710</v>
      </c>
      <c r="BJ583" s="28"/>
      <c r="BK583" s="28"/>
      <c r="BL583" s="28"/>
      <c r="BM583" s="43"/>
      <c r="BN583" s="28"/>
      <c r="BO583" s="28"/>
      <c r="BP583" s="28"/>
    </row>
    <row r="584" spans="3:68" x14ac:dyDescent="0.3">
      <c r="AL584" s="138" t="s">
        <v>536</v>
      </c>
      <c r="AM584" s="138">
        <v>0</v>
      </c>
      <c r="AN584" s="141">
        <v>0</v>
      </c>
      <c r="AO584" s="138"/>
      <c r="AP584" s="141"/>
      <c r="AQ584" s="28"/>
      <c r="AR584" s="43"/>
      <c r="AS584" s="28"/>
      <c r="AT584" s="28"/>
      <c r="AU584" s="141"/>
      <c r="AW584" s="28"/>
      <c r="AX584" s="196" t="s">
        <v>1711</v>
      </c>
      <c r="AY584" s="138">
        <v>5</v>
      </c>
      <c r="AZ584" s="141">
        <v>6</v>
      </c>
      <c r="BA584" s="138"/>
      <c r="BB584" s="28"/>
      <c r="BC584" s="141"/>
      <c r="BD584" s="138"/>
      <c r="BE584" s="141"/>
      <c r="BF584" s="212" t="s">
        <v>1651</v>
      </c>
      <c r="BG584" s="28" t="s">
        <v>1712</v>
      </c>
      <c r="BH584" s="141"/>
      <c r="BJ584" s="28"/>
      <c r="BK584" s="28"/>
      <c r="BL584" s="28"/>
      <c r="BM584" s="28"/>
      <c r="BN584" s="43"/>
      <c r="BO584" s="28"/>
      <c r="BP584" s="28"/>
    </row>
    <row r="585" spans="3:68" ht="15" thickBot="1" x14ac:dyDescent="0.35">
      <c r="AL585" s="138" t="s">
        <v>84</v>
      </c>
      <c r="AM585" s="138">
        <f>SUM(AM564:AM584)</f>
        <v>187</v>
      </c>
      <c r="AN585" s="141">
        <f>SUM(AN564:AN584)</f>
        <v>250</v>
      </c>
      <c r="AO585" s="138"/>
      <c r="AP585" s="141"/>
      <c r="AQ585" s="28"/>
      <c r="AR585" s="28"/>
      <c r="AS585" s="28"/>
      <c r="AT585" s="28"/>
      <c r="AU585" s="141">
        <v>141</v>
      </c>
      <c r="AW585" s="28"/>
      <c r="AX585" s="196" t="s">
        <v>1713</v>
      </c>
      <c r="AY585" s="138">
        <v>0</v>
      </c>
      <c r="AZ585" s="141">
        <v>1</v>
      </c>
      <c r="BA585" s="138"/>
      <c r="BB585" s="28"/>
      <c r="BC585" s="141"/>
      <c r="BD585" s="138"/>
      <c r="BE585" s="141"/>
      <c r="BF585" s="212" t="s">
        <v>1714</v>
      </c>
      <c r="BG585" s="28"/>
      <c r="BH585" s="141"/>
      <c r="BJ585" s="28"/>
      <c r="BK585" s="28"/>
      <c r="BL585" s="28"/>
      <c r="BM585" s="28"/>
      <c r="BN585" s="28"/>
      <c r="BO585" s="28"/>
      <c r="BP585" s="28"/>
    </row>
    <row r="586" spans="3:68" ht="15" thickBot="1" x14ac:dyDescent="0.35">
      <c r="AL586" s="171" t="s">
        <v>84</v>
      </c>
      <c r="AM586" s="207">
        <v>1197</v>
      </c>
      <c r="AN586" s="207">
        <v>1342</v>
      </c>
      <c r="AO586" s="207"/>
      <c r="AP586" s="208"/>
      <c r="AQ586" s="170"/>
      <c r="AR586" s="170"/>
      <c r="AS586" s="170"/>
      <c r="AT586" s="170"/>
      <c r="AU586" s="172">
        <v>264</v>
      </c>
      <c r="AW586" s="28"/>
      <c r="AX586" s="196" t="s">
        <v>1715</v>
      </c>
      <c r="AY586" s="138">
        <v>0</v>
      </c>
      <c r="AZ586" s="141">
        <v>5</v>
      </c>
      <c r="BA586" s="138"/>
      <c r="BB586" s="28"/>
      <c r="BC586" s="141"/>
      <c r="BD586" s="138"/>
      <c r="BE586" s="141"/>
      <c r="BF586" s="138" t="s">
        <v>1716</v>
      </c>
      <c r="BG586" s="43" t="s">
        <v>1717</v>
      </c>
      <c r="BH586" s="141" t="s">
        <v>1718</v>
      </c>
      <c r="BJ586" s="28"/>
      <c r="BK586" s="28"/>
      <c r="BL586" s="28"/>
      <c r="BM586" s="186"/>
      <c r="BN586" s="28"/>
      <c r="BO586" s="28"/>
      <c r="BP586" s="28"/>
    </row>
    <row r="587" spans="3:68" x14ac:dyDescent="0.3">
      <c r="AN587" s="43"/>
      <c r="AW587" s="28"/>
      <c r="AX587" s="196" t="s">
        <v>211</v>
      </c>
      <c r="AY587" s="138">
        <v>0</v>
      </c>
      <c r="AZ587" s="141">
        <v>2</v>
      </c>
      <c r="BA587" s="138"/>
      <c r="BB587" s="28"/>
      <c r="BC587" s="141"/>
      <c r="BD587" s="138"/>
      <c r="BE587" s="141"/>
      <c r="BF587" s="138" t="s">
        <v>890</v>
      </c>
      <c r="BG587" s="28" t="s">
        <v>1719</v>
      </c>
      <c r="BH587" s="141" t="s">
        <v>1720</v>
      </c>
      <c r="BJ587" s="28"/>
      <c r="BK587" s="28"/>
      <c r="BL587" s="28"/>
      <c r="BM587" s="28"/>
      <c r="BN587" s="186"/>
      <c r="BO587" s="43"/>
      <c r="BP587" s="28"/>
    </row>
    <row r="588" spans="3:68" ht="15.6" x14ac:dyDescent="0.3">
      <c r="AW588" s="28"/>
      <c r="AX588" s="196" t="s">
        <v>468</v>
      </c>
      <c r="AY588" s="138">
        <v>0</v>
      </c>
      <c r="AZ588" s="141">
        <v>2</v>
      </c>
      <c r="BA588" s="138"/>
      <c r="BB588" s="28"/>
      <c r="BC588" s="141"/>
      <c r="BD588" s="138"/>
      <c r="BE588" s="141"/>
      <c r="BF588" s="212" t="s">
        <v>1680</v>
      </c>
      <c r="BG588" s="28" t="s">
        <v>376</v>
      </c>
      <c r="BH588" s="141" t="s">
        <v>1721</v>
      </c>
      <c r="BJ588" s="28"/>
      <c r="BK588" s="28"/>
      <c r="BL588" s="28"/>
      <c r="BM588" s="28"/>
      <c r="BN588" s="258"/>
      <c r="BO588" s="43"/>
      <c r="BP588" s="28"/>
    </row>
    <row r="589" spans="3:68" x14ac:dyDescent="0.3">
      <c r="AW589" s="28"/>
      <c r="AX589" s="196" t="s">
        <v>523</v>
      </c>
      <c r="AY589" s="138">
        <v>0</v>
      </c>
      <c r="AZ589" s="141">
        <v>3</v>
      </c>
      <c r="BA589" s="138"/>
      <c r="BB589" s="28"/>
      <c r="BC589" s="141"/>
      <c r="BD589" s="138"/>
      <c r="BE589" s="141"/>
      <c r="BF589" s="138" t="s">
        <v>447</v>
      </c>
      <c r="BG589" s="43" t="s">
        <v>1722</v>
      </c>
      <c r="BH589" s="209" t="s">
        <v>1723</v>
      </c>
      <c r="BJ589" s="28"/>
      <c r="BK589" s="28"/>
      <c r="BL589" s="28"/>
      <c r="BM589" s="28"/>
      <c r="BN589" s="43"/>
      <c r="BO589" s="28"/>
      <c r="BP589" s="28"/>
    </row>
    <row r="590" spans="3:68" ht="15.6" x14ac:dyDescent="0.3">
      <c r="AW590" s="28"/>
      <c r="AX590" s="196" t="s">
        <v>139</v>
      </c>
      <c r="AY590" s="138">
        <v>0</v>
      </c>
      <c r="AZ590" s="141">
        <v>3</v>
      </c>
      <c r="BA590" s="138"/>
      <c r="BB590" s="28"/>
      <c r="BC590" s="141"/>
      <c r="BD590" s="138"/>
      <c r="BE590" s="141"/>
      <c r="BF590" s="138" t="s">
        <v>1724</v>
      </c>
      <c r="BG590" s="258" t="s">
        <v>1725</v>
      </c>
      <c r="BH590" s="209" t="s">
        <v>1336</v>
      </c>
      <c r="BJ590" s="28"/>
      <c r="BK590" s="28"/>
      <c r="BL590" s="28"/>
      <c r="BM590" s="28"/>
      <c r="BN590" s="258"/>
      <c r="BO590" s="246"/>
      <c r="BP590" s="28"/>
    </row>
    <row r="591" spans="3:68" ht="15.6" x14ac:dyDescent="0.3">
      <c r="AW591" s="28"/>
      <c r="AX591" s="196" t="s">
        <v>174</v>
      </c>
      <c r="AY591" s="138">
        <v>0</v>
      </c>
      <c r="AZ591" s="141">
        <v>1</v>
      </c>
      <c r="BA591" s="138"/>
      <c r="BB591" s="43"/>
      <c r="BC591" s="141"/>
      <c r="BD591" s="138"/>
      <c r="BE591" s="141"/>
      <c r="BF591" s="138" t="s">
        <v>1690</v>
      </c>
      <c r="BG591" s="43" t="s">
        <v>1726</v>
      </c>
      <c r="BH591" s="141" t="s">
        <v>1727</v>
      </c>
      <c r="BJ591" s="28"/>
      <c r="BK591" s="28"/>
      <c r="BL591" s="28"/>
      <c r="BM591" s="28"/>
      <c r="BN591" s="258"/>
      <c r="BO591" s="28"/>
      <c r="BP591" s="28"/>
    </row>
    <row r="592" spans="3:68" ht="15.6" x14ac:dyDescent="0.3">
      <c r="AW592" s="28"/>
      <c r="AX592" s="259" t="s">
        <v>1728</v>
      </c>
      <c r="AY592" s="138">
        <v>0</v>
      </c>
      <c r="AZ592" s="141">
        <v>1</v>
      </c>
      <c r="BA592" s="138"/>
      <c r="BB592" s="43"/>
      <c r="BC592" s="141"/>
      <c r="BD592" s="138">
        <v>53</v>
      </c>
      <c r="BE592" s="141"/>
      <c r="BF592" s="138" t="s">
        <v>1729</v>
      </c>
      <c r="BG592" s="258" t="s">
        <v>1730</v>
      </c>
      <c r="BH592" s="260" t="s">
        <v>1731</v>
      </c>
      <c r="BJ592" s="28"/>
      <c r="BK592" s="28"/>
      <c r="BL592" s="28"/>
      <c r="BM592" s="28"/>
      <c r="BN592" s="258"/>
      <c r="BO592" s="28"/>
      <c r="BP592" s="28"/>
    </row>
    <row r="593" spans="40:68" ht="15.6" x14ac:dyDescent="0.3">
      <c r="AW593" s="28"/>
      <c r="AX593" s="196" t="s">
        <v>64</v>
      </c>
      <c r="AY593" s="138">
        <v>0</v>
      </c>
      <c r="AZ593" s="141">
        <v>2</v>
      </c>
      <c r="BA593" s="138"/>
      <c r="BB593" s="43"/>
      <c r="BC593" s="141"/>
      <c r="BD593" s="138"/>
      <c r="BE593" s="141"/>
      <c r="BF593" s="138" t="s">
        <v>1732</v>
      </c>
      <c r="BG593" s="258" t="s">
        <v>1733</v>
      </c>
      <c r="BH593" s="141" t="s">
        <v>1734</v>
      </c>
      <c r="BJ593" s="28"/>
      <c r="BK593" s="28"/>
      <c r="BL593" s="28"/>
      <c r="BM593" s="28"/>
      <c r="BN593" s="258"/>
      <c r="BO593" s="28"/>
      <c r="BP593" s="28"/>
    </row>
    <row r="594" spans="40:68" ht="15.6" x14ac:dyDescent="0.3">
      <c r="AW594" s="28"/>
      <c r="AX594" s="196" t="s">
        <v>169</v>
      </c>
      <c r="AY594" s="138">
        <v>0</v>
      </c>
      <c r="AZ594" s="141">
        <v>3</v>
      </c>
      <c r="BA594" s="138"/>
      <c r="BB594" s="43"/>
      <c r="BC594" s="141"/>
      <c r="BD594" s="138"/>
      <c r="BE594" s="141"/>
      <c r="BF594" s="138" t="s">
        <v>1735</v>
      </c>
      <c r="BG594" s="258" t="s">
        <v>1736</v>
      </c>
      <c r="BH594" s="141" t="s">
        <v>1737</v>
      </c>
      <c r="BJ594" s="28"/>
      <c r="BK594" s="28"/>
      <c r="BL594" s="28"/>
      <c r="BM594" s="28"/>
      <c r="BN594" s="258"/>
      <c r="BO594" s="28"/>
      <c r="BP594" s="28"/>
    </row>
    <row r="595" spans="40:68" ht="15.6" x14ac:dyDescent="0.3">
      <c r="AW595" s="28"/>
      <c r="AX595" s="196" t="s">
        <v>1588</v>
      </c>
      <c r="AY595" s="138">
        <v>0</v>
      </c>
      <c r="AZ595" s="141">
        <v>0</v>
      </c>
      <c r="BA595" s="138"/>
      <c r="BB595" s="43"/>
      <c r="BC595" s="141"/>
      <c r="BD595" s="138"/>
      <c r="BE595" s="141"/>
      <c r="BF595" s="138" t="s">
        <v>771</v>
      </c>
      <c r="BG595" s="258" t="s">
        <v>714</v>
      </c>
      <c r="BH595" s="141" t="s">
        <v>1738</v>
      </c>
      <c r="BJ595" s="28"/>
      <c r="BK595" s="28"/>
      <c r="BL595" s="28"/>
      <c r="BM595" s="28"/>
      <c r="BN595" s="258"/>
      <c r="BO595" s="28"/>
      <c r="BP595" s="28"/>
    </row>
    <row r="596" spans="40:68" ht="15.6" x14ac:dyDescent="0.3">
      <c r="AW596" s="28"/>
      <c r="AX596" s="196" t="s">
        <v>1376</v>
      </c>
      <c r="AY596" s="138">
        <v>0</v>
      </c>
      <c r="AZ596" s="141">
        <v>1</v>
      </c>
      <c r="BA596" s="138"/>
      <c r="BB596" s="43"/>
      <c r="BC596" s="141"/>
      <c r="BD596" s="138"/>
      <c r="BE596" s="141"/>
      <c r="BF596" s="138" t="s">
        <v>1739</v>
      </c>
      <c r="BG596" s="258" t="s">
        <v>1680</v>
      </c>
      <c r="BH596" s="141" t="s">
        <v>1377</v>
      </c>
      <c r="BJ596" s="28"/>
      <c r="BK596" s="28"/>
      <c r="BL596" s="28"/>
      <c r="BM596" s="28"/>
      <c r="BN596" s="258"/>
      <c r="BO596" s="28"/>
      <c r="BP596" s="28"/>
    </row>
    <row r="597" spans="40:68" ht="15.6" x14ac:dyDescent="0.3">
      <c r="AW597" s="28"/>
      <c r="AX597" s="196" t="s">
        <v>1567</v>
      </c>
      <c r="AY597" s="138">
        <v>0</v>
      </c>
      <c r="AZ597" s="141">
        <v>0</v>
      </c>
      <c r="BA597" s="138"/>
      <c r="BB597" s="43"/>
      <c r="BC597" s="141"/>
      <c r="BD597" s="138"/>
      <c r="BE597" s="141"/>
      <c r="BF597" s="138" t="s">
        <v>1740</v>
      </c>
      <c r="BG597" s="258" t="s">
        <v>385</v>
      </c>
      <c r="BH597" s="141" t="s">
        <v>1741</v>
      </c>
      <c r="BJ597" s="28"/>
      <c r="BK597" s="28"/>
      <c r="BL597" s="28"/>
      <c r="BM597" s="28"/>
      <c r="BN597" s="258"/>
      <c r="BO597" s="28"/>
      <c r="BP597" s="28"/>
    </row>
    <row r="598" spans="40:68" ht="15.6" x14ac:dyDescent="0.3">
      <c r="AW598" s="28"/>
      <c r="AX598" s="196" t="s">
        <v>1742</v>
      </c>
      <c r="AY598" s="138">
        <v>0</v>
      </c>
      <c r="AZ598" s="141">
        <v>0</v>
      </c>
      <c r="BA598" s="138"/>
      <c r="BB598" s="43"/>
      <c r="BC598" s="141"/>
      <c r="BD598" s="138"/>
      <c r="BE598" s="141"/>
      <c r="BF598" s="138" t="s">
        <v>310</v>
      </c>
      <c r="BG598" s="258" t="s">
        <v>1743</v>
      </c>
      <c r="BH598" s="141" t="s">
        <v>1744</v>
      </c>
      <c r="BJ598" s="28"/>
      <c r="BK598" s="28"/>
      <c r="BL598" s="28"/>
      <c r="BM598" s="28"/>
      <c r="BN598" s="28"/>
      <c r="BO598" s="28"/>
      <c r="BP598" s="28"/>
    </row>
    <row r="599" spans="40:68" ht="15.6" x14ac:dyDescent="0.3">
      <c r="AX599" s="196" t="s">
        <v>105</v>
      </c>
      <c r="AY599" s="138">
        <v>0</v>
      </c>
      <c r="AZ599" s="141">
        <v>0</v>
      </c>
      <c r="BA599" s="138"/>
      <c r="BB599" s="43"/>
      <c r="BC599" s="141"/>
      <c r="BD599" s="138"/>
      <c r="BE599" s="141"/>
      <c r="BF599" s="138" t="s">
        <v>310</v>
      </c>
      <c r="BG599" s="258" t="s">
        <v>626</v>
      </c>
      <c r="BH599" s="141" t="s">
        <v>507</v>
      </c>
      <c r="BJ599" s="28"/>
      <c r="BK599" s="28"/>
      <c r="BL599" s="28"/>
      <c r="BM599" s="28"/>
      <c r="BN599" s="28"/>
      <c r="BO599" s="28"/>
      <c r="BP599" s="28"/>
    </row>
    <row r="600" spans="40:68" ht="15.6" x14ac:dyDescent="0.3">
      <c r="AN600" s="28"/>
      <c r="AO600" s="28"/>
      <c r="AP600" s="28"/>
      <c r="AQ600" s="28"/>
      <c r="AR600" s="28"/>
      <c r="AS600" s="28"/>
      <c r="AT600" s="28"/>
      <c r="AU600" s="28"/>
      <c r="AV600" s="28"/>
      <c r="AW600" s="141"/>
      <c r="AX600" s="209"/>
      <c r="AY600" s="212"/>
      <c r="AZ600" s="209"/>
      <c r="BA600" s="138"/>
      <c r="BB600" s="28"/>
      <c r="BC600" s="141"/>
      <c r="BD600" s="138"/>
      <c r="BE600" s="141"/>
      <c r="BF600" s="138" t="s">
        <v>451</v>
      </c>
      <c r="BG600" s="258" t="s">
        <v>513</v>
      </c>
      <c r="BH600" s="141"/>
      <c r="BJ600" s="28"/>
      <c r="BK600" s="28"/>
      <c r="BL600" s="28"/>
      <c r="BM600" s="28"/>
      <c r="BN600" s="28"/>
      <c r="BO600" s="28"/>
      <c r="BP600" s="28"/>
    </row>
    <row r="601" spans="40:68" x14ac:dyDescent="0.3">
      <c r="AN601" s="28"/>
      <c r="AO601" s="28"/>
      <c r="AP601" s="28"/>
      <c r="AQ601" s="28"/>
      <c r="AR601" s="28"/>
      <c r="AS601" s="28"/>
      <c r="AT601" s="28"/>
      <c r="AU601" s="28"/>
      <c r="AV601" s="28"/>
      <c r="AW601" s="141"/>
      <c r="AX601" s="251"/>
      <c r="AY601" s="263"/>
      <c r="AZ601" s="264"/>
      <c r="BA601" s="142"/>
      <c r="BB601" s="143"/>
      <c r="BC601" s="146"/>
      <c r="BD601" s="142"/>
      <c r="BE601" s="146"/>
      <c r="BF601" s="323"/>
      <c r="BG601" s="143"/>
      <c r="BH601" s="146">
        <v>141</v>
      </c>
      <c r="BJ601" s="28"/>
      <c r="BK601" s="28"/>
      <c r="BL601" s="28"/>
      <c r="BM601" s="28"/>
      <c r="BN601" s="28"/>
      <c r="BO601" s="28"/>
      <c r="BP601" s="28"/>
    </row>
    <row r="602" spans="40:68" x14ac:dyDescent="0.3">
      <c r="AN602" s="28"/>
      <c r="AO602" s="28"/>
      <c r="AP602" s="28"/>
      <c r="AQ602" s="28"/>
      <c r="AR602" s="28"/>
      <c r="AS602" s="28"/>
      <c r="AT602" s="28"/>
      <c r="AU602" s="28"/>
      <c r="AV602" s="28"/>
      <c r="AW602" s="141"/>
      <c r="AX602" s="265" t="s">
        <v>84</v>
      </c>
      <c r="AY602" s="247">
        <v>61</v>
      </c>
      <c r="AZ602" s="266">
        <v>97</v>
      </c>
      <c r="BA602" s="197"/>
      <c r="BB602" s="198"/>
      <c r="BC602" s="249"/>
      <c r="BD602" s="197"/>
      <c r="BE602" s="249"/>
      <c r="BF602" s="198"/>
      <c r="BG602" s="198" t="s">
        <v>939</v>
      </c>
      <c r="BH602" s="249">
        <v>307</v>
      </c>
      <c r="BJ602" s="28"/>
      <c r="BK602" s="28"/>
      <c r="BL602" s="28"/>
      <c r="BM602" s="28"/>
      <c r="BN602" s="28"/>
      <c r="BO602" s="28"/>
      <c r="BP602" s="28"/>
    </row>
    <row r="603" spans="40:68" x14ac:dyDescent="0.3"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 t="s">
        <v>223</v>
      </c>
      <c r="AY603" s="43">
        <v>3220</v>
      </c>
      <c r="AZ603" s="186">
        <v>3734</v>
      </c>
      <c r="BJ603" s="28"/>
      <c r="BK603" s="28"/>
      <c r="BL603" s="28"/>
      <c r="BM603" s="28"/>
      <c r="BN603" s="28"/>
      <c r="BO603" s="28"/>
      <c r="BP603" s="28"/>
    </row>
    <row r="604" spans="40:68" x14ac:dyDescent="0.3">
      <c r="AN604" s="28"/>
      <c r="AO604" s="28"/>
      <c r="AP604" s="28"/>
      <c r="AQ604" s="28"/>
      <c r="AR604" s="28"/>
      <c r="AS604" s="28"/>
      <c r="AT604" s="28"/>
      <c r="AU604" s="28"/>
      <c r="AV604" s="322"/>
      <c r="AW604" s="28"/>
      <c r="AX604" s="28" t="s">
        <v>1340</v>
      </c>
      <c r="AY604" s="28"/>
      <c r="AZ604" s="186">
        <v>141</v>
      </c>
      <c r="BJ604" s="28"/>
      <c r="BK604" s="28"/>
      <c r="BL604" s="28"/>
      <c r="BM604" s="257"/>
      <c r="BN604" s="28"/>
      <c r="BO604" s="28"/>
      <c r="BP604" s="28"/>
    </row>
    <row r="605" spans="40:68" x14ac:dyDescent="0.3"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 t="s">
        <v>229</v>
      </c>
      <c r="AY605" s="28"/>
      <c r="AZ605" s="186">
        <v>2</v>
      </c>
      <c r="BJ605" s="28"/>
      <c r="BK605" s="28"/>
      <c r="BL605" s="28"/>
      <c r="BM605" s="28"/>
      <c r="BN605" s="28"/>
      <c r="BO605" s="28"/>
      <c r="BP605" s="28"/>
    </row>
    <row r="606" spans="40:68" x14ac:dyDescent="0.3"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t="s">
        <v>232</v>
      </c>
      <c r="AZ606" s="178" t="s">
        <v>233</v>
      </c>
      <c r="BB606">
        <v>1197</v>
      </c>
      <c r="BD606" t="s">
        <v>234</v>
      </c>
      <c r="BF606" t="s">
        <v>233</v>
      </c>
      <c r="BH606">
        <v>3698</v>
      </c>
      <c r="BJ606" s="28"/>
      <c r="BK606" s="28"/>
      <c r="BL606" s="28"/>
      <c r="BM606" s="28"/>
      <c r="BN606" s="28"/>
      <c r="BO606" s="28"/>
      <c r="BP606" s="28"/>
    </row>
    <row r="607" spans="40:68" x14ac:dyDescent="0.3"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Z607" t="s">
        <v>236</v>
      </c>
      <c r="BB607">
        <v>1342</v>
      </c>
      <c r="BF607" t="s">
        <v>236</v>
      </c>
      <c r="BH607">
        <v>3409</v>
      </c>
      <c r="BJ607" s="28"/>
      <c r="BK607" s="28"/>
      <c r="BL607" s="28"/>
      <c r="BM607" s="28"/>
      <c r="BN607" s="28"/>
      <c r="BO607" s="28"/>
      <c r="BP607" s="28"/>
    </row>
    <row r="608" spans="40:68" x14ac:dyDescent="0.3"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t="s">
        <v>238</v>
      </c>
      <c r="AY608" t="s">
        <v>239</v>
      </c>
      <c r="BA608" t="s">
        <v>240</v>
      </c>
      <c r="BB608" t="s">
        <v>241</v>
      </c>
      <c r="BE608" t="s">
        <v>242</v>
      </c>
      <c r="BF608" s="131" t="s">
        <v>243</v>
      </c>
      <c r="BJ608" s="28"/>
      <c r="BK608" s="28"/>
      <c r="BL608" s="28"/>
      <c r="BM608" s="257"/>
      <c r="BN608" s="28"/>
      <c r="BO608" s="28"/>
      <c r="BP608" s="28"/>
    </row>
    <row r="609" spans="40:68" x14ac:dyDescent="0.3"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t="s">
        <v>233</v>
      </c>
      <c r="AZ609">
        <v>37832</v>
      </c>
      <c r="BA609" s="236" t="s">
        <v>233</v>
      </c>
      <c r="BC609">
        <v>1331</v>
      </c>
      <c r="BD609" t="s">
        <v>233</v>
      </c>
      <c r="BF609">
        <v>8344</v>
      </c>
      <c r="BG609" t="s">
        <v>245</v>
      </c>
      <c r="BJ609" s="28"/>
      <c r="BK609" s="28"/>
      <c r="BL609" s="28"/>
      <c r="BM609" s="28"/>
      <c r="BN609" s="28"/>
      <c r="BO609" s="28"/>
      <c r="BP609" s="28"/>
    </row>
    <row r="610" spans="40:68" x14ac:dyDescent="0.3"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t="s">
        <v>236</v>
      </c>
      <c r="AZ610">
        <v>46801</v>
      </c>
      <c r="BA610" s="236" t="s">
        <v>236</v>
      </c>
      <c r="BC610">
        <v>7013</v>
      </c>
      <c r="BD610" t="s">
        <v>236</v>
      </c>
      <c r="BF610">
        <v>11954</v>
      </c>
      <c r="BI610">
        <v>100084</v>
      </c>
      <c r="BJ610" s="28"/>
      <c r="BK610" s="28"/>
      <c r="BL610" s="28"/>
      <c r="BM610" s="28"/>
      <c r="BN610" s="28"/>
      <c r="BO610" s="28"/>
      <c r="BP610" s="28"/>
    </row>
    <row r="611" spans="40:68" x14ac:dyDescent="0.3"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178"/>
      <c r="BA611" s="28"/>
      <c r="BB611" s="28"/>
      <c r="BC611" s="28"/>
      <c r="BD611" s="28"/>
      <c r="BE611" s="28"/>
      <c r="BF611" s="28"/>
      <c r="BG611" s="28"/>
      <c r="BH611" s="28"/>
      <c r="BI611" s="28"/>
    </row>
    <row r="612" spans="40:68" x14ac:dyDescent="0.3"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  <c r="BE612" s="28"/>
      <c r="BF612" s="28"/>
      <c r="BG612" s="28"/>
      <c r="BH612" s="28"/>
      <c r="BI612" s="28"/>
    </row>
    <row r="613" spans="40:68" x14ac:dyDescent="0.3"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  <c r="BE613" s="28"/>
      <c r="BF613" s="257"/>
      <c r="BG613" s="28"/>
      <c r="BH613" s="28"/>
      <c r="BI613" s="28"/>
    </row>
    <row r="614" spans="40:68" x14ac:dyDescent="0.3"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18"/>
      <c r="BB614" s="28"/>
      <c r="BC614" s="28"/>
      <c r="BD614" s="28"/>
      <c r="BE614" s="28"/>
      <c r="BF614" s="28"/>
      <c r="BG614" s="28"/>
      <c r="BH614" s="28"/>
      <c r="BI614" s="28"/>
    </row>
    <row r="615" spans="40:68" x14ac:dyDescent="0.3"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18"/>
      <c r="BB615" s="28"/>
      <c r="BC615" s="28"/>
      <c r="BD615" s="28"/>
      <c r="BE615" s="28"/>
      <c r="BF615" s="28"/>
      <c r="BG615" s="28"/>
      <c r="BH615" s="28"/>
      <c r="BI615" s="28"/>
    </row>
    <row r="616" spans="40:68" x14ac:dyDescent="0.3"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40:68" x14ac:dyDescent="0.3"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40:68" x14ac:dyDescent="0.3"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40:68" x14ac:dyDescent="0.3"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40:68" x14ac:dyDescent="0.3"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 t="s">
        <v>6</v>
      </c>
      <c r="AY620" s="28"/>
      <c r="AZ620" s="28"/>
      <c r="BA620" s="28"/>
      <c r="BB620" s="28"/>
      <c r="BC620" s="28"/>
      <c r="BD620" s="28"/>
      <c r="BE620" s="28"/>
      <c r="BF620" s="28" t="s">
        <v>1656</v>
      </c>
      <c r="BG620" s="28"/>
      <c r="BH620" s="28"/>
    </row>
    <row r="621" spans="40:68" x14ac:dyDescent="0.3"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  <c r="BE621" s="28"/>
      <c r="BF621" s="28"/>
      <c r="BG621" s="28"/>
      <c r="BH621" s="28"/>
      <c r="BI621" s="28"/>
      <c r="BJ621" s="28"/>
    </row>
    <row r="622" spans="40:68" x14ac:dyDescent="0.3"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  <c r="BE622" s="28"/>
      <c r="BF622" s="28"/>
      <c r="BG622" s="28"/>
      <c r="BH622" s="28"/>
      <c r="BI622" s="28"/>
      <c r="BJ622" s="28"/>
    </row>
    <row r="623" spans="40:68" x14ac:dyDescent="0.3"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43"/>
      <c r="AY623" s="43"/>
      <c r="AZ623" s="43"/>
      <c r="BA623" s="28"/>
      <c r="BB623" s="28"/>
      <c r="BC623" s="28"/>
      <c r="BD623" s="28"/>
      <c r="BE623" s="28"/>
      <c r="BF623" s="28"/>
      <c r="BG623" s="28"/>
      <c r="BH623" s="28"/>
      <c r="BI623" s="28"/>
      <c r="BJ623" s="28"/>
    </row>
    <row r="624" spans="40:68" x14ac:dyDescent="0.3">
      <c r="AN624" s="28"/>
      <c r="AO624" s="28"/>
      <c r="AP624" s="28"/>
      <c r="AQ624" s="28"/>
      <c r="AR624" s="28"/>
      <c r="AS624" s="28"/>
      <c r="AT624" s="43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  <c r="BE624" s="28"/>
      <c r="BF624" s="28"/>
      <c r="BG624" s="43"/>
      <c r="BH624" s="43"/>
      <c r="BI624" s="28"/>
      <c r="BJ624" s="28"/>
    </row>
    <row r="625" spans="3:74" ht="15.6" x14ac:dyDescent="0.3">
      <c r="AN625" s="28"/>
      <c r="AO625" s="28"/>
      <c r="AP625" s="28"/>
      <c r="AQ625" s="28"/>
      <c r="AR625" s="28"/>
      <c r="AS625" s="28"/>
      <c r="AT625" s="43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  <c r="BE625" s="28"/>
      <c r="BF625" s="28"/>
      <c r="BG625" s="258"/>
      <c r="BH625" s="43"/>
      <c r="BI625" s="28"/>
      <c r="BJ625" s="28"/>
    </row>
    <row r="626" spans="3:74" x14ac:dyDescent="0.3">
      <c r="AN626" s="28"/>
      <c r="AO626" s="28"/>
      <c r="AP626" s="28"/>
      <c r="AQ626" s="28"/>
      <c r="AR626" s="28"/>
      <c r="AS626" s="28"/>
      <c r="AT626" s="43"/>
      <c r="AU626" s="28"/>
      <c r="AV626" s="28"/>
      <c r="AW626" s="28"/>
      <c r="AX626" s="28"/>
      <c r="AY626" s="28"/>
      <c r="AZ626" s="28"/>
      <c r="BA626" s="28"/>
      <c r="BB626" s="43"/>
      <c r="BC626" s="28"/>
      <c r="BD626" s="28"/>
      <c r="BE626" s="28"/>
      <c r="BF626" s="28"/>
      <c r="BG626" s="43"/>
      <c r="BH626" s="28"/>
      <c r="BI626" s="28"/>
      <c r="BJ626" s="28"/>
    </row>
    <row r="627" spans="3:74" x14ac:dyDescent="0.3">
      <c r="AN627" s="28"/>
      <c r="AO627" s="28"/>
    </row>
    <row r="628" spans="3:74" x14ac:dyDescent="0.3">
      <c r="AJ628" s="28"/>
      <c r="AK628" s="28"/>
      <c r="AL628" s="28"/>
      <c r="AM628" s="28"/>
      <c r="AN628" s="28"/>
      <c r="AO628" s="28"/>
    </row>
    <row r="629" spans="3:74" x14ac:dyDescent="0.3">
      <c r="AJ629" s="28"/>
      <c r="AK629" s="28"/>
      <c r="AL629" s="28"/>
      <c r="AM629" s="28"/>
      <c r="AN629" s="28"/>
      <c r="AO629" s="28"/>
      <c r="AS629" t="s">
        <v>4</v>
      </c>
      <c r="BF629" t="s">
        <v>5</v>
      </c>
      <c r="BI629" s="28"/>
      <c r="BJ629" s="28"/>
      <c r="BK629" s="28"/>
      <c r="BL629" s="28"/>
      <c r="BM629" s="28"/>
      <c r="BO629" s="28"/>
      <c r="BP629" s="28"/>
      <c r="BQ629" s="28"/>
      <c r="BR629" s="28"/>
      <c r="BS629" s="28"/>
      <c r="BT629" s="28"/>
      <c r="BU629" s="28"/>
      <c r="BV629" s="28"/>
    </row>
    <row r="630" spans="3:74" x14ac:dyDescent="0.3">
      <c r="AJ630" s="28"/>
      <c r="AK630" s="28"/>
      <c r="AL630" s="28"/>
      <c r="AM630" s="28"/>
      <c r="AN630" s="28"/>
      <c r="AO630" s="28"/>
      <c r="AT630" t="s">
        <v>2</v>
      </c>
      <c r="BG630" t="s">
        <v>2</v>
      </c>
      <c r="BI630" s="28"/>
      <c r="BJ630" s="28"/>
      <c r="BK630" s="28"/>
      <c r="BL630" s="28"/>
      <c r="BM630" s="28"/>
      <c r="BO630" s="28"/>
      <c r="BP630" s="28"/>
      <c r="BQ630" s="28"/>
      <c r="BR630" s="28"/>
      <c r="BS630" s="28"/>
      <c r="BT630" s="28"/>
      <c r="BU630" s="28"/>
      <c r="BV630" s="28"/>
    </row>
    <row r="631" spans="3:74" x14ac:dyDescent="0.3">
      <c r="AO631" s="28"/>
      <c r="AR631" t="s">
        <v>12</v>
      </c>
      <c r="BE631" t="s">
        <v>13</v>
      </c>
      <c r="BI631" s="28"/>
      <c r="BJ631" s="28"/>
      <c r="BK631" s="28"/>
      <c r="BL631" s="28"/>
      <c r="BM631" s="28"/>
      <c r="BO631" s="28"/>
      <c r="BP631" s="28"/>
      <c r="BQ631" s="28"/>
      <c r="BR631" s="28"/>
      <c r="BS631" s="28"/>
      <c r="BT631" s="28"/>
      <c r="BU631" s="28"/>
      <c r="BV631" s="28"/>
    </row>
    <row r="632" spans="3:74" x14ac:dyDescent="0.3">
      <c r="AO632" s="28"/>
      <c r="AT632" t="s">
        <v>1833</v>
      </c>
      <c r="BG632" t="s">
        <v>1833</v>
      </c>
      <c r="BI632" s="28"/>
      <c r="BJ632" s="28"/>
      <c r="BK632" s="238" t="s">
        <v>950</v>
      </c>
      <c r="BL632" s="28"/>
      <c r="BM632" s="28"/>
      <c r="BO632" s="28"/>
      <c r="BP632" s="28"/>
      <c r="BQ632" s="28"/>
      <c r="BR632" s="28"/>
      <c r="BS632" s="407"/>
      <c r="BT632" s="407"/>
      <c r="BU632" s="407"/>
      <c r="BV632" s="407"/>
    </row>
    <row r="633" spans="3:74" x14ac:dyDescent="0.3">
      <c r="AO633" s="28"/>
      <c r="AX633" s="194" t="s">
        <v>951</v>
      </c>
      <c r="BB633" s="195" t="s">
        <v>17</v>
      </c>
      <c r="BC633" s="134" t="s">
        <v>27</v>
      </c>
      <c r="BD633" s="135"/>
      <c r="BE633" s="134" t="s">
        <v>28</v>
      </c>
      <c r="BF633" s="135"/>
      <c r="BG633" s="136"/>
      <c r="BH633" s="134" t="s">
        <v>1289</v>
      </c>
      <c r="BI633" s="136"/>
      <c r="BJ633" s="135" t="s">
        <v>31</v>
      </c>
      <c r="BK633" s="135"/>
      <c r="BL633" s="136"/>
      <c r="BM633" s="28"/>
      <c r="BO633" s="28"/>
      <c r="BP633" s="28"/>
      <c r="BQ633" s="28"/>
      <c r="BR633" s="28"/>
      <c r="BS633" s="28"/>
      <c r="BT633" s="28"/>
      <c r="BU633" s="28"/>
      <c r="BV633" s="28"/>
    </row>
    <row r="634" spans="3:74" x14ac:dyDescent="0.3">
      <c r="AO634" s="28"/>
      <c r="AP634" s="134" t="s">
        <v>17</v>
      </c>
      <c r="AQ634" s="134" t="s">
        <v>39</v>
      </c>
      <c r="AR634" s="136"/>
      <c r="AS634" s="134" t="s">
        <v>29</v>
      </c>
      <c r="AT634" s="136" t="s">
        <v>30</v>
      </c>
      <c r="AU634" s="135" t="s">
        <v>40</v>
      </c>
      <c r="AV634" s="135"/>
      <c r="AW634" s="135"/>
      <c r="AX634" s="135"/>
      <c r="AY634" s="136"/>
      <c r="BB634" s="196"/>
      <c r="BC634" s="138"/>
      <c r="BD634" s="28"/>
      <c r="BE634" s="138"/>
      <c r="BF634" s="28"/>
      <c r="BG634" s="141"/>
      <c r="BH634" s="138"/>
      <c r="BI634" s="141"/>
      <c r="BJ634" s="28" t="s">
        <v>41</v>
      </c>
      <c r="BK634" s="28"/>
      <c r="BL634" s="141"/>
      <c r="BM634" s="28"/>
      <c r="BO634" s="28"/>
      <c r="BP634" s="28"/>
      <c r="BQ634" s="28"/>
      <c r="BR634" s="28"/>
      <c r="BS634" s="28"/>
      <c r="BT634" s="28"/>
      <c r="BU634" s="28"/>
      <c r="BV634" s="28"/>
    </row>
    <row r="635" spans="3:74" x14ac:dyDescent="0.3">
      <c r="AO635" s="28"/>
      <c r="AP635" s="138" t="s">
        <v>42</v>
      </c>
      <c r="AQ635" s="138" t="s">
        <v>43</v>
      </c>
      <c r="AR635" s="141" t="s">
        <v>44</v>
      </c>
      <c r="AS635" s="138" t="s">
        <v>43</v>
      </c>
      <c r="AT635" s="141" t="s">
        <v>44</v>
      </c>
      <c r="AU635" s="28"/>
      <c r="AV635" s="28"/>
      <c r="AW635" s="28"/>
      <c r="AX635" s="28"/>
      <c r="AY635" s="141"/>
      <c r="BB635" s="199" t="s">
        <v>42</v>
      </c>
      <c r="BC635" s="142" t="s">
        <v>43</v>
      </c>
      <c r="BD635" s="143" t="s">
        <v>44</v>
      </c>
      <c r="BE635" s="142" t="s">
        <v>45</v>
      </c>
      <c r="BF635" s="143" t="s">
        <v>46</v>
      </c>
      <c r="BG635" s="146" t="s">
        <v>52</v>
      </c>
      <c r="BH635" s="142" t="s">
        <v>43</v>
      </c>
      <c r="BI635" s="146"/>
      <c r="BJ635" s="143" t="s">
        <v>54</v>
      </c>
      <c r="BK635" s="143"/>
      <c r="BL635" s="146"/>
      <c r="BM635" s="28"/>
      <c r="BO635" s="28"/>
      <c r="BP635" s="28"/>
      <c r="BQ635" s="28"/>
      <c r="BR635" s="28"/>
      <c r="BS635" s="28"/>
      <c r="BT635" s="28"/>
      <c r="BU635" s="28"/>
      <c r="BV635" s="28"/>
    </row>
    <row r="636" spans="3:74" x14ac:dyDescent="0.3">
      <c r="AO636" s="28"/>
      <c r="AP636" s="134"/>
      <c r="AQ636" s="134"/>
      <c r="AR636" s="136"/>
      <c r="AS636" s="134"/>
      <c r="AT636" s="136"/>
      <c r="AU636" s="135"/>
      <c r="AV636" s="135"/>
      <c r="AW636" s="135"/>
      <c r="AX636" s="135"/>
      <c r="AY636" s="136"/>
      <c r="BB636" s="195" t="s">
        <v>64</v>
      </c>
      <c r="BC636" s="134">
        <v>65</v>
      </c>
      <c r="BD636" s="136">
        <v>103</v>
      </c>
      <c r="BE636" s="134"/>
      <c r="BF636" s="135"/>
      <c r="BG636" s="136"/>
      <c r="BH636" s="134"/>
      <c r="BI636" s="136"/>
      <c r="BJ636" s="134" t="s">
        <v>58</v>
      </c>
      <c r="BK636" s="135"/>
      <c r="BL636" s="136"/>
      <c r="BO636" s="28"/>
      <c r="BP636" s="28"/>
      <c r="BQ636" s="28"/>
      <c r="BR636" s="28"/>
      <c r="BS636" s="28"/>
      <c r="BT636" s="28"/>
      <c r="BU636" s="28"/>
      <c r="BV636" s="28"/>
    </row>
    <row r="637" spans="3:74" x14ac:dyDescent="0.3">
      <c r="E637" t="s">
        <v>0</v>
      </c>
      <c r="S637" t="s">
        <v>1</v>
      </c>
      <c r="AE637" t="s">
        <v>0</v>
      </c>
      <c r="AO637" s="28"/>
      <c r="AP637" s="138"/>
      <c r="AQ637" s="138"/>
      <c r="AR637" s="141"/>
      <c r="AS637" s="138"/>
      <c r="AT637" s="141"/>
      <c r="AU637" s="28"/>
      <c r="AV637" s="28" t="s">
        <v>91</v>
      </c>
      <c r="AW637" s="28"/>
      <c r="AX637" s="28"/>
      <c r="AY637" s="141"/>
      <c r="BB637" s="196" t="s">
        <v>56</v>
      </c>
      <c r="BC637" s="138">
        <v>51</v>
      </c>
      <c r="BD637" s="141">
        <v>12</v>
      </c>
      <c r="BE637" s="138">
        <v>0</v>
      </c>
      <c r="BF637" s="43">
        <v>0</v>
      </c>
      <c r="BG637" s="209">
        <v>0</v>
      </c>
      <c r="BH637" s="138">
        <v>0</v>
      </c>
      <c r="BI637" s="141">
        <v>0</v>
      </c>
      <c r="BJ637" s="212">
        <v>14</v>
      </c>
      <c r="BK637" s="28" t="s">
        <v>474</v>
      </c>
      <c r="BL637" s="141" t="s">
        <v>1834</v>
      </c>
      <c r="BO637" s="28"/>
      <c r="BP637" s="28"/>
      <c r="BQ637" s="28"/>
      <c r="BR637" s="28"/>
      <c r="BS637" s="28"/>
      <c r="BT637" s="28"/>
      <c r="BU637" s="28"/>
      <c r="BV637" s="28"/>
    </row>
    <row r="638" spans="3:74" x14ac:dyDescent="0.3">
      <c r="F638" t="s">
        <v>2</v>
      </c>
      <c r="T638" t="s">
        <v>3</v>
      </c>
      <c r="AE638" t="s">
        <v>9</v>
      </c>
      <c r="AO638" s="28"/>
      <c r="AP638" s="138" t="s">
        <v>56</v>
      </c>
      <c r="AQ638" s="138">
        <v>1358</v>
      </c>
      <c r="AR638" s="141">
        <v>1341</v>
      </c>
      <c r="AS638" s="138">
        <v>0</v>
      </c>
      <c r="AT638" s="141">
        <v>0</v>
      </c>
      <c r="AU638" s="28"/>
      <c r="AV638" s="28"/>
      <c r="AW638" s="28"/>
      <c r="AX638" s="28"/>
      <c r="AY638" s="141"/>
      <c r="BB638" s="196" t="s">
        <v>59</v>
      </c>
      <c r="BC638" s="138">
        <v>7</v>
      </c>
      <c r="BD638" s="141">
        <v>8</v>
      </c>
      <c r="BE638" s="138">
        <v>0</v>
      </c>
      <c r="BF638" s="43">
        <v>0</v>
      </c>
      <c r="BG638" s="209">
        <v>0</v>
      </c>
      <c r="BH638" s="138">
        <v>0</v>
      </c>
      <c r="BI638" s="141">
        <v>0</v>
      </c>
      <c r="BJ638" s="138">
        <v>8</v>
      </c>
      <c r="BK638" s="28" t="s">
        <v>69</v>
      </c>
      <c r="BL638" s="141"/>
      <c r="BO638" s="28"/>
      <c r="BP638" s="28"/>
      <c r="BQ638" s="28"/>
      <c r="BR638" s="28"/>
      <c r="BS638" s="28"/>
      <c r="BT638" s="28"/>
      <c r="BU638" s="28"/>
      <c r="BV638" s="28"/>
    </row>
    <row r="639" spans="3:74" x14ac:dyDescent="0.3">
      <c r="C639" t="s">
        <v>6</v>
      </c>
      <c r="E639" t="s">
        <v>7</v>
      </c>
      <c r="R639" t="s">
        <v>8</v>
      </c>
      <c r="AE639" t="s">
        <v>11</v>
      </c>
      <c r="AO639" s="28"/>
      <c r="AP639" s="142" t="s">
        <v>6</v>
      </c>
      <c r="AQ639" s="142"/>
      <c r="AR639" s="146"/>
      <c r="AS639" s="142"/>
      <c r="AT639" s="146"/>
      <c r="AU639" s="143"/>
      <c r="AV639" s="143">
        <v>93</v>
      </c>
      <c r="AW639" s="143" t="s">
        <v>1292</v>
      </c>
      <c r="AX639" s="143"/>
      <c r="AY639" s="146">
        <f>SUM(AV639)</f>
        <v>93</v>
      </c>
      <c r="BB639" s="239" t="s">
        <v>84</v>
      </c>
      <c r="BC639" s="142">
        <f>SUM(BC636:BC638)</f>
        <v>123</v>
      </c>
      <c r="BD639" s="146">
        <f>SUM(BD636:BD638)</f>
        <v>123</v>
      </c>
      <c r="BE639" s="142">
        <v>0</v>
      </c>
      <c r="BF639" s="143">
        <v>0</v>
      </c>
      <c r="BG639" s="146">
        <v>0</v>
      </c>
      <c r="BH639" s="142">
        <v>0</v>
      </c>
      <c r="BI639" s="146">
        <v>0</v>
      </c>
      <c r="BJ639" s="142"/>
      <c r="BK639" s="143"/>
      <c r="BL639" s="146">
        <v>22</v>
      </c>
      <c r="BM639" s="28"/>
      <c r="BO639" s="28"/>
      <c r="BP639" s="28"/>
      <c r="BQ639" s="28"/>
      <c r="BR639" s="28"/>
      <c r="BS639" s="28"/>
      <c r="BT639" s="28"/>
      <c r="BU639" s="28"/>
      <c r="BV639" s="28"/>
    </row>
    <row r="640" spans="3:74" x14ac:dyDescent="0.3">
      <c r="F640" t="s">
        <v>1833</v>
      </c>
      <c r="T640" t="s">
        <v>1833</v>
      </c>
      <c r="AF640" t="s">
        <v>1833</v>
      </c>
      <c r="AO640" s="43"/>
      <c r="AP640" s="134"/>
      <c r="AQ640" s="134"/>
      <c r="AR640" s="136"/>
      <c r="AS640" s="134"/>
      <c r="AT640" s="136"/>
      <c r="AU640" s="135"/>
      <c r="AV640" s="135"/>
      <c r="AW640" s="135"/>
      <c r="AX640" s="135"/>
      <c r="AY640" s="136"/>
      <c r="BB640" s="195" t="s">
        <v>6</v>
      </c>
      <c r="BC640" s="134"/>
      <c r="BD640" s="136"/>
      <c r="BE640" s="135"/>
      <c r="BF640" s="135"/>
      <c r="BG640" s="135"/>
      <c r="BH640" s="134"/>
      <c r="BI640" s="136"/>
      <c r="BJ640" s="135"/>
      <c r="BK640" s="135"/>
      <c r="BL640" s="136"/>
      <c r="BO640" s="28"/>
      <c r="BP640" s="28"/>
      <c r="BQ640" s="28"/>
      <c r="BR640" s="28"/>
      <c r="BS640" s="28"/>
      <c r="BT640" s="28"/>
      <c r="BU640" s="28"/>
      <c r="BV640" s="28"/>
    </row>
    <row r="641" spans="3:74" x14ac:dyDescent="0.3">
      <c r="K641" s="194" t="s">
        <v>949</v>
      </c>
      <c r="X641" t="s">
        <v>15</v>
      </c>
      <c r="AK641" s="28" t="s">
        <v>25</v>
      </c>
      <c r="AO641" s="28"/>
      <c r="AP641" s="138" t="s">
        <v>63</v>
      </c>
      <c r="AQ641" s="138">
        <v>63</v>
      </c>
      <c r="AR641" s="141">
        <v>92</v>
      </c>
      <c r="AS641" s="138">
        <v>0</v>
      </c>
      <c r="AT641" s="141">
        <v>0</v>
      </c>
      <c r="AU641" s="28"/>
      <c r="AV641" s="28" t="s">
        <v>110</v>
      </c>
      <c r="AW641" s="28" t="s">
        <v>111</v>
      </c>
      <c r="AX641" s="28" t="s">
        <v>112</v>
      </c>
      <c r="AY641" s="141"/>
      <c r="BB641" s="199"/>
      <c r="BC641" s="142"/>
      <c r="BD641" s="146"/>
      <c r="BE641" s="143"/>
      <c r="BF641" s="143"/>
      <c r="BG641" s="143"/>
      <c r="BH641" s="142"/>
      <c r="BI641" s="146"/>
      <c r="BJ641" s="143"/>
      <c r="BK641" s="143"/>
      <c r="BL641" s="146"/>
      <c r="BO641" s="28"/>
      <c r="BP641" s="28"/>
      <c r="BQ641" s="28"/>
      <c r="BR641" s="28"/>
      <c r="BS641" s="28"/>
      <c r="BT641" s="28"/>
      <c r="BU641" s="28"/>
      <c r="BV641" s="28"/>
    </row>
    <row r="642" spans="3:74" x14ac:dyDescent="0.3">
      <c r="C642" s="134" t="s">
        <v>17</v>
      </c>
      <c r="D642" s="134" t="s">
        <v>18</v>
      </c>
      <c r="E642" s="136"/>
      <c r="F642" s="135" t="s">
        <v>19</v>
      </c>
      <c r="G642" s="135"/>
      <c r="H642" s="135"/>
      <c r="I642" s="195" t="s">
        <v>20</v>
      </c>
      <c r="J642" s="135" t="s">
        <v>21</v>
      </c>
      <c r="K642" s="135"/>
      <c r="L642" s="136"/>
      <c r="O642" s="134" t="s">
        <v>17</v>
      </c>
      <c r="P642" s="135" t="s">
        <v>22</v>
      </c>
      <c r="Q642" s="135"/>
      <c r="R642" s="135" t="s">
        <v>23</v>
      </c>
      <c r="S642" s="135"/>
      <c r="T642" s="135"/>
      <c r="U642" s="135" t="s">
        <v>24</v>
      </c>
      <c r="V642" s="135"/>
      <c r="W642" s="135" t="s">
        <v>21</v>
      </c>
      <c r="X642" s="136"/>
      <c r="AA642" s="134" t="s">
        <v>34</v>
      </c>
      <c r="AB642" s="134" t="s">
        <v>35</v>
      </c>
      <c r="AC642" s="136"/>
      <c r="AD642" s="135" t="s">
        <v>36</v>
      </c>
      <c r="AE642" s="135"/>
      <c r="AF642" s="135"/>
      <c r="AG642" s="134" t="s">
        <v>37</v>
      </c>
      <c r="AH642" s="136" t="s">
        <v>1288</v>
      </c>
      <c r="AI642" s="135" t="s">
        <v>30</v>
      </c>
      <c r="AJ642" s="134" t="s">
        <v>38</v>
      </c>
      <c r="AK642" s="135"/>
      <c r="AL642" s="136"/>
      <c r="AO642" s="28"/>
      <c r="AP642" s="138" t="s">
        <v>115</v>
      </c>
      <c r="AQ642" s="138">
        <v>26</v>
      </c>
      <c r="AR642" s="141">
        <v>29</v>
      </c>
      <c r="AS642" s="138">
        <v>0</v>
      </c>
      <c r="AT642" s="141">
        <v>0</v>
      </c>
      <c r="AU642" s="43"/>
      <c r="AV642" s="28"/>
      <c r="AW642" s="28"/>
      <c r="AX642" s="28"/>
      <c r="AY642" s="141"/>
      <c r="BB642" s="195" t="s">
        <v>107</v>
      </c>
      <c r="BC642" s="134">
        <v>0</v>
      </c>
      <c r="BD642" s="136">
        <v>0</v>
      </c>
      <c r="BE642" s="135"/>
      <c r="BF642" s="135"/>
      <c r="BG642" s="135"/>
      <c r="BH642" s="134"/>
      <c r="BI642" s="136"/>
      <c r="BJ642" s="135"/>
      <c r="BK642" s="135" t="s">
        <v>92</v>
      </c>
      <c r="BL642" s="136"/>
      <c r="BO642" s="28"/>
      <c r="BP642" s="28"/>
      <c r="BQ642" s="28"/>
      <c r="BR642" s="28"/>
      <c r="BS642" s="28"/>
      <c r="BT642" s="28"/>
      <c r="BU642" s="28"/>
      <c r="BV642" s="28"/>
    </row>
    <row r="643" spans="3:74" ht="15" thickBot="1" x14ac:dyDescent="0.35">
      <c r="C643" s="138" t="s">
        <v>32</v>
      </c>
      <c r="D643" s="138"/>
      <c r="E643" s="141"/>
      <c r="F643" s="28"/>
      <c r="G643" s="28"/>
      <c r="H643" s="28"/>
      <c r="I643" s="196"/>
      <c r="J643" s="28" t="s">
        <v>33</v>
      </c>
      <c r="K643" s="28"/>
      <c r="L643" s="141"/>
      <c r="O643" s="138"/>
      <c r="P643" s="28"/>
      <c r="Q643" s="28"/>
      <c r="R643" s="28"/>
      <c r="S643" s="28"/>
      <c r="T643" s="28"/>
      <c r="U643" s="28"/>
      <c r="V643" s="28"/>
      <c r="W643" s="28" t="s">
        <v>33</v>
      </c>
      <c r="X643" s="141"/>
      <c r="AA643" s="138" t="s">
        <v>50</v>
      </c>
      <c r="AB643" s="138" t="s">
        <v>43</v>
      </c>
      <c r="AC643" s="141" t="s">
        <v>44</v>
      </c>
      <c r="AD643" s="28" t="s">
        <v>45</v>
      </c>
      <c r="AE643" s="28" t="s">
        <v>46</v>
      </c>
      <c r="AF643" s="28" t="s">
        <v>52</v>
      </c>
      <c r="AG643" s="138" t="s">
        <v>43</v>
      </c>
      <c r="AH643" s="141" t="s">
        <v>44</v>
      </c>
      <c r="AI643" s="28" t="s">
        <v>43</v>
      </c>
      <c r="AJ643" s="138" t="s">
        <v>53</v>
      </c>
      <c r="AK643" s="28"/>
      <c r="AL643" s="141"/>
      <c r="AO643" s="28"/>
      <c r="AP643" s="138" t="s">
        <v>72</v>
      </c>
      <c r="AQ643" s="138">
        <v>10</v>
      </c>
      <c r="AR643" s="141">
        <v>10</v>
      </c>
      <c r="AS643" s="138">
        <v>0</v>
      </c>
      <c r="AT643" s="141">
        <v>0</v>
      </c>
      <c r="AU643" s="28"/>
      <c r="AV643" s="43"/>
      <c r="AW643" s="28"/>
      <c r="AX643" s="28"/>
      <c r="AY643" s="141"/>
      <c r="BB643" s="196" t="s">
        <v>99</v>
      </c>
      <c r="BC643" s="138">
        <v>0</v>
      </c>
      <c r="BD643" s="141">
        <v>0</v>
      </c>
      <c r="BE643" s="28">
        <v>0</v>
      </c>
      <c r="BF643" s="28">
        <v>0</v>
      </c>
      <c r="BG643" s="28">
        <v>0</v>
      </c>
      <c r="BH643" s="138">
        <v>66197</v>
      </c>
      <c r="BI643" s="141">
        <v>16362</v>
      </c>
      <c r="BJ643" s="43">
        <v>25</v>
      </c>
      <c r="BK643" s="28" t="s">
        <v>100</v>
      </c>
      <c r="BL643" s="141"/>
      <c r="BO643" s="28"/>
      <c r="BP643" s="28"/>
      <c r="BQ643" s="28"/>
      <c r="BR643" s="28"/>
      <c r="BS643" s="28"/>
      <c r="BT643" s="28"/>
      <c r="BU643" s="28"/>
      <c r="BV643" s="28"/>
    </row>
    <row r="644" spans="3:74" x14ac:dyDescent="0.3">
      <c r="C644" s="142" t="s">
        <v>42</v>
      </c>
      <c r="D644" s="142" t="s">
        <v>43</v>
      </c>
      <c r="E644" s="143" t="s">
        <v>44</v>
      </c>
      <c r="F644" s="197" t="s">
        <v>45</v>
      </c>
      <c r="G644" s="198" t="s">
        <v>46</v>
      </c>
      <c r="H644" s="198" t="s">
        <v>47</v>
      </c>
      <c r="I644" s="199" t="s">
        <v>48</v>
      </c>
      <c r="J644" s="143" t="s">
        <v>49</v>
      </c>
      <c r="K644" s="143"/>
      <c r="L644" s="146"/>
      <c r="O644" s="142" t="s">
        <v>50</v>
      </c>
      <c r="P644" s="143" t="s">
        <v>43</v>
      </c>
      <c r="Q644" s="143" t="s">
        <v>44</v>
      </c>
      <c r="R644" s="143" t="s">
        <v>43</v>
      </c>
      <c r="S644" s="143" t="s">
        <v>51</v>
      </c>
      <c r="T644" s="143" t="s">
        <v>44</v>
      </c>
      <c r="U644" s="143" t="s">
        <v>43</v>
      </c>
      <c r="V644" s="143" t="s">
        <v>44</v>
      </c>
      <c r="W644" s="143" t="s">
        <v>49</v>
      </c>
      <c r="X644" s="146"/>
      <c r="AA644" s="33"/>
      <c r="AB644" s="33"/>
      <c r="AC644" s="35"/>
      <c r="AD644" s="34"/>
      <c r="AE644" s="34"/>
      <c r="AF644" s="34"/>
      <c r="AG644" s="33"/>
      <c r="AH644" s="35"/>
      <c r="AI644" s="32"/>
      <c r="AJ644" s="33" t="s">
        <v>62</v>
      </c>
      <c r="AK644" s="34"/>
      <c r="AL644" s="35"/>
      <c r="AO644" s="28"/>
      <c r="AP644" s="138" t="s">
        <v>78</v>
      </c>
      <c r="AQ644" s="138">
        <v>50</v>
      </c>
      <c r="AR644" s="141">
        <v>26</v>
      </c>
      <c r="AS644" s="138">
        <v>0</v>
      </c>
      <c r="AT644" s="141">
        <v>0</v>
      </c>
      <c r="AU644" s="28"/>
      <c r="AV644" s="28"/>
      <c r="AW644" s="28"/>
      <c r="AX644" s="28"/>
      <c r="AY644" s="141"/>
      <c r="BB644" s="199" t="s">
        <v>84</v>
      </c>
      <c r="BC644" s="138">
        <v>0</v>
      </c>
      <c r="BD644" s="141">
        <v>0</v>
      </c>
      <c r="BE644" s="143"/>
      <c r="BF644" s="143"/>
      <c r="BG644" s="143"/>
      <c r="BH644" s="138"/>
      <c r="BI644" s="141"/>
      <c r="BJ644" s="43"/>
      <c r="BK644" s="28" t="s">
        <v>506</v>
      </c>
      <c r="BL644" s="141">
        <f>SUM(BJ643:BJ644)</f>
        <v>25</v>
      </c>
      <c r="BO644" s="28"/>
      <c r="BP644" s="28"/>
      <c r="BQ644" s="28"/>
      <c r="BR644" s="28"/>
      <c r="BS644" s="28"/>
      <c r="BT644" s="28"/>
      <c r="BU644" s="28"/>
      <c r="BV644" s="28"/>
    </row>
    <row r="645" spans="3:74" x14ac:dyDescent="0.3">
      <c r="C645" s="134"/>
      <c r="D645" s="134"/>
      <c r="E645" s="135"/>
      <c r="F645" s="134"/>
      <c r="G645" s="135"/>
      <c r="H645" s="135"/>
      <c r="I645" s="195"/>
      <c r="J645" s="135" t="s">
        <v>396</v>
      </c>
      <c r="K645" s="135"/>
      <c r="L645" s="136"/>
      <c r="O645" s="134"/>
      <c r="P645" s="134"/>
      <c r="Q645" s="195"/>
      <c r="R645" s="134"/>
      <c r="S645" s="195"/>
      <c r="T645" s="136"/>
      <c r="U645" s="134"/>
      <c r="V645" s="195"/>
      <c r="W645" s="134" t="s">
        <v>396</v>
      </c>
      <c r="X645" s="136"/>
      <c r="AA645" s="42"/>
      <c r="AB645" s="42"/>
      <c r="AC645" s="40"/>
      <c r="AD645" s="28"/>
      <c r="AE645" s="28"/>
      <c r="AF645" s="28"/>
      <c r="AG645" s="42"/>
      <c r="AH645" s="40"/>
      <c r="AI645" s="41"/>
      <c r="AJ645" s="42"/>
      <c r="AK645" s="28" t="s">
        <v>1290</v>
      </c>
      <c r="AL645" s="40"/>
      <c r="AO645" s="28"/>
      <c r="AP645" s="138" t="s">
        <v>122</v>
      </c>
      <c r="AQ645" s="138">
        <v>25</v>
      </c>
      <c r="AR645" s="141">
        <v>40</v>
      </c>
      <c r="AS645" s="138">
        <v>0</v>
      </c>
      <c r="AT645" s="141">
        <v>0</v>
      </c>
      <c r="AU645" s="28"/>
      <c r="AV645" s="28">
        <v>35</v>
      </c>
      <c r="AW645" s="28" t="s">
        <v>123</v>
      </c>
      <c r="AX645" s="28" t="s">
        <v>6</v>
      </c>
      <c r="AY645" s="141"/>
      <c r="BB645" s="138" t="s">
        <v>137</v>
      </c>
      <c r="BC645" s="134">
        <v>1039</v>
      </c>
      <c r="BD645" s="136">
        <v>855</v>
      </c>
      <c r="BE645" s="134">
        <v>0</v>
      </c>
      <c r="BF645" s="135">
        <v>0</v>
      </c>
      <c r="BG645" s="136">
        <v>0</v>
      </c>
      <c r="BH645" s="134">
        <v>0</v>
      </c>
      <c r="BI645" s="135">
        <v>0</v>
      </c>
      <c r="BJ645" s="134"/>
      <c r="BK645" s="135" t="s">
        <v>91</v>
      </c>
      <c r="BL645" s="136"/>
      <c r="BO645" s="28"/>
      <c r="BP645" s="28"/>
      <c r="BQ645" s="28"/>
      <c r="BR645" s="28"/>
      <c r="BS645" s="28"/>
      <c r="BT645" s="28"/>
      <c r="BU645" s="28"/>
      <c r="BV645" s="28"/>
    </row>
    <row r="646" spans="3:74" x14ac:dyDescent="0.3">
      <c r="C646" s="138" t="s">
        <v>59</v>
      </c>
      <c r="D646" s="138">
        <v>1055</v>
      </c>
      <c r="E646" s="28">
        <v>1039</v>
      </c>
      <c r="F646" s="138"/>
      <c r="G646" s="28" t="s">
        <v>1291</v>
      </c>
      <c r="H646" s="28"/>
      <c r="I646" s="196">
        <v>1134</v>
      </c>
      <c r="J646" s="28">
        <v>4</v>
      </c>
      <c r="K646" s="28" t="s">
        <v>61</v>
      </c>
      <c r="L646" s="141"/>
      <c r="O646" s="138" t="s">
        <v>59</v>
      </c>
      <c r="P646" s="138">
        <v>7272</v>
      </c>
      <c r="Q646" s="196">
        <v>10727</v>
      </c>
      <c r="R646" s="138">
        <v>0</v>
      </c>
      <c r="S646" s="196">
        <v>0</v>
      </c>
      <c r="T646" s="141">
        <v>0</v>
      </c>
      <c r="U646" s="138">
        <v>0</v>
      </c>
      <c r="V646" s="196">
        <v>0</v>
      </c>
      <c r="W646" s="138"/>
      <c r="X646" s="141"/>
      <c r="AA646" s="42" t="s">
        <v>59</v>
      </c>
      <c r="AB646" s="42">
        <v>1232</v>
      </c>
      <c r="AC646" s="40">
        <v>1341</v>
      </c>
      <c r="AD646" s="28">
        <v>0</v>
      </c>
      <c r="AE646" s="28">
        <v>0</v>
      </c>
      <c r="AF646" s="28">
        <v>0</v>
      </c>
      <c r="AG646" s="42">
        <v>0</v>
      </c>
      <c r="AH646" s="40">
        <v>0</v>
      </c>
      <c r="AI646" s="41">
        <v>0</v>
      </c>
      <c r="AJ646" s="42">
        <v>4</v>
      </c>
      <c r="AK646" s="28" t="s">
        <v>66</v>
      </c>
      <c r="AL646" s="40"/>
      <c r="AO646" s="28"/>
      <c r="AP646" s="138" t="s">
        <v>81</v>
      </c>
      <c r="AQ646" s="138">
        <v>4</v>
      </c>
      <c r="AR646" s="141">
        <v>3</v>
      </c>
      <c r="AS646" s="138">
        <v>0</v>
      </c>
      <c r="AT646" s="141">
        <v>0</v>
      </c>
      <c r="AU646" s="28"/>
      <c r="AV646" s="28">
        <v>25</v>
      </c>
      <c r="AW646" s="28" t="s">
        <v>126</v>
      </c>
      <c r="AX646" s="28"/>
      <c r="AY646" s="141"/>
      <c r="BB646" s="138" t="s">
        <v>88</v>
      </c>
      <c r="BC646" s="138">
        <v>138</v>
      </c>
      <c r="BD646" s="141">
        <v>1166</v>
      </c>
      <c r="BE646" s="138">
        <v>0</v>
      </c>
      <c r="BF646" s="43">
        <v>0</v>
      </c>
      <c r="BG646" s="141"/>
      <c r="BH646" s="138">
        <v>0</v>
      </c>
      <c r="BI646" s="43">
        <v>0</v>
      </c>
      <c r="BJ646" s="212"/>
      <c r="BK646" s="43"/>
      <c r="BL646" s="141"/>
      <c r="BO646" s="28"/>
      <c r="BP646" s="28"/>
      <c r="BQ646" s="28"/>
      <c r="BR646" s="28"/>
      <c r="BS646" s="28"/>
      <c r="BT646" s="28"/>
      <c r="BU646" s="28"/>
      <c r="BV646" s="28"/>
    </row>
    <row r="647" spans="3:74" ht="15" thickBot="1" x14ac:dyDescent="0.35">
      <c r="C647" s="138" t="s">
        <v>6</v>
      </c>
      <c r="D647" s="138"/>
      <c r="E647" s="28"/>
      <c r="F647" s="138"/>
      <c r="G647" s="28"/>
      <c r="H647" s="28"/>
      <c r="I647" s="196"/>
      <c r="J647" s="28"/>
      <c r="K647" s="28" t="s">
        <v>528</v>
      </c>
      <c r="L647" s="141">
        <v>4</v>
      </c>
      <c r="O647" s="142"/>
      <c r="P647" s="142"/>
      <c r="Q647" s="199"/>
      <c r="R647" s="142"/>
      <c r="S647" s="199"/>
      <c r="T647" s="146"/>
      <c r="U647" s="142"/>
      <c r="V647" s="199"/>
      <c r="W647" s="142"/>
      <c r="X647" s="146"/>
      <c r="AA647" s="244"/>
      <c r="AB647" s="244"/>
      <c r="AC647" s="245"/>
      <c r="AD647" s="143"/>
      <c r="AE647" s="143"/>
      <c r="AF647" s="143"/>
      <c r="AG647" s="244"/>
      <c r="AH647" s="245"/>
      <c r="AI647" s="313"/>
      <c r="AJ647" s="47"/>
      <c r="AK647" s="48" t="s">
        <v>436</v>
      </c>
      <c r="AL647" s="49"/>
      <c r="AO647" s="28"/>
      <c r="AP647" s="138" t="s">
        <v>1696</v>
      </c>
      <c r="AQ647" s="138">
        <v>0</v>
      </c>
      <c r="AR647" s="141">
        <v>0</v>
      </c>
      <c r="AS647" s="138">
        <v>0</v>
      </c>
      <c r="AT647" s="141">
        <v>0</v>
      </c>
      <c r="AU647" s="28"/>
      <c r="AV647" s="28">
        <v>37</v>
      </c>
      <c r="AW647" s="28" t="s">
        <v>129</v>
      </c>
      <c r="AX647" s="28" t="s">
        <v>6</v>
      </c>
      <c r="AY647" s="141"/>
      <c r="BB647" s="212" t="s">
        <v>97</v>
      </c>
      <c r="BC647" s="212">
        <v>1430</v>
      </c>
      <c r="BD647" s="209">
        <v>1395</v>
      </c>
      <c r="BE647" s="138">
        <v>0</v>
      </c>
      <c r="BF647" s="43">
        <v>0</v>
      </c>
      <c r="BG647" s="141">
        <v>0</v>
      </c>
      <c r="BH647" s="138">
        <v>0</v>
      </c>
      <c r="BI647" s="43">
        <v>0</v>
      </c>
      <c r="BJ647" s="138"/>
      <c r="BK647" s="43" t="s">
        <v>1835</v>
      </c>
      <c r="BL647" s="141"/>
      <c r="BO647" s="28"/>
      <c r="BP647" s="28"/>
      <c r="BQ647" s="28"/>
      <c r="BR647" s="28"/>
      <c r="BS647" s="28"/>
      <c r="BT647" s="28"/>
      <c r="BU647" s="28"/>
      <c r="BV647" s="28"/>
    </row>
    <row r="648" spans="3:74" x14ac:dyDescent="0.3">
      <c r="C648" s="134"/>
      <c r="D648" s="134"/>
      <c r="E648" s="135"/>
      <c r="F648" s="134"/>
      <c r="G648" s="135"/>
      <c r="H648" s="135"/>
      <c r="I648" s="195"/>
      <c r="J648" s="135" t="s">
        <v>70</v>
      </c>
      <c r="K648" s="135"/>
      <c r="L648" s="136"/>
      <c r="O648" s="134"/>
      <c r="P648" s="134"/>
      <c r="Q648" s="195"/>
      <c r="R648" s="134"/>
      <c r="S648" s="195"/>
      <c r="T648" s="136"/>
      <c r="U648" s="134"/>
      <c r="V648" s="195"/>
      <c r="W648" s="134"/>
      <c r="X648" s="136"/>
      <c r="AA648" s="278" t="s">
        <v>6</v>
      </c>
      <c r="AB648" s="278"/>
      <c r="AC648" s="279"/>
      <c r="AD648" s="135"/>
      <c r="AE648" s="135"/>
      <c r="AF648" s="135"/>
      <c r="AG648" s="278"/>
      <c r="AH648" s="279"/>
      <c r="AI648" s="314"/>
      <c r="AJ648" s="28" t="s">
        <v>952</v>
      </c>
      <c r="AK648" s="28"/>
      <c r="AL648" s="40"/>
      <c r="AO648" s="43"/>
      <c r="AP648" s="138" t="s">
        <v>56</v>
      </c>
      <c r="AQ648" s="138">
        <v>0</v>
      </c>
      <c r="AR648" s="141">
        <v>8</v>
      </c>
      <c r="AS648" s="138">
        <v>0</v>
      </c>
      <c r="AT648" s="141">
        <v>0</v>
      </c>
      <c r="AU648" s="28"/>
      <c r="AV648" s="28"/>
      <c r="AW648" s="28"/>
      <c r="AX648" s="28"/>
      <c r="AY648" s="141"/>
      <c r="BB648" s="138" t="s">
        <v>113</v>
      </c>
      <c r="BC648" s="138">
        <v>577</v>
      </c>
      <c r="BD648" s="141">
        <v>610</v>
      </c>
      <c r="BE648" s="138">
        <v>0</v>
      </c>
      <c r="BF648" s="43">
        <v>0</v>
      </c>
      <c r="BG648" s="141">
        <v>0</v>
      </c>
      <c r="BH648" s="138">
        <v>0</v>
      </c>
      <c r="BI648" s="43">
        <v>0</v>
      </c>
      <c r="BJ648" s="212"/>
      <c r="BK648" s="28" t="s">
        <v>1836</v>
      </c>
      <c r="BL648" s="141"/>
      <c r="BO648" s="28"/>
      <c r="BP648" s="28"/>
      <c r="BQ648" s="28"/>
      <c r="BR648" s="28"/>
      <c r="BS648" s="28"/>
      <c r="BT648" s="28"/>
      <c r="BU648" s="28"/>
      <c r="BV648" s="28"/>
    </row>
    <row r="649" spans="3:74" ht="15" thickBot="1" x14ac:dyDescent="0.35">
      <c r="C649" s="138" t="s">
        <v>74</v>
      </c>
      <c r="D649" s="138">
        <v>894</v>
      </c>
      <c r="E649" s="28">
        <v>2653</v>
      </c>
      <c r="F649" s="138"/>
      <c r="G649" s="28" t="s">
        <v>1291</v>
      </c>
      <c r="H649" s="28"/>
      <c r="I649" s="196">
        <v>2801</v>
      </c>
      <c r="J649" s="28"/>
      <c r="K649" s="28" t="s">
        <v>75</v>
      </c>
      <c r="L649" s="141"/>
      <c r="O649" s="138"/>
      <c r="P649" s="138"/>
      <c r="Q649" s="196"/>
      <c r="R649" s="138"/>
      <c r="S649" s="196"/>
      <c r="T649" s="141"/>
      <c r="U649" s="138"/>
      <c r="V649" s="196"/>
      <c r="W649" s="138" t="s">
        <v>80</v>
      </c>
      <c r="X649" s="141"/>
      <c r="AA649" s="42" t="s">
        <v>76</v>
      </c>
      <c r="AB649" s="42"/>
      <c r="AC649" s="40"/>
      <c r="AD649" s="28">
        <v>0</v>
      </c>
      <c r="AE649" s="28">
        <v>0</v>
      </c>
      <c r="AF649" s="28">
        <v>0</v>
      </c>
      <c r="AG649" s="42">
        <v>0</v>
      </c>
      <c r="AH649" s="40">
        <v>0</v>
      </c>
      <c r="AI649" s="41">
        <v>0</v>
      </c>
      <c r="AJ649" s="43">
        <v>2</v>
      </c>
      <c r="AK649" s="28" t="s">
        <v>780</v>
      </c>
      <c r="AL649" s="40"/>
      <c r="AO649" s="28"/>
      <c r="AP649" s="138" t="s">
        <v>67</v>
      </c>
      <c r="AQ649" s="138">
        <v>55</v>
      </c>
      <c r="AR649" s="141">
        <v>41</v>
      </c>
      <c r="AS649" s="138">
        <v>0</v>
      </c>
      <c r="AT649" s="141">
        <v>0</v>
      </c>
      <c r="AU649" s="28"/>
      <c r="AV649" s="28"/>
      <c r="AW649" s="28"/>
      <c r="AX649" s="28"/>
      <c r="AY649" s="141" t="s">
        <v>6</v>
      </c>
      <c r="BB649" s="212" t="s">
        <v>85</v>
      </c>
      <c r="BC649" s="212">
        <v>0</v>
      </c>
      <c r="BD649" s="209">
        <v>0</v>
      </c>
      <c r="BE649" s="138">
        <v>0</v>
      </c>
      <c r="BF649" s="43">
        <v>0</v>
      </c>
      <c r="BG649" s="141">
        <v>0</v>
      </c>
      <c r="BH649" s="138">
        <v>0</v>
      </c>
      <c r="BI649" s="43">
        <v>0</v>
      </c>
      <c r="BJ649" s="138"/>
      <c r="BK649" s="43" t="s">
        <v>1837</v>
      </c>
      <c r="BL649" s="141"/>
      <c r="BO649" s="28"/>
      <c r="BP649" s="43"/>
      <c r="BQ649" s="43"/>
      <c r="BR649" s="28"/>
      <c r="BS649" s="28"/>
      <c r="BT649" s="28"/>
      <c r="BU649" s="43"/>
      <c r="BV649" s="43"/>
    </row>
    <row r="650" spans="3:74" x14ac:dyDescent="0.3">
      <c r="C650" s="138"/>
      <c r="D650" s="138"/>
      <c r="E650" s="28"/>
      <c r="F650" s="138"/>
      <c r="G650" s="28"/>
      <c r="H650" s="28"/>
      <c r="I650" s="196"/>
      <c r="J650" s="28">
        <v>3</v>
      </c>
      <c r="K650" s="28" t="s">
        <v>79</v>
      </c>
      <c r="L650" s="141"/>
      <c r="O650" s="138" t="s">
        <v>74</v>
      </c>
      <c r="P650" s="138">
        <v>1208</v>
      </c>
      <c r="Q650" s="196">
        <v>491</v>
      </c>
      <c r="R650" s="138">
        <v>0</v>
      </c>
      <c r="S650" s="196">
        <v>0</v>
      </c>
      <c r="T650" s="141">
        <v>0</v>
      </c>
      <c r="U650" s="138">
        <v>5</v>
      </c>
      <c r="V650" s="196">
        <v>14</v>
      </c>
      <c r="W650" s="138"/>
      <c r="X650" s="141"/>
      <c r="AA650" s="32"/>
      <c r="AB650" s="34"/>
      <c r="AC650" s="34"/>
      <c r="AD650" s="33"/>
      <c r="AE650" s="34"/>
      <c r="AF650" s="35"/>
      <c r="AG650" s="34"/>
      <c r="AH650" s="34"/>
      <c r="AI650" s="32"/>
      <c r="AJ650" s="33" t="s">
        <v>1298</v>
      </c>
      <c r="AK650" s="34"/>
      <c r="AL650" s="35"/>
      <c r="AO650" s="43"/>
      <c r="AP650" s="138" t="s">
        <v>125</v>
      </c>
      <c r="AQ650" s="138">
        <v>0</v>
      </c>
      <c r="AR650" s="141">
        <v>0</v>
      </c>
      <c r="AS650" s="138">
        <v>0</v>
      </c>
      <c r="AT650" s="141">
        <v>0</v>
      </c>
      <c r="AU650" s="28"/>
      <c r="AV650" s="28"/>
      <c r="AW650" s="28"/>
      <c r="AX650" s="28"/>
      <c r="AY650" s="141"/>
      <c r="BB650" s="212" t="s">
        <v>817</v>
      </c>
      <c r="BC650" s="212">
        <v>14</v>
      </c>
      <c r="BD650" s="209">
        <v>919</v>
      </c>
      <c r="BE650" s="138">
        <v>0</v>
      </c>
      <c r="BF650" s="43">
        <v>0</v>
      </c>
      <c r="BG650" s="141">
        <v>0</v>
      </c>
      <c r="BH650" s="138">
        <v>0</v>
      </c>
      <c r="BI650" s="43">
        <v>0</v>
      </c>
      <c r="BJ650" s="138"/>
      <c r="BK650" s="43" t="s">
        <v>1838</v>
      </c>
      <c r="BL650" s="141"/>
      <c r="BM650" s="28"/>
      <c r="BO650" s="28"/>
      <c r="BP650" s="43"/>
      <c r="BQ650" s="43"/>
      <c r="BR650" s="28"/>
      <c r="BS650" s="43"/>
      <c r="BT650" s="28"/>
      <c r="BU650" s="43"/>
      <c r="BV650" s="43"/>
    </row>
    <row r="651" spans="3:74" x14ac:dyDescent="0.3">
      <c r="C651" s="142"/>
      <c r="D651" s="142"/>
      <c r="E651" s="143"/>
      <c r="F651" s="142"/>
      <c r="G651" s="143"/>
      <c r="H651" s="143"/>
      <c r="I651" s="199"/>
      <c r="J651" s="143">
        <v>14</v>
      </c>
      <c r="K651" s="143" t="s">
        <v>83</v>
      </c>
      <c r="L651" s="146">
        <v>17</v>
      </c>
      <c r="O651" s="142"/>
      <c r="P651" s="142"/>
      <c r="Q651" s="199"/>
      <c r="R651" s="142"/>
      <c r="S651" s="199"/>
      <c r="T651" s="146"/>
      <c r="U651" s="142"/>
      <c r="V651" s="199"/>
      <c r="W651" s="142"/>
      <c r="X651" s="146"/>
      <c r="AA651" s="41"/>
      <c r="AD651" s="42"/>
      <c r="AE651" s="28"/>
      <c r="AF651" s="40"/>
      <c r="AI651" s="41"/>
      <c r="AJ651" s="42">
        <v>4</v>
      </c>
      <c r="AK651" s="43" t="s">
        <v>1633</v>
      </c>
      <c r="AL651" s="40" t="s">
        <v>1695</v>
      </c>
      <c r="AO651" s="43"/>
      <c r="AP651" s="138" t="s">
        <v>536</v>
      </c>
      <c r="AQ651" s="138">
        <v>0</v>
      </c>
      <c r="AR651" s="141">
        <v>0</v>
      </c>
      <c r="AS651" s="138">
        <v>0</v>
      </c>
      <c r="AT651" s="141">
        <v>0</v>
      </c>
      <c r="AU651" s="28"/>
      <c r="AV651" s="28"/>
      <c r="AW651" s="28"/>
      <c r="AX651" s="28"/>
      <c r="AY651" s="141"/>
      <c r="BB651" s="212" t="s">
        <v>429</v>
      </c>
      <c r="BC651" s="212">
        <v>144</v>
      </c>
      <c r="BD651" s="209">
        <v>233</v>
      </c>
      <c r="BE651" s="138">
        <v>0</v>
      </c>
      <c r="BF651" s="43">
        <v>0</v>
      </c>
      <c r="BG651" s="141">
        <v>0</v>
      </c>
      <c r="BH651" s="138">
        <v>0</v>
      </c>
      <c r="BI651" s="43">
        <v>0</v>
      </c>
      <c r="BJ651" s="138"/>
      <c r="BK651" s="28"/>
      <c r="BL651" s="141"/>
      <c r="BM651" s="28"/>
      <c r="BO651" s="28"/>
      <c r="BP651" s="43"/>
      <c r="BQ651" s="43"/>
      <c r="BR651" s="28"/>
      <c r="BS651" s="43"/>
      <c r="BT651" s="28"/>
      <c r="BU651" s="43"/>
      <c r="BV651" s="43"/>
    </row>
    <row r="652" spans="3:74" ht="15" thickBot="1" x14ac:dyDescent="0.35">
      <c r="C652" s="134"/>
      <c r="D652" s="134"/>
      <c r="E652" s="135"/>
      <c r="F652" s="134"/>
      <c r="G652" s="135"/>
      <c r="H652" s="135"/>
      <c r="I652" s="195"/>
      <c r="J652" s="135" t="s">
        <v>87</v>
      </c>
      <c r="K652" s="135"/>
      <c r="L652" s="136"/>
      <c r="O652" s="134"/>
      <c r="P652" s="134"/>
      <c r="Q652" s="195"/>
      <c r="R652" s="134"/>
      <c r="S652" s="195"/>
      <c r="T652" s="136"/>
      <c r="U652" s="134"/>
      <c r="V652" s="195"/>
      <c r="W652" s="134" t="s">
        <v>6</v>
      </c>
      <c r="X652" s="136"/>
      <c r="AA652" s="46" t="s">
        <v>1300</v>
      </c>
      <c r="AB652" s="48">
        <v>271</v>
      </c>
      <c r="AC652" s="48">
        <v>237</v>
      </c>
      <c r="AD652" s="47">
        <v>0</v>
      </c>
      <c r="AE652" s="48">
        <v>0</v>
      </c>
      <c r="AF652" s="49">
        <v>0</v>
      </c>
      <c r="AG652" s="48">
        <v>0</v>
      </c>
      <c r="AH652" s="48">
        <v>0</v>
      </c>
      <c r="AI652" s="46">
        <v>0</v>
      </c>
      <c r="AJ652" s="47">
        <v>5</v>
      </c>
      <c r="AK652" s="48" t="s">
        <v>145</v>
      </c>
      <c r="AL652" s="49"/>
      <c r="AO652" s="43"/>
      <c r="AP652" s="138" t="s">
        <v>132</v>
      </c>
      <c r="AQ652" s="138">
        <v>0</v>
      </c>
      <c r="AR652" s="141">
        <v>0</v>
      </c>
      <c r="AS652" s="138">
        <v>0</v>
      </c>
      <c r="AT652" s="141">
        <v>0</v>
      </c>
      <c r="AU652" s="28"/>
      <c r="AV652" s="28"/>
      <c r="AW652" s="28"/>
      <c r="AX652" s="28"/>
      <c r="AY652" s="141"/>
      <c r="BB652" s="212" t="s">
        <v>89</v>
      </c>
      <c r="BC652" s="212">
        <v>1191</v>
      </c>
      <c r="BD652" s="209">
        <v>1207</v>
      </c>
      <c r="BE652" s="212">
        <v>0</v>
      </c>
      <c r="BF652" s="43">
        <v>0</v>
      </c>
      <c r="BG652" s="209">
        <v>0</v>
      </c>
      <c r="BH652" s="212">
        <v>0</v>
      </c>
      <c r="BI652" s="43">
        <v>0</v>
      </c>
      <c r="BJ652" s="142"/>
      <c r="BK652" s="143"/>
      <c r="BL652" s="146">
        <v>79</v>
      </c>
      <c r="BM652" s="28"/>
      <c r="BO652" s="28"/>
      <c r="BP652" s="28"/>
      <c r="BQ652" s="43"/>
      <c r="BR652" s="28"/>
      <c r="BS652" s="28"/>
      <c r="BT652" s="28"/>
      <c r="BU652" s="43"/>
      <c r="BV652" s="43"/>
    </row>
    <row r="653" spans="3:74" x14ac:dyDescent="0.3">
      <c r="C653" s="138" t="s">
        <v>93</v>
      </c>
      <c r="D653" s="138">
        <v>1972</v>
      </c>
      <c r="E653" s="28">
        <v>3596</v>
      </c>
      <c r="F653" s="138"/>
      <c r="G653" s="28" t="s">
        <v>1291</v>
      </c>
      <c r="H653" s="28"/>
      <c r="I653" s="196">
        <v>3951</v>
      </c>
      <c r="J653" s="43"/>
      <c r="K653" s="28" t="s">
        <v>94</v>
      </c>
      <c r="L653" s="141"/>
      <c r="O653" s="138"/>
      <c r="P653" s="138"/>
      <c r="Q653" s="196"/>
      <c r="R653" s="138"/>
      <c r="S653" s="196"/>
      <c r="T653" s="141"/>
      <c r="U653" s="138"/>
      <c r="V653" s="196"/>
      <c r="W653" s="138"/>
      <c r="X653" s="141"/>
      <c r="AA653" s="42" t="s">
        <v>89</v>
      </c>
      <c r="AB653" s="42">
        <v>33</v>
      </c>
      <c r="AC653" s="40">
        <v>39</v>
      </c>
      <c r="AD653" s="28"/>
      <c r="AE653" s="28"/>
      <c r="AF653" s="28"/>
      <c r="AG653" s="42"/>
      <c r="AH653" s="40"/>
      <c r="AI653" s="41"/>
      <c r="AJ653" s="28" t="s">
        <v>90</v>
      </c>
      <c r="AK653" s="28"/>
      <c r="AL653" s="40"/>
      <c r="AO653" s="43"/>
      <c r="AP653" s="142" t="s">
        <v>84</v>
      </c>
      <c r="AQ653" s="142">
        <f>SUM(AQ641:AQ652)</f>
        <v>233</v>
      </c>
      <c r="AR653" s="146">
        <f>SUM(AR641:AR652)</f>
        <v>249</v>
      </c>
      <c r="AS653" s="142">
        <v>0</v>
      </c>
      <c r="AT653" s="146">
        <v>0</v>
      </c>
      <c r="AU653" s="143"/>
      <c r="AV653" s="143"/>
      <c r="AW653" s="143"/>
      <c r="AX653" s="143"/>
      <c r="AY653" s="146">
        <v>97</v>
      </c>
      <c r="BB653" s="247" t="s">
        <v>84</v>
      </c>
      <c r="BC653" s="247">
        <f>SUM(BC642:BC652)</f>
        <v>4533</v>
      </c>
      <c r="BD653" s="248">
        <f>SUM(BD642:BD652)</f>
        <v>6385</v>
      </c>
      <c r="BE653" s="197">
        <v>0</v>
      </c>
      <c r="BF653" s="198">
        <v>0</v>
      </c>
      <c r="BG653" s="249">
        <v>0</v>
      </c>
      <c r="BH653" s="197">
        <v>0</v>
      </c>
      <c r="BI653" s="249">
        <v>0</v>
      </c>
      <c r="BJ653" s="197"/>
      <c r="BK653" s="198"/>
      <c r="BL653" s="249"/>
      <c r="BM653" s="28"/>
      <c r="BO653" s="28"/>
      <c r="BP653" s="28"/>
      <c r="BQ653" s="28"/>
      <c r="BR653" s="28"/>
      <c r="BS653" s="28"/>
      <c r="BT653" s="28"/>
      <c r="BU653" s="28"/>
      <c r="BV653" s="28"/>
    </row>
    <row r="654" spans="3:74" x14ac:dyDescent="0.3">
      <c r="C654" s="138"/>
      <c r="D654" s="138"/>
      <c r="E654" s="28"/>
      <c r="F654" s="138"/>
      <c r="G654" s="28"/>
      <c r="H654" s="28"/>
      <c r="I654" s="196"/>
      <c r="J654" s="43">
        <v>22</v>
      </c>
      <c r="K654" s="28" t="s">
        <v>101</v>
      </c>
      <c r="L654" s="141">
        <v>22</v>
      </c>
      <c r="O654" s="138"/>
      <c r="P654" s="138"/>
      <c r="Q654" s="196"/>
      <c r="R654" s="138"/>
      <c r="S654" s="196"/>
      <c r="T654" s="141"/>
      <c r="U654" s="138"/>
      <c r="V654" s="196"/>
      <c r="W654" s="138"/>
      <c r="X654" s="141"/>
      <c r="AA654" s="42" t="s">
        <v>137</v>
      </c>
      <c r="AB654" s="42">
        <v>0</v>
      </c>
      <c r="AC654" s="40">
        <v>0</v>
      </c>
      <c r="AD654" s="28">
        <v>0</v>
      </c>
      <c r="AE654" s="28">
        <v>0</v>
      </c>
      <c r="AF654" s="28">
        <v>0</v>
      </c>
      <c r="AG654" s="42">
        <v>0</v>
      </c>
      <c r="AH654" s="40">
        <v>0</v>
      </c>
      <c r="AI654" s="41">
        <v>0</v>
      </c>
      <c r="AJ654" s="43">
        <v>0</v>
      </c>
      <c r="AK654" s="28" t="s">
        <v>529</v>
      </c>
      <c r="AL654" s="40"/>
      <c r="AO654" s="28"/>
      <c r="AP654" s="134"/>
      <c r="AQ654" s="134"/>
      <c r="AR654" s="136"/>
      <c r="AS654" s="134"/>
      <c r="AT654" s="136"/>
      <c r="AU654" s="135"/>
      <c r="AV654" s="135"/>
      <c r="AW654" s="135"/>
      <c r="AX654" s="135"/>
      <c r="AY654" s="136"/>
      <c r="BB654" s="134"/>
      <c r="BC654" s="134"/>
      <c r="BD654" s="136"/>
      <c r="BE654" s="135"/>
      <c r="BF654" s="135"/>
      <c r="BG654" s="135"/>
      <c r="BH654" s="138"/>
      <c r="BI654" s="141"/>
      <c r="BJ654" s="28" t="s">
        <v>1025</v>
      </c>
      <c r="BK654" s="28"/>
      <c r="BL654" s="141"/>
      <c r="BO654" s="28"/>
      <c r="BP654" s="28"/>
      <c r="BQ654" s="28"/>
      <c r="BR654" s="28"/>
      <c r="BS654" s="28"/>
      <c r="BT654" s="28"/>
      <c r="BU654" s="28"/>
      <c r="BV654" s="28"/>
    </row>
    <row r="655" spans="3:74" ht="15" thickBot="1" x14ac:dyDescent="0.35">
      <c r="C655" s="134" t="s">
        <v>108</v>
      </c>
      <c r="D655" s="134">
        <v>0</v>
      </c>
      <c r="E655" s="136">
        <v>0</v>
      </c>
      <c r="F655" s="135"/>
      <c r="G655" s="243">
        <v>535</v>
      </c>
      <c r="H655" s="135"/>
      <c r="I655" s="195"/>
      <c r="J655" s="135" t="s">
        <v>104</v>
      </c>
      <c r="K655" s="135"/>
      <c r="L655" s="136"/>
      <c r="O655" s="142"/>
      <c r="P655" s="142"/>
      <c r="Q655" s="199"/>
      <c r="R655" s="142"/>
      <c r="S655" s="199"/>
      <c r="T655" s="146"/>
      <c r="U655" s="142"/>
      <c r="V655" s="199"/>
      <c r="W655" s="142"/>
      <c r="X655" s="146"/>
      <c r="AA655" s="42" t="s">
        <v>84</v>
      </c>
      <c r="AB655" s="244">
        <v>33</v>
      </c>
      <c r="AC655" s="245">
        <v>39</v>
      </c>
      <c r="AD655" s="28"/>
      <c r="AE655" s="28"/>
      <c r="AF655" s="28"/>
      <c r="AG655" s="244"/>
      <c r="AH655" s="245"/>
      <c r="AI655" s="41"/>
      <c r="AJ655" s="43">
        <v>1</v>
      </c>
      <c r="AK655" s="28" t="s">
        <v>145</v>
      </c>
      <c r="AL655" s="40"/>
      <c r="AO655" s="28"/>
      <c r="AP655" s="138" t="s">
        <v>56</v>
      </c>
      <c r="AQ655" s="138">
        <v>0</v>
      </c>
      <c r="AR655" s="141">
        <v>0</v>
      </c>
      <c r="AS655" s="138">
        <v>0</v>
      </c>
      <c r="AT655" s="141">
        <v>0</v>
      </c>
      <c r="AU655" s="28"/>
      <c r="AV655" s="28" t="s">
        <v>173</v>
      </c>
      <c r="AW655" s="28"/>
      <c r="AX655" s="28"/>
      <c r="AY655" s="141"/>
      <c r="BB655" s="142" t="s">
        <v>64</v>
      </c>
      <c r="BC655" s="142">
        <v>59</v>
      </c>
      <c r="BD655" s="146">
        <v>76</v>
      </c>
      <c r="BE655" s="143">
        <v>0</v>
      </c>
      <c r="BF655" s="143">
        <v>0</v>
      </c>
      <c r="BG655" s="143"/>
      <c r="BH655" s="142">
        <v>0</v>
      </c>
      <c r="BI655" s="146">
        <v>0</v>
      </c>
      <c r="BJ655" s="143">
        <v>9</v>
      </c>
      <c r="BK655" s="143" t="s">
        <v>1026</v>
      </c>
      <c r="BL655" s="146">
        <f>SUM(BJ655)</f>
        <v>9</v>
      </c>
      <c r="BM655" t="s">
        <v>6</v>
      </c>
      <c r="BO655" s="28"/>
      <c r="BP655" s="28"/>
      <c r="BQ655" s="28"/>
      <c r="BR655" s="28"/>
      <c r="BS655" s="28"/>
      <c r="BT655" s="28"/>
      <c r="BU655" s="28"/>
      <c r="BV655" s="28"/>
    </row>
    <row r="656" spans="3:74" x14ac:dyDescent="0.3">
      <c r="C656" s="138" t="s">
        <v>109</v>
      </c>
      <c r="D656" s="138">
        <v>1225</v>
      </c>
      <c r="E656" s="141">
        <v>1423</v>
      </c>
      <c r="F656" s="28"/>
      <c r="G656" s="107">
        <v>0</v>
      </c>
      <c r="H656" s="28"/>
      <c r="I656" s="196"/>
      <c r="J656" s="28">
        <v>7</v>
      </c>
      <c r="K656" s="28" t="s">
        <v>114</v>
      </c>
      <c r="L656" s="141"/>
      <c r="O656" s="134"/>
      <c r="P656" s="134"/>
      <c r="Q656" s="195"/>
      <c r="R656" s="134"/>
      <c r="S656" s="195"/>
      <c r="T656" s="136"/>
      <c r="U656" s="134"/>
      <c r="V656" s="195"/>
      <c r="W656" s="134" t="s">
        <v>104</v>
      </c>
      <c r="X656" s="136"/>
      <c r="AA656" s="32" t="s">
        <v>108</v>
      </c>
      <c r="AB656" s="135">
        <v>0</v>
      </c>
      <c r="AC656" s="135">
        <v>0</v>
      </c>
      <c r="AD656" s="33">
        <v>0</v>
      </c>
      <c r="AE656" s="34">
        <v>0</v>
      </c>
      <c r="AF656" s="35">
        <v>0</v>
      </c>
      <c r="AG656" s="135">
        <v>0</v>
      </c>
      <c r="AH656" s="135">
        <v>0</v>
      </c>
      <c r="AI656" s="32">
        <v>0</v>
      </c>
      <c r="AJ656" s="34"/>
      <c r="AK656" s="34"/>
      <c r="AL656" s="35"/>
      <c r="AO656" s="28"/>
      <c r="AP656" s="138" t="s">
        <v>67</v>
      </c>
      <c r="AQ656" s="138">
        <v>0</v>
      </c>
      <c r="AR656" s="141">
        <v>0</v>
      </c>
      <c r="AS656" s="138">
        <v>0</v>
      </c>
      <c r="AT656" s="141">
        <v>0</v>
      </c>
      <c r="AU656" s="28"/>
      <c r="AV656" s="28"/>
      <c r="AW656" s="28"/>
      <c r="AX656" s="28"/>
      <c r="AY656" s="141"/>
      <c r="BB656" s="138"/>
      <c r="BC656" s="138"/>
      <c r="BD656" s="141"/>
      <c r="BE656" s="28"/>
      <c r="BF656" s="28"/>
      <c r="BG656" s="28"/>
      <c r="BH656" s="138"/>
      <c r="BI656" s="141"/>
      <c r="BJ656" s="28" t="s">
        <v>994</v>
      </c>
      <c r="BK656" s="28"/>
      <c r="BL656" s="141"/>
      <c r="BO656" s="28"/>
      <c r="BP656" s="28"/>
      <c r="BQ656" s="28"/>
      <c r="BR656" s="43"/>
      <c r="BS656" s="43"/>
      <c r="BT656" s="43"/>
      <c r="BU656" s="28"/>
      <c r="BV656" s="28"/>
    </row>
    <row r="657" spans="3:74" x14ac:dyDescent="0.3">
      <c r="C657" s="138" t="s">
        <v>84</v>
      </c>
      <c r="D657" s="138">
        <v>1225</v>
      </c>
      <c r="E657" s="141">
        <v>1423</v>
      </c>
      <c r="F657" s="28"/>
      <c r="G657" s="107">
        <v>535</v>
      </c>
      <c r="H657" s="28"/>
      <c r="I657" s="196">
        <v>2361</v>
      </c>
      <c r="J657" s="28"/>
      <c r="K657" s="28"/>
      <c r="L657" s="141">
        <v>7</v>
      </c>
      <c r="O657" s="138" t="s">
        <v>109</v>
      </c>
      <c r="P657" s="138"/>
      <c r="Q657" s="196"/>
      <c r="R657" s="138">
        <v>0</v>
      </c>
      <c r="S657" s="196">
        <v>0</v>
      </c>
      <c r="T657" s="141">
        <v>0</v>
      </c>
      <c r="U657" s="138">
        <v>0</v>
      </c>
      <c r="V657" s="196">
        <v>0</v>
      </c>
      <c r="W657" s="138"/>
      <c r="X657" s="141"/>
      <c r="AA657" s="41" t="s">
        <v>817</v>
      </c>
      <c r="AB657" s="43">
        <v>257</v>
      </c>
      <c r="AC657" s="43">
        <v>5049</v>
      </c>
      <c r="AD657" s="42">
        <v>0</v>
      </c>
      <c r="AE657" s="28">
        <v>0</v>
      </c>
      <c r="AF657" s="40">
        <v>0</v>
      </c>
      <c r="AG657" s="43">
        <v>0</v>
      </c>
      <c r="AH657" s="43">
        <v>0</v>
      </c>
      <c r="AI657" s="41">
        <v>0</v>
      </c>
      <c r="AJ657" s="28" t="s">
        <v>1302</v>
      </c>
      <c r="AK657" s="28" t="s">
        <v>6</v>
      </c>
      <c r="AL657" s="40"/>
      <c r="AO657" s="28"/>
      <c r="AP657" s="138" t="s">
        <v>78</v>
      </c>
      <c r="AQ657" s="138">
        <v>0</v>
      </c>
      <c r="AR657" s="141">
        <v>0</v>
      </c>
      <c r="AS657" s="138">
        <v>0</v>
      </c>
      <c r="AT657" s="141">
        <v>0</v>
      </c>
      <c r="AU657" s="28"/>
      <c r="AV657" s="28">
        <v>0</v>
      </c>
      <c r="AW657" s="28" t="s">
        <v>183</v>
      </c>
      <c r="AX657" s="28"/>
      <c r="AY657" s="141"/>
      <c r="BB657" s="138" t="s">
        <v>113</v>
      </c>
      <c r="BC657" s="138">
        <v>414</v>
      </c>
      <c r="BD657" s="141">
        <v>419</v>
      </c>
      <c r="BE657" s="28">
        <v>0</v>
      </c>
      <c r="BF657" s="43">
        <v>0</v>
      </c>
      <c r="BG657" s="43">
        <v>0</v>
      </c>
      <c r="BH657" s="138">
        <v>0</v>
      </c>
      <c r="BI657" s="141">
        <v>0</v>
      </c>
      <c r="BJ657" s="28">
        <v>12</v>
      </c>
      <c r="BK657" s="28" t="s">
        <v>100</v>
      </c>
      <c r="BL657" s="141"/>
      <c r="BO657" s="28"/>
      <c r="BP657" s="28"/>
      <c r="BQ657" s="28"/>
      <c r="BR657" s="43"/>
      <c r="BS657" s="43"/>
      <c r="BT657" s="43"/>
      <c r="BU657" s="28"/>
      <c r="BV657" s="28"/>
    </row>
    <row r="658" spans="3:74" ht="15" thickBot="1" x14ac:dyDescent="0.35">
      <c r="C658" s="138"/>
      <c r="D658" s="138"/>
      <c r="E658" s="141"/>
      <c r="F658" s="28"/>
      <c r="G658" s="28"/>
      <c r="H658" s="28"/>
      <c r="I658" s="196"/>
      <c r="J658" s="28"/>
      <c r="K658" s="28"/>
      <c r="L658" s="141"/>
      <c r="O658" s="142"/>
      <c r="P658" s="142"/>
      <c r="Q658" s="199"/>
      <c r="R658" s="142"/>
      <c r="S658" s="199"/>
      <c r="T658" s="146"/>
      <c r="U658" s="142"/>
      <c r="V658" s="199"/>
      <c r="W658" s="142"/>
      <c r="X658" s="146"/>
      <c r="AA658" s="41" t="s">
        <v>1120</v>
      </c>
      <c r="AB658" s="43">
        <v>4</v>
      </c>
      <c r="AC658" s="43">
        <v>718</v>
      </c>
      <c r="AD658" s="42">
        <v>0</v>
      </c>
      <c r="AE658" s="43">
        <v>0</v>
      </c>
      <c r="AF658" s="40">
        <v>0</v>
      </c>
      <c r="AG658" s="43">
        <v>0</v>
      </c>
      <c r="AH658" s="43">
        <v>0</v>
      </c>
      <c r="AI658" s="41">
        <v>0</v>
      </c>
      <c r="AJ658" s="28">
        <v>28</v>
      </c>
      <c r="AK658" s="43" t="s">
        <v>359</v>
      </c>
      <c r="AL658" s="40"/>
      <c r="AO658" s="28"/>
      <c r="AP658" s="142" t="s">
        <v>84</v>
      </c>
      <c r="AQ658" s="142">
        <v>0</v>
      </c>
      <c r="AR658" s="146">
        <v>0</v>
      </c>
      <c r="AS658" s="142">
        <v>0</v>
      </c>
      <c r="AT658" s="146">
        <v>0</v>
      </c>
      <c r="AU658" s="143"/>
      <c r="AV658" s="143"/>
      <c r="AW658" s="143"/>
      <c r="AX658" s="143"/>
      <c r="AY658" s="146">
        <f>SUM(AV657)</f>
        <v>0</v>
      </c>
      <c r="BB658" s="142" t="s">
        <v>84</v>
      </c>
      <c r="BC658" s="142">
        <v>414</v>
      </c>
      <c r="BD658" s="146">
        <v>419</v>
      </c>
      <c r="BE658" s="28">
        <v>0</v>
      </c>
      <c r="BF658" s="28">
        <v>0</v>
      </c>
      <c r="BG658" s="28">
        <v>0</v>
      </c>
      <c r="BH658" s="142">
        <v>0</v>
      </c>
      <c r="BI658" s="146">
        <v>0</v>
      </c>
      <c r="BJ658" s="43">
        <v>31</v>
      </c>
      <c r="BK658" s="43" t="s">
        <v>1292</v>
      </c>
      <c r="BL658" s="146">
        <v>43</v>
      </c>
      <c r="BO658" s="28"/>
      <c r="BP658" s="28"/>
      <c r="BQ658" s="28"/>
      <c r="BR658" s="28"/>
      <c r="BS658" s="28"/>
      <c r="BT658" s="28"/>
      <c r="BU658" s="28"/>
      <c r="BV658" s="28"/>
    </row>
    <row r="659" spans="3:74" x14ac:dyDescent="0.3">
      <c r="C659" s="134" t="s">
        <v>785</v>
      </c>
      <c r="D659" s="134">
        <v>520</v>
      </c>
      <c r="E659" s="242">
        <v>555</v>
      </c>
      <c r="F659" s="135"/>
      <c r="G659" s="135"/>
      <c r="H659" s="135"/>
      <c r="I659" s="195">
        <v>680</v>
      </c>
      <c r="J659" s="135" t="s">
        <v>118</v>
      </c>
      <c r="K659" s="135"/>
      <c r="L659" s="136"/>
      <c r="O659" s="134" t="s">
        <v>93</v>
      </c>
      <c r="P659" s="134">
        <v>605</v>
      </c>
      <c r="Q659" s="195">
        <v>0</v>
      </c>
      <c r="R659" s="134">
        <v>0</v>
      </c>
      <c r="S659" s="195">
        <v>0</v>
      </c>
      <c r="T659" s="136">
        <v>0</v>
      </c>
      <c r="U659" s="134"/>
      <c r="V659" s="195"/>
      <c r="W659" s="134" t="s">
        <v>116</v>
      </c>
      <c r="X659" s="136"/>
      <c r="AA659" s="41" t="s">
        <v>99</v>
      </c>
      <c r="AB659" s="43">
        <v>0</v>
      </c>
      <c r="AC659" s="43">
        <v>0</v>
      </c>
      <c r="AD659" s="42">
        <v>0</v>
      </c>
      <c r="AE659" s="43">
        <v>0</v>
      </c>
      <c r="AF659" s="40">
        <v>0</v>
      </c>
      <c r="AG659" s="43">
        <v>0</v>
      </c>
      <c r="AH659" s="43">
        <v>0</v>
      </c>
      <c r="AI659" s="41">
        <v>0</v>
      </c>
      <c r="AJ659" s="43"/>
      <c r="AK659" s="43" t="s">
        <v>1346</v>
      </c>
      <c r="AL659" s="40"/>
      <c r="AO659" s="28"/>
      <c r="AP659" s="134" t="s">
        <v>63</v>
      </c>
      <c r="AQ659" s="134">
        <v>45</v>
      </c>
      <c r="AR659" s="136">
        <v>49</v>
      </c>
      <c r="AS659" s="134">
        <v>0</v>
      </c>
      <c r="AT659" s="136">
        <v>0</v>
      </c>
      <c r="AU659" s="135"/>
      <c r="AV659" s="28" t="s">
        <v>140</v>
      </c>
      <c r="AW659" s="135"/>
      <c r="AX659" s="135"/>
      <c r="AY659" s="136"/>
      <c r="BB659" s="195" t="s">
        <v>102</v>
      </c>
      <c r="BC659" s="134">
        <v>6</v>
      </c>
      <c r="BD659" s="135">
        <v>10</v>
      </c>
      <c r="BE659" s="32" t="s">
        <v>17</v>
      </c>
      <c r="BF659" s="34" t="s">
        <v>1755</v>
      </c>
      <c r="BG659" s="35"/>
      <c r="BH659" s="135"/>
      <c r="BI659" s="136"/>
      <c r="BJ659" s="134" t="s">
        <v>140</v>
      </c>
      <c r="BK659" s="135"/>
      <c r="BL659" s="136"/>
      <c r="BO659" s="28"/>
      <c r="BP659" s="28"/>
      <c r="BQ659" s="28"/>
      <c r="BR659" s="28"/>
      <c r="BS659" s="28"/>
      <c r="BT659" s="28"/>
      <c r="BU659" s="28"/>
      <c r="BV659" s="28"/>
    </row>
    <row r="660" spans="3:74" ht="15" thickBot="1" x14ac:dyDescent="0.35">
      <c r="C660" s="138" t="s">
        <v>93</v>
      </c>
      <c r="D660" s="138">
        <v>6778</v>
      </c>
      <c r="E660" s="209">
        <v>8209</v>
      </c>
      <c r="F660" s="28"/>
      <c r="G660" s="28"/>
      <c r="H660" s="28"/>
      <c r="I660" s="196">
        <v>9361</v>
      </c>
      <c r="J660" s="28">
        <v>67</v>
      </c>
      <c r="K660" s="28" t="s">
        <v>101</v>
      </c>
      <c r="L660" s="141"/>
      <c r="O660" s="138" t="s">
        <v>99</v>
      </c>
      <c r="P660" s="138">
        <v>15353</v>
      </c>
      <c r="Q660" s="196">
        <v>8609</v>
      </c>
      <c r="R660" s="138"/>
      <c r="S660" s="196"/>
      <c r="T660" s="141"/>
      <c r="U660" s="138">
        <v>2836</v>
      </c>
      <c r="V660" s="196">
        <v>215</v>
      </c>
      <c r="W660" s="138"/>
      <c r="X660" s="141"/>
      <c r="AA660" s="46" t="s">
        <v>84</v>
      </c>
      <c r="AB660" s="28">
        <f>SUM(AB656:AB659)</f>
        <v>261</v>
      </c>
      <c r="AC660" s="43">
        <f>SUM(AC656:AC659)</f>
        <v>5767</v>
      </c>
      <c r="AD660" s="47">
        <v>0</v>
      </c>
      <c r="AE660" s="48">
        <v>0</v>
      </c>
      <c r="AF660" s="49">
        <v>0</v>
      </c>
      <c r="AG660" s="43">
        <v>0</v>
      </c>
      <c r="AH660" s="43">
        <v>0</v>
      </c>
      <c r="AI660" s="46">
        <v>0</v>
      </c>
      <c r="AJ660" s="48"/>
      <c r="AK660" s="48"/>
      <c r="AL660" s="49"/>
      <c r="AO660" s="28"/>
      <c r="AP660" s="138" t="s">
        <v>56</v>
      </c>
      <c r="AQ660" s="138">
        <v>23</v>
      </c>
      <c r="AR660" s="141">
        <v>24</v>
      </c>
      <c r="AS660" s="138">
        <v>0</v>
      </c>
      <c r="AT660" s="141">
        <v>0</v>
      </c>
      <c r="AU660" s="28"/>
      <c r="AW660" s="28" t="s">
        <v>1839</v>
      </c>
      <c r="AX660" s="28"/>
      <c r="AY660" s="141"/>
      <c r="BB660" s="196" t="s">
        <v>113</v>
      </c>
      <c r="BC660" s="138">
        <v>57</v>
      </c>
      <c r="BD660" s="43">
        <v>89</v>
      </c>
      <c r="BE660" s="41"/>
      <c r="BF660" s="28"/>
      <c r="BG660" s="40"/>
      <c r="BH660" s="28"/>
      <c r="BI660" s="141"/>
      <c r="BJ660" s="138"/>
      <c r="BK660" s="28"/>
      <c r="BL660" s="141"/>
      <c r="BO660" s="28"/>
      <c r="BP660" s="28"/>
      <c r="BQ660" s="28"/>
      <c r="BR660" s="43"/>
      <c r="BS660" s="43"/>
      <c r="BT660" s="43"/>
      <c r="BU660" s="28"/>
      <c r="BV660" s="28"/>
    </row>
    <row r="661" spans="3:74" ht="15" thickBot="1" x14ac:dyDescent="0.35">
      <c r="C661" s="138" t="s">
        <v>120</v>
      </c>
      <c r="D661" s="212">
        <v>4538</v>
      </c>
      <c r="E661" s="209">
        <v>5209</v>
      </c>
      <c r="F661" s="28"/>
      <c r="G661" s="28" t="s">
        <v>1291</v>
      </c>
      <c r="H661" s="28"/>
      <c r="I661" s="211">
        <v>6200</v>
      </c>
      <c r="J661" s="28">
        <v>30</v>
      </c>
      <c r="K661" s="28" t="s">
        <v>927</v>
      </c>
      <c r="L661" s="141"/>
      <c r="O661" s="138" t="s">
        <v>120</v>
      </c>
      <c r="P661" s="138">
        <v>996</v>
      </c>
      <c r="Q661" s="196">
        <v>17863</v>
      </c>
      <c r="R661" s="138">
        <v>0</v>
      </c>
      <c r="S661" s="196">
        <v>0</v>
      </c>
      <c r="T661" s="141">
        <v>0</v>
      </c>
      <c r="U661" s="138"/>
      <c r="V661" s="196"/>
      <c r="W661" s="138"/>
      <c r="X661" s="141"/>
      <c r="AA661" s="42"/>
      <c r="AB661" s="33"/>
      <c r="AC661" s="35"/>
      <c r="AD661" s="34"/>
      <c r="AE661" s="34"/>
      <c r="AF661" s="34"/>
      <c r="AG661" s="33"/>
      <c r="AH661" s="35"/>
      <c r="AI661" s="32"/>
      <c r="AJ661" s="34"/>
      <c r="AK661" s="34" t="s">
        <v>117</v>
      </c>
      <c r="AL661" s="35"/>
      <c r="AO661" s="28"/>
      <c r="AP661" s="138" t="s">
        <v>78</v>
      </c>
      <c r="AQ661" s="138">
        <v>19</v>
      </c>
      <c r="AR661" s="141">
        <v>34</v>
      </c>
      <c r="AS661" s="138">
        <v>0</v>
      </c>
      <c r="AT661" s="141">
        <v>0</v>
      </c>
      <c r="AU661" s="28"/>
      <c r="AV661" s="28"/>
      <c r="AW661" s="28" t="s">
        <v>1840</v>
      </c>
      <c r="AX661" s="28"/>
      <c r="AY661" s="141"/>
      <c r="BB661" s="196" t="s">
        <v>230</v>
      </c>
      <c r="BC661" s="138">
        <v>0</v>
      </c>
      <c r="BD661" s="43">
        <v>0</v>
      </c>
      <c r="BE661" s="46" t="s">
        <v>1759</v>
      </c>
      <c r="BF661" s="48" t="s">
        <v>43</v>
      </c>
      <c r="BG661" s="49" t="s">
        <v>1760</v>
      </c>
      <c r="BH661" s="28"/>
      <c r="BI661" s="141"/>
      <c r="BJ661" s="138"/>
      <c r="BK661" s="28"/>
      <c r="BL661" s="141"/>
      <c r="BO661" s="28"/>
      <c r="BP661" s="28"/>
      <c r="BQ661" s="28"/>
      <c r="BR661" s="28"/>
      <c r="BS661" s="28"/>
      <c r="BT661" s="28"/>
      <c r="BU661" s="28"/>
      <c r="BV661" s="28"/>
    </row>
    <row r="662" spans="3:74" ht="15" thickBot="1" x14ac:dyDescent="0.35">
      <c r="C662" s="138" t="s">
        <v>84</v>
      </c>
      <c r="D662" s="138">
        <f>SUM(D659:D661)</f>
        <v>11836</v>
      </c>
      <c r="E662" s="141">
        <f>SUM(E659:E661)</f>
        <v>13973</v>
      </c>
      <c r="F662" s="28"/>
      <c r="G662" s="28"/>
      <c r="H662" s="28"/>
      <c r="I662" s="196">
        <f>SUM(I659:I661)</f>
        <v>16241</v>
      </c>
      <c r="J662" s="28"/>
      <c r="K662" s="28" t="s">
        <v>1306</v>
      </c>
      <c r="L662" s="141"/>
      <c r="O662" s="142" t="s">
        <v>84</v>
      </c>
      <c r="P662" s="142">
        <f>SUM(P659:P661)</f>
        <v>16954</v>
      </c>
      <c r="Q662" s="199">
        <f>SUM(Q659:Q661)</f>
        <v>26472</v>
      </c>
      <c r="R662" s="142">
        <v>0</v>
      </c>
      <c r="S662" s="199">
        <v>0</v>
      </c>
      <c r="T662" s="146">
        <v>0</v>
      </c>
      <c r="U662" s="142"/>
      <c r="V662" s="199"/>
      <c r="W662" s="142"/>
      <c r="X662" s="146"/>
      <c r="AA662" s="47"/>
      <c r="AB662" s="47"/>
      <c r="AC662" s="49"/>
      <c r="AD662" s="48"/>
      <c r="AE662" s="48"/>
      <c r="AF662" s="48"/>
      <c r="AG662" s="47"/>
      <c r="AH662" s="49"/>
      <c r="AI662" s="46"/>
      <c r="AJ662" s="48"/>
      <c r="AK662" s="48" t="s">
        <v>124</v>
      </c>
      <c r="AL662" s="49"/>
      <c r="AO662" s="28"/>
      <c r="AP662" s="138" t="s">
        <v>72</v>
      </c>
      <c r="AQ662" s="138">
        <v>29</v>
      </c>
      <c r="AR662" s="141">
        <v>25</v>
      </c>
      <c r="AS662" s="138">
        <v>0</v>
      </c>
      <c r="AT662" s="141">
        <v>0</v>
      </c>
      <c r="AU662" s="28"/>
      <c r="AV662" s="43"/>
      <c r="AW662" s="43" t="s">
        <v>1841</v>
      </c>
      <c r="AX662" s="28"/>
      <c r="AY662" s="141"/>
      <c r="BB662" s="196" t="s">
        <v>1435</v>
      </c>
      <c r="BC662" s="138">
        <v>0</v>
      </c>
      <c r="BD662" s="141">
        <v>0</v>
      </c>
      <c r="BE662" s="196" t="s">
        <v>1842</v>
      </c>
      <c r="BF662" s="43">
        <v>4</v>
      </c>
      <c r="BG662" s="141">
        <v>0</v>
      </c>
      <c r="BH662" s="138"/>
      <c r="BI662" s="141"/>
      <c r="BJ662" s="138" t="s">
        <v>142</v>
      </c>
      <c r="BK662" s="28"/>
      <c r="BL662" s="141" t="s">
        <v>730</v>
      </c>
      <c r="BO662" s="28"/>
      <c r="BP662" s="28"/>
      <c r="BQ662" s="28"/>
      <c r="BR662" s="43"/>
      <c r="BS662" s="43"/>
      <c r="BT662" s="43"/>
      <c r="BU662" s="28"/>
      <c r="BV662" s="28"/>
    </row>
    <row r="663" spans="3:74" x14ac:dyDescent="0.3">
      <c r="C663" s="142"/>
      <c r="D663" s="142"/>
      <c r="E663" s="146"/>
      <c r="F663" s="143"/>
      <c r="G663" s="143"/>
      <c r="H663" s="143"/>
      <c r="I663" s="199"/>
      <c r="J663" s="143"/>
      <c r="K663" s="143"/>
      <c r="L663" s="146">
        <v>97</v>
      </c>
      <c r="O663" s="134"/>
      <c r="P663" s="134"/>
      <c r="Q663" s="195"/>
      <c r="R663" s="134"/>
      <c r="S663" s="195"/>
      <c r="T663" s="136"/>
      <c r="U663" s="134"/>
      <c r="V663" s="195"/>
      <c r="W663" s="134"/>
      <c r="X663" s="136"/>
      <c r="AA663" s="33" t="s">
        <v>97</v>
      </c>
      <c r="AB663" s="33">
        <v>192</v>
      </c>
      <c r="AC663" s="35">
        <v>207</v>
      </c>
      <c r="AD663" s="34">
        <v>0</v>
      </c>
      <c r="AE663" s="34">
        <v>0</v>
      </c>
      <c r="AF663" s="34">
        <v>0</v>
      </c>
      <c r="AG663" s="33"/>
      <c r="AH663" s="35"/>
      <c r="AI663" s="32"/>
      <c r="AJ663" s="34"/>
      <c r="AK663" s="34"/>
      <c r="AL663" s="35"/>
      <c r="AO663" s="28"/>
      <c r="AP663" s="138" t="s">
        <v>168</v>
      </c>
      <c r="AQ663" s="138">
        <v>0</v>
      </c>
      <c r="AR663" s="141">
        <v>0</v>
      </c>
      <c r="AS663" s="138">
        <v>0</v>
      </c>
      <c r="AT663" s="141">
        <v>0</v>
      </c>
      <c r="AU663" s="28"/>
      <c r="AV663" s="43"/>
      <c r="AW663" s="43" t="s">
        <v>1843</v>
      </c>
      <c r="AX663" s="28"/>
      <c r="AY663" s="141"/>
      <c r="BB663" s="196" t="s">
        <v>99</v>
      </c>
      <c r="BC663" s="138">
        <v>0</v>
      </c>
      <c r="BD663" s="141">
        <v>0</v>
      </c>
      <c r="BE663" s="196" t="s">
        <v>1844</v>
      </c>
      <c r="BF663" s="28">
        <v>0</v>
      </c>
      <c r="BG663" s="141">
        <v>0</v>
      </c>
      <c r="BH663" s="138"/>
      <c r="BI663" s="141"/>
      <c r="BJ663" s="138" t="s">
        <v>146</v>
      </c>
      <c r="BK663" s="28"/>
      <c r="BL663" s="141" t="s">
        <v>1634</v>
      </c>
      <c r="BO663" s="28"/>
      <c r="BP663" s="28"/>
      <c r="BQ663" s="28"/>
      <c r="BR663" s="28"/>
      <c r="BS663" s="28"/>
      <c r="BT663" s="28"/>
      <c r="BU663" s="28"/>
      <c r="BV663" s="28"/>
    </row>
    <row r="664" spans="3:74" x14ac:dyDescent="0.3">
      <c r="C664" s="138" t="s">
        <v>93</v>
      </c>
      <c r="D664" s="138">
        <v>7017</v>
      </c>
      <c r="E664" s="209">
        <v>6957</v>
      </c>
      <c r="F664" s="138"/>
      <c r="G664" s="28" t="s">
        <v>1291</v>
      </c>
      <c r="H664" s="28"/>
      <c r="I664" s="196">
        <v>9091</v>
      </c>
      <c r="J664" s="28" t="s">
        <v>116</v>
      </c>
      <c r="K664" s="28"/>
      <c r="L664" s="141"/>
      <c r="O664" s="138" t="s">
        <v>105</v>
      </c>
      <c r="P664" s="138">
        <v>1131</v>
      </c>
      <c r="Q664" s="196"/>
      <c r="R664" s="138"/>
      <c r="S664" s="196"/>
      <c r="T664" s="141"/>
      <c r="U664" s="138">
        <v>1</v>
      </c>
      <c r="V664" s="196"/>
      <c r="W664" s="138"/>
      <c r="X664" s="141"/>
      <c r="AA664" s="42" t="s">
        <v>89</v>
      </c>
      <c r="AB664" s="42">
        <v>532</v>
      </c>
      <c r="AC664" s="40">
        <v>544</v>
      </c>
      <c r="AD664" s="43">
        <v>0</v>
      </c>
      <c r="AE664" s="43">
        <v>0</v>
      </c>
      <c r="AF664" s="43">
        <v>0</v>
      </c>
      <c r="AG664" s="42"/>
      <c r="AH664" s="40"/>
      <c r="AI664" s="41"/>
      <c r="AJ664" s="28" t="s">
        <v>953</v>
      </c>
      <c r="AK664" s="28"/>
      <c r="AL664" s="40"/>
      <c r="AO664" s="28"/>
      <c r="AP664" s="138" t="s">
        <v>81</v>
      </c>
      <c r="AQ664" s="138">
        <v>13</v>
      </c>
      <c r="AR664" s="141">
        <v>19</v>
      </c>
      <c r="AS664" s="138">
        <v>0</v>
      </c>
      <c r="AT664" s="141">
        <v>0</v>
      </c>
      <c r="AU664" s="28"/>
      <c r="AV664" s="43"/>
      <c r="AW664" s="43" t="s">
        <v>1600</v>
      </c>
      <c r="AX664" s="28"/>
      <c r="AY664" s="141"/>
      <c r="BB664" s="196" t="s">
        <v>211</v>
      </c>
      <c r="BC664" s="138">
        <v>2</v>
      </c>
      <c r="BD664" s="141">
        <v>1</v>
      </c>
      <c r="BE664" s="196" t="s">
        <v>1845</v>
      </c>
      <c r="BF664" s="43">
        <v>0</v>
      </c>
      <c r="BG664" s="141">
        <v>0</v>
      </c>
      <c r="BH664" s="138"/>
      <c r="BI664" s="141"/>
      <c r="BJ664" s="138"/>
      <c r="BK664" s="28"/>
      <c r="BL664" s="141" t="s">
        <v>1846</v>
      </c>
      <c r="BO664" s="28"/>
      <c r="BP664" s="28"/>
      <c r="BQ664" s="28"/>
      <c r="BR664" s="43"/>
      <c r="BS664" s="43"/>
      <c r="BT664" s="43"/>
      <c r="BU664" s="28"/>
      <c r="BV664" s="28"/>
    </row>
    <row r="665" spans="3:74" x14ac:dyDescent="0.3">
      <c r="C665" s="138" t="s">
        <v>99</v>
      </c>
      <c r="D665" s="138">
        <v>3377</v>
      </c>
      <c r="E665" s="209">
        <v>3934</v>
      </c>
      <c r="F665" s="138"/>
      <c r="G665" s="28" t="s">
        <v>1291</v>
      </c>
      <c r="H665" s="28"/>
      <c r="I665" s="196">
        <v>14173</v>
      </c>
      <c r="J665" s="43">
        <v>171</v>
      </c>
      <c r="K665" s="28" t="s">
        <v>144</v>
      </c>
      <c r="L665" s="141"/>
      <c r="O665" s="138" t="s">
        <v>99</v>
      </c>
      <c r="P665" s="138"/>
      <c r="Q665" s="196"/>
      <c r="R665" s="138"/>
      <c r="S665" s="196"/>
      <c r="T665" s="141"/>
      <c r="U665" s="138"/>
      <c r="V665" s="196"/>
      <c r="W665" s="138" t="s">
        <v>135</v>
      </c>
      <c r="X665" s="141"/>
      <c r="AA665" s="42" t="s">
        <v>137</v>
      </c>
      <c r="AB665" s="42">
        <v>132</v>
      </c>
      <c r="AC665" s="40">
        <v>166</v>
      </c>
      <c r="AD665" s="43">
        <v>0</v>
      </c>
      <c r="AE665" s="43">
        <v>0</v>
      </c>
      <c r="AF665" s="43">
        <v>0</v>
      </c>
      <c r="AG665" s="42"/>
      <c r="AH665" s="40"/>
      <c r="AI665" s="41"/>
      <c r="AJ665" s="28">
        <v>5</v>
      </c>
      <c r="AK665" s="28" t="s">
        <v>884</v>
      </c>
      <c r="AL665" s="40"/>
      <c r="AO665" s="28"/>
      <c r="AP665" s="138" t="s">
        <v>115</v>
      </c>
      <c r="AQ665" s="138">
        <v>19</v>
      </c>
      <c r="AR665" s="141">
        <v>15</v>
      </c>
      <c r="AS665" s="138">
        <v>0</v>
      </c>
      <c r="AT665" s="141">
        <v>0</v>
      </c>
      <c r="AU665" s="28"/>
      <c r="AV665" s="43"/>
      <c r="AW665" s="43" t="s">
        <v>1847</v>
      </c>
      <c r="AX665" s="28"/>
      <c r="AY665" s="141"/>
      <c r="BB665" s="196" t="s">
        <v>169</v>
      </c>
      <c r="BC665" s="138">
        <v>2</v>
      </c>
      <c r="BD665" s="141">
        <v>5</v>
      </c>
      <c r="BE665" s="196" t="s">
        <v>1848</v>
      </c>
      <c r="BF665" s="43">
        <v>4</v>
      </c>
      <c r="BG665" s="141">
        <v>0</v>
      </c>
      <c r="BH665" s="138"/>
      <c r="BI665" s="141"/>
      <c r="BJ665" s="138" t="s">
        <v>151</v>
      </c>
      <c r="BK665" s="28" t="s">
        <v>1849</v>
      </c>
      <c r="BL665" s="141" t="s">
        <v>1850</v>
      </c>
      <c r="BO665" s="28"/>
      <c r="BP665" s="28"/>
      <c r="BQ665" s="28"/>
      <c r="BR665" s="28"/>
      <c r="BS665" s="28"/>
      <c r="BT665" s="28"/>
      <c r="BU665" s="28"/>
      <c r="BV665" s="28"/>
    </row>
    <row r="666" spans="3:74" x14ac:dyDescent="0.3">
      <c r="C666" s="138" t="s">
        <v>120</v>
      </c>
      <c r="D666" s="138">
        <v>8073</v>
      </c>
      <c r="E666" s="209">
        <v>9607</v>
      </c>
      <c r="F666" s="138"/>
      <c r="G666" s="28" t="s">
        <v>1291</v>
      </c>
      <c r="H666" s="28"/>
      <c r="I666" s="196">
        <v>5025</v>
      </c>
      <c r="J666" s="43"/>
      <c r="K666" s="28" t="s">
        <v>148</v>
      </c>
      <c r="L666" s="141"/>
      <c r="O666" s="138"/>
      <c r="P666" s="138"/>
      <c r="Q666" s="196"/>
      <c r="R666" s="138"/>
      <c r="S666" s="196"/>
      <c r="T666" s="141"/>
      <c r="U666" s="138"/>
      <c r="V666" s="196"/>
      <c r="W666" s="138"/>
      <c r="X666" s="141"/>
      <c r="AA666" s="42" t="s">
        <v>84</v>
      </c>
      <c r="AB666" s="42">
        <f>SUM(AB663:AB665)</f>
        <v>856</v>
      </c>
      <c r="AC666" s="40">
        <f>SUM(AC663:AC665)</f>
        <v>917</v>
      </c>
      <c r="AD666" s="28">
        <v>0</v>
      </c>
      <c r="AE666" s="28">
        <v>0</v>
      </c>
      <c r="AF666" s="28">
        <v>0</v>
      </c>
      <c r="AG666" s="42">
        <v>0</v>
      </c>
      <c r="AH666" s="40">
        <v>0</v>
      </c>
      <c r="AI666" s="41">
        <v>0</v>
      </c>
      <c r="AJ666" s="43">
        <v>12</v>
      </c>
      <c r="AK666" s="28" t="s">
        <v>141</v>
      </c>
      <c r="AL666" s="40"/>
      <c r="AM666" s="43"/>
      <c r="AO666" s="28"/>
      <c r="AP666" s="138" t="s">
        <v>67</v>
      </c>
      <c r="AQ666" s="138">
        <v>32</v>
      </c>
      <c r="AR666" s="141">
        <v>35</v>
      </c>
      <c r="AS666" s="138">
        <v>0</v>
      </c>
      <c r="AT666" s="141">
        <v>0</v>
      </c>
      <c r="AU666" s="28"/>
      <c r="AV666" s="43"/>
      <c r="AW666" s="43" t="s">
        <v>1851</v>
      </c>
      <c r="AX666" s="28"/>
      <c r="AY666" s="141"/>
      <c r="BB666" s="196" t="s">
        <v>133</v>
      </c>
      <c r="BC666" s="138">
        <v>0</v>
      </c>
      <c r="BD666" s="141">
        <v>1</v>
      </c>
      <c r="BE666" s="196" t="s">
        <v>1852</v>
      </c>
      <c r="BF666" s="43">
        <v>0</v>
      </c>
      <c r="BG666" s="141">
        <v>0</v>
      </c>
      <c r="BH666" s="138"/>
      <c r="BI666" s="141"/>
      <c r="BJ666" s="138" t="s">
        <v>1493</v>
      </c>
      <c r="BK666" s="257" t="s">
        <v>845</v>
      </c>
      <c r="BL666" s="141"/>
      <c r="BO666" s="28"/>
      <c r="BP666" s="28"/>
      <c r="BQ666" s="28"/>
      <c r="BR666" s="28"/>
      <c r="BS666" s="28"/>
      <c r="BT666" s="28"/>
      <c r="BU666" s="28"/>
      <c r="BV666" s="28"/>
    </row>
    <row r="667" spans="3:74" ht="15" thickBot="1" x14ac:dyDescent="0.35">
      <c r="C667" s="138" t="s">
        <v>84</v>
      </c>
      <c r="D667" s="138">
        <f>SUM(D664:D666)</f>
        <v>18467</v>
      </c>
      <c r="E667" s="28">
        <f>SUM(E664:E666)</f>
        <v>20498</v>
      </c>
      <c r="F667" s="138"/>
      <c r="G667" s="28" t="s">
        <v>1291</v>
      </c>
      <c r="H667" s="28"/>
      <c r="I667" s="196">
        <f>SUM(I664:I666)</f>
        <v>28289</v>
      </c>
      <c r="J667" s="43"/>
      <c r="K667" s="28" t="s">
        <v>152</v>
      </c>
      <c r="L667" s="141"/>
      <c r="O667" s="142" t="s">
        <v>84</v>
      </c>
      <c r="P667" s="142"/>
      <c r="Q667" s="199"/>
      <c r="R667" s="142">
        <v>0</v>
      </c>
      <c r="S667" s="199">
        <v>0</v>
      </c>
      <c r="T667" s="146"/>
      <c r="U667" s="142"/>
      <c r="V667" s="199"/>
      <c r="W667" s="142"/>
      <c r="X667" s="146"/>
      <c r="AA667" s="47"/>
      <c r="AB667" s="47"/>
      <c r="AC667" s="49"/>
      <c r="AD667" s="48"/>
      <c r="AE667" s="48"/>
      <c r="AF667" s="48"/>
      <c r="AG667" s="47"/>
      <c r="AH667" s="49"/>
      <c r="AI667" s="46"/>
      <c r="AJ667" s="48"/>
      <c r="AK667" s="48" t="s">
        <v>996</v>
      </c>
      <c r="AL667" s="49"/>
      <c r="AO667" s="28"/>
      <c r="AP667" s="138" t="s">
        <v>122</v>
      </c>
      <c r="AQ667" s="138">
        <v>13</v>
      </c>
      <c r="AR667" s="141">
        <v>4</v>
      </c>
      <c r="AS667" s="138">
        <v>0</v>
      </c>
      <c r="AT667" s="141">
        <v>0</v>
      </c>
      <c r="AU667" s="28"/>
      <c r="AV667" s="43"/>
      <c r="AW667" s="43" t="s">
        <v>803</v>
      </c>
      <c r="AX667" s="28"/>
      <c r="AY667" s="141"/>
      <c r="BB667" s="196" t="s">
        <v>214</v>
      </c>
      <c r="BC667" s="138">
        <v>0</v>
      </c>
      <c r="BD667" s="141">
        <v>0</v>
      </c>
      <c r="BE667" s="196" t="s">
        <v>1853</v>
      </c>
      <c r="BF667" s="43">
        <v>0</v>
      </c>
      <c r="BG667" s="141"/>
      <c r="BH667" s="138"/>
      <c r="BI667" s="141"/>
      <c r="BJ667" s="212" t="s">
        <v>651</v>
      </c>
      <c r="BK667" s="28" t="s">
        <v>1854</v>
      </c>
      <c r="BL667" s="141"/>
      <c r="BO667" s="28"/>
      <c r="BP667" s="28"/>
      <c r="BQ667" s="28"/>
      <c r="BR667" s="28"/>
      <c r="BS667" s="28"/>
      <c r="BT667" s="28"/>
      <c r="BU667" s="28"/>
      <c r="BV667" s="28"/>
    </row>
    <row r="668" spans="3:74" x14ac:dyDescent="0.3">
      <c r="C668" s="142"/>
      <c r="D668" s="142"/>
      <c r="E668" s="143"/>
      <c r="F668" s="142"/>
      <c r="G668" s="143"/>
      <c r="H668" s="143"/>
      <c r="I668" s="199"/>
      <c r="J668" s="143">
        <v>3</v>
      </c>
      <c r="K668" s="143" t="s">
        <v>958</v>
      </c>
      <c r="L668" s="146">
        <v>174</v>
      </c>
      <c r="O668" s="138"/>
      <c r="P668" s="138"/>
      <c r="Q668" s="196"/>
      <c r="R668" s="138"/>
      <c r="S668" s="196"/>
      <c r="T668" s="141"/>
      <c r="U668" s="138"/>
      <c r="V668" s="196"/>
      <c r="W668" s="138"/>
      <c r="X668" s="141"/>
      <c r="AA668" s="42" t="s">
        <v>99</v>
      </c>
      <c r="AB668" s="42">
        <v>0</v>
      </c>
      <c r="AC668" s="40">
        <v>0</v>
      </c>
      <c r="AD668" s="43">
        <v>0</v>
      </c>
      <c r="AE668" s="43">
        <v>0</v>
      </c>
      <c r="AF668" s="43">
        <v>0</v>
      </c>
      <c r="AG668" s="42">
        <v>20990</v>
      </c>
      <c r="AH668" s="40">
        <v>6122</v>
      </c>
      <c r="AI668" s="41"/>
      <c r="AJ668" s="28" t="s">
        <v>149</v>
      </c>
      <c r="AK668" s="28"/>
      <c r="AL668" s="40"/>
      <c r="AO668" s="28"/>
      <c r="AP668" s="138" t="s">
        <v>138</v>
      </c>
      <c r="AQ668" s="138">
        <v>0</v>
      </c>
      <c r="AR668" s="141">
        <v>0</v>
      </c>
      <c r="AS668" s="138">
        <v>0</v>
      </c>
      <c r="AT668" s="141">
        <v>0</v>
      </c>
      <c r="AU668" s="28"/>
      <c r="AV668" s="43"/>
      <c r="AW668" s="43" t="s">
        <v>1004</v>
      </c>
      <c r="AX668" s="28"/>
      <c r="AY668" s="141"/>
      <c r="BB668" s="196" t="s">
        <v>218</v>
      </c>
      <c r="BC668" s="138">
        <v>0</v>
      </c>
      <c r="BD668" s="141">
        <v>12</v>
      </c>
      <c r="BE668" s="196" t="s">
        <v>1777</v>
      </c>
      <c r="BF668" s="43">
        <v>1</v>
      </c>
      <c r="BG668" s="141">
        <v>0</v>
      </c>
      <c r="BH668" s="138"/>
      <c r="BI668" s="141"/>
      <c r="BJ668" s="212" t="s">
        <v>309</v>
      </c>
      <c r="BK668" s="43" t="s">
        <v>1436</v>
      </c>
      <c r="BL668" s="141"/>
      <c r="BO668" s="28"/>
      <c r="BP668" s="28"/>
      <c r="BQ668" s="28"/>
      <c r="BR668" s="28"/>
      <c r="BS668" s="28"/>
      <c r="BT668" s="28"/>
      <c r="BU668" s="28"/>
      <c r="BV668" s="28"/>
    </row>
    <row r="669" spans="3:74" x14ac:dyDescent="0.3">
      <c r="C669" s="134" t="s">
        <v>105</v>
      </c>
      <c r="D669" s="134">
        <v>1186</v>
      </c>
      <c r="E669" s="135">
        <v>1303</v>
      </c>
      <c r="F669" s="134"/>
      <c r="G669" s="243">
        <v>1617</v>
      </c>
      <c r="H669" s="135"/>
      <c r="I669" s="195"/>
      <c r="J669" s="135" t="s">
        <v>162</v>
      </c>
      <c r="K669" s="135"/>
      <c r="L669" s="136"/>
      <c r="O669" s="138"/>
      <c r="P669" s="138"/>
      <c r="Q669" s="196"/>
      <c r="R669" s="138"/>
      <c r="S669" s="196"/>
      <c r="T669" s="141"/>
      <c r="U669" s="138"/>
      <c r="V669" s="196"/>
      <c r="W669" s="138"/>
      <c r="X669" s="141"/>
      <c r="AA669" s="42" t="s">
        <v>174</v>
      </c>
      <c r="AB669" s="42">
        <v>0</v>
      </c>
      <c r="AC669" s="40">
        <v>0</v>
      </c>
      <c r="AD669" s="28">
        <v>0</v>
      </c>
      <c r="AE669" s="28">
        <v>0</v>
      </c>
      <c r="AF669" s="28">
        <v>0</v>
      </c>
      <c r="AG669" s="42">
        <v>26562</v>
      </c>
      <c r="AH669" s="40">
        <v>0</v>
      </c>
      <c r="AI669" s="41"/>
      <c r="AJ669" s="43">
        <v>3</v>
      </c>
      <c r="AK669" s="28" t="s">
        <v>153</v>
      </c>
      <c r="AL669" s="40"/>
      <c r="AO669" s="28"/>
      <c r="AP669" s="138" t="s">
        <v>132</v>
      </c>
      <c r="AQ669" s="138">
        <v>0</v>
      </c>
      <c r="AR669" s="141">
        <v>4</v>
      </c>
      <c r="AS669" s="138">
        <v>0</v>
      </c>
      <c r="AT669" s="141">
        <v>0</v>
      </c>
      <c r="AU669" s="28"/>
      <c r="AV669" s="43"/>
      <c r="AW669" s="43" t="s">
        <v>1855</v>
      </c>
      <c r="AX669" s="28"/>
      <c r="AY669" s="141"/>
      <c r="BB669" s="196" t="s">
        <v>564</v>
      </c>
      <c r="BC669" s="138">
        <v>0</v>
      </c>
      <c r="BD669" s="141">
        <v>6</v>
      </c>
      <c r="BE669" s="196"/>
      <c r="BF669" s="43"/>
      <c r="BG669" s="141"/>
      <c r="BH669" s="138"/>
      <c r="BI669" s="141"/>
      <c r="BJ669" s="138" t="s">
        <v>310</v>
      </c>
      <c r="BK669" s="43" t="s">
        <v>1856</v>
      </c>
      <c r="BL669" s="141"/>
      <c r="BO669" s="28"/>
      <c r="BP669" s="28"/>
      <c r="BQ669" s="28"/>
      <c r="BR669" s="28"/>
      <c r="BS669" s="28"/>
      <c r="BT669" s="28"/>
      <c r="BU669" s="28"/>
      <c r="BV669" s="28"/>
    </row>
    <row r="670" spans="3:74" x14ac:dyDescent="0.3">
      <c r="C670" s="138" t="s">
        <v>99</v>
      </c>
      <c r="D670" s="138">
        <v>368</v>
      </c>
      <c r="E670" s="43">
        <v>379</v>
      </c>
      <c r="F670" s="138"/>
      <c r="G670" s="107">
        <v>1252</v>
      </c>
      <c r="H670" s="28"/>
      <c r="I670" s="196"/>
      <c r="J670" s="28"/>
      <c r="K670" s="28"/>
      <c r="L670" s="141"/>
      <c r="O670" s="138"/>
      <c r="P670" s="138"/>
      <c r="Q670" s="196"/>
      <c r="R670" s="138"/>
      <c r="S670" s="196"/>
      <c r="T670" s="141"/>
      <c r="U670" s="138"/>
      <c r="V670" s="196"/>
      <c r="W670" s="138"/>
      <c r="X670" s="141"/>
      <c r="AA670" s="42" t="s">
        <v>84</v>
      </c>
      <c r="AB670" s="42"/>
      <c r="AC670" s="40"/>
      <c r="AD670" s="43"/>
      <c r="AE670" s="43"/>
      <c r="AF670" s="43"/>
      <c r="AG670" s="42">
        <v>47552</v>
      </c>
      <c r="AH670" s="40">
        <v>6122</v>
      </c>
      <c r="AI670" s="41"/>
      <c r="AJ670" s="43"/>
      <c r="AK670" s="43"/>
      <c r="AL670" s="40"/>
      <c r="AO670" s="28"/>
      <c r="AP670" s="138" t="s">
        <v>536</v>
      </c>
      <c r="AQ670" s="138">
        <v>0</v>
      </c>
      <c r="AR670" s="141">
        <v>0</v>
      </c>
      <c r="AS670" s="138">
        <v>0</v>
      </c>
      <c r="AT670" s="141">
        <v>0</v>
      </c>
      <c r="AU670" s="28"/>
      <c r="AV670" s="43"/>
      <c r="AW670" s="43" t="s">
        <v>320</v>
      </c>
      <c r="AX670" s="28"/>
      <c r="AY670" s="141"/>
      <c r="BB670" s="196" t="s">
        <v>108</v>
      </c>
      <c r="BC670" s="138">
        <v>6</v>
      </c>
      <c r="BD670" s="141">
        <v>2</v>
      </c>
      <c r="BE670" s="196"/>
      <c r="BF670" s="43"/>
      <c r="BG670" s="141"/>
      <c r="BH670" s="138"/>
      <c r="BI670" s="141"/>
      <c r="BJ670" s="138" t="s">
        <v>1033</v>
      </c>
      <c r="BK670" s="43" t="s">
        <v>1857</v>
      </c>
      <c r="BL670" s="141"/>
      <c r="BP670" s="28"/>
      <c r="BQ670" s="28"/>
      <c r="BR670" s="28"/>
      <c r="BS670" s="28"/>
      <c r="BT670" s="28"/>
      <c r="BU670" s="28"/>
      <c r="BV670" s="43"/>
    </row>
    <row r="671" spans="3:74" x14ac:dyDescent="0.3">
      <c r="C671" s="138"/>
      <c r="D671" s="138"/>
      <c r="E671" s="28"/>
      <c r="F671" s="138"/>
      <c r="G671" s="28"/>
      <c r="H671" s="28"/>
      <c r="I671" s="196"/>
      <c r="J671" s="43">
        <v>44</v>
      </c>
      <c r="K671" s="28" t="s">
        <v>101</v>
      </c>
      <c r="L671" s="141"/>
      <c r="O671" s="138"/>
      <c r="P671" s="138"/>
      <c r="Q671" s="196"/>
      <c r="R671" s="138"/>
      <c r="S671" s="196"/>
      <c r="T671" s="141"/>
      <c r="U671" s="138"/>
      <c r="V671" s="196"/>
      <c r="W671" s="138"/>
      <c r="X671" s="141"/>
      <c r="AA671" s="278"/>
      <c r="AB671" s="278"/>
      <c r="AC671" s="279"/>
      <c r="AD671" s="135"/>
      <c r="AE671" s="135"/>
      <c r="AF671" s="135"/>
      <c r="AG671" s="278"/>
      <c r="AH671" s="279"/>
      <c r="AI671" s="314"/>
      <c r="AJ671" s="135" t="s">
        <v>157</v>
      </c>
      <c r="AK671" s="135"/>
      <c r="AL671" s="279"/>
      <c r="AO671" s="28"/>
      <c r="AP671" s="138" t="s">
        <v>227</v>
      </c>
      <c r="AQ671" s="138">
        <v>0</v>
      </c>
      <c r="AR671" s="141">
        <v>0</v>
      </c>
      <c r="AS671" s="138">
        <v>0</v>
      </c>
      <c r="AT671" s="141">
        <v>0</v>
      </c>
      <c r="AU671" s="28"/>
      <c r="AV671" s="43"/>
      <c r="AW671" s="43" t="s">
        <v>1488</v>
      </c>
      <c r="AX671" s="28"/>
      <c r="AY671" s="141"/>
      <c r="BB671" s="196" t="s">
        <v>1858</v>
      </c>
      <c r="BC671" s="138">
        <v>5</v>
      </c>
      <c r="BD671" s="141">
        <v>5</v>
      </c>
      <c r="BE671" s="196"/>
      <c r="BF671" s="28"/>
      <c r="BG671" s="141"/>
      <c r="BH671" s="138"/>
      <c r="BI671" s="141"/>
      <c r="BJ671" s="212" t="s">
        <v>510</v>
      </c>
      <c r="BK671" s="43" t="s">
        <v>582</v>
      </c>
      <c r="BL671" s="141"/>
      <c r="BP671" s="28"/>
      <c r="BQ671" s="28"/>
      <c r="BR671" s="28"/>
      <c r="BS671" s="28"/>
      <c r="BT671" s="28"/>
      <c r="BU671" s="28"/>
      <c r="BV671" s="43"/>
    </row>
    <row r="672" spans="3:74" x14ac:dyDescent="0.3">
      <c r="C672" s="138" t="s">
        <v>84</v>
      </c>
      <c r="D672" s="142">
        <f>SUM(D669:D671)</f>
        <v>1554</v>
      </c>
      <c r="E672" s="143">
        <f>SUM(E669:E671)</f>
        <v>1682</v>
      </c>
      <c r="F672" s="142"/>
      <c r="G672" s="250">
        <f>SUM(G669:G671)</f>
        <v>2869</v>
      </c>
      <c r="H672" s="143"/>
      <c r="I672" s="199">
        <v>7440</v>
      </c>
      <c r="J672" s="143"/>
      <c r="K672" s="143"/>
      <c r="L672" s="146">
        <v>44</v>
      </c>
      <c r="O672" s="138"/>
      <c r="P672" s="138"/>
      <c r="Q672" s="196"/>
      <c r="R672" s="138"/>
      <c r="S672" s="196"/>
      <c r="T672" s="141"/>
      <c r="U672" s="138"/>
      <c r="V672" s="196"/>
      <c r="W672" s="138"/>
      <c r="X672" s="141"/>
      <c r="AA672" s="42" t="s">
        <v>99</v>
      </c>
      <c r="AB672" s="42"/>
      <c r="AC672" s="40"/>
      <c r="AD672" s="43">
        <v>0</v>
      </c>
      <c r="AE672" s="43">
        <v>0</v>
      </c>
      <c r="AF672" s="43">
        <v>0</v>
      </c>
      <c r="AG672" s="42"/>
      <c r="AH672" s="40"/>
      <c r="AI672" s="41">
        <v>0</v>
      </c>
      <c r="AJ672" s="43">
        <v>7</v>
      </c>
      <c r="AK672" s="28" t="s">
        <v>153</v>
      </c>
      <c r="AL672" s="40"/>
      <c r="AO672" s="28"/>
      <c r="AP672" s="138" t="s">
        <v>230</v>
      </c>
      <c r="AQ672" s="138">
        <v>8</v>
      </c>
      <c r="AR672" s="141">
        <v>10</v>
      </c>
      <c r="AS672" s="138">
        <v>0</v>
      </c>
      <c r="AT672" s="141">
        <v>0</v>
      </c>
      <c r="AU672" s="28"/>
      <c r="AV672" s="43"/>
      <c r="AW672" s="43" t="s">
        <v>447</v>
      </c>
      <c r="AX672" s="28"/>
      <c r="AY672" s="141"/>
      <c r="BB672" s="196" t="s">
        <v>1859</v>
      </c>
      <c r="BC672" s="138">
        <v>0</v>
      </c>
      <c r="BD672" s="141">
        <v>0</v>
      </c>
      <c r="BE672" s="196"/>
      <c r="BF672" s="28"/>
      <c r="BG672" s="141"/>
      <c r="BH672" s="138"/>
      <c r="BI672" s="141"/>
      <c r="BJ672" s="138" t="s">
        <v>544</v>
      </c>
      <c r="BK672" s="43" t="s">
        <v>1850</v>
      </c>
      <c r="BL672" s="209"/>
      <c r="BP672" s="28"/>
      <c r="BQ672" s="28"/>
      <c r="BR672" s="28"/>
      <c r="BS672" s="28"/>
      <c r="BT672" s="28"/>
      <c r="BU672" s="28"/>
      <c r="BV672" s="43"/>
    </row>
    <row r="673" spans="3:74" ht="16.2" thickBot="1" x14ac:dyDescent="0.35">
      <c r="C673" s="195" t="s">
        <v>181</v>
      </c>
      <c r="D673" s="135">
        <v>2885</v>
      </c>
      <c r="E673" s="135">
        <v>2723</v>
      </c>
      <c r="F673" s="134"/>
      <c r="G673" s="135" t="s">
        <v>1291</v>
      </c>
      <c r="H673" s="136"/>
      <c r="I673" s="195"/>
      <c r="J673" s="134" t="s">
        <v>182</v>
      </c>
      <c r="K673" s="135"/>
      <c r="L673" s="136"/>
      <c r="O673" s="142" t="s">
        <v>84</v>
      </c>
      <c r="P673" s="142">
        <v>26565</v>
      </c>
      <c r="Q673" s="199">
        <v>37690</v>
      </c>
      <c r="R673" s="142">
        <v>0</v>
      </c>
      <c r="S673" s="199">
        <v>0</v>
      </c>
      <c r="T673" s="143"/>
      <c r="U673" s="142">
        <v>2842</v>
      </c>
      <c r="V673" s="199">
        <v>229</v>
      </c>
      <c r="W673" s="142"/>
      <c r="X673" s="146"/>
      <c r="AA673" s="42" t="s">
        <v>6</v>
      </c>
      <c r="AB673" s="42"/>
      <c r="AC673" s="40"/>
      <c r="AD673" s="28"/>
      <c r="AE673" s="28"/>
      <c r="AF673" s="28"/>
      <c r="AG673" s="42"/>
      <c r="AH673" s="40"/>
      <c r="AI673" s="41"/>
      <c r="AJ673" s="28">
        <v>1</v>
      </c>
      <c r="AK673" s="28" t="s">
        <v>163</v>
      </c>
      <c r="AL673" s="40"/>
      <c r="AO673" s="28"/>
      <c r="AP673" s="138" t="s">
        <v>125</v>
      </c>
      <c r="AQ673" s="138">
        <v>0</v>
      </c>
      <c r="AR673" s="141">
        <v>0</v>
      </c>
      <c r="AS673" s="138">
        <v>0</v>
      </c>
      <c r="AT673" s="141">
        <v>0</v>
      </c>
      <c r="AU673" s="28"/>
      <c r="AV673" s="43"/>
      <c r="AW673" s="43" t="s">
        <v>1056</v>
      </c>
      <c r="AX673" s="28"/>
      <c r="AY673" s="141"/>
      <c r="BB673" s="196" t="s">
        <v>783</v>
      </c>
      <c r="BC673" s="138">
        <v>0</v>
      </c>
      <c r="BD673" s="141">
        <v>0</v>
      </c>
      <c r="BE673" s="196"/>
      <c r="BF673" s="28"/>
      <c r="BG673" s="141"/>
      <c r="BH673" s="138"/>
      <c r="BI673" s="141"/>
      <c r="BJ673" s="138" t="s">
        <v>1377</v>
      </c>
      <c r="BK673" s="258" t="s">
        <v>1860</v>
      </c>
      <c r="BL673" s="209"/>
      <c r="BP673" s="28"/>
      <c r="BQ673" s="28"/>
      <c r="BR673" s="28"/>
      <c r="BS673" s="28"/>
      <c r="BT673" s="28"/>
      <c r="BU673" s="28"/>
      <c r="BV673" s="43"/>
    </row>
    <row r="674" spans="3:74" x14ac:dyDescent="0.3">
      <c r="C674" s="196"/>
      <c r="D674" s="28"/>
      <c r="E674" s="28"/>
      <c r="F674" s="138"/>
      <c r="G674" s="28" t="s">
        <v>1291</v>
      </c>
      <c r="H674" s="141"/>
      <c r="I674" s="196"/>
      <c r="J674" s="138"/>
      <c r="K674" s="28" t="s">
        <v>927</v>
      </c>
      <c r="L674" s="141"/>
      <c r="AA674" s="33" t="s">
        <v>102</v>
      </c>
      <c r="AB674" s="33">
        <v>13</v>
      </c>
      <c r="AC674" s="35">
        <v>0</v>
      </c>
      <c r="AD674" s="34">
        <v>0</v>
      </c>
      <c r="AE674" s="34">
        <v>0</v>
      </c>
      <c r="AF674" s="34">
        <v>0</v>
      </c>
      <c r="AG674" s="33">
        <v>0</v>
      </c>
      <c r="AH674" s="35">
        <v>0</v>
      </c>
      <c r="AI674" s="32">
        <v>0</v>
      </c>
      <c r="AJ674" s="34" t="s">
        <v>1326</v>
      </c>
      <c r="AK674" s="34"/>
      <c r="AL674" s="35"/>
      <c r="AO674" s="28"/>
      <c r="AP674" s="138" t="s">
        <v>536</v>
      </c>
      <c r="AQ674" s="138">
        <v>0</v>
      </c>
      <c r="AR674" s="141">
        <v>0</v>
      </c>
      <c r="AS674" s="138">
        <v>0</v>
      </c>
      <c r="AT674" s="141">
        <v>0</v>
      </c>
      <c r="AU674" s="28"/>
      <c r="AV674" s="43"/>
      <c r="AW674" s="43" t="s">
        <v>254</v>
      </c>
      <c r="AX674" s="28"/>
      <c r="AY674" s="141"/>
      <c r="BB674" s="196" t="s">
        <v>88</v>
      </c>
      <c r="BC674" s="138">
        <v>3</v>
      </c>
      <c r="BD674" s="141">
        <v>3</v>
      </c>
      <c r="BE674" s="196"/>
      <c r="BF674" s="43"/>
      <c r="BG674" s="141"/>
      <c r="BH674" s="138"/>
      <c r="BI674" s="141"/>
      <c r="BJ674" s="138" t="s">
        <v>280</v>
      </c>
      <c r="BK674" s="43" t="s">
        <v>415</v>
      </c>
      <c r="BL674" s="141"/>
      <c r="BP674" s="28"/>
      <c r="BQ674" s="28"/>
      <c r="BR674" s="28"/>
      <c r="BS674" s="28"/>
      <c r="BT674" s="28"/>
      <c r="BU674" s="28"/>
      <c r="BV674" s="43"/>
    </row>
    <row r="675" spans="3:74" ht="15.6" x14ac:dyDescent="0.3">
      <c r="C675" s="196" t="s">
        <v>84</v>
      </c>
      <c r="D675" s="28">
        <v>2885</v>
      </c>
      <c r="E675" s="28">
        <v>2723</v>
      </c>
      <c r="F675" s="138"/>
      <c r="G675" s="28" t="s">
        <v>1291</v>
      </c>
      <c r="H675" s="141"/>
      <c r="I675" s="196">
        <v>3984</v>
      </c>
      <c r="J675" s="138">
        <v>8</v>
      </c>
      <c r="K675" s="28" t="s">
        <v>101</v>
      </c>
      <c r="L675" s="141"/>
      <c r="AA675" s="42"/>
      <c r="AB675" s="42"/>
      <c r="AC675" s="40"/>
      <c r="AD675" s="28"/>
      <c r="AE675" s="28"/>
      <c r="AF675" s="28"/>
      <c r="AG675" s="42"/>
      <c r="AH675" s="40"/>
      <c r="AI675" s="41"/>
      <c r="AJ675" s="28">
        <v>1</v>
      </c>
      <c r="AK675" s="28" t="s">
        <v>780</v>
      </c>
      <c r="AL675" s="40"/>
      <c r="AO675" s="267"/>
      <c r="AP675" s="138"/>
      <c r="AQ675" s="138"/>
      <c r="AR675" s="141"/>
      <c r="AS675" s="138"/>
      <c r="AT675" s="141"/>
      <c r="AU675" s="28"/>
      <c r="AV675" s="43"/>
      <c r="AW675" s="28"/>
      <c r="AX675" s="28"/>
      <c r="AY675" s="141"/>
      <c r="BB675" s="259" t="s">
        <v>93</v>
      </c>
      <c r="BC675" s="138">
        <v>18</v>
      </c>
      <c r="BD675" s="141">
        <v>20</v>
      </c>
      <c r="BE675" s="196"/>
      <c r="BF675" s="43"/>
      <c r="BG675" s="141"/>
      <c r="BH675" s="138"/>
      <c r="BI675" s="141"/>
      <c r="BJ675" s="138" t="s">
        <v>1861</v>
      </c>
      <c r="BK675" s="258" t="s">
        <v>1718</v>
      </c>
      <c r="BL675" s="260"/>
      <c r="BP675" s="28"/>
      <c r="BQ675" s="28"/>
      <c r="BR675" s="28"/>
      <c r="BS675" s="28"/>
      <c r="BT675" s="28"/>
      <c r="BU675" s="28"/>
      <c r="BV675" s="43"/>
    </row>
    <row r="676" spans="3:74" ht="16.2" thickBot="1" x14ac:dyDescent="0.35">
      <c r="C676" s="199"/>
      <c r="D676" s="28"/>
      <c r="E676" s="28"/>
      <c r="F676" s="142"/>
      <c r="G676" s="143"/>
      <c r="H676" s="146"/>
      <c r="I676" s="196"/>
      <c r="J676" s="138">
        <v>18</v>
      </c>
      <c r="K676" s="43" t="s">
        <v>94</v>
      </c>
      <c r="L676" s="141">
        <v>26</v>
      </c>
      <c r="AA676" s="47" t="s">
        <v>84</v>
      </c>
      <c r="AB676" s="202">
        <v>2666</v>
      </c>
      <c r="AC676" s="203">
        <v>8301</v>
      </c>
      <c r="AD676" s="48">
        <v>0</v>
      </c>
      <c r="AE676" s="48">
        <v>0</v>
      </c>
      <c r="AF676" s="48">
        <v>0</v>
      </c>
      <c r="AG676" s="202">
        <v>47552</v>
      </c>
      <c r="AH676" s="203">
        <v>6122</v>
      </c>
      <c r="AI676" s="48">
        <v>0</v>
      </c>
      <c r="AJ676" s="202" t="s">
        <v>199</v>
      </c>
      <c r="AK676" s="48"/>
      <c r="AL676" s="49">
        <v>72</v>
      </c>
      <c r="AO676" s="28"/>
      <c r="AP676" s="138" t="s">
        <v>84</v>
      </c>
      <c r="AQ676" s="138">
        <f>SUM(AQ655:AQ675)</f>
        <v>201</v>
      </c>
      <c r="AR676" s="141">
        <f>SUM(AR655:AR675)</f>
        <v>219</v>
      </c>
      <c r="AS676" s="138">
        <v>0</v>
      </c>
      <c r="AT676" s="141">
        <v>0</v>
      </c>
      <c r="AU676" s="28"/>
      <c r="AV676" s="28"/>
      <c r="AW676" s="28"/>
      <c r="AX676" s="28"/>
      <c r="AY676" s="141">
        <v>163</v>
      </c>
      <c r="BB676" s="196" t="s">
        <v>596</v>
      </c>
      <c r="BC676" s="138">
        <v>2</v>
      </c>
      <c r="BD676" s="141">
        <v>9</v>
      </c>
      <c r="BE676" s="196"/>
      <c r="BF676" s="43"/>
      <c r="BG676" s="141"/>
      <c r="BH676" s="138"/>
      <c r="BI676" s="141"/>
      <c r="BJ676" s="138" t="s">
        <v>180</v>
      </c>
      <c r="BK676" s="258" t="s">
        <v>1862</v>
      </c>
      <c r="BL676" s="141"/>
      <c r="BP676" s="28"/>
      <c r="BQ676" s="28"/>
      <c r="BR676" s="28"/>
      <c r="BS676" s="28"/>
      <c r="BT676" s="28"/>
      <c r="BU676" s="28"/>
      <c r="BV676" s="43"/>
    </row>
    <row r="677" spans="3:74" ht="16.2" thickBot="1" x14ac:dyDescent="0.35">
      <c r="C677" s="47" t="s">
        <v>84</v>
      </c>
      <c r="D677" s="253">
        <v>39888</v>
      </c>
      <c r="E677" s="253">
        <v>47587</v>
      </c>
      <c r="F677" s="253"/>
      <c r="G677" s="253"/>
      <c r="H677" s="253"/>
      <c r="I677" s="254">
        <v>66201</v>
      </c>
      <c r="J677" s="171" t="s">
        <v>844</v>
      </c>
      <c r="K677" s="170"/>
      <c r="L677" s="172">
        <v>538</v>
      </c>
      <c r="AA677" t="s">
        <v>193</v>
      </c>
      <c r="AL677" t="s">
        <v>6</v>
      </c>
      <c r="AO677" s="28"/>
      <c r="AP677" s="171" t="s">
        <v>84</v>
      </c>
      <c r="AQ677" s="207">
        <v>1792</v>
      </c>
      <c r="AR677" s="207">
        <v>1809</v>
      </c>
      <c r="AS677" s="207">
        <v>0</v>
      </c>
      <c r="AT677" s="208">
        <v>0</v>
      </c>
      <c r="AU677" s="170"/>
      <c r="AV677" s="170"/>
      <c r="AW677" s="170"/>
      <c r="AX677" s="170"/>
      <c r="AY677" s="172">
        <v>353</v>
      </c>
      <c r="BB677" s="196" t="s">
        <v>85</v>
      </c>
      <c r="BC677" s="138">
        <v>2</v>
      </c>
      <c r="BD677" s="141">
        <v>8</v>
      </c>
      <c r="BE677" s="196"/>
      <c r="BF677" s="43"/>
      <c r="BG677" s="141"/>
      <c r="BH677" s="138"/>
      <c r="BI677" s="141"/>
      <c r="BJ677" s="138" t="s">
        <v>698</v>
      </c>
      <c r="BK677" s="258" t="s">
        <v>1863</v>
      </c>
      <c r="BL677" s="141"/>
      <c r="BP677" s="28"/>
      <c r="BQ677" s="28"/>
      <c r="BR677" s="28"/>
      <c r="BS677" s="28"/>
      <c r="BT677" s="28"/>
      <c r="BU677" s="28"/>
      <c r="BV677" s="43"/>
    </row>
    <row r="678" spans="3:74" ht="15.6" x14ac:dyDescent="0.3"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O678" s="28"/>
      <c r="BB678" s="196" t="s">
        <v>164</v>
      </c>
      <c r="BC678" s="138">
        <v>0</v>
      </c>
      <c r="BD678" s="141">
        <v>0</v>
      </c>
      <c r="BE678" s="196"/>
      <c r="BF678" s="43"/>
      <c r="BG678" s="141"/>
      <c r="BH678" s="138"/>
      <c r="BI678" s="141"/>
      <c r="BJ678" s="138" t="s">
        <v>1498</v>
      </c>
      <c r="BK678" s="258"/>
      <c r="BL678" s="141"/>
      <c r="BP678" s="28"/>
      <c r="BQ678" s="28"/>
      <c r="BR678" s="28"/>
      <c r="BS678" s="28"/>
      <c r="BT678" s="28"/>
      <c r="BU678" s="28"/>
      <c r="BV678" s="28"/>
    </row>
    <row r="679" spans="3:74" ht="15.6" x14ac:dyDescent="0.3"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O679" s="28"/>
      <c r="BB679" s="196" t="s">
        <v>200</v>
      </c>
      <c r="BC679" s="138">
        <v>14</v>
      </c>
      <c r="BD679" s="141">
        <v>9</v>
      </c>
      <c r="BE679" s="196"/>
      <c r="BF679" s="43"/>
      <c r="BG679" s="141"/>
      <c r="BH679" s="138"/>
      <c r="BI679" s="141"/>
      <c r="BJ679" s="138" t="s">
        <v>333</v>
      </c>
      <c r="BK679" s="258"/>
      <c r="BL679" s="141"/>
      <c r="BP679" s="28"/>
      <c r="BQ679" s="28"/>
      <c r="BR679" s="28"/>
      <c r="BS679" s="28"/>
      <c r="BT679" s="28"/>
      <c r="BU679" s="28"/>
      <c r="BV679" s="28"/>
    </row>
    <row r="680" spans="3:74" ht="15.6" x14ac:dyDescent="0.3"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O680" s="28"/>
      <c r="BB680" s="196" t="s">
        <v>1864</v>
      </c>
      <c r="BC680" s="138">
        <v>0</v>
      </c>
      <c r="BD680" s="141">
        <v>0</v>
      </c>
      <c r="BE680" s="196"/>
      <c r="BF680" s="43"/>
      <c r="BG680" s="141"/>
      <c r="BH680" s="138"/>
      <c r="BI680" s="141"/>
      <c r="BJ680" s="138" t="s">
        <v>1865</v>
      </c>
      <c r="BK680" s="258"/>
      <c r="BL680" s="141"/>
    </row>
    <row r="681" spans="3:74" ht="15.6" x14ac:dyDescent="0.3">
      <c r="AO681" s="28"/>
      <c r="BB681" s="196" t="s">
        <v>1374</v>
      </c>
      <c r="BC681" s="138">
        <v>0</v>
      </c>
      <c r="BD681" s="141">
        <v>0</v>
      </c>
      <c r="BE681" s="196"/>
      <c r="BF681" s="43"/>
      <c r="BG681" s="141"/>
      <c r="BH681" s="138"/>
      <c r="BI681" s="141"/>
      <c r="BJ681" s="138" t="s">
        <v>1824</v>
      </c>
      <c r="BK681" s="258"/>
      <c r="BL681" s="141"/>
    </row>
    <row r="682" spans="3:74" ht="15.6" x14ac:dyDescent="0.3">
      <c r="AO682" s="28"/>
      <c r="BB682" s="196" t="s">
        <v>139</v>
      </c>
      <c r="BC682" s="138">
        <v>0</v>
      </c>
      <c r="BD682" s="141">
        <v>0</v>
      </c>
      <c r="BE682" s="196"/>
      <c r="BF682" s="43"/>
      <c r="BG682" s="141"/>
      <c r="BH682" s="138"/>
      <c r="BI682" s="141"/>
      <c r="BJ682" s="138" t="s">
        <v>1866</v>
      </c>
      <c r="BK682" s="258"/>
      <c r="BL682" s="141"/>
    </row>
    <row r="683" spans="3:74" ht="15.6" x14ac:dyDescent="0.3">
      <c r="AO683" s="43"/>
      <c r="BB683" s="211" t="s">
        <v>1867</v>
      </c>
      <c r="BC683" s="212">
        <v>0</v>
      </c>
      <c r="BD683" s="209">
        <v>0</v>
      </c>
      <c r="BE683" s="196"/>
      <c r="BF683" s="28"/>
      <c r="BG683" s="141"/>
      <c r="BH683" s="138"/>
      <c r="BI683" s="141"/>
      <c r="BJ683" s="138" t="s">
        <v>1868</v>
      </c>
      <c r="BK683" s="258"/>
      <c r="BL683" s="141"/>
    </row>
    <row r="684" spans="3:74" x14ac:dyDescent="0.3">
      <c r="AO684" s="43"/>
      <c r="BB684" s="239" t="s">
        <v>862</v>
      </c>
      <c r="BC684" s="263">
        <v>0</v>
      </c>
      <c r="BD684" s="264">
        <v>0</v>
      </c>
      <c r="BE684" s="199"/>
      <c r="BF684" s="143"/>
      <c r="BG684" s="146"/>
      <c r="BH684" s="142"/>
      <c r="BI684" s="146"/>
      <c r="BJ684" s="323" t="s">
        <v>444</v>
      </c>
      <c r="BK684" s="143"/>
      <c r="BL684" s="146">
        <v>93</v>
      </c>
    </row>
    <row r="685" spans="3:74" x14ac:dyDescent="0.3">
      <c r="AO685" s="43"/>
      <c r="BB685" s="265" t="s">
        <v>84</v>
      </c>
      <c r="BC685" s="247">
        <v>117</v>
      </c>
      <c r="BD685" s="266">
        <v>180</v>
      </c>
      <c r="BE685" s="197" t="s">
        <v>84</v>
      </c>
      <c r="BF685" s="198">
        <v>9</v>
      </c>
      <c r="BG685" s="249">
        <v>0</v>
      </c>
      <c r="BH685" s="197"/>
      <c r="BI685" s="249"/>
      <c r="BJ685" s="198"/>
      <c r="BK685" s="198" t="s">
        <v>743</v>
      </c>
      <c r="BL685" s="249">
        <v>271</v>
      </c>
    </row>
    <row r="686" spans="3:74" x14ac:dyDescent="0.3">
      <c r="AO686" s="28"/>
      <c r="BB686" s="28" t="s">
        <v>223</v>
      </c>
      <c r="BC686" s="212">
        <v>5255</v>
      </c>
      <c r="BD686" s="186">
        <v>7183</v>
      </c>
      <c r="BE686" t="s">
        <v>1804</v>
      </c>
      <c r="BF686" t="s">
        <v>1869</v>
      </c>
      <c r="BG686">
        <v>7183</v>
      </c>
    </row>
    <row r="687" spans="3:74" x14ac:dyDescent="0.3">
      <c r="AO687" s="28"/>
      <c r="BB687" s="28" t="s">
        <v>1340</v>
      </c>
      <c r="BC687" s="28"/>
      <c r="BD687" s="186">
        <v>93</v>
      </c>
    </row>
    <row r="688" spans="3:74" x14ac:dyDescent="0.3">
      <c r="AO688" s="28"/>
      <c r="BB688" s="28" t="s">
        <v>229</v>
      </c>
      <c r="BC688" s="28"/>
      <c r="BD688" s="186">
        <v>2</v>
      </c>
    </row>
    <row r="689" spans="41:65" x14ac:dyDescent="0.3">
      <c r="AO689" s="28"/>
      <c r="BB689" t="s">
        <v>232</v>
      </c>
      <c r="BD689" s="178" t="s">
        <v>233</v>
      </c>
      <c r="BF689">
        <v>1792</v>
      </c>
      <c r="BH689" t="s">
        <v>234</v>
      </c>
      <c r="BJ689" t="s">
        <v>233</v>
      </c>
      <c r="BL689">
        <v>5255</v>
      </c>
    </row>
    <row r="690" spans="41:65" x14ac:dyDescent="0.3">
      <c r="AO690" s="28"/>
      <c r="BD690" t="s">
        <v>236</v>
      </c>
      <c r="BF690">
        <v>1809</v>
      </c>
      <c r="BJ690" t="s">
        <v>236</v>
      </c>
      <c r="BL690">
        <v>7183</v>
      </c>
    </row>
    <row r="691" spans="41:65" x14ac:dyDescent="0.3">
      <c r="AO691" s="28"/>
      <c r="BB691" t="s">
        <v>238</v>
      </c>
      <c r="BC691" t="s">
        <v>239</v>
      </c>
      <c r="BE691" t="s">
        <v>240</v>
      </c>
      <c r="BF691" t="s">
        <v>241</v>
      </c>
      <c r="BI691" t="s">
        <v>242</v>
      </c>
      <c r="BJ691" s="131" t="s">
        <v>243</v>
      </c>
    </row>
    <row r="692" spans="41:65" x14ac:dyDescent="0.3">
      <c r="AO692" s="28"/>
      <c r="BB692" t="s">
        <v>233</v>
      </c>
      <c r="BD692">
        <v>39888</v>
      </c>
      <c r="BE692" s="236" t="s">
        <v>233</v>
      </c>
      <c r="BG692">
        <v>2666</v>
      </c>
      <c r="BH692" t="s">
        <v>233</v>
      </c>
      <c r="BJ692">
        <v>10967</v>
      </c>
      <c r="BK692" t="s">
        <v>245</v>
      </c>
      <c r="BL692">
        <v>23405</v>
      </c>
    </row>
    <row r="693" spans="41:65" x14ac:dyDescent="0.3">
      <c r="AO693" s="28"/>
      <c r="BB693" t="s">
        <v>236</v>
      </c>
      <c r="BD693">
        <v>47587</v>
      </c>
      <c r="BE693" s="236" t="s">
        <v>236</v>
      </c>
      <c r="BG693">
        <v>8301</v>
      </c>
      <c r="BH693" t="s">
        <v>236</v>
      </c>
      <c r="BJ693">
        <v>9738</v>
      </c>
      <c r="BL693">
        <v>87475</v>
      </c>
      <c r="BM693">
        <v>110880</v>
      </c>
    </row>
    <row r="700" spans="41:65" x14ac:dyDescent="0.3">
      <c r="AX700" s="28"/>
      <c r="AY700" s="28"/>
      <c r="AZ700" s="28"/>
      <c r="BA700" s="28"/>
      <c r="BB700" s="28"/>
      <c r="BC700" s="28"/>
      <c r="BD700" s="28"/>
      <c r="BE700" s="28"/>
      <c r="BF700" s="28"/>
      <c r="BG700" s="28"/>
      <c r="BH700" s="28"/>
      <c r="BI700" s="28"/>
    </row>
    <row r="701" spans="41:65" x14ac:dyDescent="0.3">
      <c r="AX701" s="28"/>
      <c r="AY701" s="28"/>
      <c r="AZ701" s="28"/>
      <c r="BA701" s="28"/>
      <c r="BB701" s="28"/>
      <c r="BC701" s="28"/>
      <c r="BD701" s="28"/>
      <c r="BE701" s="28"/>
      <c r="BF701" s="28"/>
      <c r="BG701" s="28"/>
      <c r="BH701" s="28"/>
      <c r="BI701" s="28"/>
    </row>
    <row r="702" spans="41:65" x14ac:dyDescent="0.3"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</row>
    <row r="703" spans="41:65" x14ac:dyDescent="0.3"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</row>
    <row r="704" spans="41:65" x14ac:dyDescent="0.3">
      <c r="AX704" s="28"/>
      <c r="AY704" s="28"/>
      <c r="AZ704" s="28"/>
      <c r="BA704" s="28"/>
      <c r="BB704" s="28"/>
      <c r="BC704" s="28"/>
      <c r="BD704" s="28"/>
      <c r="BE704" s="28"/>
      <c r="BF704" s="43"/>
      <c r="BG704" s="28"/>
      <c r="BH704" s="28"/>
      <c r="BI704" s="28"/>
    </row>
    <row r="705" spans="3:64" x14ac:dyDescent="0.3">
      <c r="AX705" s="28"/>
      <c r="AY705" s="28"/>
      <c r="AZ705" s="28"/>
      <c r="BA705" s="28"/>
      <c r="BB705" s="28"/>
      <c r="BC705" s="28"/>
      <c r="BD705" s="28"/>
      <c r="BE705" s="28"/>
      <c r="BF705" s="43"/>
      <c r="BG705" s="28"/>
      <c r="BH705" s="28"/>
      <c r="BI705" s="28"/>
    </row>
    <row r="706" spans="3:64" x14ac:dyDescent="0.3">
      <c r="AX706" s="28"/>
      <c r="AY706" s="28"/>
      <c r="AZ706" s="28"/>
      <c r="BA706" s="28"/>
      <c r="BB706" s="28"/>
      <c r="BC706" s="28"/>
      <c r="BD706" s="28"/>
      <c r="BE706" s="28"/>
      <c r="BF706" s="28"/>
      <c r="BG706" s="28"/>
      <c r="BH706" s="28"/>
      <c r="BI706" s="28"/>
    </row>
    <row r="707" spans="3:64" x14ac:dyDescent="0.3">
      <c r="AX707" s="28"/>
      <c r="AY707" s="28"/>
      <c r="AZ707" s="28"/>
      <c r="BA707" s="28"/>
      <c r="BB707" s="28"/>
      <c r="BC707" s="28"/>
      <c r="BD707" s="28"/>
      <c r="BE707" s="28"/>
      <c r="BF707" s="43"/>
      <c r="BG707" s="43"/>
      <c r="BH707" s="28"/>
      <c r="BI707" s="28"/>
    </row>
    <row r="708" spans="3:64" x14ac:dyDescent="0.3">
      <c r="AX708" s="43"/>
      <c r="AY708" s="43"/>
      <c r="AZ708" s="43"/>
      <c r="BA708" s="28"/>
      <c r="BB708" s="28"/>
      <c r="BC708" s="28"/>
      <c r="BD708" s="28"/>
      <c r="BE708" s="28"/>
      <c r="BF708" s="28"/>
      <c r="BG708" s="43"/>
      <c r="BH708" s="28"/>
      <c r="BI708" s="28"/>
    </row>
    <row r="709" spans="3:64" x14ac:dyDescent="0.3">
      <c r="O709" s="43"/>
      <c r="P709" s="43"/>
      <c r="Q709" s="43"/>
      <c r="R709" s="28"/>
      <c r="S709" s="28"/>
      <c r="T709" s="28"/>
      <c r="U709" s="28"/>
      <c r="V709" s="28"/>
      <c r="W709" s="28"/>
      <c r="X709" s="28"/>
      <c r="Y709" s="28"/>
      <c r="Z709" s="28"/>
      <c r="AX709" s="28"/>
      <c r="AY709" s="28"/>
      <c r="AZ709" s="28"/>
      <c r="BA709" s="28"/>
      <c r="BB709" s="28"/>
      <c r="BC709" s="28"/>
      <c r="BD709" s="28"/>
      <c r="BE709" s="28"/>
      <c r="BF709" s="43"/>
      <c r="BG709" s="28"/>
      <c r="BH709" s="28"/>
      <c r="BI709" s="28"/>
    </row>
    <row r="710" spans="3:64" x14ac:dyDescent="0.3"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X710" s="43"/>
      <c r="AY710" s="43"/>
      <c r="AZ710" s="43"/>
      <c r="BA710" s="28"/>
      <c r="BB710" s="28"/>
      <c r="BC710" s="28"/>
      <c r="BD710" s="28"/>
      <c r="BE710" s="28"/>
      <c r="BF710" s="28"/>
      <c r="BG710" s="43"/>
      <c r="BH710" s="28"/>
      <c r="BI710" s="28"/>
    </row>
    <row r="711" spans="3:64" x14ac:dyDescent="0.3"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X711" s="43"/>
      <c r="AY711" s="43"/>
      <c r="AZ711" s="43"/>
      <c r="BA711" s="28"/>
      <c r="BB711" s="28"/>
      <c r="BC711" s="28"/>
      <c r="BD711" s="28"/>
      <c r="BE711" s="28"/>
      <c r="BF711" s="28"/>
      <c r="BG711" s="43"/>
      <c r="BH711" s="28"/>
      <c r="BI711" s="28"/>
    </row>
    <row r="712" spans="3:64" x14ac:dyDescent="0.3">
      <c r="E712" t="s">
        <v>0</v>
      </c>
      <c r="S712" t="s">
        <v>1</v>
      </c>
      <c r="Y712" s="28"/>
      <c r="Z712" s="28"/>
      <c r="AE712" t="s">
        <v>0</v>
      </c>
      <c r="AR712" t="s">
        <v>4</v>
      </c>
      <c r="AY712" s="43"/>
      <c r="AZ712" s="43"/>
      <c r="BE712" t="s">
        <v>5</v>
      </c>
      <c r="BH712" s="28"/>
      <c r="BI712" s="28"/>
      <c r="BJ712" s="28"/>
      <c r="BK712" s="28"/>
      <c r="BL712" s="28"/>
    </row>
    <row r="713" spans="3:64" x14ac:dyDescent="0.3">
      <c r="F713" t="s">
        <v>2</v>
      </c>
      <c r="S713" s="408" t="s">
        <v>1286</v>
      </c>
      <c r="T713" s="408"/>
      <c r="U713" s="408"/>
      <c r="Y713" s="28"/>
      <c r="Z713" s="28"/>
      <c r="AE713" t="s">
        <v>9</v>
      </c>
      <c r="AS713" t="s">
        <v>2</v>
      </c>
      <c r="AY713" s="43"/>
      <c r="AZ713" s="43"/>
      <c r="BF713" t="s">
        <v>2</v>
      </c>
      <c r="BH713" s="28"/>
      <c r="BI713" s="28"/>
      <c r="BJ713" s="28"/>
      <c r="BK713" s="28"/>
      <c r="BL713" s="28"/>
    </row>
    <row r="714" spans="3:64" x14ac:dyDescent="0.3">
      <c r="C714" t="s">
        <v>6</v>
      </c>
      <c r="E714" t="s">
        <v>7</v>
      </c>
      <c r="R714" t="s">
        <v>8</v>
      </c>
      <c r="Y714" s="28"/>
      <c r="Z714" s="28"/>
      <c r="AE714" t="s">
        <v>11</v>
      </c>
      <c r="AQ714" t="s">
        <v>12</v>
      </c>
      <c r="AY714" s="28"/>
      <c r="AZ714" s="28"/>
      <c r="BD714" t="s">
        <v>13</v>
      </c>
      <c r="BH714" s="28"/>
      <c r="BI714" s="28"/>
      <c r="BJ714" s="28"/>
      <c r="BK714" s="28"/>
      <c r="BL714" s="28"/>
    </row>
    <row r="715" spans="3:64" x14ac:dyDescent="0.3">
      <c r="E715" t="s">
        <v>1870</v>
      </c>
      <c r="R715" s="408" t="s">
        <v>1871</v>
      </c>
      <c r="S715" s="408"/>
      <c r="T715" s="408"/>
      <c r="U715" s="408"/>
      <c r="Y715" s="28"/>
      <c r="Z715" s="28"/>
      <c r="AE715" s="237" t="s">
        <v>1745</v>
      </c>
      <c r="AF715" s="237"/>
      <c r="AG715" s="237"/>
      <c r="AH715" s="237"/>
      <c r="AS715" t="s">
        <v>1745</v>
      </c>
      <c r="AY715" s="28"/>
      <c r="AZ715" s="28"/>
      <c r="BE715" t="s">
        <v>1745</v>
      </c>
      <c r="BH715" s="28"/>
      <c r="BI715" s="28"/>
      <c r="BJ715" s="238" t="s">
        <v>950</v>
      </c>
      <c r="BK715" s="28"/>
      <c r="BL715" s="28"/>
    </row>
    <row r="716" spans="3:64" x14ac:dyDescent="0.3">
      <c r="K716" s="194" t="s">
        <v>949</v>
      </c>
      <c r="X716" t="s">
        <v>15</v>
      </c>
      <c r="Y716" s="28"/>
      <c r="Z716" s="28"/>
      <c r="AK716" s="28" t="s">
        <v>25</v>
      </c>
      <c r="AW716" s="194" t="s">
        <v>951</v>
      </c>
      <c r="AY716" s="28"/>
      <c r="AZ716" s="28"/>
      <c r="BA716" s="195" t="s">
        <v>17</v>
      </c>
      <c r="BB716" s="134" t="s">
        <v>27</v>
      </c>
      <c r="BC716" s="135"/>
      <c r="BD716" s="134" t="s">
        <v>28</v>
      </c>
      <c r="BE716" s="135"/>
      <c r="BF716" s="136"/>
      <c r="BG716" s="134" t="s">
        <v>1289</v>
      </c>
      <c r="BH716" s="136"/>
      <c r="BI716" s="135" t="s">
        <v>31</v>
      </c>
      <c r="BJ716" s="135"/>
      <c r="BK716" s="136"/>
      <c r="BL716" s="28"/>
    </row>
    <row r="717" spans="3:64" x14ac:dyDescent="0.3">
      <c r="C717" s="134" t="s">
        <v>17</v>
      </c>
      <c r="D717" s="134" t="s">
        <v>18</v>
      </c>
      <c r="E717" s="136"/>
      <c r="F717" s="135" t="s">
        <v>19</v>
      </c>
      <c r="G717" s="135"/>
      <c r="H717" s="135"/>
      <c r="I717" s="195" t="s">
        <v>20</v>
      </c>
      <c r="J717" s="135" t="s">
        <v>21</v>
      </c>
      <c r="K717" s="135"/>
      <c r="L717" s="136"/>
      <c r="O717" s="134" t="s">
        <v>17</v>
      </c>
      <c r="P717" s="135" t="s">
        <v>22</v>
      </c>
      <c r="Q717" s="135"/>
      <c r="R717" s="135" t="s">
        <v>23</v>
      </c>
      <c r="S717" s="135"/>
      <c r="T717" s="135"/>
      <c r="U717" s="135" t="s">
        <v>24</v>
      </c>
      <c r="V717" s="135"/>
      <c r="W717" s="135" t="s">
        <v>21</v>
      </c>
      <c r="X717" s="136"/>
      <c r="Y717" s="28"/>
      <c r="Z717" s="28"/>
      <c r="AA717" s="134" t="s">
        <v>34</v>
      </c>
      <c r="AB717" s="134" t="s">
        <v>35</v>
      </c>
      <c r="AC717" s="136"/>
      <c r="AD717" s="135" t="s">
        <v>36</v>
      </c>
      <c r="AE717" s="135"/>
      <c r="AF717" s="135"/>
      <c r="AG717" s="134" t="s">
        <v>37</v>
      </c>
      <c r="AH717" s="136" t="s">
        <v>1288</v>
      </c>
      <c r="AI717" s="135" t="s">
        <v>30</v>
      </c>
      <c r="AJ717" s="134" t="s">
        <v>38</v>
      </c>
      <c r="AK717" s="135"/>
      <c r="AL717" s="136"/>
      <c r="AO717" s="134" t="s">
        <v>17</v>
      </c>
      <c r="AP717" s="134" t="s">
        <v>39</v>
      </c>
      <c r="AQ717" s="136"/>
      <c r="AR717" s="134" t="s">
        <v>29</v>
      </c>
      <c r="AS717" s="136" t="s">
        <v>30</v>
      </c>
      <c r="AT717" s="135" t="s">
        <v>40</v>
      </c>
      <c r="AU717" s="135"/>
      <c r="AV717" s="135"/>
      <c r="AW717" s="135"/>
      <c r="AX717" s="136"/>
      <c r="AY717" s="28"/>
      <c r="AZ717" s="28"/>
      <c r="BA717" s="196"/>
      <c r="BB717" s="138"/>
      <c r="BC717" s="28"/>
      <c r="BD717" s="138"/>
      <c r="BE717" s="28"/>
      <c r="BF717" s="141"/>
      <c r="BG717" s="138"/>
      <c r="BH717" s="141"/>
      <c r="BI717" s="28" t="s">
        <v>41</v>
      </c>
      <c r="BJ717" s="28"/>
      <c r="BK717" s="141"/>
      <c r="BL717" s="28"/>
    </row>
    <row r="718" spans="3:64" ht="15" thickBot="1" x14ac:dyDescent="0.35">
      <c r="C718" s="138" t="s">
        <v>32</v>
      </c>
      <c r="D718" s="138"/>
      <c r="E718" s="141"/>
      <c r="F718" s="28"/>
      <c r="G718" s="28"/>
      <c r="H718" s="28"/>
      <c r="I718" s="196"/>
      <c r="J718" s="28" t="s">
        <v>33</v>
      </c>
      <c r="K718" s="28"/>
      <c r="L718" s="141"/>
      <c r="O718" s="138"/>
      <c r="P718" s="28"/>
      <c r="Q718" s="28"/>
      <c r="R718" s="28"/>
      <c r="S718" s="28"/>
      <c r="T718" s="28"/>
      <c r="U718" s="28"/>
      <c r="V718" s="28"/>
      <c r="W718" s="28" t="s">
        <v>33</v>
      </c>
      <c r="X718" s="141"/>
      <c r="Y718" s="28"/>
      <c r="Z718" s="28"/>
      <c r="AA718" s="138" t="s">
        <v>50</v>
      </c>
      <c r="AB718" s="138" t="s">
        <v>43</v>
      </c>
      <c r="AC718" s="141" t="s">
        <v>44</v>
      </c>
      <c r="AD718" s="28" t="s">
        <v>45</v>
      </c>
      <c r="AE718" s="28" t="s">
        <v>46</v>
      </c>
      <c r="AF718" s="28" t="s">
        <v>52</v>
      </c>
      <c r="AG718" s="138" t="s">
        <v>43</v>
      </c>
      <c r="AH718" s="141" t="s">
        <v>44</v>
      </c>
      <c r="AI718" s="28" t="s">
        <v>43</v>
      </c>
      <c r="AJ718" s="138" t="s">
        <v>53</v>
      </c>
      <c r="AK718" s="28"/>
      <c r="AL718" s="141"/>
      <c r="AO718" s="138" t="s">
        <v>42</v>
      </c>
      <c r="AP718" s="138" t="s">
        <v>43</v>
      </c>
      <c r="AQ718" s="141" t="s">
        <v>44</v>
      </c>
      <c r="AR718" s="138" t="s">
        <v>43</v>
      </c>
      <c r="AS718" s="141" t="s">
        <v>44</v>
      </c>
      <c r="AT718" s="28"/>
      <c r="AU718" s="28"/>
      <c r="AV718" s="28"/>
      <c r="AW718" s="28"/>
      <c r="AX718" s="141"/>
      <c r="AY718" s="28"/>
      <c r="AZ718" s="28"/>
      <c r="BA718" s="199" t="s">
        <v>42</v>
      </c>
      <c r="BB718" s="142" t="s">
        <v>43</v>
      </c>
      <c r="BC718" s="143" t="s">
        <v>44</v>
      </c>
      <c r="BD718" s="142" t="s">
        <v>45</v>
      </c>
      <c r="BE718" s="143" t="s">
        <v>46</v>
      </c>
      <c r="BF718" s="146" t="s">
        <v>52</v>
      </c>
      <c r="BG718" s="142" t="s">
        <v>43</v>
      </c>
      <c r="BH718" s="146"/>
      <c r="BI718" s="143" t="s">
        <v>54</v>
      </c>
      <c r="BJ718" s="143"/>
      <c r="BK718" s="146"/>
      <c r="BL718" s="28"/>
    </row>
    <row r="719" spans="3:64" x14ac:dyDescent="0.3">
      <c r="C719" s="142" t="s">
        <v>42</v>
      </c>
      <c r="D719" s="142" t="s">
        <v>43</v>
      </c>
      <c r="E719" s="143" t="s">
        <v>44</v>
      </c>
      <c r="F719" s="197" t="s">
        <v>45</v>
      </c>
      <c r="G719" s="198" t="s">
        <v>46</v>
      </c>
      <c r="H719" s="198" t="s">
        <v>47</v>
      </c>
      <c r="I719" s="199" t="s">
        <v>48</v>
      </c>
      <c r="J719" s="143" t="s">
        <v>49</v>
      </c>
      <c r="K719" s="143"/>
      <c r="L719" s="146"/>
      <c r="O719" s="142" t="s">
        <v>50</v>
      </c>
      <c r="P719" s="143" t="s">
        <v>43</v>
      </c>
      <c r="Q719" s="143" t="s">
        <v>44</v>
      </c>
      <c r="R719" s="143" t="s">
        <v>43</v>
      </c>
      <c r="S719" s="143" t="s">
        <v>51</v>
      </c>
      <c r="T719" s="143" t="s">
        <v>44</v>
      </c>
      <c r="U719" s="143" t="s">
        <v>43</v>
      </c>
      <c r="V719" s="143" t="s">
        <v>44</v>
      </c>
      <c r="W719" s="143" t="s">
        <v>49</v>
      </c>
      <c r="X719" s="146"/>
      <c r="Y719" s="28"/>
      <c r="Z719" s="28"/>
      <c r="AA719" s="33"/>
      <c r="AB719" s="33"/>
      <c r="AC719" s="35"/>
      <c r="AD719" s="34"/>
      <c r="AE719" s="34"/>
      <c r="AF719" s="34"/>
      <c r="AG719" s="33"/>
      <c r="AH719" s="35"/>
      <c r="AI719" s="32"/>
      <c r="AJ719" s="33" t="s">
        <v>62</v>
      </c>
      <c r="AK719" s="34"/>
      <c r="AL719" s="35"/>
      <c r="AO719" s="134"/>
      <c r="AP719" s="134"/>
      <c r="AQ719" s="136"/>
      <c r="AR719" s="134"/>
      <c r="AS719" s="136"/>
      <c r="AT719" s="135"/>
      <c r="AU719" s="135" t="s">
        <v>91</v>
      </c>
      <c r="AV719" s="135"/>
      <c r="AW719" s="135"/>
      <c r="AX719" s="136"/>
      <c r="AY719" s="28"/>
      <c r="AZ719" s="28"/>
      <c r="BA719" s="195"/>
      <c r="BB719" s="134"/>
      <c r="BC719" s="136"/>
      <c r="BD719" s="134"/>
      <c r="BE719" s="135"/>
      <c r="BF719" s="136"/>
      <c r="BG719" s="134"/>
      <c r="BH719" s="136"/>
      <c r="BI719" s="134" t="s">
        <v>58</v>
      </c>
      <c r="BJ719" s="135"/>
      <c r="BK719" s="136"/>
    </row>
    <row r="720" spans="3:64" x14ac:dyDescent="0.3">
      <c r="C720" s="134"/>
      <c r="D720" s="134"/>
      <c r="E720" s="135"/>
      <c r="F720" s="134"/>
      <c r="G720" s="135"/>
      <c r="H720" s="135"/>
      <c r="I720" s="195"/>
      <c r="J720" s="135" t="s">
        <v>396</v>
      </c>
      <c r="K720" s="135"/>
      <c r="L720" s="136"/>
      <c r="O720" s="134"/>
      <c r="P720" s="134"/>
      <c r="Q720" s="195"/>
      <c r="R720" s="134"/>
      <c r="S720" s="195"/>
      <c r="T720" s="136"/>
      <c r="U720" s="134"/>
      <c r="V720" s="195"/>
      <c r="W720" s="134" t="s">
        <v>396</v>
      </c>
      <c r="X720" s="136"/>
      <c r="Y720" s="28"/>
      <c r="Z720" s="28"/>
      <c r="AA720" s="42"/>
      <c r="AB720" s="42"/>
      <c r="AC720" s="40"/>
      <c r="AD720" s="28"/>
      <c r="AE720" s="28"/>
      <c r="AF720" s="28"/>
      <c r="AG720" s="42"/>
      <c r="AH720" s="40"/>
      <c r="AI720" s="41"/>
      <c r="AJ720" s="42">
        <v>0</v>
      </c>
      <c r="AK720" s="28" t="s">
        <v>1290</v>
      </c>
      <c r="AL720" s="40"/>
      <c r="AO720" s="138"/>
      <c r="AP720" s="138"/>
      <c r="AQ720" s="141"/>
      <c r="AR720" s="138"/>
      <c r="AS720" s="141"/>
      <c r="AT720" s="28"/>
      <c r="AU720" s="28">
        <v>18</v>
      </c>
      <c r="AV720" s="28" t="s">
        <v>1026</v>
      </c>
      <c r="AW720" s="28"/>
      <c r="AX720" s="141"/>
      <c r="AY720" s="28"/>
      <c r="AZ720" s="28"/>
      <c r="BA720" s="196" t="s">
        <v>56</v>
      </c>
      <c r="BB720" s="138">
        <v>21</v>
      </c>
      <c r="BC720" s="141">
        <v>0</v>
      </c>
      <c r="BD720" s="138">
        <v>0</v>
      </c>
      <c r="BE720" s="43">
        <v>0</v>
      </c>
      <c r="BF720" s="209">
        <v>0</v>
      </c>
      <c r="BG720" s="138">
        <v>0</v>
      </c>
      <c r="BH720" s="141">
        <v>0</v>
      </c>
      <c r="BI720" s="212">
        <v>20</v>
      </c>
      <c r="BJ720" s="28" t="s">
        <v>474</v>
      </c>
      <c r="BK720" s="141" t="s">
        <v>1746</v>
      </c>
    </row>
    <row r="721" spans="3:64" x14ac:dyDescent="0.3">
      <c r="C721" s="138" t="s">
        <v>59</v>
      </c>
      <c r="D721" s="138">
        <v>1365</v>
      </c>
      <c r="E721" s="28">
        <v>1200</v>
      </c>
      <c r="F721" s="138"/>
      <c r="G721" s="28" t="s">
        <v>1291</v>
      </c>
      <c r="H721" s="28"/>
      <c r="I721" s="196">
        <v>1424</v>
      </c>
      <c r="J721" s="28">
        <v>4</v>
      </c>
      <c r="K721" s="28" t="s">
        <v>61</v>
      </c>
      <c r="L721" s="141"/>
      <c r="O721" s="138" t="s">
        <v>59</v>
      </c>
      <c r="P721" s="138">
        <v>7620</v>
      </c>
      <c r="Q721" s="196">
        <v>20595</v>
      </c>
      <c r="R721" s="138">
        <v>0</v>
      </c>
      <c r="S721" s="196">
        <v>0</v>
      </c>
      <c r="T721" s="141">
        <v>0</v>
      </c>
      <c r="U721" s="138">
        <v>0</v>
      </c>
      <c r="V721" s="196">
        <v>0</v>
      </c>
      <c r="W721" s="138"/>
      <c r="X721" s="141"/>
      <c r="Y721" s="28"/>
      <c r="Z721" s="28"/>
      <c r="AA721" s="42" t="s">
        <v>59</v>
      </c>
      <c r="AB721" s="42">
        <v>1590</v>
      </c>
      <c r="AC721" s="40">
        <v>1360</v>
      </c>
      <c r="AD721" s="28">
        <v>0</v>
      </c>
      <c r="AE721" s="28">
        <v>0</v>
      </c>
      <c r="AF721" s="28">
        <v>0</v>
      </c>
      <c r="AG721" s="42">
        <v>0</v>
      </c>
      <c r="AH721" s="40">
        <v>0</v>
      </c>
      <c r="AI721" s="41">
        <v>0</v>
      </c>
      <c r="AJ721" s="42">
        <v>5</v>
      </c>
      <c r="AK721" s="28" t="s">
        <v>66</v>
      </c>
      <c r="AL721" s="40"/>
      <c r="AO721" s="138" t="s">
        <v>56</v>
      </c>
      <c r="AP721" s="138">
        <v>1178</v>
      </c>
      <c r="AQ721" s="141">
        <v>1395</v>
      </c>
      <c r="AR721" s="138">
        <v>0</v>
      </c>
      <c r="AS721" s="141">
        <v>0</v>
      </c>
      <c r="AT721" s="28"/>
      <c r="AU721" s="43">
        <v>68</v>
      </c>
      <c r="AV721" s="28" t="s">
        <v>1292</v>
      </c>
      <c r="AW721" s="43"/>
      <c r="AX721" s="141"/>
      <c r="AY721" s="28"/>
      <c r="AZ721" s="28"/>
      <c r="BA721" s="196" t="s">
        <v>64</v>
      </c>
      <c r="BB721" s="138">
        <v>108</v>
      </c>
      <c r="BC721" s="141">
        <v>128</v>
      </c>
      <c r="BD721" s="138">
        <v>0</v>
      </c>
      <c r="BE721" s="43">
        <v>0</v>
      </c>
      <c r="BF721" s="209">
        <v>0</v>
      </c>
      <c r="BG721" s="138">
        <v>0</v>
      </c>
      <c r="BH721" s="141">
        <v>0</v>
      </c>
      <c r="BI721" s="138">
        <v>5</v>
      </c>
      <c r="BJ721" s="28" t="s">
        <v>69</v>
      </c>
      <c r="BK721" s="141"/>
    </row>
    <row r="722" spans="3:64" ht="15" thickBot="1" x14ac:dyDescent="0.35">
      <c r="C722" s="138" t="s">
        <v>6</v>
      </c>
      <c r="D722" s="138"/>
      <c r="E722" s="28"/>
      <c r="F722" s="138"/>
      <c r="G722" s="28"/>
      <c r="H722" s="28"/>
      <c r="I722" s="196"/>
      <c r="J722" s="28">
        <v>0</v>
      </c>
      <c r="K722" s="28" t="s">
        <v>528</v>
      </c>
      <c r="L722" s="141">
        <v>4</v>
      </c>
      <c r="O722" s="142"/>
      <c r="P722" s="142"/>
      <c r="Q722" s="199"/>
      <c r="R722" s="142"/>
      <c r="S722" s="199"/>
      <c r="T722" s="146"/>
      <c r="U722" s="142"/>
      <c r="V722" s="199"/>
      <c r="W722" s="142"/>
      <c r="X722" s="146"/>
      <c r="Y722" s="28"/>
      <c r="Z722" s="28"/>
      <c r="AA722" s="42"/>
      <c r="AB722" s="42"/>
      <c r="AC722" s="40"/>
      <c r="AD722" s="28"/>
      <c r="AE722" s="28"/>
      <c r="AF722" s="28"/>
      <c r="AG722" s="42"/>
      <c r="AH722" s="40"/>
      <c r="AI722" s="41"/>
      <c r="AJ722" s="47">
        <v>0</v>
      </c>
      <c r="AK722" s="48" t="s">
        <v>436</v>
      </c>
      <c r="AL722" s="49">
        <v>5</v>
      </c>
      <c r="AO722" s="142" t="s">
        <v>6</v>
      </c>
      <c r="AP722" s="142"/>
      <c r="AQ722" s="146"/>
      <c r="AR722" s="142"/>
      <c r="AS722" s="146"/>
      <c r="AT722" s="143"/>
      <c r="AU722" s="143">
        <v>1</v>
      </c>
      <c r="AV722" s="143" t="s">
        <v>1747</v>
      </c>
      <c r="AW722" s="143"/>
      <c r="AX722" s="146">
        <v>87</v>
      </c>
      <c r="AY722" s="28"/>
      <c r="AZ722" s="28"/>
      <c r="BA722" s="239" t="s">
        <v>84</v>
      </c>
      <c r="BB722" s="142">
        <f>SUM(BB720:BB721)</f>
        <v>129</v>
      </c>
      <c r="BC722" s="146">
        <v>128</v>
      </c>
      <c r="BD722" s="142">
        <v>0</v>
      </c>
      <c r="BE722" s="143">
        <v>0</v>
      </c>
      <c r="BF722" s="146">
        <v>0</v>
      </c>
      <c r="BG722" s="142">
        <v>0</v>
      </c>
      <c r="BH722" s="146">
        <v>0</v>
      </c>
      <c r="BI722" s="142"/>
      <c r="BJ722" s="143"/>
      <c r="BK722" s="146">
        <v>26</v>
      </c>
      <c r="BL722" s="28"/>
    </row>
    <row r="723" spans="3:64" x14ac:dyDescent="0.3">
      <c r="C723" s="134"/>
      <c r="D723" s="134"/>
      <c r="E723" s="135"/>
      <c r="F723" s="134"/>
      <c r="G723" s="135"/>
      <c r="H723" s="135"/>
      <c r="I723" s="195"/>
      <c r="J723" s="135" t="s">
        <v>70</v>
      </c>
      <c r="K723" s="135"/>
      <c r="L723" s="136"/>
      <c r="O723" s="134"/>
      <c r="P723" s="134"/>
      <c r="Q723" s="195"/>
      <c r="R723" s="134"/>
      <c r="S723" s="195"/>
      <c r="T723" s="136"/>
      <c r="U723" s="134"/>
      <c r="V723" s="195"/>
      <c r="W723" s="134"/>
      <c r="X723" s="136"/>
      <c r="Y723" s="28"/>
      <c r="Z723" s="28"/>
      <c r="AA723" s="32" t="s">
        <v>174</v>
      </c>
      <c r="AB723" s="33">
        <v>1</v>
      </c>
      <c r="AC723" s="35"/>
      <c r="AD723" s="33"/>
      <c r="AE723" s="34"/>
      <c r="AF723" s="35"/>
      <c r="AG723" s="33"/>
      <c r="AH723" s="35"/>
      <c r="AI723" s="32"/>
      <c r="AJ723" s="33" t="s">
        <v>952</v>
      </c>
      <c r="AK723" s="34"/>
      <c r="AL723" s="35"/>
      <c r="AO723" s="134"/>
      <c r="AP723" s="134"/>
      <c r="AQ723" s="136"/>
      <c r="AR723" s="134"/>
      <c r="AS723" s="136"/>
      <c r="AT723" s="135"/>
      <c r="AU723" s="135"/>
      <c r="AV723" s="135"/>
      <c r="AW723" s="135"/>
      <c r="AX723" s="136"/>
      <c r="AY723" s="28"/>
      <c r="AZ723" s="28"/>
      <c r="BA723" s="196" t="s">
        <v>1247</v>
      </c>
      <c r="BB723" s="134">
        <v>2430</v>
      </c>
      <c r="BC723" s="136">
        <v>1818</v>
      </c>
      <c r="BD723" s="212">
        <v>0</v>
      </c>
      <c r="BE723" s="43">
        <v>0</v>
      </c>
      <c r="BF723" s="209">
        <v>0</v>
      </c>
      <c r="BG723" s="134">
        <v>2430</v>
      </c>
      <c r="BH723" s="136">
        <v>1818</v>
      </c>
      <c r="BI723" s="134"/>
      <c r="BJ723" s="135" t="s">
        <v>92</v>
      </c>
      <c r="BK723" s="136"/>
    </row>
    <row r="724" spans="3:64" x14ac:dyDescent="0.3">
      <c r="C724" s="138" t="s">
        <v>74</v>
      </c>
      <c r="D724" s="138">
        <v>922</v>
      </c>
      <c r="E724" s="28">
        <v>2781</v>
      </c>
      <c r="F724" s="138"/>
      <c r="G724" s="28" t="s">
        <v>1291</v>
      </c>
      <c r="H724" s="28"/>
      <c r="I724" s="196">
        <v>3025</v>
      </c>
      <c r="J724" s="28">
        <v>0</v>
      </c>
      <c r="K724" s="28" t="s">
        <v>75</v>
      </c>
      <c r="L724" s="141"/>
      <c r="O724" s="138"/>
      <c r="P724" s="138"/>
      <c r="Q724" s="196"/>
      <c r="R724" s="138"/>
      <c r="S724" s="196"/>
      <c r="T724" s="141"/>
      <c r="U724" s="138"/>
      <c r="V724" s="196"/>
      <c r="W724" s="138" t="s">
        <v>80</v>
      </c>
      <c r="X724" s="141"/>
      <c r="Y724" s="28"/>
      <c r="Z724" s="28"/>
      <c r="AA724" s="41" t="s">
        <v>88</v>
      </c>
      <c r="AB724" s="42">
        <v>0</v>
      </c>
      <c r="AC724" s="40">
        <v>1</v>
      </c>
      <c r="AD724" s="42"/>
      <c r="AE724" s="28"/>
      <c r="AF724" s="40"/>
      <c r="AG724" s="42"/>
      <c r="AH724" s="40"/>
      <c r="AI724" s="41"/>
      <c r="AJ724" s="67">
        <v>2</v>
      </c>
      <c r="AK724" s="43" t="s">
        <v>1296</v>
      </c>
      <c r="AL724" s="40" t="s">
        <v>842</v>
      </c>
      <c r="AO724" s="138" t="s">
        <v>72</v>
      </c>
      <c r="AP724" s="138">
        <v>13</v>
      </c>
      <c r="AQ724" s="141">
        <v>4</v>
      </c>
      <c r="AR724" s="138">
        <v>0</v>
      </c>
      <c r="AS724" s="141">
        <v>0</v>
      </c>
      <c r="AT724" s="28"/>
      <c r="AU724" s="28" t="s">
        <v>110</v>
      </c>
      <c r="AV724" s="28" t="s">
        <v>111</v>
      </c>
      <c r="AW724" s="28" t="s">
        <v>112</v>
      </c>
      <c r="AX724" s="141"/>
      <c r="AY724" s="28"/>
      <c r="AZ724" s="28"/>
      <c r="BA724" s="196" t="s">
        <v>99</v>
      </c>
      <c r="BB724" s="138">
        <v>0</v>
      </c>
      <c r="BC724" s="141">
        <v>0</v>
      </c>
      <c r="BD724" s="28">
        <v>0</v>
      </c>
      <c r="BE724" s="28">
        <v>0</v>
      </c>
      <c r="BF724" s="28">
        <v>0</v>
      </c>
      <c r="BG724" s="138">
        <v>79731</v>
      </c>
      <c r="BH724" s="141">
        <v>17271</v>
      </c>
      <c r="BI724" s="212">
        <v>29</v>
      </c>
      <c r="BJ724" s="28" t="s">
        <v>1297</v>
      </c>
      <c r="BK724" s="141"/>
    </row>
    <row r="725" spans="3:64" ht="15" thickBot="1" x14ac:dyDescent="0.35">
      <c r="C725" s="138"/>
      <c r="D725" s="138"/>
      <c r="E725" s="28"/>
      <c r="F725" s="138"/>
      <c r="G725" s="28"/>
      <c r="H725" s="28"/>
      <c r="I725" s="196"/>
      <c r="J725" s="28">
        <v>0</v>
      </c>
      <c r="K725" s="28" t="s">
        <v>79</v>
      </c>
      <c r="L725" s="141"/>
      <c r="O725" s="138" t="s">
        <v>74</v>
      </c>
      <c r="P725" s="138">
        <v>12930</v>
      </c>
      <c r="Q725" s="196">
        <v>49</v>
      </c>
      <c r="R725" s="138">
        <v>0</v>
      </c>
      <c r="S725" s="196">
        <v>0</v>
      </c>
      <c r="T725" s="141">
        <v>0</v>
      </c>
      <c r="U725" s="138">
        <v>5</v>
      </c>
      <c r="V725" s="196">
        <v>14</v>
      </c>
      <c r="W725" s="138"/>
      <c r="X725" s="141"/>
      <c r="Y725" s="28"/>
      <c r="Z725" s="28"/>
      <c r="AA725" s="46" t="s">
        <v>76</v>
      </c>
      <c r="AB725" s="47">
        <v>114</v>
      </c>
      <c r="AC725" s="49">
        <v>0</v>
      </c>
      <c r="AD725" s="47">
        <v>0</v>
      </c>
      <c r="AE725" s="48">
        <v>0</v>
      </c>
      <c r="AF725" s="73">
        <v>0</v>
      </c>
      <c r="AG725" s="72">
        <v>0</v>
      </c>
      <c r="AH725" s="73">
        <v>0</v>
      </c>
      <c r="AI725" s="62">
        <v>0</v>
      </c>
      <c r="AJ725" s="72">
        <v>1</v>
      </c>
      <c r="AK725" s="51" t="s">
        <v>134</v>
      </c>
      <c r="AL725" s="49">
        <v>4</v>
      </c>
      <c r="AO725" s="138" t="s">
        <v>78</v>
      </c>
      <c r="AP725" s="138">
        <v>16</v>
      </c>
      <c r="AQ725" s="141">
        <v>15</v>
      </c>
      <c r="AR725" s="138">
        <v>0</v>
      </c>
      <c r="AS725" s="141">
        <v>0</v>
      </c>
      <c r="AT725" s="43"/>
      <c r="AU725" s="28"/>
      <c r="AV725" s="28"/>
      <c r="AW725" s="28"/>
      <c r="AX725" s="141"/>
      <c r="AY725" s="28"/>
      <c r="AZ725" s="28"/>
      <c r="BA725" s="211" t="s">
        <v>64</v>
      </c>
      <c r="BB725" s="138">
        <v>0</v>
      </c>
      <c r="BC725" s="141">
        <v>0</v>
      </c>
      <c r="BD725" s="43">
        <v>0</v>
      </c>
      <c r="BE725" s="43">
        <v>0</v>
      </c>
      <c r="BF725" s="43">
        <v>0</v>
      </c>
      <c r="BG725" s="138">
        <v>2100</v>
      </c>
      <c r="BH725" s="141">
        <v>0</v>
      </c>
      <c r="BI725" s="212"/>
      <c r="BJ725" s="28"/>
      <c r="BK725" s="141"/>
      <c r="BL725" s="28"/>
    </row>
    <row r="726" spans="3:64" x14ac:dyDescent="0.3">
      <c r="C726" s="142"/>
      <c r="D726" s="142"/>
      <c r="E726" s="143"/>
      <c r="F726" s="142"/>
      <c r="G726" s="143"/>
      <c r="H726" s="143"/>
      <c r="I726" s="199"/>
      <c r="J726" s="143">
        <v>18</v>
      </c>
      <c r="K726" s="143" t="s">
        <v>83</v>
      </c>
      <c r="L726" s="146">
        <v>18</v>
      </c>
      <c r="O726" s="142"/>
      <c r="P726" s="142"/>
      <c r="Q726" s="199"/>
      <c r="R726" s="142"/>
      <c r="S726" s="199"/>
      <c r="T726" s="146"/>
      <c r="U726" s="142"/>
      <c r="V726" s="199"/>
      <c r="W726" s="142"/>
      <c r="X726" s="146"/>
      <c r="Y726" s="28"/>
      <c r="Z726" s="28"/>
      <c r="AA726" s="32"/>
      <c r="AB726" s="34"/>
      <c r="AC726" s="34"/>
      <c r="AD726" s="33"/>
      <c r="AE726" s="34"/>
      <c r="AF726" s="35"/>
      <c r="AG726" s="34"/>
      <c r="AH726" s="34"/>
      <c r="AI726" s="32"/>
      <c r="AJ726" s="33" t="s">
        <v>1298</v>
      </c>
      <c r="AK726" s="34"/>
      <c r="AL726" s="35"/>
      <c r="AO726" s="138" t="s">
        <v>67</v>
      </c>
      <c r="AP726" s="138">
        <v>49</v>
      </c>
      <c r="AQ726" s="141">
        <v>51</v>
      </c>
      <c r="AR726" s="138">
        <v>0</v>
      </c>
      <c r="AS726" s="141">
        <v>0</v>
      </c>
      <c r="AT726" s="28"/>
      <c r="AU726" s="43"/>
      <c r="AV726" s="28"/>
      <c r="AW726" s="28"/>
      <c r="AX726" s="141"/>
      <c r="AY726" s="28"/>
      <c r="AZ726" s="28"/>
      <c r="BA726" s="199" t="s">
        <v>84</v>
      </c>
      <c r="BB726" s="142">
        <v>2430</v>
      </c>
      <c r="BC726" s="146">
        <v>1818</v>
      </c>
      <c r="BD726" s="143">
        <v>0</v>
      </c>
      <c r="BE726" s="143">
        <v>0</v>
      </c>
      <c r="BF726" s="143">
        <v>0</v>
      </c>
      <c r="BG726" s="142">
        <f>SUM(BG720:BG725)</f>
        <v>84261</v>
      </c>
      <c r="BH726" s="146">
        <f>SUM(BH720:BH725)</f>
        <v>19089</v>
      </c>
      <c r="BI726" s="263"/>
      <c r="BJ726" s="143"/>
      <c r="BK726" s="146">
        <v>29</v>
      </c>
    </row>
    <row r="727" spans="3:64" x14ac:dyDescent="0.3">
      <c r="C727" s="134"/>
      <c r="D727" s="134"/>
      <c r="E727" s="135"/>
      <c r="F727" s="134"/>
      <c r="G727" s="135"/>
      <c r="H727" s="135"/>
      <c r="I727" s="195"/>
      <c r="J727" s="135" t="s">
        <v>87</v>
      </c>
      <c r="K727" s="135"/>
      <c r="L727" s="136"/>
      <c r="O727" s="134"/>
      <c r="P727" s="134"/>
      <c r="Q727" s="195"/>
      <c r="R727" s="134"/>
      <c r="S727" s="195"/>
      <c r="T727" s="136"/>
      <c r="U727" s="134"/>
      <c r="V727" s="195"/>
      <c r="W727" s="134" t="s">
        <v>6</v>
      </c>
      <c r="X727" s="136"/>
      <c r="Y727" s="28"/>
      <c r="Z727" s="28"/>
      <c r="AA727" s="41"/>
      <c r="AD727" s="42"/>
      <c r="AE727" s="28"/>
      <c r="AF727" s="40"/>
      <c r="AI727" s="41"/>
      <c r="AJ727" s="42">
        <v>1</v>
      </c>
      <c r="AK727" s="43" t="s">
        <v>1748</v>
      </c>
      <c r="AL727" s="40"/>
      <c r="AO727" s="138" t="s">
        <v>1354</v>
      </c>
      <c r="AP727" s="138">
        <v>4</v>
      </c>
      <c r="AQ727" s="141">
        <v>0</v>
      </c>
      <c r="AR727" s="138">
        <v>0</v>
      </c>
      <c r="AS727" s="141">
        <v>0</v>
      </c>
      <c r="AT727" s="28"/>
      <c r="AU727" s="28"/>
      <c r="AV727" s="28"/>
      <c r="AW727" s="28"/>
      <c r="AX727" s="141"/>
      <c r="AY727" s="28"/>
      <c r="AZ727" s="28"/>
      <c r="BA727" s="138" t="s">
        <v>137</v>
      </c>
      <c r="BB727" s="134">
        <v>957</v>
      </c>
      <c r="BC727" s="136">
        <v>971</v>
      </c>
      <c r="BD727" s="134">
        <v>0</v>
      </c>
      <c r="BE727" s="135">
        <v>0</v>
      </c>
      <c r="BF727" s="136">
        <v>0</v>
      </c>
      <c r="BG727" s="134">
        <v>0</v>
      </c>
      <c r="BH727" s="136">
        <v>0</v>
      </c>
      <c r="BI727" s="134"/>
      <c r="BJ727" s="135" t="s">
        <v>91</v>
      </c>
      <c r="BK727" s="136"/>
    </row>
    <row r="728" spans="3:64" ht="15" thickBot="1" x14ac:dyDescent="0.35">
      <c r="C728" s="138" t="s">
        <v>93</v>
      </c>
      <c r="D728" s="138">
        <v>2984</v>
      </c>
      <c r="E728" s="28">
        <v>4046</v>
      </c>
      <c r="F728" s="138"/>
      <c r="G728" s="28" t="s">
        <v>1291</v>
      </c>
      <c r="H728" s="28"/>
      <c r="I728" s="196">
        <v>4458</v>
      </c>
      <c r="J728" s="43">
        <v>1</v>
      </c>
      <c r="K728" s="28" t="s">
        <v>94</v>
      </c>
      <c r="L728" s="141"/>
      <c r="O728" s="138"/>
      <c r="P728" s="138"/>
      <c r="Q728" s="196"/>
      <c r="R728" s="138"/>
      <c r="S728" s="196"/>
      <c r="T728" s="141"/>
      <c r="U728" s="138"/>
      <c r="V728" s="196"/>
      <c r="W728" s="138"/>
      <c r="X728" s="141"/>
      <c r="Y728" s="43"/>
      <c r="Z728" s="28"/>
      <c r="AA728" s="46" t="s">
        <v>1300</v>
      </c>
      <c r="AB728" s="48">
        <v>209</v>
      </c>
      <c r="AC728" s="48">
        <v>203</v>
      </c>
      <c r="AD728" s="47">
        <v>0</v>
      </c>
      <c r="AE728" s="48">
        <v>0</v>
      </c>
      <c r="AF728" s="49">
        <v>0</v>
      </c>
      <c r="AG728" s="48">
        <v>0</v>
      </c>
      <c r="AH728" s="48">
        <v>0</v>
      </c>
      <c r="AI728" s="46">
        <v>0</v>
      </c>
      <c r="AJ728" s="47">
        <v>8</v>
      </c>
      <c r="AK728" s="48" t="s">
        <v>145</v>
      </c>
      <c r="AL728" s="49">
        <v>9</v>
      </c>
      <c r="AO728" s="138" t="s">
        <v>536</v>
      </c>
      <c r="AP728" s="138">
        <v>0</v>
      </c>
      <c r="AQ728" s="141">
        <v>4</v>
      </c>
      <c r="AR728" s="138">
        <v>0</v>
      </c>
      <c r="AS728" s="141">
        <v>0</v>
      </c>
      <c r="AT728" s="28"/>
      <c r="AU728" s="43">
        <v>28</v>
      </c>
      <c r="AV728" s="28" t="s">
        <v>123</v>
      </c>
      <c r="AW728" s="28" t="s">
        <v>6</v>
      </c>
      <c r="AX728" s="141"/>
      <c r="AY728" s="28"/>
      <c r="AZ728" s="28"/>
      <c r="BA728" s="138" t="s">
        <v>88</v>
      </c>
      <c r="BB728" s="138">
        <v>249</v>
      </c>
      <c r="BC728" s="141">
        <v>966</v>
      </c>
      <c r="BD728" s="138">
        <v>0</v>
      </c>
      <c r="BE728" s="43">
        <v>0</v>
      </c>
      <c r="BF728" s="141">
        <v>0</v>
      </c>
      <c r="BG728" s="138">
        <v>0</v>
      </c>
      <c r="BH728" s="209">
        <v>0</v>
      </c>
      <c r="BI728" s="212"/>
      <c r="BJ728" s="43"/>
      <c r="BK728" s="141"/>
    </row>
    <row r="729" spans="3:64" x14ac:dyDescent="0.3">
      <c r="C729" s="138"/>
      <c r="D729" s="138"/>
      <c r="E729" s="28"/>
      <c r="F729" s="138"/>
      <c r="G729" s="28"/>
      <c r="H729" s="28"/>
      <c r="I729" s="196"/>
      <c r="J729" s="43">
        <v>24</v>
      </c>
      <c r="K729" s="28" t="s">
        <v>101</v>
      </c>
      <c r="L729" s="141">
        <v>25</v>
      </c>
      <c r="O729" s="138"/>
      <c r="P729" s="138"/>
      <c r="Q729" s="196"/>
      <c r="R729" s="138"/>
      <c r="S729" s="196"/>
      <c r="T729" s="141"/>
      <c r="U729" s="138"/>
      <c r="V729" s="196"/>
      <c r="W729" s="138"/>
      <c r="X729" s="141"/>
      <c r="Y729" s="43"/>
      <c r="Z729" s="28"/>
      <c r="AA729" s="42" t="s">
        <v>137</v>
      </c>
      <c r="AB729" s="42">
        <v>0</v>
      </c>
      <c r="AC729" s="40">
        <v>0</v>
      </c>
      <c r="AD729" s="33">
        <v>0</v>
      </c>
      <c r="AE729" s="34">
        <v>0</v>
      </c>
      <c r="AF729" s="35">
        <v>0</v>
      </c>
      <c r="AG729" s="33">
        <v>0</v>
      </c>
      <c r="AH729" s="35">
        <v>0</v>
      </c>
      <c r="AI729" s="43">
        <v>0</v>
      </c>
      <c r="AJ729" s="33" t="s">
        <v>90</v>
      </c>
      <c r="AK729" s="34"/>
      <c r="AL729" s="35"/>
      <c r="AO729" s="138" t="s">
        <v>128</v>
      </c>
      <c r="AP729" s="138">
        <v>1</v>
      </c>
      <c r="AQ729" s="141">
        <v>0</v>
      </c>
      <c r="AR729" s="138">
        <v>0</v>
      </c>
      <c r="AS729" s="141">
        <v>0</v>
      </c>
      <c r="AT729" s="28"/>
      <c r="AU729" s="43">
        <v>14</v>
      </c>
      <c r="AV729" s="28" t="s">
        <v>126</v>
      </c>
      <c r="AW729" s="28"/>
      <c r="AX729" s="141"/>
      <c r="AY729" s="28"/>
      <c r="AZ729" s="28"/>
      <c r="BA729" s="212" t="s">
        <v>97</v>
      </c>
      <c r="BB729" s="212">
        <v>1788</v>
      </c>
      <c r="BC729" s="209">
        <v>1563</v>
      </c>
      <c r="BD729" s="138">
        <v>0</v>
      </c>
      <c r="BE729" s="43">
        <v>0</v>
      </c>
      <c r="BF729" s="141">
        <v>0</v>
      </c>
      <c r="BG729" s="138">
        <v>0</v>
      </c>
      <c r="BH729" s="209">
        <v>0</v>
      </c>
      <c r="BI729" s="138">
        <v>28</v>
      </c>
      <c r="BJ729" s="43" t="s">
        <v>1301</v>
      </c>
      <c r="BK729" s="141"/>
    </row>
    <row r="730" spans="3:64" x14ac:dyDescent="0.3">
      <c r="C730" s="134" t="s">
        <v>108</v>
      </c>
      <c r="D730" s="134">
        <v>0</v>
      </c>
      <c r="E730" s="136">
        <v>0</v>
      </c>
      <c r="F730" s="135">
        <v>0</v>
      </c>
      <c r="G730" s="243">
        <v>392</v>
      </c>
      <c r="H730" s="135">
        <v>0</v>
      </c>
      <c r="I730" s="195"/>
      <c r="J730" s="135" t="s">
        <v>104</v>
      </c>
      <c r="K730" s="135"/>
      <c r="L730" s="136"/>
      <c r="O730" s="142"/>
      <c r="P730" s="142"/>
      <c r="Q730" s="199"/>
      <c r="R730" s="142"/>
      <c r="S730" s="199"/>
      <c r="T730" s="146"/>
      <c r="U730" s="142"/>
      <c r="V730" s="199"/>
      <c r="W730" s="142"/>
      <c r="X730" s="146"/>
      <c r="Y730" s="28"/>
      <c r="Z730" s="28"/>
      <c r="AA730" s="42" t="s">
        <v>97</v>
      </c>
      <c r="AB730" s="42">
        <v>27</v>
      </c>
      <c r="AC730" s="40">
        <v>0</v>
      </c>
      <c r="AD730" s="42">
        <v>0</v>
      </c>
      <c r="AE730" s="28">
        <v>0</v>
      </c>
      <c r="AF730" s="40">
        <v>0</v>
      </c>
      <c r="AG730" s="42">
        <v>0</v>
      </c>
      <c r="AH730" s="40">
        <v>0</v>
      </c>
      <c r="AI730" s="28">
        <v>0</v>
      </c>
      <c r="AJ730" s="67"/>
      <c r="AK730" s="28"/>
      <c r="AL730" s="40"/>
      <c r="AO730" s="138" t="s">
        <v>115</v>
      </c>
      <c r="AP730" s="138">
        <v>21</v>
      </c>
      <c r="AQ730" s="141">
        <v>18</v>
      </c>
      <c r="AR730" s="138">
        <v>0</v>
      </c>
      <c r="AS730" s="141">
        <v>0</v>
      </c>
      <c r="AT730" s="28"/>
      <c r="AU730" s="43">
        <v>34</v>
      </c>
      <c r="AV730" s="28" t="s">
        <v>129</v>
      </c>
      <c r="AW730" s="28" t="s">
        <v>6</v>
      </c>
      <c r="AX730" s="141"/>
      <c r="AY730" s="28"/>
      <c r="AZ730" s="28"/>
      <c r="BA730" s="138" t="s">
        <v>113</v>
      </c>
      <c r="BB730" s="138">
        <v>549</v>
      </c>
      <c r="BC730" s="141">
        <v>523</v>
      </c>
      <c r="BD730" s="138">
        <v>0</v>
      </c>
      <c r="BE730" s="43">
        <v>0</v>
      </c>
      <c r="BF730" s="141">
        <v>0</v>
      </c>
      <c r="BG730" s="138">
        <v>0</v>
      </c>
      <c r="BH730" s="209">
        <v>0</v>
      </c>
      <c r="BI730" s="212">
        <v>32</v>
      </c>
      <c r="BJ730" s="28" t="s">
        <v>1303</v>
      </c>
      <c r="BK730" s="141"/>
    </row>
    <row r="731" spans="3:64" x14ac:dyDescent="0.3">
      <c r="C731" s="138" t="s">
        <v>109</v>
      </c>
      <c r="D731" s="138">
        <v>1441</v>
      </c>
      <c r="E731" s="141">
        <v>1151</v>
      </c>
      <c r="F731" s="28">
        <v>0</v>
      </c>
      <c r="G731" s="107">
        <v>0</v>
      </c>
      <c r="H731" s="43">
        <v>0</v>
      </c>
      <c r="I731" s="196"/>
      <c r="J731" s="43">
        <v>8</v>
      </c>
      <c r="K731" s="28" t="s">
        <v>114</v>
      </c>
      <c r="L731" s="141"/>
      <c r="O731" s="134"/>
      <c r="P731" s="134"/>
      <c r="Q731" s="195"/>
      <c r="R731" s="134"/>
      <c r="S731" s="195"/>
      <c r="T731" s="136"/>
      <c r="U731" s="134"/>
      <c r="V731" s="195"/>
      <c r="W731" s="134" t="s">
        <v>104</v>
      </c>
      <c r="X731" s="136"/>
      <c r="Y731" s="246"/>
      <c r="Z731" s="28"/>
      <c r="AA731" s="67" t="s">
        <v>89</v>
      </c>
      <c r="AB731" s="67">
        <v>0</v>
      </c>
      <c r="AC731" s="56">
        <v>42</v>
      </c>
      <c r="AD731" s="42">
        <v>0</v>
      </c>
      <c r="AE731" s="43">
        <v>0</v>
      </c>
      <c r="AF731" s="40">
        <v>0</v>
      </c>
      <c r="AG731" s="42">
        <v>0</v>
      </c>
      <c r="AH731" s="40">
        <v>0</v>
      </c>
      <c r="AI731" s="43">
        <v>0</v>
      </c>
      <c r="AJ731" s="67">
        <v>1</v>
      </c>
      <c r="AK731" s="43" t="s">
        <v>145</v>
      </c>
      <c r="AL731" s="40"/>
      <c r="AO731" s="138" t="s">
        <v>716</v>
      </c>
      <c r="AP731" s="138">
        <v>0</v>
      </c>
      <c r="AQ731" s="141">
        <v>1</v>
      </c>
      <c r="AR731" s="138">
        <v>0</v>
      </c>
      <c r="AS731" s="141">
        <v>0</v>
      </c>
      <c r="AT731" s="28"/>
      <c r="AU731" s="28"/>
      <c r="AV731" s="28"/>
      <c r="AW731" s="28"/>
      <c r="AX731" s="141"/>
      <c r="AY731" s="28"/>
      <c r="AZ731" s="28"/>
      <c r="BA731" s="212" t="s">
        <v>1749</v>
      </c>
      <c r="BB731" s="212">
        <v>13</v>
      </c>
      <c r="BC731" s="209">
        <v>171</v>
      </c>
      <c r="BD731" s="138">
        <v>0</v>
      </c>
      <c r="BE731" s="43">
        <v>0</v>
      </c>
      <c r="BF731" s="141">
        <v>0</v>
      </c>
      <c r="BG731" s="138">
        <v>0</v>
      </c>
      <c r="BH731" s="209">
        <v>0</v>
      </c>
      <c r="BI731" s="138">
        <v>1</v>
      </c>
      <c r="BJ731" s="43" t="s">
        <v>1750</v>
      </c>
      <c r="BK731" s="141"/>
    </row>
    <row r="732" spans="3:64" ht="15" thickBot="1" x14ac:dyDescent="0.35">
      <c r="C732" s="138" t="s">
        <v>84</v>
      </c>
      <c r="D732" s="138">
        <v>1441</v>
      </c>
      <c r="E732" s="141">
        <v>1151</v>
      </c>
      <c r="F732" s="28">
        <v>0</v>
      </c>
      <c r="G732" s="107">
        <v>392</v>
      </c>
      <c r="H732" s="43">
        <v>0</v>
      </c>
      <c r="I732" s="196">
        <v>2906</v>
      </c>
      <c r="J732" s="28"/>
      <c r="K732" s="28"/>
      <c r="L732" s="141"/>
      <c r="O732" s="138" t="s">
        <v>109</v>
      </c>
      <c r="P732" s="138"/>
      <c r="Q732" s="196">
        <v>5416</v>
      </c>
      <c r="R732" s="138">
        <v>0</v>
      </c>
      <c r="S732" s="196">
        <v>0</v>
      </c>
      <c r="T732" s="141">
        <v>0</v>
      </c>
      <c r="U732" s="138">
        <v>0</v>
      </c>
      <c r="V732" s="196">
        <v>0</v>
      </c>
      <c r="W732" s="138"/>
      <c r="X732" s="141"/>
      <c r="Y732" s="28"/>
      <c r="Z732" s="28"/>
      <c r="AA732" s="42" t="s">
        <v>84</v>
      </c>
      <c r="AB732" s="244">
        <v>27</v>
      </c>
      <c r="AC732" s="245">
        <v>42</v>
      </c>
      <c r="AD732" s="47">
        <v>0</v>
      </c>
      <c r="AE732" s="48">
        <v>0</v>
      </c>
      <c r="AF732" s="49">
        <v>0</v>
      </c>
      <c r="AG732" s="47">
        <v>0</v>
      </c>
      <c r="AH732" s="49">
        <v>0</v>
      </c>
      <c r="AI732" s="43">
        <v>0</v>
      </c>
      <c r="AJ732" s="72"/>
      <c r="AK732" s="48"/>
      <c r="AL732" s="49">
        <v>1</v>
      </c>
      <c r="AO732" s="138" t="s">
        <v>1599</v>
      </c>
      <c r="AP732" s="138">
        <v>0</v>
      </c>
      <c r="AQ732" s="141">
        <v>0</v>
      </c>
      <c r="AR732" s="138">
        <v>0</v>
      </c>
      <c r="AS732" s="141">
        <v>0</v>
      </c>
      <c r="AT732" s="28"/>
      <c r="AU732" s="28"/>
      <c r="AV732" s="28"/>
      <c r="AW732" s="28"/>
      <c r="AX732" s="141" t="s">
        <v>6</v>
      </c>
      <c r="AY732" s="28"/>
      <c r="AZ732" s="28"/>
      <c r="BA732" s="212" t="s">
        <v>817</v>
      </c>
      <c r="BB732" s="212">
        <v>26</v>
      </c>
      <c r="BC732" s="209">
        <v>1053</v>
      </c>
      <c r="BD732" s="138">
        <v>0</v>
      </c>
      <c r="BE732" s="43">
        <v>0</v>
      </c>
      <c r="BF732" s="141">
        <v>0</v>
      </c>
      <c r="BG732" s="138">
        <v>0</v>
      </c>
      <c r="BH732" s="209">
        <v>0</v>
      </c>
      <c r="BI732" s="138">
        <v>42</v>
      </c>
      <c r="BJ732" s="43" t="s">
        <v>1305</v>
      </c>
      <c r="BK732" s="141"/>
      <c r="BL732" s="28"/>
    </row>
    <row r="733" spans="3:64" x14ac:dyDescent="0.3">
      <c r="C733" s="138"/>
      <c r="D733" s="138"/>
      <c r="E733" s="141"/>
      <c r="F733" s="28"/>
      <c r="G733" s="28"/>
      <c r="H733" s="28"/>
      <c r="I733" s="196"/>
      <c r="J733" s="28"/>
      <c r="K733" s="28"/>
      <c r="L733" s="141">
        <v>8</v>
      </c>
      <c r="O733" s="142"/>
      <c r="P733" s="142"/>
      <c r="Q733" s="199"/>
      <c r="R733" s="142"/>
      <c r="S733" s="199"/>
      <c r="T733" s="146"/>
      <c r="U733" s="142"/>
      <c r="V733" s="199"/>
      <c r="W733" s="142"/>
      <c r="X733" s="146"/>
      <c r="Y733" s="28"/>
      <c r="Z733" s="28"/>
      <c r="AA733" s="32" t="s">
        <v>108</v>
      </c>
      <c r="AB733" s="135">
        <v>0</v>
      </c>
      <c r="AC733" s="135">
        <v>0</v>
      </c>
      <c r="AD733" s="33">
        <v>0</v>
      </c>
      <c r="AE733" s="34">
        <v>0</v>
      </c>
      <c r="AF733" s="35">
        <v>0</v>
      </c>
      <c r="AG733" s="28">
        <v>0</v>
      </c>
      <c r="AH733" s="28">
        <v>0</v>
      </c>
      <c r="AI733" s="32">
        <v>0</v>
      </c>
      <c r="AJ733" s="34"/>
      <c r="AK733" s="34"/>
      <c r="AL733" s="35"/>
      <c r="AO733" s="138" t="s">
        <v>122</v>
      </c>
      <c r="AP733" s="138">
        <v>18</v>
      </c>
      <c r="AQ733" s="141">
        <v>5</v>
      </c>
      <c r="AR733" s="138">
        <v>0</v>
      </c>
      <c r="AS733" s="141">
        <v>0</v>
      </c>
      <c r="AT733" s="28"/>
      <c r="AU733" s="28"/>
      <c r="AV733" s="28"/>
      <c r="AW733" s="28"/>
      <c r="AX733" s="141"/>
      <c r="AY733" s="28"/>
      <c r="AZ733" s="28"/>
      <c r="BA733" s="212" t="s">
        <v>429</v>
      </c>
      <c r="BB733" s="212">
        <v>513</v>
      </c>
      <c r="BC733" s="209">
        <v>465</v>
      </c>
      <c r="BD733" s="138">
        <v>0</v>
      </c>
      <c r="BE733" s="43">
        <v>0</v>
      </c>
      <c r="BF733" s="141">
        <v>0</v>
      </c>
      <c r="BG733" s="138">
        <v>0</v>
      </c>
      <c r="BH733" s="209">
        <v>0</v>
      </c>
      <c r="BI733" s="138"/>
      <c r="BJ733" s="28"/>
      <c r="BK733" s="141"/>
      <c r="BL733" s="28"/>
    </row>
    <row r="734" spans="3:64" x14ac:dyDescent="0.3">
      <c r="C734" s="134" t="s">
        <v>785</v>
      </c>
      <c r="D734" s="134">
        <v>509</v>
      </c>
      <c r="E734" s="242">
        <v>563</v>
      </c>
      <c r="F734" s="135"/>
      <c r="G734" s="135"/>
      <c r="H734" s="135"/>
      <c r="I734" s="195">
        <v>650</v>
      </c>
      <c r="J734" s="135" t="s">
        <v>118</v>
      </c>
      <c r="K734" s="135"/>
      <c r="L734" s="136"/>
      <c r="O734" s="134" t="s">
        <v>93</v>
      </c>
      <c r="P734" s="134">
        <v>0</v>
      </c>
      <c r="Q734" s="195">
        <v>0</v>
      </c>
      <c r="R734" s="134">
        <v>0</v>
      </c>
      <c r="S734" s="195">
        <v>0</v>
      </c>
      <c r="T734" s="136">
        <v>0</v>
      </c>
      <c r="U734" s="134">
        <v>0</v>
      </c>
      <c r="V734" s="195">
        <v>0</v>
      </c>
      <c r="W734" s="134" t="s">
        <v>116</v>
      </c>
      <c r="X734" s="136"/>
      <c r="Y734" s="28"/>
      <c r="Z734" s="28"/>
      <c r="AA734" s="41" t="s">
        <v>817</v>
      </c>
      <c r="AB734" s="43">
        <v>198</v>
      </c>
      <c r="AC734" s="43">
        <v>3789</v>
      </c>
      <c r="AD734" s="42">
        <v>0</v>
      </c>
      <c r="AE734" s="28">
        <v>0</v>
      </c>
      <c r="AF734" s="40">
        <v>0</v>
      </c>
      <c r="AG734" s="43">
        <v>0</v>
      </c>
      <c r="AH734" s="43">
        <v>0</v>
      </c>
      <c r="AI734" s="41">
        <v>0</v>
      </c>
      <c r="AJ734" s="28" t="s">
        <v>1302</v>
      </c>
      <c r="AK734" s="28" t="s">
        <v>6</v>
      </c>
      <c r="AL734" s="40"/>
      <c r="AO734" s="138" t="s">
        <v>230</v>
      </c>
      <c r="AP734" s="138">
        <v>2</v>
      </c>
      <c r="AQ734" s="141">
        <v>0</v>
      </c>
      <c r="AR734" s="138">
        <v>0</v>
      </c>
      <c r="AS734" s="141">
        <v>0</v>
      </c>
      <c r="AT734" s="28"/>
      <c r="AU734" s="28"/>
      <c r="AV734" s="28"/>
      <c r="AW734" s="28"/>
      <c r="AX734" s="141"/>
      <c r="AY734" s="28"/>
      <c r="AZ734" s="28"/>
      <c r="BA734" s="212" t="s">
        <v>1120</v>
      </c>
      <c r="BB734" s="212">
        <v>19</v>
      </c>
      <c r="BC734" s="209">
        <v>970</v>
      </c>
      <c r="BD734" s="212">
        <v>0</v>
      </c>
      <c r="BE734" s="43">
        <v>0</v>
      </c>
      <c r="BF734" s="209">
        <v>0</v>
      </c>
      <c r="BG734" s="212">
        <v>0</v>
      </c>
      <c r="BH734" s="209">
        <v>0</v>
      </c>
      <c r="BI734" s="138"/>
      <c r="BJ734" s="28"/>
      <c r="BK734" s="141"/>
      <c r="BL734" s="28"/>
    </row>
    <row r="735" spans="3:64" x14ac:dyDescent="0.3">
      <c r="C735" s="138" t="s">
        <v>93</v>
      </c>
      <c r="D735" s="138">
        <v>7315</v>
      </c>
      <c r="E735" s="209">
        <v>7550</v>
      </c>
      <c r="F735" s="28"/>
      <c r="G735" s="28"/>
      <c r="H735" s="28"/>
      <c r="I735" s="196">
        <v>2800</v>
      </c>
      <c r="J735" s="28">
        <v>66</v>
      </c>
      <c r="K735" s="28" t="s">
        <v>101</v>
      </c>
      <c r="L735" s="141"/>
      <c r="O735" s="138" t="s">
        <v>99</v>
      </c>
      <c r="P735" s="138">
        <v>12670</v>
      </c>
      <c r="Q735" s="196">
        <v>17443</v>
      </c>
      <c r="R735" s="138">
        <v>0</v>
      </c>
      <c r="S735" s="196">
        <v>0</v>
      </c>
      <c r="T735" s="141">
        <v>0</v>
      </c>
      <c r="U735" s="138">
        <v>3619</v>
      </c>
      <c r="V735" s="196">
        <v>73</v>
      </c>
      <c r="W735" s="138"/>
      <c r="X735" s="141"/>
      <c r="Y735" s="28"/>
      <c r="Z735" s="28"/>
      <c r="AA735" s="41" t="s">
        <v>1120</v>
      </c>
      <c r="AB735" s="43">
        <v>0</v>
      </c>
      <c r="AC735" s="43">
        <v>0</v>
      </c>
      <c r="AD735" s="42">
        <v>0</v>
      </c>
      <c r="AE735" s="43">
        <v>0</v>
      </c>
      <c r="AF735" s="40">
        <v>0</v>
      </c>
      <c r="AG735" s="43">
        <v>0</v>
      </c>
      <c r="AH735" s="43">
        <v>0</v>
      </c>
      <c r="AI735" s="41">
        <v>0</v>
      </c>
      <c r="AJ735" s="43">
        <v>27</v>
      </c>
      <c r="AK735" s="43" t="s">
        <v>359</v>
      </c>
      <c r="AL735" s="40"/>
      <c r="AO735" s="138" t="s">
        <v>63</v>
      </c>
      <c r="AP735" s="138">
        <v>33</v>
      </c>
      <c r="AQ735" s="141">
        <v>35</v>
      </c>
      <c r="AR735" s="138">
        <v>0</v>
      </c>
      <c r="AS735" s="141">
        <v>0</v>
      </c>
      <c r="AT735" s="28"/>
      <c r="AU735" s="28"/>
      <c r="AV735" s="28"/>
      <c r="AW735" s="28"/>
      <c r="AX735" s="141"/>
      <c r="AY735" s="28"/>
      <c r="AZ735" s="28"/>
      <c r="BA735" s="212" t="s">
        <v>89</v>
      </c>
      <c r="BB735" s="212">
        <v>1145</v>
      </c>
      <c r="BC735" s="209">
        <v>1320</v>
      </c>
      <c r="BD735" s="138">
        <v>0</v>
      </c>
      <c r="BE735" s="43">
        <v>0</v>
      </c>
      <c r="BF735" s="141">
        <v>0</v>
      </c>
      <c r="BG735" s="138">
        <v>0</v>
      </c>
      <c r="BH735" s="141">
        <v>0</v>
      </c>
      <c r="BI735" s="138"/>
      <c r="BJ735" s="28"/>
      <c r="BK735" s="141"/>
      <c r="BL735" s="28"/>
    </row>
    <row r="736" spans="3:64" x14ac:dyDescent="0.3">
      <c r="C736" s="138" t="s">
        <v>120</v>
      </c>
      <c r="D736" s="212">
        <v>4967</v>
      </c>
      <c r="E736" s="209">
        <v>4692</v>
      </c>
      <c r="F736" s="28"/>
      <c r="G736" s="28" t="s">
        <v>1291</v>
      </c>
      <c r="H736" s="28"/>
      <c r="I736" s="211">
        <v>5950</v>
      </c>
      <c r="J736" s="28">
        <v>28</v>
      </c>
      <c r="K736" s="28" t="s">
        <v>927</v>
      </c>
      <c r="L736" s="141"/>
      <c r="O736" s="138" t="s">
        <v>120</v>
      </c>
      <c r="P736" s="138">
        <v>561</v>
      </c>
      <c r="Q736" s="196">
        <v>28043</v>
      </c>
      <c r="R736" s="138">
        <v>0</v>
      </c>
      <c r="S736" s="196">
        <v>0</v>
      </c>
      <c r="T736" s="141">
        <v>0</v>
      </c>
      <c r="U736" s="138">
        <v>0</v>
      </c>
      <c r="V736" s="196">
        <v>0</v>
      </c>
      <c r="W736" s="138"/>
      <c r="X736" s="141"/>
      <c r="Y736" s="28"/>
      <c r="Z736" s="28"/>
      <c r="AA736" s="41" t="s">
        <v>99</v>
      </c>
      <c r="AB736" s="43">
        <v>0</v>
      </c>
      <c r="AC736" s="43">
        <v>0</v>
      </c>
      <c r="AD736" s="42">
        <v>0</v>
      </c>
      <c r="AE736" s="43">
        <v>0</v>
      </c>
      <c r="AF736" s="40">
        <v>0</v>
      </c>
      <c r="AG736" s="43">
        <v>0</v>
      </c>
      <c r="AH736" s="43">
        <v>0</v>
      </c>
      <c r="AI736" s="41">
        <v>0</v>
      </c>
      <c r="AJ736" s="43">
        <v>0</v>
      </c>
      <c r="AK736" s="43" t="s">
        <v>1346</v>
      </c>
      <c r="AL736" s="40"/>
      <c r="AO736" s="142" t="s">
        <v>84</v>
      </c>
      <c r="AP736" s="142">
        <v>157</v>
      </c>
      <c r="AQ736" s="146">
        <v>133</v>
      </c>
      <c r="AR736" s="142">
        <v>0</v>
      </c>
      <c r="AS736" s="146">
        <v>0</v>
      </c>
      <c r="AT736" s="143"/>
      <c r="AU736" s="143"/>
      <c r="AV736" s="143"/>
      <c r="AW736" s="143"/>
      <c r="AX736" s="146">
        <v>76</v>
      </c>
      <c r="AY736" s="28"/>
      <c r="AZ736" s="28"/>
      <c r="BA736" s="212" t="s">
        <v>108</v>
      </c>
      <c r="BB736" s="138">
        <v>0</v>
      </c>
      <c r="BC736" s="141">
        <v>0</v>
      </c>
      <c r="BD736" s="138">
        <v>0</v>
      </c>
      <c r="BE736" s="43">
        <v>0</v>
      </c>
      <c r="BF736" s="141">
        <v>0</v>
      </c>
      <c r="BG736" s="138">
        <v>0</v>
      </c>
      <c r="BH736" s="141">
        <v>0</v>
      </c>
      <c r="BI736" s="138"/>
      <c r="BJ736" s="28"/>
      <c r="BK736" s="141"/>
      <c r="BL736" s="28"/>
    </row>
    <row r="737" spans="3:64" ht="15" thickBot="1" x14ac:dyDescent="0.35">
      <c r="C737" s="138" t="s">
        <v>84</v>
      </c>
      <c r="D737" s="138">
        <f>SUM(D734:D736)</f>
        <v>12791</v>
      </c>
      <c r="E737" s="141">
        <f>SUM(E734:E736)</f>
        <v>12805</v>
      </c>
      <c r="F737" s="28"/>
      <c r="G737" s="28"/>
      <c r="H737" s="28"/>
      <c r="I737" s="196">
        <f>SUM(I734:I736)</f>
        <v>9400</v>
      </c>
      <c r="J737" s="28">
        <v>0</v>
      </c>
      <c r="K737" s="28" t="s">
        <v>1306</v>
      </c>
      <c r="L737" s="141"/>
      <c r="O737" s="142" t="s">
        <v>84</v>
      </c>
      <c r="P737" s="142">
        <f>SUM(P734:P736)</f>
        <v>13231</v>
      </c>
      <c r="Q737" s="199">
        <f>SUM(Q734:Q736)</f>
        <v>45486</v>
      </c>
      <c r="R737" s="142">
        <v>0</v>
      </c>
      <c r="S737" s="199">
        <v>0</v>
      </c>
      <c r="T737" s="146">
        <v>0</v>
      </c>
      <c r="U737" s="142">
        <v>3619</v>
      </c>
      <c r="V737" s="199">
        <v>73</v>
      </c>
      <c r="W737" s="142"/>
      <c r="X737" s="146"/>
      <c r="Y737" s="28"/>
      <c r="Z737" s="28"/>
      <c r="AA737" s="46" t="s">
        <v>84</v>
      </c>
      <c r="AB737" s="43">
        <v>198</v>
      </c>
      <c r="AC737" s="43">
        <v>3789</v>
      </c>
      <c r="AD737" s="47">
        <v>0</v>
      </c>
      <c r="AE737" s="48">
        <v>0</v>
      </c>
      <c r="AF737" s="49">
        <v>0</v>
      </c>
      <c r="AG737" s="43">
        <v>0</v>
      </c>
      <c r="AH737" s="43">
        <v>0</v>
      </c>
      <c r="AI737" s="46">
        <v>0</v>
      </c>
      <c r="AJ737" s="48"/>
      <c r="AK737" s="48"/>
      <c r="AL737" s="49">
        <v>27</v>
      </c>
      <c r="AO737" s="134"/>
      <c r="AP737" s="134"/>
      <c r="AQ737" s="136"/>
      <c r="AR737" s="134"/>
      <c r="AS737" s="136"/>
      <c r="AT737" s="135"/>
      <c r="AU737" s="135"/>
      <c r="AV737" s="135"/>
      <c r="AW737" s="135"/>
      <c r="AX737" s="136"/>
      <c r="AY737" s="28"/>
      <c r="AZ737" s="28"/>
      <c r="BA737" s="212" t="s">
        <v>133</v>
      </c>
      <c r="BB737" s="138">
        <v>0</v>
      </c>
      <c r="BC737" s="141">
        <v>0</v>
      </c>
      <c r="BD737" s="138">
        <v>0</v>
      </c>
      <c r="BE737" s="43">
        <v>0</v>
      </c>
      <c r="BF737" s="141">
        <v>0</v>
      </c>
      <c r="BG737" s="138">
        <v>0</v>
      </c>
      <c r="BH737" s="141">
        <v>0</v>
      </c>
      <c r="BI737" s="138"/>
      <c r="BJ737" s="28"/>
      <c r="BK737" s="141"/>
      <c r="BL737" s="28"/>
    </row>
    <row r="738" spans="3:64" x14ac:dyDescent="0.3">
      <c r="C738" s="142"/>
      <c r="D738" s="142"/>
      <c r="E738" s="146"/>
      <c r="F738" s="143"/>
      <c r="G738" s="143"/>
      <c r="H738" s="143"/>
      <c r="I738" s="199"/>
      <c r="J738" s="143"/>
      <c r="K738" s="143"/>
      <c r="L738" s="146">
        <v>94</v>
      </c>
      <c r="O738" s="134"/>
      <c r="P738" s="134"/>
      <c r="Q738" s="195"/>
      <c r="R738" s="134"/>
      <c r="S738" s="195"/>
      <c r="T738" s="136"/>
      <c r="U738" s="134"/>
      <c r="V738" s="195"/>
      <c r="W738" s="134"/>
      <c r="X738" s="136"/>
      <c r="Y738" s="28"/>
      <c r="Z738" s="28"/>
      <c r="AA738" s="42"/>
      <c r="AB738" s="33"/>
      <c r="AC738" s="35"/>
      <c r="AD738" s="34"/>
      <c r="AE738" s="34"/>
      <c r="AF738" s="34"/>
      <c r="AG738" s="33"/>
      <c r="AH738" s="35"/>
      <c r="AI738" s="32"/>
      <c r="AJ738" s="34"/>
      <c r="AK738" s="34" t="s">
        <v>117</v>
      </c>
      <c r="AL738" s="35"/>
      <c r="AO738" s="138" t="s">
        <v>56</v>
      </c>
      <c r="AP738" s="138">
        <v>0</v>
      </c>
      <c r="AQ738" s="141">
        <v>0</v>
      </c>
      <c r="AR738" s="138">
        <v>0</v>
      </c>
      <c r="AS738" s="141">
        <v>0</v>
      </c>
      <c r="AT738" s="28"/>
      <c r="AU738" s="28" t="s">
        <v>173</v>
      </c>
      <c r="AV738" s="28"/>
      <c r="AW738" s="28"/>
      <c r="AX738" s="141"/>
      <c r="AY738" s="28"/>
      <c r="AZ738" s="28"/>
      <c r="BA738" s="212" t="s">
        <v>1307</v>
      </c>
      <c r="BB738" s="142">
        <v>40</v>
      </c>
      <c r="BC738" s="146">
        <v>0</v>
      </c>
      <c r="BD738" s="142">
        <v>0</v>
      </c>
      <c r="BE738" s="143">
        <v>0</v>
      </c>
      <c r="BF738" s="146">
        <v>0</v>
      </c>
      <c r="BG738" s="142">
        <v>0</v>
      </c>
      <c r="BH738" s="146">
        <v>0</v>
      </c>
      <c r="BI738" s="142"/>
      <c r="BJ738" s="143"/>
      <c r="BK738" s="146"/>
      <c r="BL738" s="28"/>
    </row>
    <row r="739" spans="3:64" ht="15" thickBot="1" x14ac:dyDescent="0.35">
      <c r="C739" s="138" t="s">
        <v>93</v>
      </c>
      <c r="D739" s="138">
        <v>7121</v>
      </c>
      <c r="E739" s="209">
        <v>7168</v>
      </c>
      <c r="F739" s="138"/>
      <c r="G739" s="28" t="s">
        <v>1291</v>
      </c>
      <c r="H739" s="28"/>
      <c r="I739" s="196">
        <v>8891</v>
      </c>
      <c r="J739" s="28" t="s">
        <v>116</v>
      </c>
      <c r="K739" s="28"/>
      <c r="L739" s="141"/>
      <c r="O739" s="138" t="s">
        <v>105</v>
      </c>
      <c r="P739" s="138">
        <v>2202</v>
      </c>
      <c r="Q739" s="196">
        <v>0</v>
      </c>
      <c r="R739" s="138">
        <v>0</v>
      </c>
      <c r="S739" s="196">
        <v>0</v>
      </c>
      <c r="T739" s="141">
        <v>0</v>
      </c>
      <c r="U739" s="138">
        <v>3</v>
      </c>
      <c r="V739" s="196">
        <v>0</v>
      </c>
      <c r="W739" s="138"/>
      <c r="X739" s="141"/>
      <c r="Y739" s="28"/>
      <c r="Z739" s="28"/>
      <c r="AA739" s="47"/>
      <c r="AB739" s="47"/>
      <c r="AC739" s="49"/>
      <c r="AD739" s="48"/>
      <c r="AE739" s="48"/>
      <c r="AF739" s="48"/>
      <c r="AG739" s="47"/>
      <c r="AH739" s="49"/>
      <c r="AI739" s="46"/>
      <c r="AJ739" s="48"/>
      <c r="AK739" s="48" t="s">
        <v>124</v>
      </c>
      <c r="AL739" s="49"/>
      <c r="AO739" s="138" t="s">
        <v>67</v>
      </c>
      <c r="AP739" s="138">
        <v>0</v>
      </c>
      <c r="AQ739" s="141">
        <v>0</v>
      </c>
      <c r="AR739" s="138">
        <v>0</v>
      </c>
      <c r="AS739" s="141">
        <v>0</v>
      </c>
      <c r="AT739" s="28"/>
      <c r="AU739" s="28"/>
      <c r="AV739" s="28"/>
      <c r="AW739" s="28"/>
      <c r="AX739" s="141"/>
      <c r="AY739" s="28"/>
      <c r="AZ739" s="28"/>
      <c r="BA739" s="247" t="s">
        <v>84</v>
      </c>
      <c r="BB739" s="247">
        <v>5299</v>
      </c>
      <c r="BC739" s="248">
        <v>8002</v>
      </c>
      <c r="BD739" s="197">
        <v>0</v>
      </c>
      <c r="BE739" s="198">
        <v>0</v>
      </c>
      <c r="BF739" s="249">
        <v>0</v>
      </c>
      <c r="BG739" s="197">
        <v>0</v>
      </c>
      <c r="BH739" s="249">
        <v>0</v>
      </c>
      <c r="BI739" s="197"/>
      <c r="BJ739" s="198"/>
      <c r="BK739" s="249">
        <v>103</v>
      </c>
      <c r="BL739" s="28"/>
    </row>
    <row r="740" spans="3:64" x14ac:dyDescent="0.3">
      <c r="C740" s="138" t="s">
        <v>99</v>
      </c>
      <c r="D740" s="138">
        <v>3470</v>
      </c>
      <c r="E740" s="209">
        <v>3513</v>
      </c>
      <c r="F740" s="138"/>
      <c r="G740" s="28" t="s">
        <v>1291</v>
      </c>
      <c r="H740" s="28"/>
      <c r="I740" s="196">
        <v>13918</v>
      </c>
      <c r="J740" s="43">
        <v>167</v>
      </c>
      <c r="K740" s="28" t="s">
        <v>144</v>
      </c>
      <c r="L740" s="141"/>
      <c r="O740" s="138" t="s">
        <v>99</v>
      </c>
      <c r="P740" s="138">
        <v>0</v>
      </c>
      <c r="Q740" s="196">
        <v>0</v>
      </c>
      <c r="R740" s="138">
        <v>0</v>
      </c>
      <c r="S740" s="196">
        <v>0</v>
      </c>
      <c r="T740" s="141">
        <v>0</v>
      </c>
      <c r="U740" s="138">
        <v>0</v>
      </c>
      <c r="V740" s="196">
        <v>0</v>
      </c>
      <c r="W740" s="138" t="s">
        <v>135</v>
      </c>
      <c r="X740" s="141"/>
      <c r="Y740" s="28"/>
      <c r="Z740" s="28"/>
      <c r="AA740" s="33" t="s">
        <v>137</v>
      </c>
      <c r="AB740" s="33">
        <v>261</v>
      </c>
      <c r="AC740" s="35">
        <v>217</v>
      </c>
      <c r="AD740" s="34">
        <v>0</v>
      </c>
      <c r="AE740" s="34">
        <v>0</v>
      </c>
      <c r="AF740" s="34">
        <v>0</v>
      </c>
      <c r="AG740" s="33"/>
      <c r="AH740" s="35"/>
      <c r="AI740" s="32"/>
      <c r="AJ740" s="34"/>
      <c r="AK740" s="34"/>
      <c r="AL740" s="35"/>
      <c r="AO740" s="138" t="s">
        <v>78</v>
      </c>
      <c r="AP740" s="138">
        <v>0</v>
      </c>
      <c r="AQ740" s="141">
        <v>0</v>
      </c>
      <c r="AR740" s="138">
        <v>0</v>
      </c>
      <c r="AS740" s="141">
        <v>0</v>
      </c>
      <c r="AT740" s="28"/>
      <c r="AU740" s="28">
        <v>0</v>
      </c>
      <c r="AV740" s="28" t="s">
        <v>183</v>
      </c>
      <c r="AW740" s="28"/>
      <c r="AX740" s="141"/>
      <c r="AY740" s="28"/>
      <c r="AZ740" s="28"/>
      <c r="BA740" s="134"/>
      <c r="BB740" s="134"/>
      <c r="BC740" s="136"/>
      <c r="BD740" s="135"/>
      <c r="BE740" s="135"/>
      <c r="BF740" s="135"/>
      <c r="BG740" s="138"/>
      <c r="BH740" s="141"/>
      <c r="BI740" s="28" t="s">
        <v>1025</v>
      </c>
      <c r="BJ740" s="28"/>
      <c r="BK740" s="141"/>
    </row>
    <row r="741" spans="3:64" x14ac:dyDescent="0.3">
      <c r="C741" s="138" t="s">
        <v>120</v>
      </c>
      <c r="D741" s="138">
        <v>9009</v>
      </c>
      <c r="E741" s="209">
        <v>8263</v>
      </c>
      <c r="F741" s="138"/>
      <c r="G741" s="28" t="s">
        <v>1291</v>
      </c>
      <c r="H741" s="28"/>
      <c r="I741" s="196">
        <v>4901</v>
      </c>
      <c r="J741" s="43">
        <v>0</v>
      </c>
      <c r="K741" s="28" t="s">
        <v>148</v>
      </c>
      <c r="L741" s="141"/>
      <c r="O741" s="138"/>
      <c r="P741" s="138"/>
      <c r="Q741" s="196"/>
      <c r="R741" s="138"/>
      <c r="S741" s="196"/>
      <c r="T741" s="141"/>
      <c r="U741" s="138"/>
      <c r="V741" s="196"/>
      <c r="W741" s="138"/>
      <c r="X741" s="141"/>
      <c r="Y741" s="28"/>
      <c r="Z741" s="28"/>
      <c r="AA741" s="42" t="s">
        <v>97</v>
      </c>
      <c r="AB741" s="42">
        <v>224</v>
      </c>
      <c r="AC741" s="40">
        <v>280</v>
      </c>
      <c r="AD741" s="43">
        <v>0</v>
      </c>
      <c r="AE741" s="43">
        <v>0</v>
      </c>
      <c r="AF741" s="43">
        <v>0</v>
      </c>
      <c r="AG741" s="42"/>
      <c r="AH741" s="40"/>
      <c r="AI741" s="41"/>
      <c r="AJ741" s="28" t="s">
        <v>953</v>
      </c>
      <c r="AK741" s="28"/>
      <c r="AL741" s="40"/>
      <c r="AO741" s="142" t="s">
        <v>84</v>
      </c>
      <c r="AP741" s="142">
        <v>0</v>
      </c>
      <c r="AQ741" s="146">
        <v>0</v>
      </c>
      <c r="AR741" s="142">
        <v>0</v>
      </c>
      <c r="AS741" s="146">
        <v>0</v>
      </c>
      <c r="AT741" s="143"/>
      <c r="AU741" s="143"/>
      <c r="AV741" s="143"/>
      <c r="AW741" s="143"/>
      <c r="AX741" s="146"/>
      <c r="AY741" s="28"/>
      <c r="AZ741" s="28"/>
      <c r="BA741" s="142" t="s">
        <v>64</v>
      </c>
      <c r="BB741" s="142">
        <v>55</v>
      </c>
      <c r="BC741" s="146">
        <v>61</v>
      </c>
      <c r="BD741" s="143">
        <v>0</v>
      </c>
      <c r="BE741" s="143">
        <v>0</v>
      </c>
      <c r="BF741" s="143"/>
      <c r="BG741" s="142">
        <v>0</v>
      </c>
      <c r="BH741" s="146">
        <v>0</v>
      </c>
      <c r="BI741" s="143">
        <v>9</v>
      </c>
      <c r="BJ741" s="143" t="s">
        <v>1026</v>
      </c>
      <c r="BK741" s="146"/>
      <c r="BL741" t="s">
        <v>6</v>
      </c>
    </row>
    <row r="742" spans="3:64" x14ac:dyDescent="0.3">
      <c r="C742" s="138" t="s">
        <v>84</v>
      </c>
      <c r="D742" s="138">
        <f>SUM(D739:D741)</f>
        <v>19600</v>
      </c>
      <c r="E742" s="28">
        <f>SUM(E739:E741)</f>
        <v>18944</v>
      </c>
      <c r="F742" s="138"/>
      <c r="G742" s="28" t="s">
        <v>1291</v>
      </c>
      <c r="H742" s="28"/>
      <c r="I742" s="196">
        <f>SUM(I739:I741)</f>
        <v>27710</v>
      </c>
      <c r="J742" s="43">
        <v>0</v>
      </c>
      <c r="K742" s="28" t="s">
        <v>152</v>
      </c>
      <c r="L742" s="141"/>
      <c r="O742" s="142" t="s">
        <v>84</v>
      </c>
      <c r="P742" s="142">
        <v>2202</v>
      </c>
      <c r="Q742" s="199"/>
      <c r="R742" s="142">
        <v>0</v>
      </c>
      <c r="S742" s="199">
        <v>0</v>
      </c>
      <c r="T742" s="146">
        <v>0</v>
      </c>
      <c r="U742" s="142">
        <v>0</v>
      </c>
      <c r="V742" s="199">
        <v>0</v>
      </c>
      <c r="W742" s="142"/>
      <c r="X742" s="146"/>
      <c r="Y742" s="28"/>
      <c r="Z742" s="28"/>
      <c r="AA742" s="42" t="s">
        <v>89</v>
      </c>
      <c r="AB742" s="42">
        <v>435</v>
      </c>
      <c r="AC742" s="40">
        <v>409</v>
      </c>
      <c r="AD742" s="43">
        <v>0</v>
      </c>
      <c r="AE742" s="43">
        <v>0</v>
      </c>
      <c r="AF742" s="43">
        <v>0</v>
      </c>
      <c r="AG742" s="42"/>
      <c r="AH742" s="40"/>
      <c r="AI742" s="41"/>
      <c r="AJ742" s="28">
        <v>2</v>
      </c>
      <c r="AK742" s="28" t="s">
        <v>884</v>
      </c>
      <c r="AL742" s="40"/>
      <c r="AO742" s="134" t="s">
        <v>56</v>
      </c>
      <c r="AP742" s="134">
        <v>17</v>
      </c>
      <c r="AQ742" s="136">
        <v>18</v>
      </c>
      <c r="AR742" s="134">
        <v>0</v>
      </c>
      <c r="AS742" s="136">
        <v>0</v>
      </c>
      <c r="AT742" s="135"/>
      <c r="AU742" s="28" t="s">
        <v>140</v>
      </c>
      <c r="AV742" s="135"/>
      <c r="AW742" s="135"/>
      <c r="AX742" s="136"/>
      <c r="AY742" s="28"/>
      <c r="AZ742" s="28"/>
      <c r="BA742" s="138"/>
      <c r="BB742" s="138"/>
      <c r="BC742" s="141"/>
      <c r="BD742" s="28"/>
      <c r="BE742" s="28"/>
      <c r="BF742" s="28"/>
      <c r="BG742" s="138"/>
      <c r="BH742" s="141"/>
      <c r="BI742" s="28" t="s">
        <v>994</v>
      </c>
      <c r="BJ742" s="28"/>
      <c r="BK742" s="141"/>
    </row>
    <row r="743" spans="3:64" x14ac:dyDescent="0.3">
      <c r="C743" s="142"/>
      <c r="D743" s="142"/>
      <c r="E743" s="143"/>
      <c r="F743" s="142"/>
      <c r="G743" s="143"/>
      <c r="H743" s="143"/>
      <c r="I743" s="199"/>
      <c r="J743" s="143">
        <v>4</v>
      </c>
      <c r="K743" s="143" t="s">
        <v>958</v>
      </c>
      <c r="L743" s="146">
        <v>171</v>
      </c>
      <c r="O743" s="138"/>
      <c r="P743" s="138"/>
      <c r="Q743" s="196"/>
      <c r="R743" s="138"/>
      <c r="S743" s="196"/>
      <c r="T743" s="141"/>
      <c r="U743" s="138"/>
      <c r="V743" s="196"/>
      <c r="W743" s="138"/>
      <c r="X743" s="141"/>
      <c r="Y743" s="28"/>
      <c r="Z743" s="28"/>
      <c r="AA743" s="42" t="s">
        <v>84</v>
      </c>
      <c r="AB743" s="42">
        <v>920</v>
      </c>
      <c r="AC743" s="40">
        <v>906</v>
      </c>
      <c r="AD743" s="28">
        <v>0</v>
      </c>
      <c r="AE743" s="28">
        <v>0</v>
      </c>
      <c r="AF743" s="28">
        <v>0</v>
      </c>
      <c r="AG743" s="42">
        <v>0</v>
      </c>
      <c r="AH743" s="40">
        <v>0</v>
      </c>
      <c r="AI743" s="41">
        <v>0</v>
      </c>
      <c r="AJ743" s="43">
        <v>14</v>
      </c>
      <c r="AK743" s="28" t="s">
        <v>141</v>
      </c>
      <c r="AL743" s="40"/>
      <c r="AO743" s="138" t="s">
        <v>72</v>
      </c>
      <c r="AP743" s="138">
        <v>18</v>
      </c>
      <c r="AQ743" s="141">
        <v>23</v>
      </c>
      <c r="AR743" s="138">
        <v>0</v>
      </c>
      <c r="AS743" s="141">
        <v>0</v>
      </c>
      <c r="AT743" s="28"/>
      <c r="AU743" t="s">
        <v>1751</v>
      </c>
      <c r="AV743" s="28"/>
      <c r="AW743" s="28"/>
      <c r="AX743" s="141"/>
      <c r="AY743" s="28"/>
      <c r="AZ743" s="28"/>
      <c r="BA743" s="138" t="s">
        <v>113</v>
      </c>
      <c r="BB743" s="138">
        <v>550</v>
      </c>
      <c r="BC743" s="141">
        <v>527</v>
      </c>
      <c r="BD743" s="28">
        <v>0</v>
      </c>
      <c r="BE743" s="43">
        <v>0</v>
      </c>
      <c r="BF743" s="43">
        <v>0</v>
      </c>
      <c r="BG743" s="138">
        <v>0</v>
      </c>
      <c r="BH743" s="141">
        <v>0</v>
      </c>
      <c r="BI743" s="43">
        <v>26</v>
      </c>
      <c r="BJ743" s="28" t="s">
        <v>100</v>
      </c>
      <c r="BK743" s="141"/>
    </row>
    <row r="744" spans="3:64" ht="15" thickBot="1" x14ac:dyDescent="0.35">
      <c r="C744" s="134" t="s">
        <v>105</v>
      </c>
      <c r="D744" s="134">
        <v>1241</v>
      </c>
      <c r="E744" s="135">
        <v>926</v>
      </c>
      <c r="F744" s="134"/>
      <c r="G744" s="243">
        <v>847</v>
      </c>
      <c r="H744" s="135"/>
      <c r="I744" s="195"/>
      <c r="J744" s="135" t="s">
        <v>162</v>
      </c>
      <c r="K744" s="135"/>
      <c r="L744" s="136"/>
      <c r="O744" s="138"/>
      <c r="P744" s="138"/>
      <c r="Q744" s="196"/>
      <c r="R744" s="138"/>
      <c r="S744" s="196"/>
      <c r="T744" s="141"/>
      <c r="U744" s="138"/>
      <c r="V744" s="196"/>
      <c r="W744" s="138"/>
      <c r="X744" s="141"/>
      <c r="Y744" s="28"/>
      <c r="Z744" s="28"/>
      <c r="AA744" s="47"/>
      <c r="AB744" s="47"/>
      <c r="AC744" s="49"/>
      <c r="AD744" s="48"/>
      <c r="AE744" s="48"/>
      <c r="AF744" s="48"/>
      <c r="AG744" s="47"/>
      <c r="AH744" s="49"/>
      <c r="AI744" s="46"/>
      <c r="AJ744" s="48">
        <v>1</v>
      </c>
      <c r="AK744" s="48" t="s">
        <v>996</v>
      </c>
      <c r="AL744" s="49">
        <v>17</v>
      </c>
      <c r="AO744" s="138" t="s">
        <v>78</v>
      </c>
      <c r="AP744" s="138">
        <v>87</v>
      </c>
      <c r="AQ744" s="141">
        <v>74</v>
      </c>
      <c r="AR744" s="138">
        <v>0</v>
      </c>
      <c r="AS744" s="141">
        <v>0</v>
      </c>
      <c r="AT744" s="28"/>
      <c r="AU744" s="28"/>
      <c r="AV744" s="28" t="s">
        <v>1752</v>
      </c>
      <c r="AW744" s="28" t="s">
        <v>1753</v>
      </c>
      <c r="AX744" s="141"/>
      <c r="AY744" s="28"/>
      <c r="AZ744" s="28"/>
      <c r="BA744" s="142" t="s">
        <v>84</v>
      </c>
      <c r="BB744" s="142">
        <v>550</v>
      </c>
      <c r="BC744" s="146">
        <v>550</v>
      </c>
      <c r="BD744" s="28">
        <v>0</v>
      </c>
      <c r="BE744" s="28">
        <v>0</v>
      </c>
      <c r="BF744" s="28">
        <v>0</v>
      </c>
      <c r="BG744" s="142">
        <v>0</v>
      </c>
      <c r="BH744" s="146">
        <v>0</v>
      </c>
      <c r="BI744" s="43">
        <v>21</v>
      </c>
      <c r="BJ744" s="43" t="s">
        <v>1292</v>
      </c>
      <c r="BK744" s="146">
        <v>47</v>
      </c>
    </row>
    <row r="745" spans="3:64" x14ac:dyDescent="0.3">
      <c r="C745" s="138" t="s">
        <v>99</v>
      </c>
      <c r="D745" s="138">
        <v>465</v>
      </c>
      <c r="E745" s="43">
        <v>477</v>
      </c>
      <c r="F745" s="138"/>
      <c r="G745" s="107">
        <v>1315</v>
      </c>
      <c r="H745" s="28"/>
      <c r="I745" s="196"/>
      <c r="J745" s="28"/>
      <c r="K745" s="28"/>
      <c r="L745" s="141"/>
      <c r="O745" s="138"/>
      <c r="P745" s="138"/>
      <c r="Q745" s="196"/>
      <c r="R745" s="138"/>
      <c r="S745" s="196"/>
      <c r="T745" s="141"/>
      <c r="U745" s="138"/>
      <c r="V745" s="196"/>
      <c r="W745" s="138"/>
      <c r="X745" s="141"/>
      <c r="Y745" s="28"/>
      <c r="Z745" s="28"/>
      <c r="AA745" s="42" t="s">
        <v>99</v>
      </c>
      <c r="AB745" s="42">
        <v>0</v>
      </c>
      <c r="AC745" s="40">
        <v>0</v>
      </c>
      <c r="AD745" s="43">
        <v>0</v>
      </c>
      <c r="AE745" s="43">
        <v>0</v>
      </c>
      <c r="AF745" s="43">
        <v>0</v>
      </c>
      <c r="AG745" s="42">
        <v>11134</v>
      </c>
      <c r="AH745" s="40">
        <v>9386</v>
      </c>
      <c r="AI745" s="41">
        <v>0</v>
      </c>
      <c r="AJ745" s="28" t="s">
        <v>149</v>
      </c>
      <c r="AK745" s="28"/>
      <c r="AL745" s="40"/>
      <c r="AO745" s="138" t="s">
        <v>67</v>
      </c>
      <c r="AP745" s="138">
        <v>32</v>
      </c>
      <c r="AQ745" s="141">
        <v>32</v>
      </c>
      <c r="AR745" s="138">
        <v>0</v>
      </c>
      <c r="AS745" s="141">
        <v>0</v>
      </c>
      <c r="AT745" s="28"/>
      <c r="AU745" s="43"/>
      <c r="AV745" s="43" t="s">
        <v>713</v>
      </c>
      <c r="AW745" s="28" t="s">
        <v>1754</v>
      </c>
      <c r="AX745" s="28"/>
      <c r="AY745" s="28"/>
      <c r="AZ745" s="28"/>
      <c r="BA745" s="195" t="s">
        <v>133</v>
      </c>
      <c r="BB745" s="134">
        <v>9</v>
      </c>
      <c r="BC745" s="135">
        <v>13</v>
      </c>
      <c r="BD745" s="32" t="s">
        <v>17</v>
      </c>
      <c r="BE745" s="34" t="s">
        <v>1755</v>
      </c>
      <c r="BF745" s="35"/>
      <c r="BG745" s="135"/>
      <c r="BH745" s="136"/>
      <c r="BI745" s="134" t="s">
        <v>140</v>
      </c>
      <c r="BJ745" s="135"/>
      <c r="BK745" s="136"/>
    </row>
    <row r="746" spans="3:64" x14ac:dyDescent="0.3">
      <c r="C746" s="138"/>
      <c r="D746" s="138"/>
      <c r="E746" s="28"/>
      <c r="F746" s="138"/>
      <c r="G746" s="28"/>
      <c r="H746" s="28"/>
      <c r="I746" s="196"/>
      <c r="J746" s="43">
        <v>43</v>
      </c>
      <c r="K746" s="28" t="s">
        <v>101</v>
      </c>
      <c r="L746" s="141"/>
      <c r="O746" s="138"/>
      <c r="P746" s="138"/>
      <c r="Q746" s="196"/>
      <c r="R746" s="138"/>
      <c r="S746" s="196"/>
      <c r="T746" s="141"/>
      <c r="U746" s="138"/>
      <c r="V746" s="196"/>
      <c r="W746" s="138"/>
      <c r="X746" s="141"/>
      <c r="Y746" s="28"/>
      <c r="Z746" s="28"/>
      <c r="AA746" s="42" t="s">
        <v>174</v>
      </c>
      <c r="AB746" s="42">
        <v>0</v>
      </c>
      <c r="AC746" s="40">
        <v>0</v>
      </c>
      <c r="AD746" s="28">
        <v>0</v>
      </c>
      <c r="AE746" s="28">
        <v>0</v>
      </c>
      <c r="AF746" s="28">
        <v>0</v>
      </c>
      <c r="AG746" s="42">
        <v>44598</v>
      </c>
      <c r="AH746" s="40">
        <v>0</v>
      </c>
      <c r="AI746" s="41">
        <v>0</v>
      </c>
      <c r="AJ746" s="43">
        <v>4</v>
      </c>
      <c r="AK746" s="28" t="s">
        <v>1318</v>
      </c>
      <c r="AL746" s="40"/>
      <c r="AO746" s="138" t="s">
        <v>115</v>
      </c>
      <c r="AP746" s="138">
        <v>16</v>
      </c>
      <c r="AQ746" s="141">
        <v>23</v>
      </c>
      <c r="AR746" s="138">
        <v>0</v>
      </c>
      <c r="AS746" s="141">
        <v>0</v>
      </c>
      <c r="AT746" s="28"/>
      <c r="AU746" s="43"/>
      <c r="AV746" s="43" t="s">
        <v>1756</v>
      </c>
      <c r="AW746" s="28"/>
      <c r="AX746" s="141"/>
      <c r="AY746" s="28"/>
      <c r="AZ746" s="28"/>
      <c r="BA746" s="196" t="s">
        <v>113</v>
      </c>
      <c r="BB746" s="138">
        <v>85</v>
      </c>
      <c r="BC746" s="43">
        <v>108</v>
      </c>
      <c r="BD746" s="41"/>
      <c r="BE746" s="28"/>
      <c r="BF746" s="40"/>
      <c r="BG746" s="28"/>
      <c r="BH746" s="141"/>
      <c r="BI746" s="138"/>
      <c r="BJ746" s="28"/>
      <c r="BK746" s="141"/>
    </row>
    <row r="747" spans="3:64" ht="15" thickBot="1" x14ac:dyDescent="0.35">
      <c r="C747" s="138" t="s">
        <v>84</v>
      </c>
      <c r="D747" s="142">
        <f>SUM(D744:D746)</f>
        <v>1706</v>
      </c>
      <c r="E747" s="143">
        <v>1407</v>
      </c>
      <c r="F747" s="142"/>
      <c r="G747" s="250">
        <f>SUM(G744:G746)</f>
        <v>2162</v>
      </c>
      <c r="H747" s="143"/>
      <c r="I747" s="199">
        <v>7245</v>
      </c>
      <c r="J747" s="143"/>
      <c r="K747" s="143"/>
      <c r="L747" s="146">
        <v>43</v>
      </c>
      <c r="O747" s="138"/>
      <c r="P747" s="138"/>
      <c r="Q747" s="196"/>
      <c r="R747" s="138"/>
      <c r="S747" s="196"/>
      <c r="T747" s="141"/>
      <c r="U747" s="138"/>
      <c r="V747" s="196"/>
      <c r="W747" s="138"/>
      <c r="X747" s="141"/>
      <c r="AA747" s="42" t="s">
        <v>84</v>
      </c>
      <c r="AB747" s="42">
        <v>0</v>
      </c>
      <c r="AC747" s="40">
        <v>0</v>
      </c>
      <c r="AD747" s="43">
        <v>0</v>
      </c>
      <c r="AE747" s="43">
        <v>0</v>
      </c>
      <c r="AF747" s="43">
        <v>0</v>
      </c>
      <c r="AG747" s="42">
        <f>SUM(AG745:AG746)</f>
        <v>55732</v>
      </c>
      <c r="AH747" s="40">
        <f>SUM(AH745:AH746)</f>
        <v>9386</v>
      </c>
      <c r="AI747" s="41">
        <v>0</v>
      </c>
      <c r="AJ747" s="43"/>
      <c r="AK747" s="43"/>
      <c r="AL747" s="40">
        <v>4</v>
      </c>
      <c r="AO747" s="138" t="s">
        <v>81</v>
      </c>
      <c r="AP747" s="138">
        <v>8</v>
      </c>
      <c r="AQ747" s="141">
        <v>6</v>
      </c>
      <c r="AR747" s="138">
        <v>0</v>
      </c>
      <c r="AS747" s="141">
        <v>0</v>
      </c>
      <c r="AT747" s="28"/>
      <c r="AU747" s="43"/>
      <c r="AV747" s="43" t="s">
        <v>1757</v>
      </c>
      <c r="AW747" s="43"/>
      <c r="AX747" s="141"/>
      <c r="AY747" s="28"/>
      <c r="AZ747" s="178"/>
      <c r="BA747" s="196" t="s">
        <v>1758</v>
      </c>
      <c r="BB747" s="138">
        <v>2</v>
      </c>
      <c r="BC747" s="43">
        <v>0</v>
      </c>
      <c r="BD747" s="46" t="s">
        <v>1759</v>
      </c>
      <c r="BE747" s="48" t="s">
        <v>43</v>
      </c>
      <c r="BF747" s="49" t="s">
        <v>1760</v>
      </c>
      <c r="BG747" s="28"/>
      <c r="BH747" s="141"/>
      <c r="BI747" s="138"/>
      <c r="BJ747" s="28"/>
      <c r="BK747" s="141"/>
    </row>
    <row r="748" spans="3:64" x14ac:dyDescent="0.3">
      <c r="C748" s="195" t="s">
        <v>181</v>
      </c>
      <c r="D748" s="135">
        <v>3130</v>
      </c>
      <c r="E748" s="135">
        <v>2840</v>
      </c>
      <c r="F748" s="134"/>
      <c r="G748" s="135" t="s">
        <v>1291</v>
      </c>
      <c r="H748" s="136"/>
      <c r="I748" s="195"/>
      <c r="J748" s="134" t="s">
        <v>182</v>
      </c>
      <c r="K748" s="135"/>
      <c r="L748" s="136"/>
      <c r="O748" s="142" t="s">
        <v>84</v>
      </c>
      <c r="P748" s="142">
        <v>35983</v>
      </c>
      <c r="Q748" s="199">
        <v>71546</v>
      </c>
      <c r="R748" s="142">
        <v>0</v>
      </c>
      <c r="S748" s="199">
        <v>0</v>
      </c>
      <c r="T748" s="143"/>
      <c r="U748" s="142">
        <v>3627</v>
      </c>
      <c r="V748" s="199">
        <v>87</v>
      </c>
      <c r="W748" s="142"/>
      <c r="X748" s="146"/>
      <c r="AA748" s="278"/>
      <c r="AB748" s="278"/>
      <c r="AC748" s="279"/>
      <c r="AD748" s="135"/>
      <c r="AE748" s="135"/>
      <c r="AF748" s="135"/>
      <c r="AG748" s="278"/>
      <c r="AH748" s="279"/>
      <c r="AI748" s="314"/>
      <c r="AJ748" s="135" t="s">
        <v>157</v>
      </c>
      <c r="AK748" s="135"/>
      <c r="AL748" s="279"/>
      <c r="AO748" s="138" t="s">
        <v>230</v>
      </c>
      <c r="AP748" s="138">
        <v>2</v>
      </c>
      <c r="AQ748" s="141">
        <v>3</v>
      </c>
      <c r="AR748" s="138">
        <v>0</v>
      </c>
      <c r="AS748" s="141">
        <v>0</v>
      </c>
      <c r="AT748" s="28"/>
      <c r="AU748" s="43"/>
      <c r="AV748" s="43" t="s">
        <v>254</v>
      </c>
      <c r="AW748" s="28"/>
      <c r="AX748" s="141"/>
      <c r="AY748" s="28"/>
      <c r="AZ748" s="28"/>
      <c r="BA748" s="196" t="s">
        <v>468</v>
      </c>
      <c r="BB748" s="138">
        <v>0</v>
      </c>
      <c r="BC748" s="141">
        <v>3</v>
      </c>
      <c r="BD748" s="324" t="s">
        <v>1761</v>
      </c>
      <c r="BE748" s="43">
        <v>3</v>
      </c>
      <c r="BF748" s="141">
        <v>0</v>
      </c>
      <c r="BG748" s="138"/>
      <c r="BH748" s="141"/>
      <c r="BI748" s="138" t="s">
        <v>142</v>
      </c>
      <c r="BJ748" s="28">
        <v>9</v>
      </c>
      <c r="BK748" s="141" t="s">
        <v>682</v>
      </c>
    </row>
    <row r="749" spans="3:64" x14ac:dyDescent="0.3">
      <c r="C749" s="196"/>
      <c r="D749" s="28"/>
      <c r="E749" s="28"/>
      <c r="F749" s="138"/>
      <c r="G749" s="28" t="s">
        <v>1291</v>
      </c>
      <c r="H749" s="141"/>
      <c r="I749" s="196"/>
      <c r="J749" s="138">
        <v>0</v>
      </c>
      <c r="K749" s="28" t="s">
        <v>927</v>
      </c>
      <c r="L749" s="141"/>
      <c r="R749" s="236"/>
      <c r="AA749" s="42" t="s">
        <v>99</v>
      </c>
      <c r="AB749" s="42"/>
      <c r="AC749" s="40"/>
      <c r="AD749" s="43">
        <v>0</v>
      </c>
      <c r="AE749" s="43">
        <v>0</v>
      </c>
      <c r="AF749" s="43">
        <v>0</v>
      </c>
      <c r="AG749" s="42">
        <v>220109</v>
      </c>
      <c r="AH749" s="40">
        <v>64587</v>
      </c>
      <c r="AI749" s="41">
        <v>0</v>
      </c>
      <c r="AJ749" s="43">
        <v>9</v>
      </c>
      <c r="AK749" s="28" t="s">
        <v>1318</v>
      </c>
      <c r="AL749" s="40"/>
      <c r="AO749" s="138" t="s">
        <v>63</v>
      </c>
      <c r="AP749" s="138">
        <v>17</v>
      </c>
      <c r="AQ749" s="141">
        <v>21</v>
      </c>
      <c r="AR749" s="138">
        <v>0</v>
      </c>
      <c r="AS749" s="141">
        <v>0</v>
      </c>
      <c r="AT749" s="28"/>
      <c r="AU749" s="43"/>
      <c r="AV749" s="43" t="s">
        <v>1762</v>
      </c>
      <c r="AW749" s="28"/>
      <c r="AX749" s="141"/>
      <c r="AY749" s="28"/>
      <c r="AZ749" s="28"/>
      <c r="BA749" s="196" t="s">
        <v>218</v>
      </c>
      <c r="BB749" s="138">
        <v>15</v>
      </c>
      <c r="BC749" s="141">
        <v>55</v>
      </c>
      <c r="BD749" s="324" t="s">
        <v>1763</v>
      </c>
      <c r="BE749" s="28">
        <v>6</v>
      </c>
      <c r="BF749" s="141">
        <v>3</v>
      </c>
      <c r="BG749" s="138"/>
      <c r="BH749" s="141"/>
      <c r="BI749" s="138" t="s">
        <v>146</v>
      </c>
      <c r="BJ749" s="28"/>
      <c r="BK749" s="256" t="s">
        <v>1764</v>
      </c>
    </row>
    <row r="750" spans="3:64" ht="15" thickBot="1" x14ac:dyDescent="0.35">
      <c r="C750" s="196" t="s">
        <v>84</v>
      </c>
      <c r="D750" s="28">
        <v>3128</v>
      </c>
      <c r="E750" s="43">
        <v>2840</v>
      </c>
      <c r="F750" s="138"/>
      <c r="G750" s="28" t="s">
        <v>1291</v>
      </c>
      <c r="H750" s="141"/>
      <c r="I750" s="196">
        <v>3988</v>
      </c>
      <c r="J750" s="138">
        <v>3</v>
      </c>
      <c r="K750" s="28" t="s">
        <v>101</v>
      </c>
      <c r="L750" s="141"/>
      <c r="AA750" s="42" t="s">
        <v>6</v>
      </c>
      <c r="AB750" s="42"/>
      <c r="AC750" s="40"/>
      <c r="AD750" s="28"/>
      <c r="AE750" s="28"/>
      <c r="AF750" s="28"/>
      <c r="AG750" s="42"/>
      <c r="AH750" s="40"/>
      <c r="AI750" s="41"/>
      <c r="AJ750" s="28">
        <v>0</v>
      </c>
      <c r="AK750" s="28" t="s">
        <v>163</v>
      </c>
      <c r="AL750" s="40"/>
      <c r="AO750" s="138" t="s">
        <v>122</v>
      </c>
      <c r="AP750" s="138">
        <v>18</v>
      </c>
      <c r="AQ750" s="141">
        <v>12</v>
      </c>
      <c r="AR750" s="138">
        <v>0</v>
      </c>
      <c r="AS750" s="141">
        <v>0</v>
      </c>
      <c r="AT750" s="28"/>
      <c r="AU750" s="43"/>
      <c r="AV750" s="43" t="s">
        <v>447</v>
      </c>
      <c r="AW750" s="28"/>
      <c r="AX750" s="141"/>
      <c r="AY750" s="28"/>
      <c r="AZ750" s="28"/>
      <c r="BA750" s="196" t="s">
        <v>211</v>
      </c>
      <c r="BB750" s="138">
        <v>3</v>
      </c>
      <c r="BC750" s="141">
        <v>0</v>
      </c>
      <c r="BD750" s="324" t="s">
        <v>1765</v>
      </c>
      <c r="BE750" s="43">
        <v>2</v>
      </c>
      <c r="BF750" s="141">
        <v>3</v>
      </c>
      <c r="BG750" s="138"/>
      <c r="BH750" s="141"/>
      <c r="BI750" s="138"/>
      <c r="BJ750" s="28"/>
      <c r="BK750" s="141" t="s">
        <v>1766</v>
      </c>
    </row>
    <row r="751" spans="3:64" ht="15" thickBot="1" x14ac:dyDescent="0.35">
      <c r="C751" s="199"/>
      <c r="D751" s="28"/>
      <c r="E751" s="28"/>
      <c r="F751" s="142"/>
      <c r="G751" s="143"/>
      <c r="H751" s="146"/>
      <c r="I751" s="196"/>
      <c r="J751" s="138">
        <v>24</v>
      </c>
      <c r="K751" s="43" t="s">
        <v>94</v>
      </c>
      <c r="L751" s="141">
        <v>27</v>
      </c>
      <c r="AA751" s="33" t="s">
        <v>102</v>
      </c>
      <c r="AB751" s="33">
        <v>40</v>
      </c>
      <c r="AC751" s="35">
        <v>62</v>
      </c>
      <c r="AD751" s="34">
        <v>0</v>
      </c>
      <c r="AE751" s="34">
        <v>0</v>
      </c>
      <c r="AF751" s="34">
        <v>0</v>
      </c>
      <c r="AG751" s="33">
        <v>0</v>
      </c>
      <c r="AH751" s="34">
        <v>0</v>
      </c>
      <c r="AI751" s="32">
        <v>0</v>
      </c>
      <c r="AJ751" s="34" t="s">
        <v>1326</v>
      </c>
      <c r="AK751" s="34"/>
      <c r="AL751" s="35"/>
      <c r="AO751" s="138" t="s">
        <v>132</v>
      </c>
      <c r="AP751" s="138">
        <v>2</v>
      </c>
      <c r="AQ751" s="141">
        <v>4</v>
      </c>
      <c r="AR751" s="138">
        <v>0</v>
      </c>
      <c r="AS751" s="141">
        <v>0</v>
      </c>
      <c r="AT751" s="28"/>
      <c r="AU751" s="43"/>
      <c r="AV751" s="43" t="s">
        <v>803</v>
      </c>
      <c r="AW751" s="28"/>
      <c r="AX751" s="141"/>
      <c r="AY751" s="28"/>
      <c r="AZ751" s="28"/>
      <c r="BA751" s="196" t="s">
        <v>564</v>
      </c>
      <c r="BB751" s="138">
        <v>1</v>
      </c>
      <c r="BC751" s="141">
        <v>1</v>
      </c>
      <c r="BD751" s="324" t="s">
        <v>1767</v>
      </c>
      <c r="BE751" s="43">
        <v>0</v>
      </c>
      <c r="BF751" s="141">
        <v>0</v>
      </c>
      <c r="BG751" s="138"/>
      <c r="BH751" s="141"/>
      <c r="BI751" s="138" t="s">
        <v>151</v>
      </c>
      <c r="BJ751" s="28" t="s">
        <v>1325</v>
      </c>
      <c r="BK751" s="141" t="s">
        <v>1768</v>
      </c>
    </row>
    <row r="752" spans="3:64" ht="15" thickBot="1" x14ac:dyDescent="0.35">
      <c r="C752" s="47" t="s">
        <v>84</v>
      </c>
      <c r="D752" s="253">
        <v>43937</v>
      </c>
      <c r="E752" s="253">
        <v>43974</v>
      </c>
      <c r="F752" s="253"/>
      <c r="G752" s="253">
        <v>2554</v>
      </c>
      <c r="H752" s="253"/>
      <c r="I752" s="254">
        <v>60156</v>
      </c>
      <c r="J752" s="171" t="s">
        <v>844</v>
      </c>
      <c r="K752" s="170"/>
      <c r="L752" s="172">
        <v>390</v>
      </c>
      <c r="AA752" s="42" t="s">
        <v>88</v>
      </c>
      <c r="AB752" s="42">
        <v>224</v>
      </c>
      <c r="AC752" s="40">
        <v>345</v>
      </c>
      <c r="AD752" s="43">
        <v>0</v>
      </c>
      <c r="AE752" s="43">
        <v>0</v>
      </c>
      <c r="AF752" s="43">
        <v>0</v>
      </c>
      <c r="AG752" s="42">
        <v>0</v>
      </c>
      <c r="AH752" s="28">
        <v>0</v>
      </c>
      <c r="AI752" s="41">
        <v>0</v>
      </c>
      <c r="AJ752" s="43">
        <v>9</v>
      </c>
      <c r="AK752" s="28" t="s">
        <v>780</v>
      </c>
      <c r="AL752" s="40"/>
      <c r="AO752" s="138" t="s">
        <v>1319</v>
      </c>
      <c r="AP752" s="138"/>
      <c r="AQ752" s="141"/>
      <c r="AR752" s="138">
        <v>0</v>
      </c>
      <c r="AS752" s="141">
        <v>0</v>
      </c>
      <c r="AT752" s="28"/>
      <c r="AU752" s="43"/>
      <c r="AV752" s="43" t="s">
        <v>1769</v>
      </c>
      <c r="AW752" s="28"/>
      <c r="AX752" s="141"/>
      <c r="BA752" s="196" t="s">
        <v>947</v>
      </c>
      <c r="BB752" s="138">
        <v>0</v>
      </c>
      <c r="BC752" s="141">
        <v>0</v>
      </c>
      <c r="BD752" s="324" t="s">
        <v>1770</v>
      </c>
      <c r="BE752" s="43">
        <v>0</v>
      </c>
      <c r="BF752" s="141">
        <v>0</v>
      </c>
      <c r="BG752" s="138"/>
      <c r="BH752" s="141"/>
      <c r="BI752" s="138" t="s">
        <v>1257</v>
      </c>
      <c r="BJ752" s="257"/>
      <c r="BK752" s="141" t="s">
        <v>1331</v>
      </c>
    </row>
    <row r="753" spans="27:63" ht="15" thickBot="1" x14ac:dyDescent="0.35">
      <c r="AA753" s="47" t="s">
        <v>84</v>
      </c>
      <c r="AB753" s="202">
        <f>SUM(AB751:AB752)</f>
        <v>264</v>
      </c>
      <c r="AC753" s="203">
        <f>SUM(AC751:AC752)</f>
        <v>407</v>
      </c>
      <c r="AD753" s="48">
        <v>0</v>
      </c>
      <c r="AE753" s="48">
        <v>0</v>
      </c>
      <c r="AF753" s="48">
        <v>0</v>
      </c>
      <c r="AG753" s="202">
        <v>0</v>
      </c>
      <c r="AH753" s="48">
        <v>0</v>
      </c>
      <c r="AI753" s="46">
        <v>0</v>
      </c>
      <c r="AJ753" s="48"/>
      <c r="AK753" s="48"/>
      <c r="AL753" s="49">
        <v>63</v>
      </c>
      <c r="AO753" s="138" t="s">
        <v>84</v>
      </c>
      <c r="AP753" s="138">
        <v>217</v>
      </c>
      <c r="AQ753" s="141">
        <v>216</v>
      </c>
      <c r="AR753" s="138">
        <v>0</v>
      </c>
      <c r="AS753" s="141">
        <v>0</v>
      </c>
      <c r="AT753" s="28"/>
      <c r="AU753" s="43"/>
      <c r="AV753" s="43" t="s">
        <v>1771</v>
      </c>
      <c r="AW753" s="28"/>
      <c r="AX753" s="141">
        <v>58</v>
      </c>
      <c r="BA753" s="196" t="s">
        <v>403</v>
      </c>
      <c r="BB753" s="138">
        <v>8</v>
      </c>
      <c r="BC753" s="141">
        <v>4</v>
      </c>
      <c r="BD753" s="324" t="s">
        <v>1772</v>
      </c>
      <c r="BE753" s="43">
        <v>0</v>
      </c>
      <c r="BF753" s="141">
        <v>2</v>
      </c>
      <c r="BG753" s="138"/>
      <c r="BH753" s="141"/>
      <c r="BI753" s="212" t="s">
        <v>1773</v>
      </c>
      <c r="BJ753" s="28" t="s">
        <v>1774</v>
      </c>
      <c r="BK753" s="141" t="s">
        <v>544</v>
      </c>
    </row>
    <row r="754" spans="27:63" ht="15" thickBot="1" x14ac:dyDescent="0.35">
      <c r="AA754" s="254" t="s">
        <v>84</v>
      </c>
      <c r="AB754" s="171">
        <v>3323</v>
      </c>
      <c r="AC754" s="172">
        <v>6708</v>
      </c>
      <c r="AD754" s="171">
        <v>0</v>
      </c>
      <c r="AE754" s="170">
        <v>0</v>
      </c>
      <c r="AF754" s="172">
        <v>0</v>
      </c>
      <c r="AG754" s="171">
        <v>275841</v>
      </c>
      <c r="AH754" s="172">
        <v>73973</v>
      </c>
      <c r="AI754" s="254">
        <v>0</v>
      </c>
      <c r="AJ754" s="170" t="s">
        <v>199</v>
      </c>
      <c r="AK754" s="170"/>
      <c r="AL754" s="172">
        <v>130</v>
      </c>
      <c r="AO754" s="171" t="s">
        <v>84</v>
      </c>
      <c r="AP754" s="171">
        <v>1552</v>
      </c>
      <c r="AQ754" s="172">
        <v>1744</v>
      </c>
      <c r="AR754" s="170">
        <v>0</v>
      </c>
      <c r="AS754" s="172">
        <v>0</v>
      </c>
      <c r="AT754" s="170"/>
      <c r="AU754" s="170"/>
      <c r="AV754" s="170"/>
      <c r="AW754" s="170"/>
      <c r="AX754" s="172">
        <v>221</v>
      </c>
      <c r="BA754" s="196" t="s">
        <v>596</v>
      </c>
      <c r="BB754" s="138">
        <v>14</v>
      </c>
      <c r="BC754" s="141">
        <v>7</v>
      </c>
      <c r="BD754" s="324" t="s">
        <v>1775</v>
      </c>
      <c r="BE754" s="43">
        <v>1</v>
      </c>
      <c r="BF754" s="141">
        <v>3</v>
      </c>
      <c r="BG754" s="138"/>
      <c r="BH754" s="141"/>
      <c r="BI754" s="212" t="s">
        <v>714</v>
      </c>
      <c r="BJ754" s="43" t="s">
        <v>1776</v>
      </c>
      <c r="BK754" s="141" t="s">
        <v>1436</v>
      </c>
    </row>
    <row r="755" spans="27:63" x14ac:dyDescent="0.3">
      <c r="AO755" s="28"/>
      <c r="AP755" s="28"/>
      <c r="AQ755" s="28"/>
      <c r="AR755" s="28"/>
      <c r="AS755" s="28"/>
      <c r="AT755" s="28"/>
      <c r="AU755" s="43"/>
      <c r="AV755" s="43"/>
      <c r="AW755" s="28"/>
      <c r="AX755" s="28"/>
      <c r="BA755" s="196" t="s">
        <v>169</v>
      </c>
      <c r="BB755" s="138">
        <v>0</v>
      </c>
      <c r="BC755" s="141">
        <v>3</v>
      </c>
      <c r="BD755" s="324" t="s">
        <v>1777</v>
      </c>
      <c r="BE755" s="43">
        <v>0</v>
      </c>
      <c r="BF755" s="141">
        <v>0</v>
      </c>
      <c r="BG755" s="138"/>
      <c r="BH755" s="141"/>
      <c r="BI755" s="138" t="s">
        <v>1778</v>
      </c>
      <c r="BJ755" s="43" t="s">
        <v>1779</v>
      </c>
      <c r="BK755" s="141" t="s">
        <v>1780</v>
      </c>
    </row>
    <row r="756" spans="27:63" x14ac:dyDescent="0.3">
      <c r="AO756" s="28"/>
      <c r="AP756" s="28"/>
      <c r="AQ756" s="28"/>
      <c r="AR756" s="28"/>
      <c r="AS756" s="28"/>
      <c r="AT756" s="28"/>
      <c r="AU756" s="43"/>
      <c r="AV756" s="43"/>
      <c r="AW756" s="28"/>
      <c r="AX756" s="28"/>
      <c r="BA756" s="196" t="s">
        <v>358</v>
      </c>
      <c r="BB756" s="138">
        <v>0</v>
      </c>
      <c r="BC756" s="141">
        <v>24</v>
      </c>
      <c r="BD756" s="324" t="s">
        <v>1781</v>
      </c>
      <c r="BE756" s="43">
        <v>0</v>
      </c>
      <c r="BF756" s="141">
        <v>0</v>
      </c>
      <c r="BG756" s="138"/>
      <c r="BH756" s="141"/>
      <c r="BI756" s="138" t="s">
        <v>534</v>
      </c>
      <c r="BJ756" s="43" t="s">
        <v>1782</v>
      </c>
      <c r="BK756" s="141" t="s">
        <v>307</v>
      </c>
    </row>
    <row r="757" spans="27:63" x14ac:dyDescent="0.3">
      <c r="AO757" s="28"/>
      <c r="AP757" s="28"/>
      <c r="AQ757" s="28"/>
      <c r="AR757" s="28"/>
      <c r="AS757" s="28"/>
      <c r="AT757" s="28"/>
      <c r="AU757" s="43"/>
      <c r="AV757" s="43"/>
      <c r="AW757" s="28"/>
      <c r="AX757" s="28"/>
      <c r="BA757" s="196" t="s">
        <v>85</v>
      </c>
      <c r="BB757" s="138">
        <v>1</v>
      </c>
      <c r="BC757" s="141">
        <v>4</v>
      </c>
      <c r="BD757" s="324" t="s">
        <v>1783</v>
      </c>
      <c r="BE757" s="43">
        <v>0</v>
      </c>
      <c r="BF757" s="141">
        <v>0</v>
      </c>
      <c r="BG757" s="138"/>
      <c r="BH757" s="141"/>
      <c r="BI757" s="212" t="s">
        <v>1270</v>
      </c>
      <c r="BJ757" s="43" t="s">
        <v>1310</v>
      </c>
      <c r="BK757" s="141" t="s">
        <v>1270</v>
      </c>
    </row>
    <row r="758" spans="27:63" x14ac:dyDescent="0.3">
      <c r="AO758" s="28"/>
      <c r="AP758" s="28"/>
      <c r="AQ758" s="28"/>
      <c r="AR758" s="28"/>
      <c r="AS758" s="28"/>
      <c r="AT758" s="28"/>
      <c r="AU758" s="43"/>
      <c r="AV758" s="28"/>
      <c r="AW758" s="28"/>
      <c r="AX758" s="28"/>
      <c r="BA758" s="196" t="s">
        <v>1784</v>
      </c>
      <c r="BB758" s="138">
        <v>0</v>
      </c>
      <c r="BC758" s="141">
        <v>0</v>
      </c>
      <c r="BD758" s="324" t="s">
        <v>1785</v>
      </c>
      <c r="BE758" s="43">
        <v>0</v>
      </c>
      <c r="BF758" s="141">
        <v>0</v>
      </c>
      <c r="BG758" s="138"/>
      <c r="BH758" s="141"/>
      <c r="BI758" s="138" t="s">
        <v>1786</v>
      </c>
      <c r="BJ758" s="43" t="s">
        <v>650</v>
      </c>
      <c r="BK758" s="209" t="s">
        <v>1313</v>
      </c>
    </row>
    <row r="759" spans="27:63" ht="15.6" x14ac:dyDescent="0.3"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BA759" s="196" t="s">
        <v>1041</v>
      </c>
      <c r="BB759" s="138">
        <v>3</v>
      </c>
      <c r="BC759" s="141">
        <v>0</v>
      </c>
      <c r="BD759" s="324" t="s">
        <v>1787</v>
      </c>
      <c r="BE759" s="43">
        <v>0</v>
      </c>
      <c r="BF759" s="141">
        <v>0</v>
      </c>
      <c r="BG759" s="138"/>
      <c r="BH759" s="141"/>
      <c r="BI759" s="138" t="s">
        <v>1619</v>
      </c>
      <c r="BJ759" s="258" t="s">
        <v>1788</v>
      </c>
      <c r="BK759" s="209" t="s">
        <v>1724</v>
      </c>
    </row>
    <row r="760" spans="27:63" x14ac:dyDescent="0.3"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BA760" s="196" t="s">
        <v>1789</v>
      </c>
      <c r="BB760" s="138">
        <v>2</v>
      </c>
      <c r="BC760" s="141">
        <v>0</v>
      </c>
      <c r="BD760" s="324" t="s">
        <v>1790</v>
      </c>
      <c r="BE760" s="43">
        <v>8</v>
      </c>
      <c r="BF760" s="141">
        <v>0</v>
      </c>
      <c r="BG760" s="138"/>
      <c r="BH760" s="141"/>
      <c r="BI760" s="138" t="s">
        <v>1791</v>
      </c>
      <c r="BJ760" s="43" t="s">
        <v>1103</v>
      </c>
      <c r="BK760" s="141" t="s">
        <v>791</v>
      </c>
    </row>
    <row r="761" spans="27:63" ht="15.6" x14ac:dyDescent="0.3">
      <c r="BA761" s="259" t="s">
        <v>657</v>
      </c>
      <c r="BB761" s="138">
        <v>0</v>
      </c>
      <c r="BC761" s="141">
        <v>0</v>
      </c>
      <c r="BD761" s="324" t="s">
        <v>1792</v>
      </c>
      <c r="BE761" s="43">
        <v>9</v>
      </c>
      <c r="BF761" s="141">
        <v>9</v>
      </c>
      <c r="BG761" s="138"/>
      <c r="BH761" s="141"/>
      <c r="BI761" s="138" t="s">
        <v>1793</v>
      </c>
      <c r="BJ761" s="258" t="s">
        <v>1056</v>
      </c>
      <c r="BK761" s="260" t="s">
        <v>1794</v>
      </c>
    </row>
    <row r="762" spans="27:63" ht="15.6" x14ac:dyDescent="0.3">
      <c r="BA762" s="196" t="s">
        <v>200</v>
      </c>
      <c r="BB762" s="138">
        <v>8</v>
      </c>
      <c r="BC762" s="141">
        <v>3</v>
      </c>
      <c r="BD762" s="324" t="s">
        <v>1795</v>
      </c>
      <c r="BE762" s="43">
        <v>2</v>
      </c>
      <c r="BF762" s="141">
        <v>0</v>
      </c>
      <c r="BG762" s="138"/>
      <c r="BH762" s="141"/>
      <c r="BI762" s="138" t="s">
        <v>691</v>
      </c>
      <c r="BJ762" s="258" t="s">
        <v>345</v>
      </c>
      <c r="BK762" s="141"/>
    </row>
    <row r="763" spans="27:63" ht="15.6" x14ac:dyDescent="0.3">
      <c r="BA763" s="196" t="s">
        <v>250</v>
      </c>
      <c r="BB763" s="138">
        <v>0</v>
      </c>
      <c r="BC763" s="141">
        <v>3</v>
      </c>
      <c r="BD763" s="324" t="s">
        <v>1796</v>
      </c>
      <c r="BE763" s="43">
        <v>2</v>
      </c>
      <c r="BF763" s="141">
        <v>2</v>
      </c>
      <c r="BG763" s="138"/>
      <c r="BH763" s="141"/>
      <c r="BI763" s="138" t="s">
        <v>280</v>
      </c>
      <c r="BJ763" s="258" t="s">
        <v>1216</v>
      </c>
      <c r="BK763" s="141"/>
    </row>
    <row r="764" spans="27:63" ht="15.6" x14ac:dyDescent="0.3">
      <c r="BA764" s="196" t="s">
        <v>93</v>
      </c>
      <c r="BB764" s="138">
        <v>0</v>
      </c>
      <c r="BC764" s="141">
        <v>2</v>
      </c>
      <c r="BD764" s="324" t="s">
        <v>1797</v>
      </c>
      <c r="BE764" s="43">
        <v>0</v>
      </c>
      <c r="BF764" s="141">
        <v>0</v>
      </c>
      <c r="BG764" s="138"/>
      <c r="BH764" s="141"/>
      <c r="BI764" s="138" t="s">
        <v>571</v>
      </c>
      <c r="BJ764" s="258" t="s">
        <v>1798</v>
      </c>
      <c r="BK764" s="141"/>
    </row>
    <row r="765" spans="27:63" ht="15.6" x14ac:dyDescent="0.3">
      <c r="BA765" s="196" t="s">
        <v>523</v>
      </c>
      <c r="BB765" s="138">
        <v>4</v>
      </c>
      <c r="BC765" s="141">
        <v>142</v>
      </c>
      <c r="BD765" s="324" t="s">
        <v>1799</v>
      </c>
      <c r="BE765" s="43">
        <v>0</v>
      </c>
      <c r="BF765" s="141">
        <v>0</v>
      </c>
      <c r="BG765" s="138"/>
      <c r="BH765" s="141"/>
      <c r="BI765" s="138" t="s">
        <v>510</v>
      </c>
      <c r="BJ765" s="258" t="s">
        <v>989</v>
      </c>
      <c r="BK765" s="141"/>
    </row>
    <row r="766" spans="27:63" ht="15.6" x14ac:dyDescent="0.3">
      <c r="BA766" s="196" t="s">
        <v>429</v>
      </c>
      <c r="BB766" s="138">
        <v>0</v>
      </c>
      <c r="BC766" s="141">
        <v>2</v>
      </c>
      <c r="BD766" s="196"/>
      <c r="BE766" s="43"/>
      <c r="BF766" s="141"/>
      <c r="BG766" s="138"/>
      <c r="BH766" s="141"/>
      <c r="BI766" s="138" t="s">
        <v>507</v>
      </c>
      <c r="BJ766" s="258" t="s">
        <v>1800</v>
      </c>
      <c r="BK766" s="141"/>
    </row>
    <row r="767" spans="27:63" ht="15.6" x14ac:dyDescent="0.3"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BA767" s="196" t="s">
        <v>384</v>
      </c>
      <c r="BB767" s="138">
        <v>1</v>
      </c>
      <c r="BC767" s="141">
        <v>1</v>
      </c>
      <c r="BD767" s="196"/>
      <c r="BE767" s="43"/>
      <c r="BF767" s="141"/>
      <c r="BG767" s="138"/>
      <c r="BH767" s="141"/>
      <c r="BI767" s="138" t="s">
        <v>1801</v>
      </c>
      <c r="BJ767" s="258"/>
      <c r="BK767" s="141"/>
    </row>
    <row r="768" spans="27:63" ht="15.6" x14ac:dyDescent="0.3"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43"/>
      <c r="AL768" s="28"/>
      <c r="BA768" s="196" t="s">
        <v>64</v>
      </c>
      <c r="BB768" s="138">
        <v>0</v>
      </c>
      <c r="BC768" s="141">
        <v>2</v>
      </c>
      <c r="BD768" s="196"/>
      <c r="BE768" s="43"/>
      <c r="BF768" s="141"/>
      <c r="BG768" s="138"/>
      <c r="BH768" s="141"/>
      <c r="BI768" s="138" t="s">
        <v>1802</v>
      </c>
      <c r="BJ768" s="258"/>
      <c r="BK768" s="141"/>
    </row>
    <row r="769" spans="26:64" ht="15.6" x14ac:dyDescent="0.3"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BA769" s="211" t="s">
        <v>139</v>
      </c>
      <c r="BB769" s="212">
        <v>1</v>
      </c>
      <c r="BC769" s="209">
        <v>0</v>
      </c>
      <c r="BD769" s="196"/>
      <c r="BE769" s="28"/>
      <c r="BF769" s="141"/>
      <c r="BG769" s="138"/>
      <c r="BH769" s="141"/>
      <c r="BI769" s="138" t="s">
        <v>1803</v>
      </c>
      <c r="BJ769" s="258"/>
      <c r="BK769" s="141"/>
    </row>
    <row r="770" spans="26:64" x14ac:dyDescent="0.3">
      <c r="AA770" s="28"/>
      <c r="AB770" s="28"/>
      <c r="AC770" s="28"/>
      <c r="AD770" s="28"/>
      <c r="AE770" s="28"/>
      <c r="AF770" s="28"/>
      <c r="AG770" s="28"/>
      <c r="AH770" s="28"/>
      <c r="AI770" s="43"/>
      <c r="AJ770" s="28"/>
      <c r="AK770" s="28"/>
      <c r="AL770" s="28"/>
      <c r="BA770" s="239" t="s">
        <v>108</v>
      </c>
      <c r="BB770" s="263">
        <v>1</v>
      </c>
      <c r="BC770" s="264">
        <v>1</v>
      </c>
      <c r="BD770" s="199"/>
      <c r="BE770" s="143"/>
      <c r="BF770" s="146"/>
      <c r="BG770" s="142"/>
      <c r="BH770" s="146"/>
      <c r="BI770" s="323" t="s">
        <v>1033</v>
      </c>
      <c r="BJ770" s="143"/>
      <c r="BK770" s="146">
        <v>91</v>
      </c>
    </row>
    <row r="771" spans="26:64" x14ac:dyDescent="0.3">
      <c r="AA771" s="28"/>
      <c r="AB771" s="28"/>
      <c r="AC771" s="28"/>
      <c r="AD771" s="28"/>
      <c r="AE771" s="28"/>
      <c r="AF771" s="28"/>
      <c r="AG771" s="28"/>
      <c r="AH771" s="28"/>
      <c r="AI771" s="43"/>
      <c r="AJ771" s="28"/>
      <c r="AK771" s="28"/>
      <c r="AL771" s="28"/>
      <c r="BA771" s="265" t="s">
        <v>84</v>
      </c>
      <c r="BB771" s="247">
        <v>158</v>
      </c>
      <c r="BC771" s="266">
        <v>375</v>
      </c>
      <c r="BD771" s="325" t="s">
        <v>84</v>
      </c>
      <c r="BE771" s="198">
        <v>33</v>
      </c>
      <c r="BF771" s="249">
        <v>22</v>
      </c>
      <c r="BG771" s="197"/>
      <c r="BH771" s="249"/>
      <c r="BI771" s="198"/>
      <c r="BJ771" s="198"/>
      <c r="BK771" s="249">
        <v>296</v>
      </c>
    </row>
    <row r="772" spans="26:64" x14ac:dyDescent="0.3">
      <c r="AA772" s="28"/>
      <c r="AB772" s="28"/>
      <c r="AC772" s="28"/>
      <c r="AD772" s="28"/>
      <c r="AE772" s="28"/>
      <c r="AF772" s="28"/>
      <c r="AG772" s="28"/>
      <c r="AH772" s="28"/>
      <c r="AI772" s="43"/>
      <c r="AJ772" s="28"/>
      <c r="AK772" s="28"/>
      <c r="AL772" s="28"/>
      <c r="BA772" s="28" t="s">
        <v>223</v>
      </c>
      <c r="BB772" s="43">
        <v>8654</v>
      </c>
      <c r="BC772" s="186">
        <v>10956</v>
      </c>
      <c r="BD772" s="184" t="s">
        <v>1804</v>
      </c>
      <c r="BE772" t="s">
        <v>1805</v>
      </c>
      <c r="BF772" t="s">
        <v>1806</v>
      </c>
    </row>
    <row r="773" spans="26:64" x14ac:dyDescent="0.3">
      <c r="AA773" s="28"/>
      <c r="AB773" s="28"/>
      <c r="AC773" s="28"/>
      <c r="AD773" s="28"/>
      <c r="AE773" s="28"/>
      <c r="AF773" s="28"/>
      <c r="AG773" s="28"/>
      <c r="AH773" s="28"/>
      <c r="AI773" s="43"/>
      <c r="AJ773" s="28"/>
      <c r="AK773" s="28"/>
      <c r="AL773" s="28"/>
      <c r="BA773" s="28" t="s">
        <v>1340</v>
      </c>
      <c r="BB773" s="28"/>
      <c r="BC773" s="186">
        <v>296</v>
      </c>
    </row>
    <row r="774" spans="26:64" x14ac:dyDescent="0.3">
      <c r="AA774" s="28"/>
      <c r="AB774" s="28"/>
      <c r="AC774" s="28"/>
      <c r="AD774" s="28"/>
      <c r="AE774" s="28"/>
      <c r="AF774" s="28"/>
      <c r="AG774" s="28"/>
      <c r="AH774" s="28"/>
      <c r="AI774" s="43"/>
      <c r="AJ774" s="28"/>
      <c r="AK774" s="28"/>
      <c r="AL774" s="28"/>
      <c r="BA774" s="28" t="s">
        <v>229</v>
      </c>
      <c r="BB774" s="28"/>
      <c r="BC774" s="186">
        <v>4</v>
      </c>
    </row>
    <row r="775" spans="26:64" x14ac:dyDescent="0.3">
      <c r="AA775" s="28"/>
      <c r="AB775" s="28"/>
      <c r="AC775" s="28"/>
      <c r="AD775" s="28"/>
      <c r="AE775" s="28"/>
      <c r="AF775" s="28"/>
      <c r="AG775" s="28"/>
      <c r="AH775" s="28"/>
      <c r="AI775" s="43"/>
      <c r="AJ775" s="28"/>
      <c r="AK775" s="28"/>
      <c r="AL775" s="28"/>
      <c r="BA775" t="s">
        <v>232</v>
      </c>
      <c r="BC775" s="178" t="s">
        <v>233</v>
      </c>
      <c r="BE775">
        <v>1552</v>
      </c>
      <c r="BG775" t="s">
        <v>234</v>
      </c>
      <c r="BI775" t="s">
        <v>233</v>
      </c>
      <c r="BK775">
        <v>8654</v>
      </c>
    </row>
    <row r="776" spans="26:64" x14ac:dyDescent="0.3">
      <c r="AA776" s="28"/>
      <c r="AB776" s="28"/>
      <c r="AC776" s="28"/>
      <c r="AD776" s="28"/>
      <c r="AE776" s="28"/>
      <c r="AF776" s="28"/>
      <c r="AG776" s="28"/>
      <c r="AH776" s="28"/>
      <c r="AI776" s="43"/>
      <c r="AJ776" s="28"/>
      <c r="AK776" s="28"/>
      <c r="AL776" s="28"/>
      <c r="BC776" t="s">
        <v>236</v>
      </c>
      <c r="BE776">
        <v>1744</v>
      </c>
      <c r="BI776" t="s">
        <v>236</v>
      </c>
      <c r="BK776">
        <v>10956</v>
      </c>
    </row>
    <row r="777" spans="26:64" x14ac:dyDescent="0.3">
      <c r="AA777" s="28"/>
      <c r="AB777" s="28"/>
      <c r="AC777" s="28"/>
      <c r="AD777" s="28"/>
      <c r="AE777" s="28"/>
      <c r="AF777" s="28"/>
      <c r="AG777" s="28"/>
      <c r="AH777" s="28"/>
      <c r="AI777" s="43"/>
      <c r="AJ777" s="28"/>
      <c r="AK777" s="28"/>
      <c r="AL777" s="28"/>
      <c r="BA777" t="s">
        <v>238</v>
      </c>
      <c r="BB777" t="s">
        <v>239</v>
      </c>
      <c r="BD777" t="s">
        <v>240</v>
      </c>
      <c r="BE777" t="s">
        <v>241</v>
      </c>
      <c r="BH777" t="s">
        <v>242</v>
      </c>
      <c r="BI777" s="131" t="s">
        <v>243</v>
      </c>
    </row>
    <row r="778" spans="26:64" x14ac:dyDescent="0.3">
      <c r="AA778" s="28"/>
      <c r="AB778" s="28"/>
      <c r="AC778" s="28"/>
      <c r="AD778" s="28"/>
      <c r="AE778" s="28"/>
      <c r="AF778" s="28"/>
      <c r="AG778" s="28"/>
      <c r="AH778" s="28"/>
      <c r="AI778" s="43"/>
      <c r="AJ778" s="28"/>
      <c r="AK778" s="28"/>
      <c r="AL778" s="28"/>
      <c r="BA778" t="s">
        <v>233</v>
      </c>
      <c r="BC778">
        <v>43937</v>
      </c>
      <c r="BD778" s="236" t="s">
        <v>233</v>
      </c>
      <c r="BF778">
        <v>3323</v>
      </c>
      <c r="BG778" t="s">
        <v>233</v>
      </c>
      <c r="BI778">
        <v>10031</v>
      </c>
      <c r="BJ778" t="s">
        <v>245</v>
      </c>
      <c r="BK778">
        <v>29641</v>
      </c>
    </row>
    <row r="779" spans="26:64" x14ac:dyDescent="0.3">
      <c r="AA779" s="28"/>
      <c r="AB779" s="28"/>
      <c r="AC779" s="28"/>
      <c r="AD779" s="28"/>
      <c r="AE779" s="28"/>
      <c r="AF779" s="28"/>
      <c r="AG779" s="28"/>
      <c r="AH779" s="28"/>
      <c r="AI779" s="28"/>
      <c r="AJ779" s="43"/>
      <c r="AK779" s="28"/>
      <c r="AL779" s="28"/>
      <c r="BA779" t="s">
        <v>236</v>
      </c>
      <c r="BC779">
        <v>45174</v>
      </c>
      <c r="BD779" s="236" t="s">
        <v>236</v>
      </c>
      <c r="BF779">
        <v>6708</v>
      </c>
      <c r="BG779" t="s">
        <v>236</v>
      </c>
      <c r="BI779">
        <v>19610</v>
      </c>
      <c r="BK779">
        <v>89111</v>
      </c>
      <c r="BL779">
        <v>118752</v>
      </c>
    </row>
    <row r="780" spans="26:64" x14ac:dyDescent="0.3"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</row>
    <row r="781" spans="26:64" x14ac:dyDescent="0.3"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43"/>
      <c r="AK781" s="28"/>
      <c r="AL781" s="28"/>
    </row>
    <row r="782" spans="26:64" x14ac:dyDescent="0.3"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</row>
    <row r="783" spans="26:64" x14ac:dyDescent="0.3">
      <c r="Z783" s="28"/>
      <c r="AA783" s="28"/>
      <c r="AB783" s="28"/>
      <c r="AC783" s="28"/>
      <c r="AD783" s="28"/>
      <c r="AE783" s="28"/>
      <c r="AF783" s="28"/>
      <c r="AG783" s="28"/>
      <c r="AH783" s="43"/>
      <c r="AI783" s="28"/>
      <c r="AJ783" s="28"/>
      <c r="AK783" s="28"/>
      <c r="AL783" s="28"/>
    </row>
    <row r="784" spans="26:64" x14ac:dyDescent="0.3">
      <c r="Z784" s="28"/>
      <c r="AA784" s="28"/>
      <c r="AB784" s="28"/>
      <c r="AC784" s="28"/>
      <c r="AD784" s="28"/>
      <c r="AE784" s="28"/>
      <c r="AF784" s="28"/>
      <c r="AG784" s="28"/>
      <c r="AH784" s="28"/>
      <c r="AI784" s="43"/>
      <c r="AJ784" s="28"/>
      <c r="AK784" s="28"/>
      <c r="AL784" s="28"/>
    </row>
    <row r="785" spans="3:64" x14ac:dyDescent="0.3">
      <c r="Z785" s="43"/>
      <c r="AA785" s="43"/>
      <c r="AB785" s="43"/>
      <c r="AC785" s="28"/>
      <c r="AD785" s="43"/>
      <c r="AE785" s="28"/>
      <c r="AF785" s="28"/>
      <c r="AG785" s="28"/>
      <c r="AH785" s="43"/>
      <c r="AI785" s="43"/>
      <c r="AJ785" s="43"/>
      <c r="AK785" s="28"/>
      <c r="AL785" s="28"/>
    </row>
    <row r="786" spans="3:64" x14ac:dyDescent="0.3">
      <c r="Z786" s="28"/>
      <c r="AA786" s="28"/>
      <c r="AB786" s="28"/>
      <c r="AC786" s="28"/>
      <c r="AD786" s="28"/>
      <c r="AE786" s="28"/>
      <c r="AF786" s="28"/>
      <c r="AG786" s="28"/>
      <c r="AH786" s="43"/>
      <c r="AI786" s="43"/>
      <c r="AJ786" s="28"/>
      <c r="AK786" s="28"/>
      <c r="AL786" s="28"/>
      <c r="AO786" s="28"/>
      <c r="AP786" s="28"/>
      <c r="AQ786" s="28"/>
      <c r="AR786" s="28"/>
      <c r="AS786" s="28"/>
      <c r="AT786" s="28"/>
      <c r="AU786" s="43"/>
      <c r="AV786" s="43"/>
      <c r="AW786" s="28"/>
      <c r="AX786" s="28"/>
    </row>
    <row r="787" spans="3:64" x14ac:dyDescent="0.3"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O787" s="28"/>
      <c r="AP787" s="28"/>
      <c r="AQ787" s="28"/>
      <c r="AR787" s="28"/>
      <c r="AS787" s="28"/>
      <c r="AT787" s="28"/>
      <c r="AU787" s="43"/>
      <c r="AV787" s="43"/>
      <c r="AW787" s="28"/>
      <c r="AX787" s="28"/>
    </row>
    <row r="788" spans="3:64" x14ac:dyDescent="0.3">
      <c r="E788" t="s">
        <v>0</v>
      </c>
      <c r="S788" t="s">
        <v>1</v>
      </c>
      <c r="Z788" s="28"/>
      <c r="AE788" t="s">
        <v>0</v>
      </c>
      <c r="AR788" t="s">
        <v>4</v>
      </c>
      <c r="BE788" t="s">
        <v>5</v>
      </c>
      <c r="BH788" s="28"/>
      <c r="BI788" s="28"/>
      <c r="BJ788" s="28"/>
      <c r="BK788" s="28"/>
      <c r="BL788" s="28"/>
    </row>
    <row r="789" spans="3:64" x14ac:dyDescent="0.3">
      <c r="F789" t="s">
        <v>2</v>
      </c>
      <c r="S789" s="237" t="s">
        <v>1286</v>
      </c>
      <c r="T789" s="237"/>
      <c r="U789" s="237"/>
      <c r="Z789" s="28"/>
      <c r="AE789" t="s">
        <v>9</v>
      </c>
      <c r="AS789" t="s">
        <v>2</v>
      </c>
      <c r="BF789" t="s">
        <v>2</v>
      </c>
      <c r="BH789" s="28"/>
      <c r="BI789" s="28"/>
      <c r="BJ789" s="28"/>
      <c r="BK789" s="28"/>
      <c r="BL789" s="28"/>
    </row>
    <row r="790" spans="3:64" x14ac:dyDescent="0.3">
      <c r="C790" t="s">
        <v>6</v>
      </c>
      <c r="E790" t="s">
        <v>7</v>
      </c>
      <c r="R790" t="s">
        <v>8</v>
      </c>
      <c r="Z790" s="28"/>
      <c r="AE790" t="s">
        <v>11</v>
      </c>
      <c r="AQ790" t="s">
        <v>12</v>
      </c>
      <c r="BD790" t="s">
        <v>13</v>
      </c>
      <c r="BH790" s="28"/>
      <c r="BI790" s="28"/>
      <c r="BJ790" s="28"/>
      <c r="BK790" s="28"/>
      <c r="BL790" s="28"/>
    </row>
    <row r="791" spans="3:64" x14ac:dyDescent="0.3">
      <c r="D791" s="408" t="s">
        <v>1872</v>
      </c>
      <c r="E791" s="408"/>
      <c r="F791" s="408"/>
      <c r="G791" s="408"/>
      <c r="H791" s="408"/>
      <c r="R791" s="408" t="s">
        <v>1807</v>
      </c>
      <c r="S791" s="408"/>
      <c r="T791" s="408"/>
      <c r="U791" s="408"/>
      <c r="Z791" s="28"/>
      <c r="AE791" s="408" t="s">
        <v>1807</v>
      </c>
      <c r="AF791" s="408"/>
      <c r="AG791" s="408"/>
      <c r="AH791" s="408"/>
      <c r="AR791" s="408" t="s">
        <v>1807</v>
      </c>
      <c r="AS791" s="408"/>
      <c r="AT791" s="408"/>
      <c r="AY791" s="28"/>
      <c r="AZ791" s="28"/>
      <c r="BE791" s="409" t="s">
        <v>1807</v>
      </c>
      <c r="BF791" s="409"/>
      <c r="BG791" s="409"/>
      <c r="BH791" s="28"/>
      <c r="BI791" s="28"/>
      <c r="BJ791" s="238" t="s">
        <v>950</v>
      </c>
      <c r="BK791" s="28"/>
      <c r="BL791" s="28"/>
    </row>
    <row r="792" spans="3:64" x14ac:dyDescent="0.3">
      <c r="K792" s="194" t="s">
        <v>949</v>
      </c>
      <c r="X792" t="s">
        <v>15</v>
      </c>
      <c r="Z792" s="28"/>
      <c r="AK792" s="28" t="s">
        <v>25</v>
      </c>
      <c r="AW792" s="194" t="s">
        <v>951</v>
      </c>
      <c r="AY792" s="28"/>
      <c r="AZ792" s="28"/>
      <c r="BA792" s="195" t="s">
        <v>17</v>
      </c>
      <c r="BB792" s="134" t="s">
        <v>27</v>
      </c>
      <c r="BC792" s="135"/>
      <c r="BD792" s="134" t="s">
        <v>28</v>
      </c>
      <c r="BE792" s="135"/>
      <c r="BF792" s="136"/>
      <c r="BG792" s="134" t="s">
        <v>1289</v>
      </c>
      <c r="BH792" s="136"/>
      <c r="BI792" s="135" t="s">
        <v>31</v>
      </c>
      <c r="BJ792" s="135"/>
      <c r="BK792" s="136"/>
      <c r="BL792" s="28"/>
    </row>
    <row r="793" spans="3:64" x14ac:dyDescent="0.3">
      <c r="C793" s="134" t="s">
        <v>17</v>
      </c>
      <c r="D793" s="134" t="s">
        <v>18</v>
      </c>
      <c r="E793" s="136"/>
      <c r="F793" s="135" t="s">
        <v>19</v>
      </c>
      <c r="G793" s="135"/>
      <c r="H793" s="135"/>
      <c r="I793" s="195" t="s">
        <v>20</v>
      </c>
      <c r="J793" s="135" t="s">
        <v>21</v>
      </c>
      <c r="K793" s="135"/>
      <c r="L793" s="136"/>
      <c r="O793" s="134" t="s">
        <v>17</v>
      </c>
      <c r="P793" s="135" t="s">
        <v>22</v>
      </c>
      <c r="Q793" s="135"/>
      <c r="R793" s="135" t="s">
        <v>23</v>
      </c>
      <c r="S793" s="135"/>
      <c r="T793" s="135"/>
      <c r="U793" s="135" t="s">
        <v>24</v>
      </c>
      <c r="V793" s="135"/>
      <c r="W793" s="135" t="s">
        <v>21</v>
      </c>
      <c r="X793" s="136"/>
      <c r="Z793" s="28"/>
      <c r="AA793" s="134" t="s">
        <v>34</v>
      </c>
      <c r="AB793" s="134" t="s">
        <v>35</v>
      </c>
      <c r="AC793" s="136"/>
      <c r="AD793" s="135" t="s">
        <v>36</v>
      </c>
      <c r="AE793" s="135"/>
      <c r="AF793" s="135"/>
      <c r="AG793" s="134" t="s">
        <v>37</v>
      </c>
      <c r="AH793" s="136" t="s">
        <v>1288</v>
      </c>
      <c r="AI793" s="135" t="s">
        <v>30</v>
      </c>
      <c r="AJ793" s="134" t="s">
        <v>38</v>
      </c>
      <c r="AK793" s="135"/>
      <c r="AL793" s="136"/>
      <c r="AO793" s="134" t="s">
        <v>17</v>
      </c>
      <c r="AP793" s="134" t="s">
        <v>39</v>
      </c>
      <c r="AQ793" s="136"/>
      <c r="AR793" s="134" t="s">
        <v>29</v>
      </c>
      <c r="AS793" s="136" t="s">
        <v>30</v>
      </c>
      <c r="AT793" s="135" t="s">
        <v>40</v>
      </c>
      <c r="AU793" s="135"/>
      <c r="AV793" s="135"/>
      <c r="AW793" s="135"/>
      <c r="AX793" s="136"/>
      <c r="AY793" s="28"/>
      <c r="AZ793" s="28"/>
      <c r="BA793" s="196"/>
      <c r="BB793" s="138"/>
      <c r="BC793" s="28"/>
      <c r="BD793" s="138"/>
      <c r="BE793" s="28"/>
      <c r="BF793" s="141"/>
      <c r="BG793" s="138"/>
      <c r="BH793" s="141"/>
      <c r="BI793" s="28" t="s">
        <v>41</v>
      </c>
      <c r="BJ793" s="28"/>
      <c r="BK793" s="141"/>
      <c r="BL793" s="28"/>
    </row>
    <row r="794" spans="3:64" ht="15" thickBot="1" x14ac:dyDescent="0.35">
      <c r="C794" s="138" t="s">
        <v>32</v>
      </c>
      <c r="D794" s="138"/>
      <c r="E794" s="141"/>
      <c r="F794" s="28"/>
      <c r="G794" s="28"/>
      <c r="H794" s="28"/>
      <c r="I794" s="196"/>
      <c r="J794" s="28" t="s">
        <v>33</v>
      </c>
      <c r="K794" s="28"/>
      <c r="L794" s="141"/>
      <c r="O794" s="138"/>
      <c r="P794" s="28"/>
      <c r="Q794" s="28"/>
      <c r="R794" s="28"/>
      <c r="S794" s="28"/>
      <c r="T794" s="28"/>
      <c r="U794" s="28"/>
      <c r="V794" s="28"/>
      <c r="W794" s="28" t="s">
        <v>33</v>
      </c>
      <c r="X794" s="141"/>
      <c r="Z794" s="28"/>
      <c r="AA794" s="138" t="s">
        <v>50</v>
      </c>
      <c r="AB794" s="138" t="s">
        <v>43</v>
      </c>
      <c r="AC794" s="141" t="s">
        <v>44</v>
      </c>
      <c r="AD794" s="28" t="s">
        <v>45</v>
      </c>
      <c r="AE794" s="28" t="s">
        <v>46</v>
      </c>
      <c r="AF794" s="28" t="s">
        <v>52</v>
      </c>
      <c r="AG794" s="138" t="s">
        <v>43</v>
      </c>
      <c r="AH794" s="141" t="s">
        <v>44</v>
      </c>
      <c r="AI794" s="28" t="s">
        <v>43</v>
      </c>
      <c r="AJ794" s="138" t="s">
        <v>53</v>
      </c>
      <c r="AK794" s="28"/>
      <c r="AL794" s="141"/>
      <c r="AO794" s="138" t="s">
        <v>42</v>
      </c>
      <c r="AP794" s="138" t="s">
        <v>43</v>
      </c>
      <c r="AQ794" s="141" t="s">
        <v>44</v>
      </c>
      <c r="AR794" s="138" t="s">
        <v>43</v>
      </c>
      <c r="AS794" s="141" t="s">
        <v>44</v>
      </c>
      <c r="AT794" s="28"/>
      <c r="AU794" s="28"/>
      <c r="AV794" s="28"/>
      <c r="AW794" s="28"/>
      <c r="AX794" s="141"/>
      <c r="AY794" s="28"/>
      <c r="AZ794" s="28"/>
      <c r="BA794" s="199" t="s">
        <v>42</v>
      </c>
      <c r="BB794" s="142" t="s">
        <v>43</v>
      </c>
      <c r="BC794" s="143" t="s">
        <v>44</v>
      </c>
      <c r="BD794" s="142" t="s">
        <v>45</v>
      </c>
      <c r="BE794" s="143" t="s">
        <v>46</v>
      </c>
      <c r="BF794" s="146" t="s">
        <v>52</v>
      </c>
      <c r="BG794" s="142" t="s">
        <v>43</v>
      </c>
      <c r="BH794" s="146"/>
      <c r="BI794" s="143" t="s">
        <v>54</v>
      </c>
      <c r="BJ794" s="143"/>
      <c r="BK794" s="146"/>
      <c r="BL794" s="28"/>
    </row>
    <row r="795" spans="3:64" x14ac:dyDescent="0.3">
      <c r="C795" s="142" t="s">
        <v>42</v>
      </c>
      <c r="D795" s="142" t="s">
        <v>43</v>
      </c>
      <c r="E795" s="143" t="s">
        <v>44</v>
      </c>
      <c r="F795" s="197" t="s">
        <v>45</v>
      </c>
      <c r="G795" s="198" t="s">
        <v>46</v>
      </c>
      <c r="H795" s="198" t="s">
        <v>47</v>
      </c>
      <c r="I795" s="199" t="s">
        <v>48</v>
      </c>
      <c r="J795" s="143" t="s">
        <v>49</v>
      </c>
      <c r="K795" s="143"/>
      <c r="L795" s="146"/>
      <c r="O795" s="142" t="s">
        <v>50</v>
      </c>
      <c r="P795" s="143" t="s">
        <v>43</v>
      </c>
      <c r="Q795" s="143" t="s">
        <v>44</v>
      </c>
      <c r="R795" s="143" t="s">
        <v>43</v>
      </c>
      <c r="S795" s="143" t="s">
        <v>51</v>
      </c>
      <c r="T795" s="143" t="s">
        <v>44</v>
      </c>
      <c r="U795" s="143" t="s">
        <v>43</v>
      </c>
      <c r="V795" s="143" t="s">
        <v>44</v>
      </c>
      <c r="W795" s="143" t="s">
        <v>49</v>
      </c>
      <c r="X795" s="146"/>
      <c r="Z795" s="28"/>
      <c r="AA795" s="33"/>
      <c r="AB795" s="33"/>
      <c r="AC795" s="35"/>
      <c r="AD795" s="34"/>
      <c r="AE795" s="34"/>
      <c r="AF795" s="34"/>
      <c r="AG795" s="33"/>
      <c r="AH795" s="35"/>
      <c r="AI795" s="32"/>
      <c r="AJ795" s="33" t="s">
        <v>62</v>
      </c>
      <c r="AK795" s="34"/>
      <c r="AL795" s="35"/>
      <c r="AO795" s="134"/>
      <c r="AP795" s="134"/>
      <c r="AQ795" s="136"/>
      <c r="AR795" s="134"/>
      <c r="AS795" s="136"/>
      <c r="AT795" s="135"/>
      <c r="AU795" s="135" t="s">
        <v>91</v>
      </c>
      <c r="AV795" s="135"/>
      <c r="AW795" s="135"/>
      <c r="AX795" s="136"/>
      <c r="AY795" s="28"/>
      <c r="AZ795" s="28"/>
      <c r="BA795" s="195" t="s">
        <v>64</v>
      </c>
      <c r="BB795" s="134">
        <v>192</v>
      </c>
      <c r="BC795" s="136">
        <v>131</v>
      </c>
      <c r="BD795" s="134">
        <v>0</v>
      </c>
      <c r="BE795" s="135">
        <v>0</v>
      </c>
      <c r="BF795" s="136">
        <v>0</v>
      </c>
      <c r="BG795" s="134">
        <v>0</v>
      </c>
      <c r="BH795" s="136">
        <v>0</v>
      </c>
      <c r="BI795" s="134" t="s">
        <v>58</v>
      </c>
      <c r="BJ795" s="135"/>
      <c r="BK795" s="136"/>
    </row>
    <row r="796" spans="3:64" x14ac:dyDescent="0.3">
      <c r="C796" s="134"/>
      <c r="D796" s="134"/>
      <c r="E796" s="135"/>
      <c r="F796" s="134"/>
      <c r="G796" s="135"/>
      <c r="H796" s="135"/>
      <c r="I796" s="195"/>
      <c r="J796" s="135" t="s">
        <v>396</v>
      </c>
      <c r="K796" s="135"/>
      <c r="L796" s="136"/>
      <c r="O796" s="134"/>
      <c r="P796" s="134"/>
      <c r="Q796" s="195"/>
      <c r="R796" s="134"/>
      <c r="S796" s="195"/>
      <c r="T796" s="136"/>
      <c r="U796" s="134"/>
      <c r="V796" s="195"/>
      <c r="W796" s="134" t="s">
        <v>396</v>
      </c>
      <c r="X796" s="136"/>
      <c r="Z796" s="28"/>
      <c r="AA796" s="42"/>
      <c r="AB796" s="42"/>
      <c r="AC796" s="40"/>
      <c r="AD796" s="28"/>
      <c r="AE796" s="28"/>
      <c r="AF796" s="28"/>
      <c r="AG796" s="42"/>
      <c r="AH796" s="40"/>
      <c r="AI796" s="41"/>
      <c r="AJ796" s="42">
        <v>0</v>
      </c>
      <c r="AK796" s="28" t="s">
        <v>1290</v>
      </c>
      <c r="AL796" s="40"/>
      <c r="AM796" s="28"/>
      <c r="AN796" s="28"/>
      <c r="AO796" s="138"/>
      <c r="AP796" s="138"/>
      <c r="AQ796" s="141"/>
      <c r="AR796" s="138"/>
      <c r="AS796" s="141"/>
      <c r="AT796" s="28"/>
      <c r="AU796" s="28">
        <v>38</v>
      </c>
      <c r="AV796" s="28" t="s">
        <v>1026</v>
      </c>
      <c r="AW796" s="28"/>
      <c r="AX796" s="141"/>
      <c r="AY796" s="28"/>
      <c r="AZ796" s="28"/>
      <c r="BA796" s="196" t="s">
        <v>56</v>
      </c>
      <c r="BB796" s="138">
        <v>26</v>
      </c>
      <c r="BC796" s="141">
        <v>0</v>
      </c>
      <c r="BD796" s="138">
        <v>0</v>
      </c>
      <c r="BE796" s="43">
        <v>0</v>
      </c>
      <c r="BF796" s="209">
        <v>0</v>
      </c>
      <c r="BG796" s="138">
        <v>0</v>
      </c>
      <c r="BH796" s="141">
        <v>0</v>
      </c>
      <c r="BI796" s="212">
        <v>12</v>
      </c>
      <c r="BJ796" s="28" t="s">
        <v>474</v>
      </c>
      <c r="BK796" s="141" t="s">
        <v>1809</v>
      </c>
    </row>
    <row r="797" spans="3:64" x14ac:dyDescent="0.3">
      <c r="C797" s="138" t="s">
        <v>59</v>
      </c>
      <c r="D797" s="138">
        <v>1097</v>
      </c>
      <c r="E797" s="28">
        <v>831</v>
      </c>
      <c r="F797" s="138"/>
      <c r="G797" s="28" t="s">
        <v>1291</v>
      </c>
      <c r="H797" s="28"/>
      <c r="I797" s="196">
        <v>1126</v>
      </c>
      <c r="J797" s="28">
        <v>4</v>
      </c>
      <c r="K797" s="28" t="s">
        <v>61</v>
      </c>
      <c r="L797" s="141"/>
      <c r="O797" s="138" t="s">
        <v>59</v>
      </c>
      <c r="P797" s="138">
        <v>6547</v>
      </c>
      <c r="Q797" s="196">
        <v>28291</v>
      </c>
      <c r="R797" s="138">
        <v>0</v>
      </c>
      <c r="S797" s="196">
        <v>0</v>
      </c>
      <c r="T797" s="141">
        <v>0</v>
      </c>
      <c r="U797" s="138">
        <v>0</v>
      </c>
      <c r="V797" s="196">
        <v>0</v>
      </c>
      <c r="W797" s="138"/>
      <c r="X797" s="141"/>
      <c r="Z797" s="28"/>
      <c r="AA797" s="42" t="s">
        <v>59</v>
      </c>
      <c r="AB797" s="42">
        <v>2290</v>
      </c>
      <c r="AC797" s="40">
        <v>1831</v>
      </c>
      <c r="AD797" s="28">
        <v>0</v>
      </c>
      <c r="AE797" s="43">
        <v>0</v>
      </c>
      <c r="AF797" s="43">
        <v>0</v>
      </c>
      <c r="AG797" s="42">
        <v>0</v>
      </c>
      <c r="AH797" s="40">
        <v>0</v>
      </c>
      <c r="AI797" s="41">
        <v>0</v>
      </c>
      <c r="AJ797" s="42">
        <v>7</v>
      </c>
      <c r="AK797" s="28" t="s">
        <v>66</v>
      </c>
      <c r="AL797" s="40"/>
      <c r="AM797" s="28"/>
      <c r="AN797" s="28"/>
      <c r="AO797" s="138" t="s">
        <v>56</v>
      </c>
      <c r="AP797" s="138">
        <v>1265</v>
      </c>
      <c r="AQ797" s="141">
        <v>1324</v>
      </c>
      <c r="AR797" s="138">
        <v>0</v>
      </c>
      <c r="AS797" s="141">
        <v>0</v>
      </c>
      <c r="AT797" s="28"/>
      <c r="AU797" s="43">
        <v>1</v>
      </c>
      <c r="AV797" s="28" t="s">
        <v>1292</v>
      </c>
      <c r="AW797" s="43"/>
      <c r="AX797" s="141"/>
      <c r="AY797" s="28"/>
      <c r="AZ797" s="28"/>
      <c r="BA797" s="196" t="s">
        <v>817</v>
      </c>
      <c r="BB797" s="138">
        <v>0</v>
      </c>
      <c r="BC797" s="141">
        <v>16</v>
      </c>
      <c r="BD797" s="138">
        <v>0</v>
      </c>
      <c r="BE797" s="43">
        <v>0</v>
      </c>
      <c r="BF797" s="209">
        <v>0</v>
      </c>
      <c r="BG797" s="138">
        <v>0</v>
      </c>
      <c r="BH797" s="141">
        <v>0</v>
      </c>
      <c r="BI797" s="138">
        <v>2</v>
      </c>
      <c r="BJ797" s="28" t="s">
        <v>69</v>
      </c>
      <c r="BK797" s="141"/>
    </row>
    <row r="798" spans="3:64" ht="15" thickBot="1" x14ac:dyDescent="0.35">
      <c r="C798" s="138" t="s">
        <v>6</v>
      </c>
      <c r="D798" s="138"/>
      <c r="E798" s="28"/>
      <c r="F798" s="138"/>
      <c r="G798" s="28"/>
      <c r="H798" s="28"/>
      <c r="I798" s="196"/>
      <c r="J798" s="28">
        <v>0</v>
      </c>
      <c r="K798" s="28" t="s">
        <v>528</v>
      </c>
      <c r="L798" s="141">
        <v>4</v>
      </c>
      <c r="O798" s="142"/>
      <c r="P798" s="142"/>
      <c r="Q798" s="199"/>
      <c r="R798" s="142"/>
      <c r="S798" s="199"/>
      <c r="T798" s="146"/>
      <c r="U798" s="142"/>
      <c r="V798" s="199"/>
      <c r="W798" s="142"/>
      <c r="X798" s="146"/>
      <c r="Z798" s="28"/>
      <c r="AA798" s="42"/>
      <c r="AB798" s="42"/>
      <c r="AC798" s="40"/>
      <c r="AD798" s="28"/>
      <c r="AE798" s="28"/>
      <c r="AF798" s="28"/>
      <c r="AG798" s="42"/>
      <c r="AH798" s="40"/>
      <c r="AI798" s="41"/>
      <c r="AJ798" s="47">
        <v>0</v>
      </c>
      <c r="AK798" s="48" t="s">
        <v>436</v>
      </c>
      <c r="AL798" s="49">
        <v>7</v>
      </c>
      <c r="AM798" s="28"/>
      <c r="AN798" s="28"/>
      <c r="AO798" s="142" t="s">
        <v>6</v>
      </c>
      <c r="AP798" s="142"/>
      <c r="AQ798" s="146"/>
      <c r="AR798" s="142"/>
      <c r="AS798" s="146"/>
      <c r="AT798" s="143"/>
      <c r="AU798" s="143">
        <v>0</v>
      </c>
      <c r="AV798" s="143" t="s">
        <v>1747</v>
      </c>
      <c r="AW798" s="143"/>
      <c r="AX798" s="146">
        <v>39</v>
      </c>
      <c r="AY798" s="28"/>
      <c r="AZ798" s="28"/>
      <c r="BA798" s="239" t="s">
        <v>84</v>
      </c>
      <c r="BB798" s="142">
        <f>SUM(BB795:BB797)</f>
        <v>218</v>
      </c>
      <c r="BC798" s="146">
        <f>SUM(BC795:BC797)</f>
        <v>147</v>
      </c>
      <c r="BD798" s="142">
        <v>0</v>
      </c>
      <c r="BE798" s="143">
        <v>0</v>
      </c>
      <c r="BF798" s="146">
        <v>0</v>
      </c>
      <c r="BG798" s="142">
        <v>0</v>
      </c>
      <c r="BH798" s="146">
        <v>0</v>
      </c>
      <c r="BI798" s="142"/>
      <c r="BJ798" s="143"/>
      <c r="BK798" s="146">
        <v>14</v>
      </c>
      <c r="BL798" s="28"/>
    </row>
    <row r="799" spans="3:64" x14ac:dyDescent="0.3">
      <c r="C799" s="134"/>
      <c r="D799" s="134"/>
      <c r="E799" s="135"/>
      <c r="F799" s="134"/>
      <c r="G799" s="135"/>
      <c r="H799" s="135"/>
      <c r="I799" s="195"/>
      <c r="J799" s="135" t="s">
        <v>70</v>
      </c>
      <c r="K799" s="135"/>
      <c r="L799" s="136"/>
      <c r="O799" s="134"/>
      <c r="P799" s="134"/>
      <c r="Q799" s="195"/>
      <c r="R799" s="134"/>
      <c r="S799" s="195"/>
      <c r="T799" s="136"/>
      <c r="U799" s="134"/>
      <c r="V799" s="195"/>
      <c r="W799" s="134"/>
      <c r="X799" s="136"/>
      <c r="Z799" s="28"/>
      <c r="AA799" s="32" t="s">
        <v>99</v>
      </c>
      <c r="AB799" s="33">
        <v>0</v>
      </c>
      <c r="AC799" s="35">
        <v>0</v>
      </c>
      <c r="AD799" s="33">
        <v>0</v>
      </c>
      <c r="AE799" s="34">
        <v>0</v>
      </c>
      <c r="AF799" s="35">
        <v>0</v>
      </c>
      <c r="AG799" s="33">
        <v>0</v>
      </c>
      <c r="AH799" s="35">
        <v>0</v>
      </c>
      <c r="AI799" s="32">
        <v>0</v>
      </c>
      <c r="AJ799" s="33" t="s">
        <v>952</v>
      </c>
      <c r="AK799" s="34"/>
      <c r="AL799" s="35"/>
      <c r="AM799" s="43"/>
      <c r="AN799" s="28"/>
      <c r="AO799" s="134"/>
      <c r="AP799" s="134"/>
      <c r="AQ799" s="136"/>
      <c r="AR799" s="134"/>
      <c r="AS799" s="136"/>
      <c r="AT799" s="135"/>
      <c r="AU799" s="135"/>
      <c r="AV799" s="135"/>
      <c r="AW799" s="135"/>
      <c r="AX799" s="136"/>
      <c r="AY799" s="28"/>
      <c r="AZ799" s="28"/>
      <c r="BA799" s="195" t="s">
        <v>56</v>
      </c>
      <c r="BB799" s="134">
        <v>0</v>
      </c>
      <c r="BC799" s="136">
        <v>0</v>
      </c>
      <c r="BD799" s="240">
        <v>0</v>
      </c>
      <c r="BE799" s="241">
        <v>0</v>
      </c>
      <c r="BF799" s="242">
        <v>0</v>
      </c>
      <c r="BG799" s="134">
        <v>3020</v>
      </c>
      <c r="BH799" s="136">
        <v>0</v>
      </c>
      <c r="BI799" s="135"/>
      <c r="BJ799" s="135" t="s">
        <v>92</v>
      </c>
      <c r="BK799" s="136"/>
    </row>
    <row r="800" spans="3:64" x14ac:dyDescent="0.3">
      <c r="C800" s="138" t="s">
        <v>74</v>
      </c>
      <c r="D800" s="138">
        <v>1159</v>
      </c>
      <c r="E800" s="28">
        <v>2639</v>
      </c>
      <c r="F800" s="138"/>
      <c r="G800" s="28" t="s">
        <v>1291</v>
      </c>
      <c r="H800" s="28"/>
      <c r="I800" s="196">
        <v>2743</v>
      </c>
      <c r="J800" s="28">
        <v>0</v>
      </c>
      <c r="K800" s="28" t="s">
        <v>75</v>
      </c>
      <c r="L800" s="141"/>
      <c r="O800" s="138"/>
      <c r="P800" s="138"/>
      <c r="Q800" s="196"/>
      <c r="R800" s="138"/>
      <c r="S800" s="196"/>
      <c r="T800" s="141"/>
      <c r="U800" s="138"/>
      <c r="V800" s="196"/>
      <c r="W800" s="138" t="s">
        <v>80</v>
      </c>
      <c r="X800" s="141"/>
      <c r="Z800" s="28"/>
      <c r="AA800" s="41" t="s">
        <v>76</v>
      </c>
      <c r="AB800" s="42">
        <v>228</v>
      </c>
      <c r="AC800" s="40">
        <v>0</v>
      </c>
      <c r="AD800" s="42">
        <v>0</v>
      </c>
      <c r="AE800" s="43">
        <v>0</v>
      </c>
      <c r="AF800" s="40">
        <v>0</v>
      </c>
      <c r="AG800" s="42">
        <v>0</v>
      </c>
      <c r="AH800" s="40">
        <v>0</v>
      </c>
      <c r="AI800" s="41">
        <v>0</v>
      </c>
      <c r="AJ800" s="67">
        <v>3</v>
      </c>
      <c r="AK800" s="43" t="s">
        <v>1295</v>
      </c>
      <c r="AL800" s="40"/>
      <c r="AM800" s="43"/>
      <c r="AN800" s="28"/>
      <c r="AO800" s="138"/>
      <c r="AP800" s="138"/>
      <c r="AQ800" s="141"/>
      <c r="AR800" s="138"/>
      <c r="AS800" s="141"/>
      <c r="AT800" s="28"/>
      <c r="AU800" s="28" t="s">
        <v>110</v>
      </c>
      <c r="AV800" s="28" t="s">
        <v>111</v>
      </c>
      <c r="AW800" s="28" t="s">
        <v>112</v>
      </c>
      <c r="AX800" s="141"/>
      <c r="AY800" s="28"/>
      <c r="AZ800" s="28"/>
      <c r="BA800" s="196" t="s">
        <v>1247</v>
      </c>
      <c r="BB800" s="138">
        <v>0</v>
      </c>
      <c r="BC800" s="141">
        <v>0</v>
      </c>
      <c r="BD800" s="138">
        <v>0</v>
      </c>
      <c r="BE800" s="43">
        <v>0</v>
      </c>
      <c r="BF800" s="141">
        <v>0</v>
      </c>
      <c r="BG800" s="138">
        <v>6810</v>
      </c>
      <c r="BH800" s="141">
        <v>909</v>
      </c>
      <c r="BI800" s="43">
        <v>33</v>
      </c>
      <c r="BJ800" s="28" t="s">
        <v>1297</v>
      </c>
      <c r="BK800" s="141"/>
    </row>
    <row r="801" spans="3:64" ht="15" thickBot="1" x14ac:dyDescent="0.35">
      <c r="C801" s="138"/>
      <c r="D801" s="138"/>
      <c r="E801" s="28"/>
      <c r="F801" s="138"/>
      <c r="G801" s="28"/>
      <c r="H801" s="28"/>
      <c r="I801" s="196"/>
      <c r="J801" s="28">
        <v>0</v>
      </c>
      <c r="K801" s="28" t="s">
        <v>79</v>
      </c>
      <c r="L801" s="141"/>
      <c r="O801" s="138" t="s">
        <v>74</v>
      </c>
      <c r="P801" s="138">
        <v>6513</v>
      </c>
      <c r="Q801" s="196">
        <v>44</v>
      </c>
      <c r="R801" s="138">
        <v>0</v>
      </c>
      <c r="S801" s="196">
        <v>0</v>
      </c>
      <c r="T801" s="141">
        <v>0</v>
      </c>
      <c r="U801" s="138">
        <v>0</v>
      </c>
      <c r="V801" s="196">
        <v>0</v>
      </c>
      <c r="W801" s="138"/>
      <c r="X801" s="141"/>
      <c r="Z801" s="28"/>
      <c r="AA801" s="46" t="s">
        <v>108</v>
      </c>
      <c r="AB801" s="47">
        <v>0</v>
      </c>
      <c r="AC801" s="49">
        <v>0</v>
      </c>
      <c r="AD801" s="47">
        <v>0</v>
      </c>
      <c r="AE801" s="48">
        <v>0</v>
      </c>
      <c r="AF801" s="73">
        <v>0</v>
      </c>
      <c r="AG801" s="72">
        <v>0</v>
      </c>
      <c r="AH801" s="73">
        <v>0</v>
      </c>
      <c r="AI801" s="62">
        <v>0</v>
      </c>
      <c r="AJ801" s="72"/>
      <c r="AK801" s="51"/>
      <c r="AL801" s="49">
        <v>3</v>
      </c>
      <c r="AM801" s="28"/>
      <c r="AN801" s="28"/>
      <c r="AO801" s="138" t="s">
        <v>56</v>
      </c>
      <c r="AP801" s="138">
        <v>3</v>
      </c>
      <c r="AQ801" s="141">
        <v>3</v>
      </c>
      <c r="AR801" s="138">
        <v>0</v>
      </c>
      <c r="AS801" s="141">
        <v>0</v>
      </c>
      <c r="AT801" s="43"/>
      <c r="AU801" s="28"/>
      <c r="AV801" s="28"/>
      <c r="AW801" s="28"/>
      <c r="AX801" s="141"/>
      <c r="AY801" s="28"/>
      <c r="AZ801" s="28"/>
      <c r="BA801" s="211" t="s">
        <v>64</v>
      </c>
      <c r="BB801" s="138">
        <v>0</v>
      </c>
      <c r="BC801" s="141">
        <v>0</v>
      </c>
      <c r="BD801" s="212">
        <v>0</v>
      </c>
      <c r="BE801" s="43">
        <v>0</v>
      </c>
      <c r="BF801" s="209">
        <v>0</v>
      </c>
      <c r="BG801" s="138">
        <v>3405</v>
      </c>
      <c r="BH801" s="141">
        <v>0</v>
      </c>
      <c r="BI801" s="43"/>
      <c r="BJ801" s="28"/>
      <c r="BK801" s="141"/>
      <c r="BL801" s="28"/>
    </row>
    <row r="802" spans="3:64" x14ac:dyDescent="0.3">
      <c r="C802" s="142"/>
      <c r="D802" s="142"/>
      <c r="E802" s="143"/>
      <c r="F802" s="142"/>
      <c r="G802" s="143"/>
      <c r="H802" s="143"/>
      <c r="I802" s="199"/>
      <c r="J802" s="143">
        <v>17</v>
      </c>
      <c r="K802" s="143" t="s">
        <v>83</v>
      </c>
      <c r="L802" s="146">
        <v>17</v>
      </c>
      <c r="O802" s="142"/>
      <c r="P802" s="142"/>
      <c r="Q802" s="199"/>
      <c r="R802" s="142"/>
      <c r="S802" s="199"/>
      <c r="T802" s="146"/>
      <c r="U802" s="142"/>
      <c r="V802" s="199"/>
      <c r="W802" s="142"/>
      <c r="X802" s="146"/>
      <c r="Z802" s="28"/>
      <c r="AA802" s="32"/>
      <c r="AB802" s="34"/>
      <c r="AC802" s="34"/>
      <c r="AD802" s="33"/>
      <c r="AE802" s="34"/>
      <c r="AF802" s="35"/>
      <c r="AG802" s="34"/>
      <c r="AH802" s="34"/>
      <c r="AI802" s="32"/>
      <c r="AJ802" s="33" t="s">
        <v>1298</v>
      </c>
      <c r="AK802" s="34"/>
      <c r="AL802" s="35"/>
      <c r="AM802" s="28"/>
      <c r="AN802" s="28"/>
      <c r="AO802" s="138" t="s">
        <v>72</v>
      </c>
      <c r="AP802" s="138">
        <v>23</v>
      </c>
      <c r="AQ802" s="141">
        <v>13</v>
      </c>
      <c r="AR802" s="138">
        <v>0</v>
      </c>
      <c r="AS802" s="141">
        <v>0</v>
      </c>
      <c r="AT802" s="28"/>
      <c r="AU802" s="43"/>
      <c r="AV802" s="28"/>
      <c r="AW802" s="28"/>
      <c r="AX802" s="141"/>
      <c r="AY802" s="28"/>
      <c r="AZ802" s="28"/>
      <c r="BA802" s="196" t="s">
        <v>107</v>
      </c>
      <c r="BB802" s="138">
        <v>0</v>
      </c>
      <c r="BC802" s="141">
        <v>0</v>
      </c>
      <c r="BD802" s="138">
        <v>0</v>
      </c>
      <c r="BE802" s="43">
        <v>0</v>
      </c>
      <c r="BF802" s="141">
        <v>0</v>
      </c>
      <c r="BG802" s="138">
        <v>0</v>
      </c>
      <c r="BH802" s="141">
        <v>1818</v>
      </c>
      <c r="BI802" s="43"/>
      <c r="BJ802" s="28"/>
      <c r="BK802" s="141"/>
    </row>
    <row r="803" spans="3:64" x14ac:dyDescent="0.3">
      <c r="C803" s="134"/>
      <c r="D803" s="134"/>
      <c r="E803" s="135"/>
      <c r="F803" s="134"/>
      <c r="G803" s="135"/>
      <c r="H803" s="135"/>
      <c r="I803" s="195"/>
      <c r="J803" s="135" t="s">
        <v>87</v>
      </c>
      <c r="K803" s="135"/>
      <c r="L803" s="136"/>
      <c r="O803" s="134"/>
      <c r="P803" s="134"/>
      <c r="Q803" s="195"/>
      <c r="R803" s="134"/>
      <c r="S803" s="195"/>
      <c r="T803" s="136"/>
      <c r="U803" s="134"/>
      <c r="V803" s="195"/>
      <c r="W803" s="134" t="s">
        <v>6</v>
      </c>
      <c r="X803" s="136"/>
      <c r="Z803" s="28"/>
      <c r="AA803" s="41"/>
      <c r="AD803" s="42"/>
      <c r="AE803" s="28"/>
      <c r="AF803" s="40"/>
      <c r="AI803" s="41"/>
      <c r="AJ803" s="42">
        <v>1</v>
      </c>
      <c r="AK803" s="43" t="s">
        <v>1299</v>
      </c>
      <c r="AL803" s="40" t="s">
        <v>1808</v>
      </c>
      <c r="AM803" s="28"/>
      <c r="AN803" s="28"/>
      <c r="AO803" s="138" t="s">
        <v>78</v>
      </c>
      <c r="AP803" s="138">
        <v>6</v>
      </c>
      <c r="AQ803" s="141">
        <v>9</v>
      </c>
      <c r="AR803" s="138">
        <v>0</v>
      </c>
      <c r="AS803" s="141">
        <v>0</v>
      </c>
      <c r="AT803" s="28"/>
      <c r="AU803" s="28"/>
      <c r="AV803" s="28"/>
      <c r="AW803" s="28"/>
      <c r="AX803" s="141"/>
      <c r="AY803" s="28"/>
      <c r="AZ803" s="28"/>
      <c r="BA803" s="211" t="s">
        <v>99</v>
      </c>
      <c r="BB803" s="138">
        <v>0</v>
      </c>
      <c r="BC803" s="141">
        <v>0</v>
      </c>
      <c r="BD803" s="138">
        <v>0</v>
      </c>
      <c r="BE803" s="43">
        <v>0</v>
      </c>
      <c r="BF803" s="141">
        <v>0</v>
      </c>
      <c r="BG803" s="138">
        <v>87113</v>
      </c>
      <c r="BH803" s="141">
        <v>14535</v>
      </c>
      <c r="BI803" s="28"/>
      <c r="BJ803" s="28"/>
      <c r="BK803" s="141"/>
      <c r="BL803" s="28"/>
    </row>
    <row r="804" spans="3:64" ht="15" thickBot="1" x14ac:dyDescent="0.35">
      <c r="C804" s="138" t="s">
        <v>93</v>
      </c>
      <c r="D804" s="138">
        <v>4663</v>
      </c>
      <c r="E804" s="28">
        <v>3463</v>
      </c>
      <c r="F804" s="138"/>
      <c r="G804" s="28" t="s">
        <v>1291</v>
      </c>
      <c r="H804" s="28"/>
      <c r="I804" s="196">
        <v>5029</v>
      </c>
      <c r="J804" s="43">
        <v>15</v>
      </c>
      <c r="K804" s="28" t="s">
        <v>101</v>
      </c>
      <c r="L804" s="141"/>
      <c r="O804" s="138"/>
      <c r="P804" s="138"/>
      <c r="Q804" s="196"/>
      <c r="R804" s="138"/>
      <c r="S804" s="196"/>
      <c r="T804" s="141"/>
      <c r="U804" s="138"/>
      <c r="V804" s="196"/>
      <c r="W804" s="138"/>
      <c r="X804" s="141"/>
      <c r="Z804" s="28"/>
      <c r="AA804" s="46" t="s">
        <v>1300</v>
      </c>
      <c r="AB804" s="48">
        <v>400</v>
      </c>
      <c r="AC804" s="48">
        <v>200</v>
      </c>
      <c r="AD804" s="47">
        <v>0</v>
      </c>
      <c r="AE804" s="48">
        <v>0</v>
      </c>
      <c r="AF804" s="49">
        <v>0</v>
      </c>
      <c r="AG804" s="48">
        <v>0</v>
      </c>
      <c r="AH804" s="48">
        <v>0</v>
      </c>
      <c r="AI804" s="46">
        <v>0</v>
      </c>
      <c r="AJ804" s="47">
        <v>7</v>
      </c>
      <c r="AK804" s="48" t="s">
        <v>145</v>
      </c>
      <c r="AL804" s="49">
        <v>9</v>
      </c>
      <c r="AM804" s="28"/>
      <c r="AN804" s="28"/>
      <c r="AO804" s="138" t="s">
        <v>67</v>
      </c>
      <c r="AP804" s="138">
        <v>80</v>
      </c>
      <c r="AQ804" s="141">
        <v>50</v>
      </c>
      <c r="AR804" s="138">
        <v>0</v>
      </c>
      <c r="AS804" s="141">
        <v>0</v>
      </c>
      <c r="AT804" s="28"/>
      <c r="AU804" s="43">
        <v>22</v>
      </c>
      <c r="AV804" s="28" t="s">
        <v>123</v>
      </c>
      <c r="AW804" s="28" t="s">
        <v>6</v>
      </c>
      <c r="AX804" s="141"/>
      <c r="AY804" s="28"/>
      <c r="AZ804" s="28"/>
      <c r="BA804" s="211" t="s">
        <v>108</v>
      </c>
      <c r="BB804" s="138">
        <v>0</v>
      </c>
      <c r="BC804" s="141">
        <v>0</v>
      </c>
      <c r="BD804" s="138">
        <v>0</v>
      </c>
      <c r="BE804" s="43">
        <v>0</v>
      </c>
      <c r="BF804" s="141">
        <v>0</v>
      </c>
      <c r="BG804" s="138">
        <v>3400</v>
      </c>
      <c r="BH804" s="209">
        <v>0</v>
      </c>
      <c r="BI804" s="43"/>
      <c r="BJ804" s="43"/>
      <c r="BK804" s="141"/>
      <c r="BL804" s="28"/>
    </row>
    <row r="805" spans="3:64" x14ac:dyDescent="0.3">
      <c r="C805" s="138"/>
      <c r="D805" s="138"/>
      <c r="E805" s="28"/>
      <c r="F805" s="138"/>
      <c r="G805" s="28"/>
      <c r="H805" s="28"/>
      <c r="I805" s="196"/>
      <c r="J805" s="43">
        <v>10</v>
      </c>
      <c r="K805" s="28" t="s">
        <v>927</v>
      </c>
      <c r="L805" s="141">
        <v>25</v>
      </c>
      <c r="O805" s="138"/>
      <c r="P805" s="138"/>
      <c r="Q805" s="196"/>
      <c r="R805" s="138"/>
      <c r="S805" s="196"/>
      <c r="T805" s="141"/>
      <c r="U805" s="138"/>
      <c r="V805" s="196"/>
      <c r="W805" s="138"/>
      <c r="X805" s="141"/>
      <c r="Z805" s="28"/>
      <c r="AA805" s="42" t="s">
        <v>137</v>
      </c>
      <c r="AB805" s="42">
        <v>0</v>
      </c>
      <c r="AC805" s="40">
        <v>0</v>
      </c>
      <c r="AD805" s="33">
        <v>0</v>
      </c>
      <c r="AE805" s="34">
        <v>0</v>
      </c>
      <c r="AF805" s="35">
        <v>0</v>
      </c>
      <c r="AG805" s="33">
        <v>0</v>
      </c>
      <c r="AH805" s="35">
        <v>0</v>
      </c>
      <c r="AI805" s="43">
        <v>0</v>
      </c>
      <c r="AJ805" s="33" t="s">
        <v>90</v>
      </c>
      <c r="AK805" s="34"/>
      <c r="AL805" s="35"/>
      <c r="AM805" s="28"/>
      <c r="AN805" s="28"/>
      <c r="AO805" s="138" t="s">
        <v>1354</v>
      </c>
      <c r="AP805" s="138">
        <v>5</v>
      </c>
      <c r="AQ805" s="141">
        <v>11</v>
      </c>
      <c r="AR805" s="138">
        <v>0</v>
      </c>
      <c r="AS805" s="141">
        <v>0</v>
      </c>
      <c r="AT805" s="28"/>
      <c r="AU805" s="43">
        <v>31</v>
      </c>
      <c r="AV805" s="28" t="s">
        <v>126</v>
      </c>
      <c r="AW805" s="28"/>
      <c r="AX805" s="141"/>
      <c r="AY805" s="28"/>
      <c r="AZ805" s="28"/>
      <c r="BA805" s="211" t="s">
        <v>84</v>
      </c>
      <c r="BB805" s="212">
        <v>0</v>
      </c>
      <c r="BC805" s="209">
        <v>0</v>
      </c>
      <c r="BD805" s="138">
        <v>0</v>
      </c>
      <c r="BE805" s="43">
        <v>0</v>
      </c>
      <c r="BF805" s="141">
        <v>0</v>
      </c>
      <c r="BG805" s="138">
        <f>SUM(BG795:BG804)</f>
        <v>103748</v>
      </c>
      <c r="BH805" s="209">
        <f>SUM(BH795:BH804)</f>
        <v>17262</v>
      </c>
      <c r="BI805" s="28"/>
      <c r="BJ805" s="43"/>
      <c r="BK805" s="141">
        <v>33</v>
      </c>
      <c r="BL805" s="28"/>
    </row>
    <row r="806" spans="3:64" x14ac:dyDescent="0.3">
      <c r="C806" s="134" t="s">
        <v>108</v>
      </c>
      <c r="D806" s="134">
        <v>0</v>
      </c>
      <c r="E806" s="136">
        <v>0</v>
      </c>
      <c r="F806" s="135"/>
      <c r="G806" s="243">
        <v>668</v>
      </c>
      <c r="H806" s="135"/>
      <c r="I806" s="195"/>
      <c r="J806" s="135" t="s">
        <v>104</v>
      </c>
      <c r="K806" s="135"/>
      <c r="L806" s="136"/>
      <c r="O806" s="142"/>
      <c r="P806" s="142"/>
      <c r="Q806" s="199"/>
      <c r="R806" s="142"/>
      <c r="S806" s="199"/>
      <c r="T806" s="146"/>
      <c r="U806" s="142"/>
      <c r="V806" s="199"/>
      <c r="W806" s="142"/>
      <c r="X806" s="146"/>
      <c r="Z806" s="28"/>
      <c r="AA806" s="42" t="s">
        <v>97</v>
      </c>
      <c r="AB806" s="42">
        <v>0</v>
      </c>
      <c r="AC806" s="40">
        <v>0</v>
      </c>
      <c r="AD806" s="42">
        <v>0</v>
      </c>
      <c r="AE806" s="43">
        <v>0</v>
      </c>
      <c r="AF806" s="40">
        <v>0</v>
      </c>
      <c r="AG806" s="42">
        <v>0</v>
      </c>
      <c r="AH806" s="40">
        <v>0</v>
      </c>
      <c r="AI806" s="43">
        <v>0</v>
      </c>
      <c r="AJ806" s="67"/>
      <c r="AK806" s="28"/>
      <c r="AL806" s="40"/>
      <c r="AM806" s="28"/>
      <c r="AN806" s="28"/>
      <c r="AO806" s="138" t="s">
        <v>128</v>
      </c>
      <c r="AP806" s="138">
        <v>2</v>
      </c>
      <c r="AQ806" s="141">
        <v>0</v>
      </c>
      <c r="AR806" s="138">
        <v>0</v>
      </c>
      <c r="AS806" s="141">
        <v>0</v>
      </c>
      <c r="AT806" s="28"/>
      <c r="AU806" s="43">
        <v>13</v>
      </c>
      <c r="AV806" s="28" t="s">
        <v>129</v>
      </c>
      <c r="AW806" s="28" t="s">
        <v>6</v>
      </c>
      <c r="AX806" s="141"/>
      <c r="AY806" s="28"/>
      <c r="AZ806" s="28"/>
      <c r="BA806" s="134"/>
      <c r="BB806" s="134"/>
      <c r="BC806" s="136"/>
      <c r="BD806" s="134">
        <v>0</v>
      </c>
      <c r="BE806" s="135">
        <v>0</v>
      </c>
      <c r="BF806" s="136">
        <v>0</v>
      </c>
      <c r="BG806" s="134">
        <v>0</v>
      </c>
      <c r="BH806" s="136">
        <v>0</v>
      </c>
      <c r="BI806" s="134"/>
      <c r="BJ806" s="135" t="s">
        <v>91</v>
      </c>
      <c r="BK806" s="136"/>
      <c r="BL806" s="28"/>
    </row>
    <row r="807" spans="3:64" x14ac:dyDescent="0.3">
      <c r="C807" s="138" t="s">
        <v>109</v>
      </c>
      <c r="D807" s="138">
        <v>2585</v>
      </c>
      <c r="E807" s="141">
        <v>1425</v>
      </c>
      <c r="F807" s="28"/>
      <c r="G807" s="107">
        <v>0</v>
      </c>
      <c r="H807" s="43"/>
      <c r="I807" s="196"/>
      <c r="J807" s="43">
        <v>9</v>
      </c>
      <c r="K807" s="28" t="s">
        <v>114</v>
      </c>
      <c r="L807" s="141"/>
      <c r="O807" s="134"/>
      <c r="P807" s="134"/>
      <c r="Q807" s="195"/>
      <c r="R807" s="134"/>
      <c r="S807" s="195"/>
      <c r="T807" s="136"/>
      <c r="U807" s="134"/>
      <c r="V807" s="195"/>
      <c r="W807" s="134" t="s">
        <v>104</v>
      </c>
      <c r="X807" s="136"/>
      <c r="Z807" s="28"/>
      <c r="AA807" s="67" t="s">
        <v>89</v>
      </c>
      <c r="AB807" s="67">
        <v>31</v>
      </c>
      <c r="AC807" s="56">
        <v>42</v>
      </c>
      <c r="AD807" s="42">
        <v>0</v>
      </c>
      <c r="AE807" s="43">
        <v>0</v>
      </c>
      <c r="AF807" s="40">
        <v>0</v>
      </c>
      <c r="AG807" s="42">
        <v>0</v>
      </c>
      <c r="AH807" s="40">
        <v>0</v>
      </c>
      <c r="AI807" s="43">
        <v>0</v>
      </c>
      <c r="AJ807" s="67">
        <v>1</v>
      </c>
      <c r="AK807" s="43" t="s">
        <v>98</v>
      </c>
      <c r="AL807" s="40"/>
      <c r="AM807" s="28"/>
      <c r="AN807" s="28"/>
      <c r="AO807" s="138" t="s">
        <v>115</v>
      </c>
      <c r="AP807" s="138">
        <v>37</v>
      </c>
      <c r="AQ807" s="141">
        <v>29</v>
      </c>
      <c r="AR807" s="138">
        <v>0</v>
      </c>
      <c r="AS807" s="141">
        <v>0</v>
      </c>
      <c r="AT807" s="28"/>
      <c r="AU807" s="28"/>
      <c r="AV807" s="28"/>
      <c r="AW807" s="28"/>
      <c r="AX807" s="141"/>
      <c r="AY807" s="28"/>
      <c r="AZ807" s="28"/>
      <c r="BA807" s="138" t="s">
        <v>137</v>
      </c>
      <c r="BB807" s="138">
        <v>850</v>
      </c>
      <c r="BC807" s="141">
        <v>1195</v>
      </c>
      <c r="BD807" s="138">
        <v>0</v>
      </c>
      <c r="BE807" s="43">
        <v>0</v>
      </c>
      <c r="BF807" s="141">
        <v>0</v>
      </c>
      <c r="BG807" s="138">
        <v>0</v>
      </c>
      <c r="BH807" s="209">
        <v>0</v>
      </c>
      <c r="BI807" s="212"/>
      <c r="BJ807" s="43"/>
      <c r="BK807" s="141"/>
      <c r="BL807" s="28"/>
    </row>
    <row r="808" spans="3:64" ht="15" thickBot="1" x14ac:dyDescent="0.35">
      <c r="C808" s="138" t="s">
        <v>84</v>
      </c>
      <c r="D808" s="138">
        <v>2585</v>
      </c>
      <c r="E808" s="141">
        <v>1425</v>
      </c>
      <c r="F808" s="28"/>
      <c r="G808" s="107">
        <v>668</v>
      </c>
      <c r="H808" s="43"/>
      <c r="I808" s="196">
        <v>2916</v>
      </c>
      <c r="J808" s="28"/>
      <c r="K808" s="28"/>
      <c r="L808" s="141">
        <v>9</v>
      </c>
      <c r="O808" s="138" t="s">
        <v>109</v>
      </c>
      <c r="P808" s="138">
        <v>5414</v>
      </c>
      <c r="Q808" s="196">
        <v>0</v>
      </c>
      <c r="R808" s="138">
        <v>0</v>
      </c>
      <c r="S808" s="196">
        <v>0</v>
      </c>
      <c r="T808" s="141">
        <v>0</v>
      </c>
      <c r="U808" s="138">
        <v>0</v>
      </c>
      <c r="V808" s="196">
        <v>0</v>
      </c>
      <c r="W808" s="138"/>
      <c r="X808" s="141"/>
      <c r="Z808" s="28"/>
      <c r="AA808" s="42" t="s">
        <v>84</v>
      </c>
      <c r="AB808" s="244">
        <v>31</v>
      </c>
      <c r="AC808" s="245">
        <v>42</v>
      </c>
      <c r="AD808" s="47">
        <v>0</v>
      </c>
      <c r="AE808" s="48">
        <v>0</v>
      </c>
      <c r="AF808" s="49">
        <v>0</v>
      </c>
      <c r="AG808" s="47">
        <v>0</v>
      </c>
      <c r="AH808" s="49">
        <v>0</v>
      </c>
      <c r="AI808" s="43">
        <v>0</v>
      </c>
      <c r="AJ808" s="72"/>
      <c r="AK808" s="48"/>
      <c r="AL808" s="49">
        <v>1</v>
      </c>
      <c r="AM808" s="28"/>
      <c r="AN808" s="28"/>
      <c r="AO808" s="138" t="s">
        <v>81</v>
      </c>
      <c r="AP808" s="138">
        <v>2</v>
      </c>
      <c r="AQ808" s="141">
        <v>12</v>
      </c>
      <c r="AR808" s="138">
        <v>0</v>
      </c>
      <c r="AS808" s="141">
        <v>0</v>
      </c>
      <c r="AT808" s="28"/>
      <c r="AU808" s="28"/>
      <c r="AV808" s="28"/>
      <c r="AW808" s="28"/>
      <c r="AX808" s="141" t="s">
        <v>6</v>
      </c>
      <c r="AY808" s="28"/>
      <c r="AZ808" s="28"/>
      <c r="BA808" s="212" t="s">
        <v>88</v>
      </c>
      <c r="BB808" s="212">
        <v>352</v>
      </c>
      <c r="BC808" s="209">
        <v>141</v>
      </c>
      <c r="BD808" s="138">
        <v>0</v>
      </c>
      <c r="BE808" s="43">
        <v>0</v>
      </c>
      <c r="BF808" s="141">
        <v>0</v>
      </c>
      <c r="BG808" s="138">
        <v>0</v>
      </c>
      <c r="BH808" s="209">
        <v>0</v>
      </c>
      <c r="BI808" s="138">
        <v>35</v>
      </c>
      <c r="BJ808" s="43" t="s">
        <v>1301</v>
      </c>
      <c r="BK808" s="141"/>
      <c r="BL808" s="28"/>
    </row>
    <row r="809" spans="3:64" x14ac:dyDescent="0.3">
      <c r="C809" s="138"/>
      <c r="D809" s="138"/>
      <c r="E809" s="141"/>
      <c r="F809" s="28"/>
      <c r="G809" s="28"/>
      <c r="H809" s="28"/>
      <c r="I809" s="196"/>
      <c r="J809" s="28"/>
      <c r="K809" s="28"/>
      <c r="L809" s="141"/>
      <c r="O809" s="142"/>
      <c r="P809" s="142"/>
      <c r="Q809" s="199"/>
      <c r="R809" s="142"/>
      <c r="S809" s="199"/>
      <c r="T809" s="146"/>
      <c r="U809" s="142"/>
      <c r="V809" s="199"/>
      <c r="W809" s="142"/>
      <c r="X809" s="146"/>
      <c r="AA809" s="32" t="s">
        <v>108</v>
      </c>
      <c r="AB809" s="135">
        <v>0</v>
      </c>
      <c r="AC809" s="135">
        <v>0</v>
      </c>
      <c r="AD809" s="33">
        <v>0</v>
      </c>
      <c r="AE809" s="34">
        <v>0</v>
      </c>
      <c r="AF809" s="35">
        <v>0</v>
      </c>
      <c r="AG809" s="67">
        <v>0</v>
      </c>
      <c r="AH809" s="56">
        <v>0</v>
      </c>
      <c r="AI809" s="32">
        <v>0</v>
      </c>
      <c r="AJ809" s="34"/>
      <c r="AK809" s="34"/>
      <c r="AL809" s="35"/>
      <c r="AM809" s="28"/>
      <c r="AN809" s="28"/>
      <c r="AO809" s="138" t="s">
        <v>122</v>
      </c>
      <c r="AP809" s="138">
        <v>3</v>
      </c>
      <c r="AQ809" s="141">
        <v>4</v>
      </c>
      <c r="AR809" s="138">
        <v>0</v>
      </c>
      <c r="AS809" s="141">
        <v>0</v>
      </c>
      <c r="AT809" s="28"/>
      <c r="AU809" s="28"/>
      <c r="AV809" s="28"/>
      <c r="AW809" s="28"/>
      <c r="AX809" s="141"/>
      <c r="AY809" s="28"/>
      <c r="AZ809" s="28"/>
      <c r="BA809" s="138" t="s">
        <v>1810</v>
      </c>
      <c r="BB809" s="138">
        <v>0</v>
      </c>
      <c r="BC809" s="141">
        <v>0</v>
      </c>
      <c r="BD809" s="138">
        <v>0</v>
      </c>
      <c r="BE809" s="43">
        <v>0</v>
      </c>
      <c r="BF809" s="141">
        <v>0</v>
      </c>
      <c r="BG809" s="138">
        <v>0</v>
      </c>
      <c r="BH809" s="209">
        <v>0</v>
      </c>
      <c r="BI809" s="212">
        <v>57</v>
      </c>
      <c r="BJ809" s="28" t="s">
        <v>1303</v>
      </c>
      <c r="BK809" s="141"/>
      <c r="BL809" s="28"/>
    </row>
    <row r="810" spans="3:64" x14ac:dyDescent="0.3">
      <c r="C810" s="134" t="s">
        <v>785</v>
      </c>
      <c r="D810" s="134">
        <v>1116</v>
      </c>
      <c r="E810" s="242">
        <v>920</v>
      </c>
      <c r="F810" s="135"/>
      <c r="G810" s="135"/>
      <c r="H810" s="135"/>
      <c r="I810" s="195">
        <v>1240</v>
      </c>
      <c r="J810" s="135" t="s">
        <v>118</v>
      </c>
      <c r="K810" s="135"/>
      <c r="L810" s="136"/>
      <c r="O810" s="134" t="s">
        <v>93</v>
      </c>
      <c r="P810" s="134">
        <v>0</v>
      </c>
      <c r="Q810" s="195">
        <v>0</v>
      </c>
      <c r="R810" s="134">
        <v>0</v>
      </c>
      <c r="S810" s="195">
        <v>0</v>
      </c>
      <c r="T810" s="136">
        <v>0</v>
      </c>
      <c r="U810" s="134">
        <v>236</v>
      </c>
      <c r="V810" s="195">
        <v>0</v>
      </c>
      <c r="W810" s="134" t="s">
        <v>116</v>
      </c>
      <c r="X810" s="136"/>
      <c r="AA810" s="41" t="s">
        <v>817</v>
      </c>
      <c r="AB810" s="43">
        <v>453</v>
      </c>
      <c r="AC810" s="43">
        <v>3670</v>
      </c>
      <c r="AD810" s="42">
        <v>0</v>
      </c>
      <c r="AE810" s="43">
        <v>0</v>
      </c>
      <c r="AF810" s="40">
        <v>0</v>
      </c>
      <c r="AG810" s="67">
        <v>0</v>
      </c>
      <c r="AH810" s="56">
        <v>0</v>
      </c>
      <c r="AI810" s="41">
        <v>0</v>
      </c>
      <c r="AJ810" s="28" t="s">
        <v>1302</v>
      </c>
      <c r="AK810" s="28" t="s">
        <v>6</v>
      </c>
      <c r="AL810" s="40"/>
      <c r="AM810" s="28"/>
      <c r="AN810" s="28"/>
      <c r="AO810" s="138" t="s">
        <v>230</v>
      </c>
      <c r="AP810" s="138">
        <v>0</v>
      </c>
      <c r="AQ810" s="141">
        <v>0</v>
      </c>
      <c r="AR810" s="138">
        <v>0</v>
      </c>
      <c r="AS810" s="141">
        <v>0</v>
      </c>
      <c r="AT810" s="28"/>
      <c r="AU810" s="28"/>
      <c r="AV810" s="28"/>
      <c r="AW810" s="28"/>
      <c r="AX810" s="141"/>
      <c r="AY810" s="28"/>
      <c r="AZ810" s="28"/>
      <c r="BA810" s="212" t="s">
        <v>97</v>
      </c>
      <c r="BB810" s="212">
        <v>1912</v>
      </c>
      <c r="BC810" s="209">
        <v>2290</v>
      </c>
      <c r="BD810" s="138">
        <v>0</v>
      </c>
      <c r="BE810" s="43">
        <v>0</v>
      </c>
      <c r="BF810" s="141">
        <v>0</v>
      </c>
      <c r="BG810" s="138">
        <v>0</v>
      </c>
      <c r="BH810" s="209">
        <v>0</v>
      </c>
      <c r="BI810" s="138">
        <v>1</v>
      </c>
      <c r="BJ810" s="43" t="s">
        <v>1304</v>
      </c>
      <c r="BK810" s="141"/>
      <c r="BL810" s="28"/>
    </row>
    <row r="811" spans="3:64" x14ac:dyDescent="0.3">
      <c r="C811" s="138" t="s">
        <v>93</v>
      </c>
      <c r="D811" s="138">
        <v>8320</v>
      </c>
      <c r="E811" s="209">
        <v>6819</v>
      </c>
      <c r="F811" s="28"/>
      <c r="G811" s="28"/>
      <c r="H811" s="28"/>
      <c r="I811" s="196">
        <v>9410</v>
      </c>
      <c r="J811" s="28">
        <v>93</v>
      </c>
      <c r="K811" s="28" t="s">
        <v>101</v>
      </c>
      <c r="L811" s="141"/>
      <c r="O811" s="138" t="s">
        <v>99</v>
      </c>
      <c r="P811" s="138">
        <v>6635</v>
      </c>
      <c r="Q811" s="196">
        <v>9878</v>
      </c>
      <c r="R811" s="138">
        <v>0</v>
      </c>
      <c r="S811" s="196">
        <v>0</v>
      </c>
      <c r="T811" s="141">
        <v>0</v>
      </c>
      <c r="U811" s="138">
        <v>2253</v>
      </c>
      <c r="V811" s="196">
        <v>313</v>
      </c>
      <c r="W811" s="138"/>
      <c r="X811" s="141"/>
      <c r="AA811" s="41" t="s">
        <v>1120</v>
      </c>
      <c r="AB811" s="43">
        <v>0</v>
      </c>
      <c r="AC811" s="43">
        <v>0</v>
      </c>
      <c r="AD811" s="42">
        <v>0</v>
      </c>
      <c r="AE811" s="43">
        <v>0</v>
      </c>
      <c r="AF811" s="40">
        <v>0</v>
      </c>
      <c r="AG811" s="67">
        <v>0</v>
      </c>
      <c r="AH811" s="56">
        <v>0</v>
      </c>
      <c r="AI811" s="41">
        <v>0</v>
      </c>
      <c r="AJ811" s="43">
        <v>26</v>
      </c>
      <c r="AK811" s="43" t="s">
        <v>359</v>
      </c>
      <c r="AL811" s="40"/>
      <c r="AM811" s="43"/>
      <c r="AN811" s="28"/>
      <c r="AO811" s="138" t="s">
        <v>63</v>
      </c>
      <c r="AP811" s="138">
        <v>46</v>
      </c>
      <c r="AQ811" s="141">
        <v>18</v>
      </c>
      <c r="AR811" s="138">
        <v>0</v>
      </c>
      <c r="AS811" s="141">
        <v>0</v>
      </c>
      <c r="AT811" s="28"/>
      <c r="AU811" s="28"/>
      <c r="AV811" s="28"/>
      <c r="AW811" s="28"/>
      <c r="AX811" s="141"/>
      <c r="AY811" s="28"/>
      <c r="AZ811" s="28"/>
      <c r="BA811" s="212" t="s">
        <v>113</v>
      </c>
      <c r="BB811" s="212">
        <v>496</v>
      </c>
      <c r="BC811" s="209">
        <v>580</v>
      </c>
      <c r="BD811" s="138">
        <v>0</v>
      </c>
      <c r="BE811" s="43">
        <v>0</v>
      </c>
      <c r="BF811" s="141">
        <v>0</v>
      </c>
      <c r="BG811" s="138">
        <v>0</v>
      </c>
      <c r="BH811" s="209">
        <v>0</v>
      </c>
      <c r="BI811" s="138">
        <v>83</v>
      </c>
      <c r="BJ811" s="43" t="s">
        <v>1305</v>
      </c>
      <c r="BK811" s="141"/>
      <c r="BL811" s="28"/>
    </row>
    <row r="812" spans="3:64" x14ac:dyDescent="0.3">
      <c r="C812" s="138" t="s">
        <v>120</v>
      </c>
      <c r="D812" s="212">
        <v>5894</v>
      </c>
      <c r="E812" s="209">
        <v>4404</v>
      </c>
      <c r="F812" s="28"/>
      <c r="G812" s="28" t="s">
        <v>1291</v>
      </c>
      <c r="H812" s="28"/>
      <c r="I812" s="211">
        <v>6200</v>
      </c>
      <c r="J812" s="28">
        <v>26</v>
      </c>
      <c r="K812" s="28" t="s">
        <v>927</v>
      </c>
      <c r="L812" s="141"/>
      <c r="O812" s="138" t="s">
        <v>120</v>
      </c>
      <c r="P812" s="138">
        <v>0</v>
      </c>
      <c r="Q812" s="196">
        <v>17973</v>
      </c>
      <c r="R812" s="138">
        <v>0</v>
      </c>
      <c r="S812" s="196">
        <v>0</v>
      </c>
      <c r="T812" s="141">
        <v>0</v>
      </c>
      <c r="U812" s="138">
        <v>0</v>
      </c>
      <c r="V812" s="196">
        <v>0</v>
      </c>
      <c r="W812" s="138"/>
      <c r="X812" s="141"/>
      <c r="AA812" s="41" t="s">
        <v>99</v>
      </c>
      <c r="AB812" s="43">
        <v>0</v>
      </c>
      <c r="AC812" s="43">
        <v>0</v>
      </c>
      <c r="AD812" s="42">
        <v>0</v>
      </c>
      <c r="AE812" s="43">
        <v>0</v>
      </c>
      <c r="AF812" s="40">
        <v>0</v>
      </c>
      <c r="AG812" s="67">
        <v>0</v>
      </c>
      <c r="AH812" s="56">
        <v>0</v>
      </c>
      <c r="AI812" s="41">
        <v>0</v>
      </c>
      <c r="AJ812" s="43">
        <v>0</v>
      </c>
      <c r="AK812" s="43" t="s">
        <v>1346</v>
      </c>
      <c r="AL812" s="40"/>
      <c r="AM812" s="28"/>
      <c r="AN812" s="28"/>
      <c r="AO812" s="142" t="s">
        <v>84</v>
      </c>
      <c r="AP812" s="142">
        <f>SUM(AP801:AP811)</f>
        <v>207</v>
      </c>
      <c r="AQ812" s="146">
        <f>SUM(AQ801:AQ811)</f>
        <v>149</v>
      </c>
      <c r="AR812" s="142">
        <v>0</v>
      </c>
      <c r="AS812" s="146">
        <v>0</v>
      </c>
      <c r="AT812" s="143"/>
      <c r="AU812" s="143"/>
      <c r="AV812" s="143"/>
      <c r="AW812" s="143"/>
      <c r="AX812" s="146">
        <v>66</v>
      </c>
      <c r="AY812" s="28"/>
      <c r="AZ812" s="28"/>
      <c r="BA812" s="212" t="s">
        <v>817</v>
      </c>
      <c r="BB812" s="212">
        <v>20</v>
      </c>
      <c r="BC812" s="209">
        <v>2062</v>
      </c>
      <c r="BD812" s="138">
        <v>0</v>
      </c>
      <c r="BE812" s="43">
        <v>0</v>
      </c>
      <c r="BF812" s="141">
        <v>0</v>
      </c>
      <c r="BG812" s="138">
        <v>0</v>
      </c>
      <c r="BH812" s="209">
        <v>0</v>
      </c>
      <c r="BI812" s="138"/>
      <c r="BJ812" s="28"/>
      <c r="BK812" s="141"/>
      <c r="BL812" s="28"/>
    </row>
    <row r="813" spans="3:64" ht="15" thickBot="1" x14ac:dyDescent="0.35">
      <c r="C813" s="138" t="s">
        <v>429</v>
      </c>
      <c r="D813" s="138">
        <v>2428</v>
      </c>
      <c r="E813" s="141">
        <v>1371</v>
      </c>
      <c r="F813" s="28"/>
      <c r="G813" s="28"/>
      <c r="H813" s="28"/>
      <c r="I813" s="196">
        <v>2751</v>
      </c>
      <c r="J813" s="28">
        <v>0</v>
      </c>
      <c r="K813" s="28" t="s">
        <v>1306</v>
      </c>
      <c r="L813" s="141"/>
      <c r="O813" s="142" t="s">
        <v>84</v>
      </c>
      <c r="P813" s="142">
        <f>SUM(P810:P812)</f>
        <v>6635</v>
      </c>
      <c r="Q813" s="199">
        <f>SUM(Q810:Q812)</f>
        <v>27851</v>
      </c>
      <c r="R813" s="142">
        <v>0</v>
      </c>
      <c r="S813" s="199">
        <v>0</v>
      </c>
      <c r="T813" s="146">
        <v>0</v>
      </c>
      <c r="U813" s="142">
        <f>SUM(U810:U812)</f>
        <v>2489</v>
      </c>
      <c r="V813" s="199">
        <v>313</v>
      </c>
      <c r="W813" s="142"/>
      <c r="X813" s="146"/>
      <c r="AA813" s="46" t="s">
        <v>84</v>
      </c>
      <c r="AB813" s="43">
        <v>453</v>
      </c>
      <c r="AC813" s="43">
        <v>3670</v>
      </c>
      <c r="AD813" s="47">
        <v>0</v>
      </c>
      <c r="AE813" s="48">
        <v>0</v>
      </c>
      <c r="AF813" s="49">
        <v>0</v>
      </c>
      <c r="AG813" s="67">
        <v>0</v>
      </c>
      <c r="AH813" s="56">
        <v>0</v>
      </c>
      <c r="AI813" s="46">
        <v>0</v>
      </c>
      <c r="AJ813" s="48"/>
      <c r="AK813" s="48"/>
      <c r="AL813" s="49">
        <v>26</v>
      </c>
      <c r="AM813" s="28"/>
      <c r="AN813" s="28"/>
      <c r="AO813" s="134"/>
      <c r="AP813" s="134"/>
      <c r="AQ813" s="136"/>
      <c r="AR813" s="134"/>
      <c r="AS813" s="136"/>
      <c r="AT813" s="135"/>
      <c r="AU813" s="135"/>
      <c r="AV813" s="135"/>
      <c r="AW813" s="135"/>
      <c r="AX813" s="136"/>
      <c r="AY813" s="28"/>
      <c r="AZ813" s="28"/>
      <c r="BA813" s="212" t="s">
        <v>429</v>
      </c>
      <c r="BB813" s="212">
        <v>1065</v>
      </c>
      <c r="BC813" s="209">
        <v>553</v>
      </c>
      <c r="BD813" s="212">
        <v>0</v>
      </c>
      <c r="BE813" s="43">
        <v>0</v>
      </c>
      <c r="BF813" s="209">
        <v>0</v>
      </c>
      <c r="BG813" s="212">
        <v>0</v>
      </c>
      <c r="BH813" s="209">
        <v>0</v>
      </c>
      <c r="BI813" s="138"/>
      <c r="BJ813" s="28"/>
      <c r="BK813" s="141"/>
      <c r="BL813" s="28"/>
    </row>
    <row r="814" spans="3:64" x14ac:dyDescent="0.3">
      <c r="C814" s="142" t="s">
        <v>84</v>
      </c>
      <c r="D814" s="142">
        <f>SUM(D810:D813)</f>
        <v>17758</v>
      </c>
      <c r="E814" s="146">
        <f>SUM(E810:E813)</f>
        <v>13514</v>
      </c>
      <c r="F814" s="143"/>
      <c r="G814" s="143"/>
      <c r="H814" s="143"/>
      <c r="I814" s="199">
        <f>SUM(I810:I813)</f>
        <v>19601</v>
      </c>
      <c r="J814" s="143"/>
      <c r="K814" s="143"/>
      <c r="L814" s="146">
        <v>119</v>
      </c>
      <c r="O814" s="134"/>
      <c r="P814" s="134"/>
      <c r="Q814" s="195"/>
      <c r="R814" s="134"/>
      <c r="S814" s="195"/>
      <c r="T814" s="136"/>
      <c r="U814" s="134"/>
      <c r="V814" s="195"/>
      <c r="W814" s="134"/>
      <c r="X814" s="136"/>
      <c r="AA814" s="42"/>
      <c r="AB814" s="33"/>
      <c r="AC814" s="35"/>
      <c r="AD814" s="34"/>
      <c r="AE814" s="34"/>
      <c r="AF814" s="34"/>
      <c r="AG814" s="33"/>
      <c r="AH814" s="35"/>
      <c r="AI814" s="32"/>
      <c r="AJ814" s="34"/>
      <c r="AK814" s="34" t="s">
        <v>117</v>
      </c>
      <c r="AL814" s="35"/>
      <c r="AM814" s="28"/>
      <c r="AN814" s="28"/>
      <c r="AO814" s="138" t="s">
        <v>56</v>
      </c>
      <c r="AP814" s="138">
        <v>0</v>
      </c>
      <c r="AQ814" s="141">
        <v>0</v>
      </c>
      <c r="AR814" s="138">
        <v>0</v>
      </c>
      <c r="AS814" s="141">
        <v>0</v>
      </c>
      <c r="AT814" s="28"/>
      <c r="AU814" s="28" t="s">
        <v>173</v>
      </c>
      <c r="AV814" s="28"/>
      <c r="AW814" s="28"/>
      <c r="AX814" s="141"/>
      <c r="AY814" s="28"/>
      <c r="AZ814" s="28"/>
      <c r="BA814" s="212" t="s">
        <v>1696</v>
      </c>
      <c r="BB814" s="212">
        <v>0</v>
      </c>
      <c r="BC814" s="209">
        <v>17</v>
      </c>
      <c r="BD814" s="138">
        <v>0</v>
      </c>
      <c r="BE814" s="43">
        <v>0</v>
      </c>
      <c r="BF814" s="141">
        <v>0</v>
      </c>
      <c r="BG814" s="138">
        <v>0</v>
      </c>
      <c r="BH814" s="141">
        <v>0</v>
      </c>
      <c r="BI814" s="138"/>
      <c r="BJ814" s="28"/>
      <c r="BK814" s="141"/>
      <c r="BL814" s="28"/>
    </row>
    <row r="815" spans="3:64" ht="15" thickBot="1" x14ac:dyDescent="0.35">
      <c r="C815" s="138" t="s">
        <v>93</v>
      </c>
      <c r="D815" s="138">
        <v>9078</v>
      </c>
      <c r="E815" s="209">
        <v>7762</v>
      </c>
      <c r="F815" s="138"/>
      <c r="G815" s="28" t="s">
        <v>1291</v>
      </c>
      <c r="H815" s="28"/>
      <c r="I815" s="196">
        <v>9794</v>
      </c>
      <c r="J815" s="28" t="s">
        <v>116</v>
      </c>
      <c r="K815" s="28"/>
      <c r="L815" s="141"/>
      <c r="O815" s="138" t="s">
        <v>105</v>
      </c>
      <c r="P815" s="138">
        <v>274</v>
      </c>
      <c r="Q815" s="196">
        <v>0</v>
      </c>
      <c r="R815" s="138">
        <v>0</v>
      </c>
      <c r="S815" s="196">
        <v>0</v>
      </c>
      <c r="T815" s="141">
        <v>0</v>
      </c>
      <c r="U815" s="138">
        <v>3</v>
      </c>
      <c r="V815" s="196">
        <v>0</v>
      </c>
      <c r="W815" s="138"/>
      <c r="X815" s="141"/>
      <c r="AA815" s="47"/>
      <c r="AB815" s="47"/>
      <c r="AC815" s="49"/>
      <c r="AD815" s="48"/>
      <c r="AE815" s="48"/>
      <c r="AF815" s="48"/>
      <c r="AG815" s="47"/>
      <c r="AH815" s="49"/>
      <c r="AI815" s="46"/>
      <c r="AJ815" s="48"/>
      <c r="AK815" s="48" t="s">
        <v>124</v>
      </c>
      <c r="AL815" s="49"/>
      <c r="AM815" s="28"/>
      <c r="AN815" s="28"/>
      <c r="AO815" s="138" t="s">
        <v>67</v>
      </c>
      <c r="AP815" s="138">
        <v>0</v>
      </c>
      <c r="AQ815" s="141">
        <v>0</v>
      </c>
      <c r="AR815" s="138">
        <v>0</v>
      </c>
      <c r="AS815" s="141">
        <v>0</v>
      </c>
      <c r="AT815" s="28"/>
      <c r="AU815" s="28"/>
      <c r="AV815" s="28"/>
      <c r="AW815" s="28"/>
      <c r="AX815" s="141"/>
      <c r="AY815" s="43"/>
      <c r="AZ815" s="28"/>
      <c r="BA815" s="212" t="s">
        <v>1120</v>
      </c>
      <c r="BB815" s="138">
        <v>165</v>
      </c>
      <c r="BC815" s="141">
        <v>3399</v>
      </c>
      <c r="BD815" s="138">
        <v>0</v>
      </c>
      <c r="BE815" s="43">
        <v>0</v>
      </c>
      <c r="BF815" s="141">
        <v>0</v>
      </c>
      <c r="BG815" s="138">
        <v>0</v>
      </c>
      <c r="BH815" s="141">
        <v>0</v>
      </c>
      <c r="BI815" s="138"/>
      <c r="BJ815" s="28"/>
      <c r="BK815" s="141"/>
      <c r="BL815" s="28"/>
    </row>
    <row r="816" spans="3:64" x14ac:dyDescent="0.3">
      <c r="C816" s="138" t="s">
        <v>99</v>
      </c>
      <c r="D816" s="138">
        <v>4595</v>
      </c>
      <c r="E816" s="209">
        <v>3514</v>
      </c>
      <c r="F816" s="138"/>
      <c r="G816" s="28" t="s">
        <v>1291</v>
      </c>
      <c r="H816" s="28"/>
      <c r="I816" s="196">
        <v>14840</v>
      </c>
      <c r="J816" s="43">
        <v>179</v>
      </c>
      <c r="K816" s="28" t="s">
        <v>144</v>
      </c>
      <c r="L816" s="141"/>
      <c r="O816" s="138" t="s">
        <v>99</v>
      </c>
      <c r="P816" s="138">
        <v>0</v>
      </c>
      <c r="Q816" s="196">
        <v>0</v>
      </c>
      <c r="R816" s="138">
        <v>0</v>
      </c>
      <c r="S816" s="196">
        <v>0</v>
      </c>
      <c r="T816" s="141">
        <v>0</v>
      </c>
      <c r="U816" s="138">
        <v>0</v>
      </c>
      <c r="V816" s="196">
        <v>0</v>
      </c>
      <c r="W816" s="138" t="s">
        <v>135</v>
      </c>
      <c r="X816" s="141"/>
      <c r="AA816" s="33" t="s">
        <v>137</v>
      </c>
      <c r="AB816" s="33">
        <v>278</v>
      </c>
      <c r="AC816" s="35">
        <v>336</v>
      </c>
      <c r="AD816" s="34">
        <v>0</v>
      </c>
      <c r="AE816" s="34">
        <v>0</v>
      </c>
      <c r="AF816" s="34">
        <v>0</v>
      </c>
      <c r="AG816" s="33">
        <v>0</v>
      </c>
      <c r="AH816" s="35">
        <v>0</v>
      </c>
      <c r="AI816" s="32">
        <v>0</v>
      </c>
      <c r="AJ816" s="34"/>
      <c r="AK816" s="34"/>
      <c r="AL816" s="35"/>
      <c r="AM816" s="28"/>
      <c r="AN816" s="28"/>
      <c r="AO816" s="138" t="s">
        <v>78</v>
      </c>
      <c r="AP816" s="138">
        <v>0</v>
      </c>
      <c r="AQ816" s="141">
        <v>0</v>
      </c>
      <c r="AR816" s="138">
        <v>0</v>
      </c>
      <c r="AS816" s="141">
        <v>0</v>
      </c>
      <c r="AT816" s="28"/>
      <c r="AU816" s="28">
        <v>0</v>
      </c>
      <c r="AV816" s="28" t="s">
        <v>183</v>
      </c>
      <c r="AW816" s="28"/>
      <c r="AX816" s="141"/>
      <c r="AY816" s="28"/>
      <c r="AZ816" s="28"/>
      <c r="BA816" s="212" t="s">
        <v>89</v>
      </c>
      <c r="BB816" s="138">
        <v>1246</v>
      </c>
      <c r="BC816" s="141">
        <v>1365</v>
      </c>
      <c r="BD816" s="138">
        <v>0</v>
      </c>
      <c r="BE816" s="43">
        <v>0</v>
      </c>
      <c r="BF816" s="141">
        <v>0</v>
      </c>
      <c r="BG816" s="138">
        <v>0</v>
      </c>
      <c r="BH816" s="141">
        <v>0</v>
      </c>
      <c r="BI816" s="138"/>
      <c r="BJ816" s="28"/>
      <c r="BK816" s="141"/>
      <c r="BL816" s="28"/>
    </row>
    <row r="817" spans="3:64" x14ac:dyDescent="0.3">
      <c r="C817" s="138" t="s">
        <v>120</v>
      </c>
      <c r="D817" s="138">
        <v>12851</v>
      </c>
      <c r="E817" s="209">
        <v>8676</v>
      </c>
      <c r="F817" s="138"/>
      <c r="G817" s="28" t="s">
        <v>1291</v>
      </c>
      <c r="H817" s="28"/>
      <c r="I817" s="196">
        <v>5054</v>
      </c>
      <c r="J817" s="43">
        <v>1</v>
      </c>
      <c r="K817" s="28" t="s">
        <v>148</v>
      </c>
      <c r="L817" s="141"/>
      <c r="O817" s="138"/>
      <c r="P817" s="138"/>
      <c r="Q817" s="196"/>
      <c r="R817" s="138"/>
      <c r="S817" s="196"/>
      <c r="T817" s="141"/>
      <c r="U817" s="138"/>
      <c r="V817" s="196"/>
      <c r="W817" s="138"/>
      <c r="X817" s="141"/>
      <c r="AA817" s="42" t="s">
        <v>97</v>
      </c>
      <c r="AB817" s="42">
        <v>151</v>
      </c>
      <c r="AC817" s="40">
        <v>220</v>
      </c>
      <c r="AD817" s="43">
        <v>0</v>
      </c>
      <c r="AE817" s="43">
        <v>0</v>
      </c>
      <c r="AF817" s="43">
        <v>0</v>
      </c>
      <c r="AG817" s="42">
        <v>0</v>
      </c>
      <c r="AH817" s="40">
        <v>0</v>
      </c>
      <c r="AI817" s="41">
        <v>0</v>
      </c>
      <c r="AJ817" s="28" t="s">
        <v>953</v>
      </c>
      <c r="AK817" s="28"/>
      <c r="AL817" s="40"/>
      <c r="AM817" s="28"/>
      <c r="AN817" s="28"/>
      <c r="AO817" s="142" t="s">
        <v>84</v>
      </c>
      <c r="AP817" s="142">
        <v>0</v>
      </c>
      <c r="AQ817" s="146">
        <v>0</v>
      </c>
      <c r="AR817" s="142">
        <v>0</v>
      </c>
      <c r="AS817" s="146">
        <v>0</v>
      </c>
      <c r="AT817" s="143"/>
      <c r="AU817" s="143"/>
      <c r="AV817" s="143"/>
      <c r="AW817" s="143"/>
      <c r="AX817" s="146"/>
      <c r="AY817" s="43"/>
      <c r="AZ817" s="28"/>
      <c r="BA817" s="212" t="s">
        <v>108</v>
      </c>
      <c r="BB817" s="142">
        <v>2</v>
      </c>
      <c r="BC817" s="146">
        <v>0</v>
      </c>
      <c r="BD817" s="142">
        <v>0</v>
      </c>
      <c r="BE817" s="143">
        <v>0</v>
      </c>
      <c r="BF817" s="146">
        <v>0</v>
      </c>
      <c r="BG817" s="142">
        <v>0</v>
      </c>
      <c r="BH817" s="146">
        <v>0</v>
      </c>
      <c r="BI817" s="142"/>
      <c r="BJ817" s="143"/>
      <c r="BK817" s="146">
        <v>176</v>
      </c>
      <c r="BL817" s="28"/>
    </row>
    <row r="818" spans="3:64" x14ac:dyDescent="0.3">
      <c r="C818" s="138" t="s">
        <v>84</v>
      </c>
      <c r="D818" s="138">
        <f>SUM(D815:D817)</f>
        <v>26524</v>
      </c>
      <c r="E818" s="28">
        <f>SUM(E815:E817)</f>
        <v>19952</v>
      </c>
      <c r="F818" s="138"/>
      <c r="G818" s="28" t="s">
        <v>1291</v>
      </c>
      <c r="H818" s="28"/>
      <c r="I818" s="196">
        <f>SUM(I815:I817)</f>
        <v>29688</v>
      </c>
      <c r="J818" s="43">
        <v>0</v>
      </c>
      <c r="K818" s="28" t="s">
        <v>152</v>
      </c>
      <c r="L818" s="141"/>
      <c r="O818" s="142" t="s">
        <v>84</v>
      </c>
      <c r="P818" s="142">
        <v>274</v>
      </c>
      <c r="Q818" s="199">
        <v>0</v>
      </c>
      <c r="R818" s="142">
        <v>0</v>
      </c>
      <c r="S818" s="199">
        <v>0</v>
      </c>
      <c r="T818" s="146">
        <v>0</v>
      </c>
      <c r="U818" s="142">
        <v>3</v>
      </c>
      <c r="V818" s="199">
        <v>0</v>
      </c>
      <c r="W818" s="142"/>
      <c r="X818" s="146"/>
      <c r="AA818" s="42" t="s">
        <v>89</v>
      </c>
      <c r="AB818" s="42">
        <v>406</v>
      </c>
      <c r="AC818" s="40">
        <v>478</v>
      </c>
      <c r="AD818" s="43">
        <v>0</v>
      </c>
      <c r="AE818" s="43">
        <v>0</v>
      </c>
      <c r="AF818" s="43">
        <v>0</v>
      </c>
      <c r="AG818" s="42">
        <v>0</v>
      </c>
      <c r="AH818" s="40">
        <v>0</v>
      </c>
      <c r="AI818" s="41">
        <v>0</v>
      </c>
      <c r="AJ818" s="43">
        <v>11</v>
      </c>
      <c r="AK818" s="28" t="s">
        <v>884</v>
      </c>
      <c r="AL818" s="40"/>
      <c r="AM818" s="28"/>
      <c r="AN818" s="28"/>
      <c r="AO818" s="134" t="s">
        <v>56</v>
      </c>
      <c r="AP818" s="134">
        <v>101</v>
      </c>
      <c r="AQ818" s="136">
        <v>116</v>
      </c>
      <c r="AR818" s="134">
        <v>0</v>
      </c>
      <c r="AS818" s="136">
        <v>0</v>
      </c>
      <c r="AT818" s="134"/>
      <c r="AU818" s="135" t="s">
        <v>140</v>
      </c>
      <c r="AV818" s="135"/>
      <c r="AW818" s="135"/>
      <c r="AX818" s="136"/>
      <c r="AY818" s="43"/>
      <c r="AZ818" s="28"/>
      <c r="BA818" s="247" t="s">
        <v>84</v>
      </c>
      <c r="BB818" s="247">
        <f>SUM(BB799:BB817)</f>
        <v>6108</v>
      </c>
      <c r="BC818" s="248">
        <f>SUM(BC799:BC817)</f>
        <v>11602</v>
      </c>
      <c r="BD818" s="197">
        <v>0</v>
      </c>
      <c r="BE818" s="198">
        <v>0</v>
      </c>
      <c r="BF818" s="249">
        <v>0</v>
      </c>
      <c r="BG818" s="197">
        <v>0</v>
      </c>
      <c r="BH818" s="249">
        <v>0</v>
      </c>
      <c r="BI818" s="197"/>
      <c r="BJ818" s="198"/>
      <c r="BK818" s="249"/>
      <c r="BL818" s="28"/>
    </row>
    <row r="819" spans="3:64" x14ac:dyDescent="0.3">
      <c r="C819" s="142"/>
      <c r="D819" s="142"/>
      <c r="E819" s="143"/>
      <c r="F819" s="142"/>
      <c r="G819" s="143"/>
      <c r="H819" s="143"/>
      <c r="I819" s="199"/>
      <c r="J819" s="143">
        <v>2</v>
      </c>
      <c r="K819" s="143" t="s">
        <v>958</v>
      </c>
      <c r="L819" s="146">
        <v>182</v>
      </c>
      <c r="O819" s="138"/>
      <c r="P819" s="138"/>
      <c r="Q819" s="196"/>
      <c r="R819" s="138"/>
      <c r="S819" s="196"/>
      <c r="T819" s="141"/>
      <c r="U819" s="138"/>
      <c r="V819" s="196"/>
      <c r="W819" s="138"/>
      <c r="X819" s="141"/>
      <c r="AA819" s="42" t="s">
        <v>84</v>
      </c>
      <c r="AB819" s="42">
        <f>SUM(AB816:AB818)</f>
        <v>835</v>
      </c>
      <c r="AC819" s="40">
        <f>SUM(AC816:AC818)</f>
        <v>1034</v>
      </c>
      <c r="AD819" s="43">
        <v>0</v>
      </c>
      <c r="AE819" s="43">
        <v>0</v>
      </c>
      <c r="AF819" s="43">
        <v>0</v>
      </c>
      <c r="AG819" s="42">
        <v>0</v>
      </c>
      <c r="AH819" s="40">
        <v>0</v>
      </c>
      <c r="AI819" s="41">
        <v>0</v>
      </c>
      <c r="AJ819" s="43">
        <v>18</v>
      </c>
      <c r="AK819" s="28" t="s">
        <v>141</v>
      </c>
      <c r="AL819" s="40"/>
      <c r="AO819" s="138" t="s">
        <v>72</v>
      </c>
      <c r="AP819" s="138">
        <v>4</v>
      </c>
      <c r="AQ819" s="141">
        <v>21</v>
      </c>
      <c r="AR819" s="138">
        <v>0</v>
      </c>
      <c r="AS819" s="141">
        <v>0</v>
      </c>
      <c r="AT819" s="138"/>
      <c r="AU819" s="28" t="s">
        <v>1811</v>
      </c>
      <c r="AV819" s="28"/>
      <c r="AW819" s="28"/>
      <c r="AX819" s="141"/>
      <c r="AY819" s="43"/>
      <c r="AZ819" s="28"/>
      <c r="BA819" s="134"/>
      <c r="BB819" s="134"/>
      <c r="BC819" s="136"/>
      <c r="BD819" s="135"/>
      <c r="BE819" s="135"/>
      <c r="BF819" s="135"/>
      <c r="BG819" s="138"/>
      <c r="BH819" s="141"/>
      <c r="BI819" s="28" t="s">
        <v>1025</v>
      </c>
      <c r="BJ819" s="28"/>
      <c r="BK819" s="141"/>
      <c r="BL819" s="28"/>
    </row>
    <row r="820" spans="3:64" ht="15" thickBot="1" x14ac:dyDescent="0.35">
      <c r="C820" s="134" t="s">
        <v>105</v>
      </c>
      <c r="D820" s="134">
        <v>2093</v>
      </c>
      <c r="E820" s="135">
        <v>1405</v>
      </c>
      <c r="F820" s="134"/>
      <c r="G820" s="243">
        <v>775</v>
      </c>
      <c r="H820" s="135"/>
      <c r="I820" s="195"/>
      <c r="J820" s="135" t="s">
        <v>162</v>
      </c>
      <c r="K820" s="135"/>
      <c r="L820" s="136"/>
      <c r="O820" s="138"/>
      <c r="P820" s="138"/>
      <c r="Q820" s="196"/>
      <c r="R820" s="138"/>
      <c r="S820" s="196"/>
      <c r="T820" s="141"/>
      <c r="U820" s="138"/>
      <c r="V820" s="196"/>
      <c r="W820" s="138"/>
      <c r="X820" s="141"/>
      <c r="AA820" s="47"/>
      <c r="AB820" s="47"/>
      <c r="AC820" s="49"/>
      <c r="AD820" s="48"/>
      <c r="AE820" s="48"/>
      <c r="AF820" s="48"/>
      <c r="AG820" s="47"/>
      <c r="AH820" s="49"/>
      <c r="AI820" s="46"/>
      <c r="AJ820" s="48"/>
      <c r="AK820" s="48" t="s">
        <v>1798</v>
      </c>
      <c r="AL820" s="49">
        <v>30</v>
      </c>
      <c r="AO820" s="138" t="s">
        <v>78</v>
      </c>
      <c r="AP820" s="138">
        <v>26</v>
      </c>
      <c r="AQ820" s="141">
        <v>36</v>
      </c>
      <c r="AR820" s="138">
        <v>0</v>
      </c>
      <c r="AS820" s="141">
        <v>0</v>
      </c>
      <c r="AT820" s="138"/>
      <c r="AU820" s="43">
        <v>18</v>
      </c>
      <c r="AV820" s="28" t="s">
        <v>213</v>
      </c>
      <c r="AW820" s="43" t="s">
        <v>1310</v>
      </c>
      <c r="AX820" s="141"/>
      <c r="AY820" s="43"/>
      <c r="AZ820" s="28"/>
      <c r="BA820" s="142" t="s">
        <v>64</v>
      </c>
      <c r="BB820" s="142">
        <v>105</v>
      </c>
      <c r="BC820" s="146">
        <v>76</v>
      </c>
      <c r="BD820" s="28">
        <v>0</v>
      </c>
      <c r="BE820" s="28">
        <v>0</v>
      </c>
      <c r="BF820" s="28">
        <v>0</v>
      </c>
      <c r="BG820" s="142">
        <v>0</v>
      </c>
      <c r="BH820" s="146">
        <v>0</v>
      </c>
      <c r="BI820" s="143">
        <v>9</v>
      </c>
      <c r="BJ820" s="143" t="s">
        <v>1026</v>
      </c>
      <c r="BK820" s="146">
        <v>9</v>
      </c>
      <c r="BL820" s="28"/>
    </row>
    <row r="821" spans="3:64" x14ac:dyDescent="0.3">
      <c r="C821" s="138" t="s">
        <v>99</v>
      </c>
      <c r="D821" s="138">
        <v>1552</v>
      </c>
      <c r="E821" s="43">
        <v>747</v>
      </c>
      <c r="F821" s="138"/>
      <c r="G821" s="107">
        <v>730</v>
      </c>
      <c r="H821" s="28"/>
      <c r="I821" s="196"/>
      <c r="J821" s="28"/>
      <c r="K821" s="28"/>
      <c r="L821" s="141"/>
      <c r="O821" s="138"/>
      <c r="P821" s="138"/>
      <c r="Q821" s="196"/>
      <c r="R821" s="138"/>
      <c r="S821" s="196"/>
      <c r="T821" s="141"/>
      <c r="U821" s="138"/>
      <c r="V821" s="196"/>
      <c r="W821" s="138"/>
      <c r="X821" s="141"/>
      <c r="AA821" s="42" t="s">
        <v>99</v>
      </c>
      <c r="AB821" s="42">
        <v>0</v>
      </c>
      <c r="AC821" s="40">
        <v>0</v>
      </c>
      <c r="AD821" s="43">
        <v>0</v>
      </c>
      <c r="AE821" s="43">
        <v>0</v>
      </c>
      <c r="AF821" s="43">
        <v>0</v>
      </c>
      <c r="AG821" s="42">
        <v>0</v>
      </c>
      <c r="AH821" s="40">
        <v>8655</v>
      </c>
      <c r="AI821" s="41">
        <v>0</v>
      </c>
      <c r="AJ821" s="28" t="s">
        <v>149</v>
      </c>
      <c r="AK821" s="28"/>
      <c r="AL821" s="40"/>
      <c r="AO821" s="138" t="s">
        <v>67</v>
      </c>
      <c r="AP821" s="138">
        <v>10</v>
      </c>
      <c r="AQ821" s="141">
        <v>33</v>
      </c>
      <c r="AR821" s="138">
        <v>0</v>
      </c>
      <c r="AS821" s="141">
        <v>0</v>
      </c>
      <c r="AT821" s="138"/>
      <c r="AU821" s="43">
        <v>2</v>
      </c>
      <c r="AV821" s="43" t="s">
        <v>1067</v>
      </c>
      <c r="AW821" s="28" t="s">
        <v>175</v>
      </c>
      <c r="AX821" s="141"/>
      <c r="AY821" s="28"/>
      <c r="AZ821" s="28"/>
      <c r="BA821" s="138"/>
      <c r="BB821" s="134"/>
      <c r="BC821" s="136"/>
      <c r="BD821" s="134"/>
      <c r="BE821" s="135"/>
      <c r="BF821" s="136"/>
      <c r="BG821" s="138"/>
      <c r="BH821" s="141"/>
      <c r="BI821" s="28" t="s">
        <v>994</v>
      </c>
      <c r="BJ821" s="28"/>
      <c r="BK821" s="141"/>
      <c r="BL821" s="28"/>
    </row>
    <row r="822" spans="3:64" x14ac:dyDescent="0.3">
      <c r="C822" s="138"/>
      <c r="D822" s="138"/>
      <c r="E822" s="28"/>
      <c r="F822" s="138"/>
      <c r="G822" s="28"/>
      <c r="H822" s="28"/>
      <c r="I822" s="196"/>
      <c r="J822" s="43">
        <v>44</v>
      </c>
      <c r="K822" s="28" t="s">
        <v>101</v>
      </c>
      <c r="L822" s="141"/>
      <c r="O822" s="138"/>
      <c r="P822" s="138"/>
      <c r="Q822" s="196"/>
      <c r="R822" s="138"/>
      <c r="S822" s="196"/>
      <c r="T822" s="141"/>
      <c r="U822" s="138"/>
      <c r="V822" s="196"/>
      <c r="W822" s="138"/>
      <c r="X822" s="141"/>
      <c r="AA822" s="42" t="s">
        <v>174</v>
      </c>
      <c r="AB822" s="42">
        <v>0</v>
      </c>
      <c r="AC822" s="40">
        <v>0</v>
      </c>
      <c r="AD822" s="43">
        <v>0</v>
      </c>
      <c r="AE822" s="43">
        <v>0</v>
      </c>
      <c r="AF822" s="43">
        <v>0</v>
      </c>
      <c r="AG822" s="42">
        <v>71174</v>
      </c>
      <c r="AH822" s="40">
        <v>0</v>
      </c>
      <c r="AI822" s="41">
        <v>0</v>
      </c>
      <c r="AJ822" s="43">
        <v>4</v>
      </c>
      <c r="AK822" s="28" t="s">
        <v>1318</v>
      </c>
      <c r="AL822" s="40"/>
      <c r="AO822" s="138" t="s">
        <v>115</v>
      </c>
      <c r="AP822" s="138">
        <v>5</v>
      </c>
      <c r="AQ822" s="141">
        <v>7</v>
      </c>
      <c r="AR822" s="138">
        <v>0</v>
      </c>
      <c r="AS822" s="141">
        <v>0</v>
      </c>
      <c r="AT822" s="138"/>
      <c r="AU822" s="43">
        <v>3</v>
      </c>
      <c r="AV822" s="43" t="s">
        <v>1676</v>
      </c>
      <c r="AW822" s="28" t="s">
        <v>1812</v>
      </c>
      <c r="AX822" s="141"/>
      <c r="AY822" s="28"/>
      <c r="AZ822" s="28"/>
      <c r="BA822" s="138" t="s">
        <v>113</v>
      </c>
      <c r="BB822" s="138">
        <v>456</v>
      </c>
      <c r="BC822" s="141">
        <v>544</v>
      </c>
      <c r="BD822" s="138">
        <v>0</v>
      </c>
      <c r="BE822" s="43">
        <v>0</v>
      </c>
      <c r="BF822" s="209">
        <v>0</v>
      </c>
      <c r="BG822" s="138">
        <v>0</v>
      </c>
      <c r="BH822" s="141">
        <v>0</v>
      </c>
      <c r="BI822" s="43">
        <v>29</v>
      </c>
      <c r="BJ822" s="28" t="s">
        <v>100</v>
      </c>
      <c r="BK822" s="141"/>
      <c r="BL822" s="28"/>
    </row>
    <row r="823" spans="3:64" ht="15" thickBot="1" x14ac:dyDescent="0.35">
      <c r="C823" s="138" t="s">
        <v>84</v>
      </c>
      <c r="D823" s="142">
        <f>SUM(D820:D822)</f>
        <v>3645</v>
      </c>
      <c r="E823" s="143">
        <f>SUM(E820:E822)</f>
        <v>2152</v>
      </c>
      <c r="F823" s="142"/>
      <c r="G823" s="250">
        <f>SUM(G820:G822)</f>
        <v>1505</v>
      </c>
      <c r="H823" s="143"/>
      <c r="I823" s="199">
        <v>7432</v>
      </c>
      <c r="J823" s="143"/>
      <c r="K823" s="143"/>
      <c r="L823" s="146">
        <v>44</v>
      </c>
      <c r="O823" s="138"/>
      <c r="P823" s="138"/>
      <c r="Q823" s="196"/>
      <c r="R823" s="138"/>
      <c r="S823" s="196"/>
      <c r="T823" s="141"/>
      <c r="U823" s="138"/>
      <c r="V823" s="196"/>
      <c r="W823" s="138"/>
      <c r="X823" s="141"/>
      <c r="AA823" s="42" t="s">
        <v>84</v>
      </c>
      <c r="AB823" s="42">
        <v>0</v>
      </c>
      <c r="AC823" s="40">
        <v>0</v>
      </c>
      <c r="AD823" s="43">
        <v>0</v>
      </c>
      <c r="AE823" s="43">
        <v>0</v>
      </c>
      <c r="AF823" s="43">
        <v>0</v>
      </c>
      <c r="AG823" s="42">
        <v>71174</v>
      </c>
      <c r="AH823" s="40">
        <v>8655</v>
      </c>
      <c r="AI823" s="41">
        <v>0</v>
      </c>
      <c r="AJ823" s="43"/>
      <c r="AK823" s="43"/>
      <c r="AL823" s="40">
        <v>4</v>
      </c>
      <c r="AO823" s="138" t="s">
        <v>81</v>
      </c>
      <c r="AP823" s="138">
        <v>12</v>
      </c>
      <c r="AQ823" s="141">
        <v>21</v>
      </c>
      <c r="AR823" s="138">
        <v>0</v>
      </c>
      <c r="AS823" s="141">
        <v>0</v>
      </c>
      <c r="AT823" s="138"/>
      <c r="AU823" s="43">
        <v>4</v>
      </c>
      <c r="AV823" s="43" t="s">
        <v>1312</v>
      </c>
      <c r="AW823" s="43"/>
      <c r="AX823" s="141"/>
      <c r="AY823" s="28"/>
      <c r="AZ823" s="28"/>
      <c r="BA823" s="142" t="s">
        <v>84</v>
      </c>
      <c r="BB823" s="142">
        <v>456</v>
      </c>
      <c r="BC823" s="146">
        <v>544</v>
      </c>
      <c r="BD823" s="142">
        <v>0</v>
      </c>
      <c r="BE823" s="224">
        <v>0</v>
      </c>
      <c r="BF823" s="251">
        <v>0</v>
      </c>
      <c r="BG823" s="142">
        <v>0</v>
      </c>
      <c r="BH823" s="146">
        <v>0</v>
      </c>
      <c r="BI823" s="43">
        <v>14</v>
      </c>
      <c r="BJ823" s="43" t="s">
        <v>1292</v>
      </c>
      <c r="BK823" s="146">
        <v>43</v>
      </c>
      <c r="BL823" s="28"/>
    </row>
    <row r="824" spans="3:64" x14ac:dyDescent="0.3">
      <c r="C824" s="195" t="s">
        <v>181</v>
      </c>
      <c r="D824" s="135">
        <v>4148</v>
      </c>
      <c r="E824" s="135">
        <v>3172</v>
      </c>
      <c r="F824" s="134"/>
      <c r="G824" s="135" t="s">
        <v>1291</v>
      </c>
      <c r="H824" s="136"/>
      <c r="I824" s="195"/>
      <c r="J824" s="134" t="s">
        <v>182</v>
      </c>
      <c r="K824" s="135"/>
      <c r="L824" s="136"/>
      <c r="O824" s="142" t="s">
        <v>84</v>
      </c>
      <c r="P824" s="142">
        <v>25383</v>
      </c>
      <c r="Q824" s="199">
        <v>56186</v>
      </c>
      <c r="R824" s="142">
        <v>0</v>
      </c>
      <c r="S824" s="199">
        <v>0</v>
      </c>
      <c r="T824" s="143">
        <v>0</v>
      </c>
      <c r="U824" s="142">
        <v>2492</v>
      </c>
      <c r="V824" s="199">
        <v>313</v>
      </c>
      <c r="W824" s="142"/>
      <c r="X824" s="146"/>
      <c r="AA824" s="32" t="s">
        <v>403</v>
      </c>
      <c r="AB824" s="34">
        <v>0</v>
      </c>
      <c r="AC824" s="35">
        <v>0</v>
      </c>
      <c r="AD824" s="135">
        <v>0</v>
      </c>
      <c r="AE824" s="135">
        <v>0</v>
      </c>
      <c r="AF824" s="136">
        <v>0</v>
      </c>
      <c r="AG824" s="134">
        <v>0</v>
      </c>
      <c r="AH824" s="135">
        <v>0</v>
      </c>
      <c r="AI824" s="32">
        <v>0</v>
      </c>
      <c r="AJ824" s="33" t="s">
        <v>157</v>
      </c>
      <c r="AK824" s="34"/>
      <c r="AL824" s="35"/>
      <c r="AO824" s="138" t="s">
        <v>230</v>
      </c>
      <c r="AP824" s="138">
        <v>10</v>
      </c>
      <c r="AQ824" s="141">
        <v>18</v>
      </c>
      <c r="AR824" s="138">
        <v>0</v>
      </c>
      <c r="AS824" s="141">
        <v>0</v>
      </c>
      <c r="AT824" s="138"/>
      <c r="AU824" s="43">
        <v>4</v>
      </c>
      <c r="AV824" s="43" t="s">
        <v>216</v>
      </c>
      <c r="AW824" s="28"/>
      <c r="AX824" s="141"/>
      <c r="AY824" s="28"/>
      <c r="AZ824" s="28"/>
      <c r="BA824" s="195" t="s">
        <v>652</v>
      </c>
      <c r="BB824" s="134">
        <v>2</v>
      </c>
      <c r="BC824" s="136">
        <v>4</v>
      </c>
      <c r="BD824" s="196">
        <v>0</v>
      </c>
      <c r="BE824" s="134">
        <v>0</v>
      </c>
      <c r="BF824" s="136">
        <v>0</v>
      </c>
      <c r="BG824" s="135">
        <v>0</v>
      </c>
      <c r="BH824" s="136">
        <v>0</v>
      </c>
      <c r="BI824" s="134" t="s">
        <v>140</v>
      </c>
      <c r="BJ824" s="135"/>
      <c r="BK824" s="136"/>
      <c r="BL824" s="28"/>
    </row>
    <row r="825" spans="3:64" x14ac:dyDescent="0.3">
      <c r="C825" s="196"/>
      <c r="D825" s="28"/>
      <c r="E825" s="28"/>
      <c r="F825" s="138"/>
      <c r="G825" s="28" t="s">
        <v>1291</v>
      </c>
      <c r="H825" s="141"/>
      <c r="I825" s="196"/>
      <c r="J825" s="138">
        <v>11</v>
      </c>
      <c r="K825" s="28" t="s">
        <v>436</v>
      </c>
      <c r="L825" s="141"/>
      <c r="AA825" s="41" t="s">
        <v>250</v>
      </c>
      <c r="AB825" s="28">
        <v>0</v>
      </c>
      <c r="AC825" s="40">
        <v>0</v>
      </c>
      <c r="AD825" s="43">
        <v>0</v>
      </c>
      <c r="AE825" s="43">
        <v>0</v>
      </c>
      <c r="AF825" s="209">
        <v>0</v>
      </c>
      <c r="AG825" s="138">
        <v>10013</v>
      </c>
      <c r="AH825" s="28">
        <v>0</v>
      </c>
      <c r="AI825" s="41">
        <v>0</v>
      </c>
      <c r="AJ825" s="67">
        <v>7</v>
      </c>
      <c r="AK825" s="28" t="s">
        <v>153</v>
      </c>
      <c r="AL825" s="40"/>
      <c r="AO825" s="138" t="s">
        <v>63</v>
      </c>
      <c r="AP825" s="138">
        <v>9</v>
      </c>
      <c r="AQ825" s="141">
        <v>17</v>
      </c>
      <c r="AR825" s="138">
        <v>0</v>
      </c>
      <c r="AS825" s="141">
        <v>0</v>
      </c>
      <c r="AT825" s="138"/>
      <c r="AU825" s="43">
        <v>1</v>
      </c>
      <c r="AV825" s="43" t="s">
        <v>1314</v>
      </c>
      <c r="AW825" s="28"/>
      <c r="AX825" s="141"/>
      <c r="AY825" s="28"/>
      <c r="AZ825" s="28"/>
      <c r="BA825" s="196" t="s">
        <v>564</v>
      </c>
      <c r="BB825" s="138">
        <v>6</v>
      </c>
      <c r="BC825" s="209">
        <v>0</v>
      </c>
      <c r="BD825" s="196">
        <v>0</v>
      </c>
      <c r="BE825" s="138">
        <v>0</v>
      </c>
      <c r="BF825" s="141">
        <v>0</v>
      </c>
      <c r="BG825" s="43">
        <v>0</v>
      </c>
      <c r="BH825" s="141">
        <v>0</v>
      </c>
      <c r="BI825" s="138"/>
      <c r="BJ825" s="28"/>
      <c r="BK825" s="141"/>
      <c r="BL825" s="28"/>
    </row>
    <row r="826" spans="3:64" x14ac:dyDescent="0.3">
      <c r="C826" s="196" t="s">
        <v>84</v>
      </c>
      <c r="D826" s="28">
        <v>4148</v>
      </c>
      <c r="E826" s="43">
        <v>3172</v>
      </c>
      <c r="F826" s="138"/>
      <c r="G826" s="28" t="s">
        <v>1291</v>
      </c>
      <c r="H826" s="141"/>
      <c r="I826" s="196">
        <v>4819</v>
      </c>
      <c r="J826" s="138">
        <v>3</v>
      </c>
      <c r="K826" s="28" t="s">
        <v>101</v>
      </c>
      <c r="L826" s="141"/>
      <c r="AA826" s="41" t="s">
        <v>99</v>
      </c>
      <c r="AB826" s="28">
        <v>0</v>
      </c>
      <c r="AC826" s="40">
        <v>0</v>
      </c>
      <c r="AD826" s="43">
        <v>0</v>
      </c>
      <c r="AE826" s="43">
        <v>0</v>
      </c>
      <c r="AF826" s="209">
        <v>0</v>
      </c>
      <c r="AG826" s="138">
        <v>168054</v>
      </c>
      <c r="AH826" s="28">
        <v>59157</v>
      </c>
      <c r="AI826" s="41">
        <v>0</v>
      </c>
      <c r="AJ826" s="42">
        <v>1</v>
      </c>
      <c r="AK826" s="28" t="s">
        <v>163</v>
      </c>
      <c r="AL826" s="40"/>
      <c r="AO826" s="138" t="s">
        <v>122</v>
      </c>
      <c r="AP826" s="138">
        <v>7</v>
      </c>
      <c r="AQ826" s="141">
        <v>0</v>
      </c>
      <c r="AR826" s="138">
        <v>0</v>
      </c>
      <c r="AS826" s="141">
        <v>0</v>
      </c>
      <c r="AT826" s="138"/>
      <c r="AU826" s="43">
        <v>52</v>
      </c>
      <c r="AV826" s="43" t="s">
        <v>215</v>
      </c>
      <c r="AW826" s="28"/>
      <c r="AX826" s="141"/>
      <c r="AY826" s="28"/>
      <c r="AZ826" s="28"/>
      <c r="BA826" s="196" t="s">
        <v>93</v>
      </c>
      <c r="BB826" s="138">
        <v>2</v>
      </c>
      <c r="BC826" s="209">
        <v>3</v>
      </c>
      <c r="BD826" s="196">
        <v>0</v>
      </c>
      <c r="BE826" s="138">
        <v>0</v>
      </c>
      <c r="BF826" s="141">
        <v>0</v>
      </c>
      <c r="BG826" s="43">
        <v>0</v>
      </c>
      <c r="BH826" s="141">
        <v>0</v>
      </c>
      <c r="BI826" s="138"/>
      <c r="BJ826" s="28"/>
      <c r="BK826" s="141"/>
      <c r="BL826" s="28"/>
    </row>
    <row r="827" spans="3:64" ht="15" thickBot="1" x14ac:dyDescent="0.35">
      <c r="C827" s="199"/>
      <c r="D827" s="28"/>
      <c r="E827" s="28"/>
      <c r="F827" s="142"/>
      <c r="G827" s="143"/>
      <c r="H827" s="146"/>
      <c r="I827" s="196"/>
      <c r="J827" s="138">
        <v>17</v>
      </c>
      <c r="K827" s="43" t="s">
        <v>94</v>
      </c>
      <c r="L827" s="141">
        <v>31</v>
      </c>
      <c r="AA827" s="68" t="s">
        <v>133</v>
      </c>
      <c r="AB827" s="28">
        <v>0</v>
      </c>
      <c r="AC827" s="40"/>
      <c r="AD827" s="28">
        <v>0</v>
      </c>
      <c r="AE827" s="43">
        <v>0</v>
      </c>
      <c r="AF827" s="141">
        <v>0</v>
      </c>
      <c r="AG827" s="138">
        <v>0</v>
      </c>
      <c r="AH827" s="28">
        <v>0</v>
      </c>
      <c r="AI827" s="41"/>
      <c r="AJ827" s="42">
        <v>1</v>
      </c>
      <c r="AK827" s="43" t="s">
        <v>1318</v>
      </c>
      <c r="AL827" s="40"/>
      <c r="AO827" s="138" t="s">
        <v>132</v>
      </c>
      <c r="AP827" s="138">
        <v>0</v>
      </c>
      <c r="AQ827" s="141">
        <v>2</v>
      </c>
      <c r="AR827" s="138">
        <v>0</v>
      </c>
      <c r="AS827" s="141">
        <v>0</v>
      </c>
      <c r="AT827" s="138"/>
      <c r="AU827" s="43">
        <v>1</v>
      </c>
      <c r="AV827" s="43" t="s">
        <v>1813</v>
      </c>
      <c r="AW827" s="28"/>
      <c r="AX827" s="141"/>
      <c r="AY827" s="28"/>
      <c r="AZ827" s="28"/>
      <c r="BA827" s="196" t="s">
        <v>596</v>
      </c>
      <c r="BB827" s="138">
        <v>1</v>
      </c>
      <c r="BC827" s="141">
        <v>1</v>
      </c>
      <c r="BD827" s="326">
        <v>0</v>
      </c>
      <c r="BE827" s="212">
        <v>0</v>
      </c>
      <c r="BF827" s="141">
        <v>0</v>
      </c>
      <c r="BG827" s="43">
        <v>0</v>
      </c>
      <c r="BH827" s="141">
        <v>0</v>
      </c>
      <c r="BI827" s="138" t="s">
        <v>142</v>
      </c>
      <c r="BJ827" s="43">
        <v>5</v>
      </c>
      <c r="BK827" s="141" t="s">
        <v>682</v>
      </c>
      <c r="BL827" s="28"/>
    </row>
    <row r="828" spans="3:64" ht="15" thickBot="1" x14ac:dyDescent="0.35">
      <c r="C828" s="47" t="s">
        <v>84</v>
      </c>
      <c r="D828" s="253">
        <v>61579</v>
      </c>
      <c r="E828" s="253">
        <v>47148</v>
      </c>
      <c r="F828" s="253"/>
      <c r="G828" s="253">
        <v>668</v>
      </c>
      <c r="H828" s="253"/>
      <c r="I828" s="254">
        <v>70438</v>
      </c>
      <c r="J828" s="171" t="s">
        <v>844</v>
      </c>
      <c r="K828" s="170"/>
      <c r="L828" s="172">
        <v>431</v>
      </c>
      <c r="AA828" s="62" t="s">
        <v>84</v>
      </c>
      <c r="AB828" s="48">
        <v>0</v>
      </c>
      <c r="AC828" s="49">
        <v>0</v>
      </c>
      <c r="AD828" s="224">
        <v>0</v>
      </c>
      <c r="AE828" s="224">
        <v>0</v>
      </c>
      <c r="AF828" s="251">
        <v>0</v>
      </c>
      <c r="AG828" s="142">
        <f>SUM(AG821:AG827)</f>
        <v>320415</v>
      </c>
      <c r="AH828" s="143">
        <f>SUM(AH821:AH827)</f>
        <v>76467</v>
      </c>
      <c r="AI828" s="46"/>
      <c r="AJ828" s="72"/>
      <c r="AK828" s="48"/>
      <c r="AL828" s="49">
        <v>9</v>
      </c>
      <c r="AO828" s="138" t="s">
        <v>1319</v>
      </c>
      <c r="AP828" s="138">
        <v>0</v>
      </c>
      <c r="AQ828" s="141">
        <v>0</v>
      </c>
      <c r="AR828" s="138">
        <v>0</v>
      </c>
      <c r="AS828" s="141">
        <v>0</v>
      </c>
      <c r="AT828" s="138"/>
      <c r="AU828" s="43"/>
      <c r="AV828" s="43" t="s">
        <v>903</v>
      </c>
      <c r="AW828" s="28"/>
      <c r="AX828" s="141"/>
      <c r="AY828" s="28"/>
      <c r="AZ828" s="28"/>
      <c r="BA828" s="196" t="s">
        <v>169</v>
      </c>
      <c r="BB828" s="138">
        <v>2</v>
      </c>
      <c r="BC828" s="141">
        <v>4</v>
      </c>
      <c r="BD828" s="326">
        <v>0</v>
      </c>
      <c r="BE828" s="252">
        <v>0</v>
      </c>
      <c r="BF828" s="141">
        <v>0</v>
      </c>
      <c r="BG828" s="43">
        <v>0</v>
      </c>
      <c r="BH828" s="141">
        <v>0</v>
      </c>
      <c r="BI828" s="138" t="s">
        <v>146</v>
      </c>
      <c r="BJ828" s="28"/>
      <c r="BK828" s="256" t="s">
        <v>1476</v>
      </c>
      <c r="BL828" s="28"/>
    </row>
    <row r="829" spans="3:64" ht="15" thickBot="1" x14ac:dyDescent="0.35">
      <c r="AA829" s="33" t="s">
        <v>102</v>
      </c>
      <c r="AB829" s="33">
        <v>144</v>
      </c>
      <c r="AC829" s="35">
        <v>183</v>
      </c>
      <c r="AD829" s="34">
        <v>0</v>
      </c>
      <c r="AE829" s="34">
        <v>0</v>
      </c>
      <c r="AF829" s="34">
        <v>0</v>
      </c>
      <c r="AG829" s="33">
        <v>0</v>
      </c>
      <c r="AH829" s="34">
        <v>0</v>
      </c>
      <c r="AI829" s="32">
        <v>0</v>
      </c>
      <c r="AJ829" s="34" t="s">
        <v>1326</v>
      </c>
      <c r="AK829" s="34"/>
      <c r="AL829" s="35"/>
      <c r="AO829" s="138" t="s">
        <v>84</v>
      </c>
      <c r="AP829" s="138">
        <f>SUM(AP814:AP828)</f>
        <v>184</v>
      </c>
      <c r="AQ829" s="141">
        <f>SUM(AQ814:AQ828)</f>
        <v>271</v>
      </c>
      <c r="AR829" s="138">
        <v>0</v>
      </c>
      <c r="AS829" s="141">
        <v>0</v>
      </c>
      <c r="AT829" s="142"/>
      <c r="AU829" s="224">
        <v>6</v>
      </c>
      <c r="AV829" s="224" t="s">
        <v>244</v>
      </c>
      <c r="AW829" s="143"/>
      <c r="AX829" s="146">
        <v>151</v>
      </c>
      <c r="AY829" s="28"/>
      <c r="AZ829" s="28"/>
      <c r="BA829" s="196" t="s">
        <v>1814</v>
      </c>
      <c r="BB829" s="138">
        <v>0</v>
      </c>
      <c r="BC829" s="141">
        <v>0</v>
      </c>
      <c r="BD829" s="326">
        <v>0</v>
      </c>
      <c r="BE829" s="212">
        <v>0</v>
      </c>
      <c r="BF829" s="141">
        <v>0</v>
      </c>
      <c r="BG829" s="43">
        <v>0</v>
      </c>
      <c r="BH829" s="141">
        <v>0</v>
      </c>
      <c r="BI829" s="138"/>
      <c r="BJ829" s="28"/>
      <c r="BK829" s="141" t="s">
        <v>1766</v>
      </c>
      <c r="BL829" s="28"/>
    </row>
    <row r="830" spans="3:64" ht="15" thickBot="1" x14ac:dyDescent="0.35">
      <c r="AA830" s="42" t="s">
        <v>88</v>
      </c>
      <c r="AB830" s="42">
        <v>486</v>
      </c>
      <c r="AC830" s="40">
        <v>19</v>
      </c>
      <c r="AD830" s="43">
        <v>0</v>
      </c>
      <c r="AE830" s="43">
        <v>0</v>
      </c>
      <c r="AF830" s="43">
        <v>0</v>
      </c>
      <c r="AG830" s="42">
        <v>0</v>
      </c>
      <c r="AH830" s="28">
        <v>0</v>
      </c>
      <c r="AI830" s="41">
        <v>0</v>
      </c>
      <c r="AJ830" s="43">
        <v>9</v>
      </c>
      <c r="AK830" s="28" t="s">
        <v>1328</v>
      </c>
      <c r="AL830" s="40"/>
      <c r="AO830" s="171" t="s">
        <v>84</v>
      </c>
      <c r="AP830" s="171">
        <v>1656</v>
      </c>
      <c r="AQ830" s="172">
        <v>1744</v>
      </c>
      <c r="AR830" s="170">
        <v>0</v>
      </c>
      <c r="AS830" s="172">
        <v>0</v>
      </c>
      <c r="AT830" s="48"/>
      <c r="AU830" s="48"/>
      <c r="AV830" s="48"/>
      <c r="AW830" s="48"/>
      <c r="AX830" s="49">
        <v>256</v>
      </c>
      <c r="AY830" s="28"/>
      <c r="AZ830" s="28"/>
      <c r="BA830" s="196" t="s">
        <v>113</v>
      </c>
      <c r="BB830" s="138">
        <v>118</v>
      </c>
      <c r="BC830" s="141">
        <v>145</v>
      </c>
      <c r="BD830" s="326">
        <v>0</v>
      </c>
      <c r="BE830" s="212">
        <v>0</v>
      </c>
      <c r="BF830" s="141">
        <v>0</v>
      </c>
      <c r="BG830" s="43">
        <v>0</v>
      </c>
      <c r="BH830" s="141">
        <v>0</v>
      </c>
      <c r="BI830" s="138" t="s">
        <v>151</v>
      </c>
      <c r="BJ830" s="28"/>
      <c r="BK830" s="141"/>
      <c r="BL830" s="28"/>
    </row>
    <row r="831" spans="3:64" ht="15" thickBot="1" x14ac:dyDescent="0.35">
      <c r="AA831" s="47" t="s">
        <v>84</v>
      </c>
      <c r="AB831" s="202">
        <f>SUM(AB829:AB830)</f>
        <v>630</v>
      </c>
      <c r="AC831" s="203">
        <f>SUM(AC829:AC830)</f>
        <v>202</v>
      </c>
      <c r="AD831" s="48">
        <v>0</v>
      </c>
      <c r="AE831" s="48">
        <v>0</v>
      </c>
      <c r="AF831" s="48">
        <v>0</v>
      </c>
      <c r="AG831" s="202">
        <v>0</v>
      </c>
      <c r="AH831" s="48">
        <v>0</v>
      </c>
      <c r="AI831" s="46">
        <v>0</v>
      </c>
      <c r="AJ831" s="48"/>
      <c r="AK831" s="48"/>
      <c r="AL831" s="49">
        <v>9</v>
      </c>
      <c r="AW831" s="28"/>
      <c r="AX831" s="28"/>
      <c r="AY831" s="28"/>
      <c r="AZ831" s="28"/>
      <c r="BA831" s="196" t="s">
        <v>164</v>
      </c>
      <c r="BB831" s="138">
        <v>10</v>
      </c>
      <c r="BC831" s="141">
        <v>0</v>
      </c>
      <c r="BD831" s="326">
        <v>0</v>
      </c>
      <c r="BE831" s="212">
        <v>0</v>
      </c>
      <c r="BF831" s="141">
        <v>0</v>
      </c>
      <c r="BG831" s="43">
        <v>0</v>
      </c>
      <c r="BH831" s="141">
        <v>0</v>
      </c>
      <c r="BI831" s="138" t="s">
        <v>943</v>
      </c>
      <c r="BJ831" s="257" t="s">
        <v>466</v>
      </c>
      <c r="BK831" s="141" t="s">
        <v>1815</v>
      </c>
      <c r="BL831" s="28"/>
    </row>
    <row r="832" spans="3:64" ht="15" thickBot="1" x14ac:dyDescent="0.35">
      <c r="AA832" s="254" t="s">
        <v>84</v>
      </c>
      <c r="AB832" s="171">
        <v>4867</v>
      </c>
      <c r="AC832" s="172">
        <v>6979</v>
      </c>
      <c r="AD832" s="171">
        <v>0</v>
      </c>
      <c r="AE832" s="170">
        <v>0</v>
      </c>
      <c r="AF832" s="172">
        <v>0</v>
      </c>
      <c r="AG832" s="171">
        <v>391589</v>
      </c>
      <c r="AH832" s="172">
        <v>85122</v>
      </c>
      <c r="AI832" s="254">
        <v>0</v>
      </c>
      <c r="AJ832" s="170" t="s">
        <v>199</v>
      </c>
      <c r="AK832" s="170"/>
      <c r="AL832" s="172">
        <v>98</v>
      </c>
      <c r="AW832" s="28"/>
      <c r="AX832" s="28"/>
      <c r="AY832" s="28"/>
      <c r="AZ832" s="28"/>
      <c r="BA832" s="196" t="s">
        <v>200</v>
      </c>
      <c r="BB832" s="138">
        <v>5</v>
      </c>
      <c r="BC832" s="141">
        <v>9</v>
      </c>
      <c r="BD832" s="326">
        <v>0</v>
      </c>
      <c r="BE832" s="212">
        <v>0</v>
      </c>
      <c r="BF832" s="141">
        <v>0</v>
      </c>
      <c r="BG832" s="43">
        <v>0</v>
      </c>
      <c r="BH832" s="141">
        <v>0</v>
      </c>
      <c r="BI832" s="212" t="s">
        <v>507</v>
      </c>
      <c r="BJ832" s="28" t="s">
        <v>1816</v>
      </c>
      <c r="BK832" s="141"/>
      <c r="BL832" s="28"/>
    </row>
    <row r="833" spans="37:66" x14ac:dyDescent="0.3">
      <c r="AW833" s="28"/>
      <c r="AX833" s="28"/>
      <c r="AY833" s="28"/>
      <c r="AZ833" s="28"/>
      <c r="BA833" s="196" t="s">
        <v>1118</v>
      </c>
      <c r="BB833" s="138">
        <v>0</v>
      </c>
      <c r="BC833" s="141">
        <v>1</v>
      </c>
      <c r="BD833" s="326">
        <v>0</v>
      </c>
      <c r="BE833" s="212">
        <v>0</v>
      </c>
      <c r="BF833" s="141">
        <v>0</v>
      </c>
      <c r="BG833" s="43">
        <v>0</v>
      </c>
      <c r="BH833" s="141">
        <v>0</v>
      </c>
      <c r="BI833" s="212" t="s">
        <v>1383</v>
      </c>
      <c r="BJ833" s="43" t="s">
        <v>1817</v>
      </c>
      <c r="BK833" s="141"/>
      <c r="BL833" s="28"/>
    </row>
    <row r="834" spans="37:66" x14ac:dyDescent="0.3">
      <c r="AK834" s="28"/>
      <c r="AW834" s="28"/>
      <c r="AX834" s="28"/>
      <c r="AY834" s="28"/>
      <c r="AZ834" s="28"/>
      <c r="BA834" s="196" t="s">
        <v>1247</v>
      </c>
      <c r="BB834" s="138">
        <v>0</v>
      </c>
      <c r="BC834" s="141">
        <v>0</v>
      </c>
      <c r="BD834" s="326">
        <v>0</v>
      </c>
      <c r="BE834" s="212">
        <v>0</v>
      </c>
      <c r="BF834" s="141">
        <v>0</v>
      </c>
      <c r="BG834" s="43">
        <v>0</v>
      </c>
      <c r="BH834" s="141">
        <v>0</v>
      </c>
      <c r="BI834" s="138" t="s">
        <v>1378</v>
      </c>
      <c r="BJ834" s="43" t="s">
        <v>1818</v>
      </c>
      <c r="BK834" s="141"/>
      <c r="BL834" s="28"/>
    </row>
    <row r="835" spans="37:66" x14ac:dyDescent="0.3">
      <c r="AW835" s="28"/>
      <c r="AX835" s="28"/>
      <c r="AY835" s="28"/>
      <c r="AZ835" s="28"/>
      <c r="BA835" s="196" t="s">
        <v>523</v>
      </c>
      <c r="BB835" s="138">
        <v>0</v>
      </c>
      <c r="BC835" s="141">
        <v>5</v>
      </c>
      <c r="BD835" s="326">
        <v>0</v>
      </c>
      <c r="BE835" s="212">
        <v>0</v>
      </c>
      <c r="BF835" s="141">
        <v>0</v>
      </c>
      <c r="BG835" s="43">
        <v>0</v>
      </c>
      <c r="BH835" s="141">
        <v>0</v>
      </c>
      <c r="BI835" s="138" t="s">
        <v>1819</v>
      </c>
      <c r="BJ835" s="43" t="s">
        <v>1820</v>
      </c>
      <c r="BK835" s="141"/>
      <c r="BL835" s="28"/>
    </row>
    <row r="836" spans="37:66" x14ac:dyDescent="0.3">
      <c r="AW836" s="28"/>
      <c r="AX836" s="28"/>
      <c r="AY836" s="28"/>
      <c r="AZ836" s="28"/>
      <c r="BA836" s="196" t="s">
        <v>64</v>
      </c>
      <c r="BB836" s="138">
        <v>0</v>
      </c>
      <c r="BC836" s="141">
        <v>0</v>
      </c>
      <c r="BD836" s="326">
        <v>0</v>
      </c>
      <c r="BE836" s="212">
        <v>0</v>
      </c>
      <c r="BF836" s="141">
        <v>0</v>
      </c>
      <c r="BG836" s="43">
        <v>0</v>
      </c>
      <c r="BH836" s="141">
        <v>0</v>
      </c>
      <c r="BI836" s="212" t="s">
        <v>1332</v>
      </c>
      <c r="BJ836" s="43" t="s">
        <v>1821</v>
      </c>
      <c r="BK836" s="141"/>
      <c r="BL836" s="28"/>
    </row>
    <row r="837" spans="37:66" x14ac:dyDescent="0.3">
      <c r="AW837" s="28"/>
      <c r="AX837" s="28"/>
      <c r="AY837" s="28"/>
      <c r="AZ837" s="28"/>
      <c r="BA837" s="196" t="s">
        <v>924</v>
      </c>
      <c r="BB837" s="138">
        <v>0</v>
      </c>
      <c r="BC837" s="141">
        <v>3</v>
      </c>
      <c r="BD837" s="326">
        <v>0</v>
      </c>
      <c r="BE837" s="212">
        <v>0</v>
      </c>
      <c r="BF837" s="141">
        <v>0</v>
      </c>
      <c r="BG837" s="43">
        <v>0</v>
      </c>
      <c r="BH837" s="141">
        <v>0</v>
      </c>
      <c r="BI837" s="138" t="s">
        <v>276</v>
      </c>
      <c r="BJ837" s="43" t="s">
        <v>634</v>
      </c>
      <c r="BK837" s="209"/>
      <c r="BL837" s="28"/>
      <c r="BM837" s="28"/>
      <c r="BN837" s="28"/>
    </row>
    <row r="838" spans="37:66" ht="15.6" x14ac:dyDescent="0.3">
      <c r="AW838" s="28"/>
      <c r="AX838" s="28"/>
      <c r="AY838" s="28"/>
      <c r="AZ838" s="28"/>
      <c r="BA838" s="196" t="s">
        <v>139</v>
      </c>
      <c r="BB838" s="138">
        <v>3</v>
      </c>
      <c r="BC838" s="141">
        <v>0</v>
      </c>
      <c r="BD838" s="326">
        <v>0</v>
      </c>
      <c r="BE838" s="212">
        <v>0</v>
      </c>
      <c r="BF838" s="141">
        <v>0</v>
      </c>
      <c r="BG838" s="43">
        <v>0</v>
      </c>
      <c r="BH838" s="141">
        <v>0</v>
      </c>
      <c r="BI838" s="138" t="s">
        <v>1384</v>
      </c>
      <c r="BJ838" s="258" t="s">
        <v>714</v>
      </c>
      <c r="BK838" s="209"/>
      <c r="BL838" s="28"/>
      <c r="BM838" s="28"/>
      <c r="BN838" s="28"/>
    </row>
    <row r="839" spans="37:66" x14ac:dyDescent="0.3">
      <c r="AW839" s="28"/>
      <c r="AX839" s="28"/>
      <c r="AY839" s="28"/>
      <c r="AZ839" s="28"/>
      <c r="BA839" s="196" t="s">
        <v>1822</v>
      </c>
      <c r="BB839" s="138">
        <v>4</v>
      </c>
      <c r="BC839" s="141">
        <v>0</v>
      </c>
      <c r="BD839" s="326">
        <v>0</v>
      </c>
      <c r="BE839" s="212">
        <v>0</v>
      </c>
      <c r="BF839" s="141">
        <v>0</v>
      </c>
      <c r="BG839" s="43">
        <v>0</v>
      </c>
      <c r="BH839" s="141">
        <v>0</v>
      </c>
      <c r="BI839" s="138" t="s">
        <v>651</v>
      </c>
      <c r="BJ839" s="43" t="s">
        <v>325</v>
      </c>
      <c r="BK839" s="141"/>
      <c r="BL839" s="28"/>
      <c r="BM839" s="28"/>
      <c r="BN839" s="28"/>
    </row>
    <row r="840" spans="37:66" ht="15.6" x14ac:dyDescent="0.3">
      <c r="AW840" s="28"/>
      <c r="AX840" s="28"/>
      <c r="AY840" s="28"/>
      <c r="AZ840" s="28"/>
      <c r="BA840" s="259" t="s">
        <v>108</v>
      </c>
      <c r="BB840" s="138">
        <v>0</v>
      </c>
      <c r="BC840" s="141">
        <v>18</v>
      </c>
      <c r="BD840" s="326">
        <v>0</v>
      </c>
      <c r="BE840" s="212">
        <v>0</v>
      </c>
      <c r="BF840" s="141">
        <v>0</v>
      </c>
      <c r="BG840" s="43">
        <v>0</v>
      </c>
      <c r="BH840" s="141">
        <v>0</v>
      </c>
      <c r="BI840" s="138" t="s">
        <v>582</v>
      </c>
      <c r="BJ840" s="258" t="s">
        <v>1823</v>
      </c>
      <c r="BK840" s="260"/>
      <c r="BL840" s="28"/>
      <c r="BM840" s="28"/>
      <c r="BN840" s="28"/>
    </row>
    <row r="841" spans="37:66" ht="15.6" x14ac:dyDescent="0.3">
      <c r="AW841" s="28"/>
      <c r="AX841" s="28"/>
      <c r="AY841" s="28"/>
      <c r="AZ841" s="28"/>
      <c r="BA841" s="196" t="s">
        <v>133</v>
      </c>
      <c r="BB841" s="138">
        <v>10</v>
      </c>
      <c r="BC841" s="141">
        <v>15</v>
      </c>
      <c r="BD841" s="326">
        <v>0</v>
      </c>
      <c r="BE841" s="212">
        <v>0</v>
      </c>
      <c r="BF841" s="141">
        <v>0</v>
      </c>
      <c r="BG841" s="43">
        <v>0</v>
      </c>
      <c r="BH841" s="141">
        <v>0</v>
      </c>
      <c r="BI841" s="138" t="s">
        <v>447</v>
      </c>
      <c r="BJ841" s="258" t="s">
        <v>1824</v>
      </c>
      <c r="BK841" s="141"/>
      <c r="BL841" s="28"/>
      <c r="BM841" s="28"/>
      <c r="BN841" s="28"/>
    </row>
    <row r="842" spans="37:66" ht="15.6" x14ac:dyDescent="0.3">
      <c r="AW842" s="267"/>
      <c r="AX842" s="28"/>
      <c r="AY842" s="28"/>
      <c r="AZ842" s="28"/>
      <c r="BA842" s="196" t="s">
        <v>1825</v>
      </c>
      <c r="BB842" s="138">
        <v>0</v>
      </c>
      <c r="BC842" s="141">
        <v>0</v>
      </c>
      <c r="BD842" s="326">
        <v>0</v>
      </c>
      <c r="BE842" s="212">
        <v>0</v>
      </c>
      <c r="BF842" s="141">
        <v>0</v>
      </c>
      <c r="BG842" s="43">
        <v>0</v>
      </c>
      <c r="BH842" s="141">
        <v>0</v>
      </c>
      <c r="BI842" s="138" t="s">
        <v>180</v>
      </c>
      <c r="BJ842" s="258" t="s">
        <v>1826</v>
      </c>
      <c r="BK842" s="141"/>
      <c r="BL842" s="28"/>
      <c r="BM842" s="28"/>
      <c r="BN842" s="28"/>
    </row>
    <row r="843" spans="37:66" ht="15.6" x14ac:dyDescent="0.3">
      <c r="AW843" s="28"/>
      <c r="AX843" s="28"/>
      <c r="AY843" s="28"/>
      <c r="AZ843" s="28"/>
      <c r="BA843" s="196" t="s">
        <v>230</v>
      </c>
      <c r="BB843" s="138">
        <v>0</v>
      </c>
      <c r="BC843" s="141">
        <v>2</v>
      </c>
      <c r="BD843" s="326">
        <v>0</v>
      </c>
      <c r="BE843" s="212">
        <v>0</v>
      </c>
      <c r="BF843" s="141">
        <v>0</v>
      </c>
      <c r="BG843" s="43">
        <v>0</v>
      </c>
      <c r="BH843" s="141">
        <v>0</v>
      </c>
      <c r="BI843" s="138" t="s">
        <v>448</v>
      </c>
      <c r="BJ843" s="258"/>
      <c r="BK843" s="141"/>
      <c r="BL843" s="28"/>
      <c r="BM843" s="28"/>
      <c r="BN843" s="28"/>
    </row>
    <row r="844" spans="37:66" ht="15.6" x14ac:dyDescent="0.3">
      <c r="AW844" s="28"/>
      <c r="AX844" s="28"/>
      <c r="AY844" s="28"/>
      <c r="AZ844" s="28"/>
      <c r="BA844" s="196" t="s">
        <v>97</v>
      </c>
      <c r="BB844" s="138">
        <v>1</v>
      </c>
      <c r="BC844" s="141">
        <v>0</v>
      </c>
      <c r="BD844" s="326">
        <v>0</v>
      </c>
      <c r="BE844" s="212">
        <v>0</v>
      </c>
      <c r="BF844" s="141">
        <v>0</v>
      </c>
      <c r="BG844" s="43">
        <v>0</v>
      </c>
      <c r="BH844" s="141">
        <v>0</v>
      </c>
      <c r="BI844" s="138" t="s">
        <v>1827</v>
      </c>
      <c r="BJ844" s="258"/>
      <c r="BK844" s="141"/>
      <c r="BL844" s="28"/>
      <c r="BM844" s="28"/>
      <c r="BN844" s="28"/>
    </row>
    <row r="845" spans="37:66" ht="15.6" x14ac:dyDescent="0.3">
      <c r="AW845" s="28"/>
      <c r="AX845" s="28"/>
      <c r="AY845" s="28"/>
      <c r="AZ845" s="28"/>
      <c r="BA845" s="196" t="s">
        <v>1547</v>
      </c>
      <c r="BB845" s="138">
        <v>0</v>
      </c>
      <c r="BC845" s="141">
        <v>3</v>
      </c>
      <c r="BD845" s="196">
        <v>0</v>
      </c>
      <c r="BE845" s="212">
        <v>0</v>
      </c>
      <c r="BF845" s="141">
        <v>0</v>
      </c>
      <c r="BG845" s="43">
        <v>0</v>
      </c>
      <c r="BH845" s="141">
        <v>0</v>
      </c>
      <c r="BI845" s="138" t="s">
        <v>347</v>
      </c>
      <c r="BJ845" s="258"/>
      <c r="BK845" s="141"/>
      <c r="BL845" s="28"/>
      <c r="BM845" s="28"/>
      <c r="BN845" s="28"/>
    </row>
    <row r="846" spans="37:66" ht="15.6" x14ac:dyDescent="0.3">
      <c r="AW846" s="28"/>
      <c r="AX846" s="28"/>
      <c r="AY846" s="28"/>
      <c r="AZ846" s="28"/>
      <c r="BA846" s="196" t="s">
        <v>1437</v>
      </c>
      <c r="BB846" s="138">
        <v>0</v>
      </c>
      <c r="BC846" s="141">
        <v>0</v>
      </c>
      <c r="BD846" s="196">
        <v>0</v>
      </c>
      <c r="BE846" s="212">
        <v>0</v>
      </c>
      <c r="BF846" s="141">
        <v>0</v>
      </c>
      <c r="BG846" s="43">
        <v>0</v>
      </c>
      <c r="BH846" s="141">
        <v>0</v>
      </c>
      <c r="BI846" s="138" t="s">
        <v>1828</v>
      </c>
      <c r="BJ846" s="258"/>
      <c r="BK846" s="141">
        <v>90</v>
      </c>
      <c r="BL846" s="28"/>
      <c r="BM846" s="28"/>
      <c r="BN846" s="28"/>
    </row>
    <row r="847" spans="37:66" x14ac:dyDescent="0.3">
      <c r="AW847" s="28"/>
      <c r="AX847" s="28"/>
      <c r="AY847" s="28"/>
      <c r="AZ847" s="28"/>
      <c r="BA847" s="265" t="s">
        <v>84</v>
      </c>
      <c r="BB847" s="247">
        <v>164</v>
      </c>
      <c r="BC847" s="266">
        <v>213</v>
      </c>
      <c r="BD847" s="325">
        <v>0</v>
      </c>
      <c r="BE847" s="198">
        <v>0</v>
      </c>
      <c r="BF847" s="249">
        <v>0</v>
      </c>
      <c r="BG847" s="197">
        <v>103748</v>
      </c>
      <c r="BH847" s="249">
        <v>17262</v>
      </c>
      <c r="BI847" s="198" t="s">
        <v>939</v>
      </c>
      <c r="BJ847" s="198"/>
      <c r="BK847" s="249">
        <v>365</v>
      </c>
      <c r="BL847" s="28"/>
      <c r="BM847" s="28"/>
      <c r="BN847" s="28"/>
    </row>
    <row r="848" spans="37:66" x14ac:dyDescent="0.3">
      <c r="AW848" s="28"/>
      <c r="AX848" s="28"/>
      <c r="AY848" s="28"/>
      <c r="AZ848" s="28"/>
      <c r="BA848" s="28" t="s">
        <v>223</v>
      </c>
      <c r="BB848" s="212">
        <v>7051</v>
      </c>
      <c r="BC848" s="261">
        <v>12582</v>
      </c>
      <c r="BD848" s="184"/>
      <c r="BL848" s="28"/>
      <c r="BM848" s="28"/>
      <c r="BN848" s="28"/>
    </row>
    <row r="849" spans="49:66" x14ac:dyDescent="0.3">
      <c r="AW849" s="28"/>
      <c r="AX849" s="28"/>
      <c r="AY849" s="28"/>
      <c r="AZ849" s="28"/>
      <c r="BA849" s="28" t="s">
        <v>1340</v>
      </c>
      <c r="BB849" s="28"/>
      <c r="BC849" s="186">
        <v>365</v>
      </c>
      <c r="BL849" s="28"/>
      <c r="BM849" s="28"/>
      <c r="BN849" s="28"/>
    </row>
    <row r="850" spans="49:66" x14ac:dyDescent="0.3">
      <c r="AW850" s="28"/>
      <c r="AX850" s="28"/>
      <c r="AY850" s="28"/>
      <c r="AZ850" s="28"/>
      <c r="BA850" s="28" t="s">
        <v>229</v>
      </c>
      <c r="BB850" s="28"/>
      <c r="BC850" s="186">
        <v>2</v>
      </c>
      <c r="BL850" s="28"/>
      <c r="BM850" s="28"/>
      <c r="BN850" s="28"/>
    </row>
    <row r="851" spans="49:66" x14ac:dyDescent="0.3">
      <c r="AZ851" s="28"/>
      <c r="BA851" t="s">
        <v>232</v>
      </c>
      <c r="BC851" s="178" t="s">
        <v>233</v>
      </c>
      <c r="BE851">
        <v>1656</v>
      </c>
      <c r="BG851" t="s">
        <v>234</v>
      </c>
      <c r="BI851" t="s">
        <v>233</v>
      </c>
      <c r="BK851">
        <v>7051</v>
      </c>
      <c r="BL851" s="28"/>
      <c r="BM851" s="28"/>
      <c r="BN851" s="28"/>
    </row>
    <row r="852" spans="49:66" x14ac:dyDescent="0.3">
      <c r="AZ852" s="28"/>
      <c r="BC852" t="s">
        <v>236</v>
      </c>
      <c r="BE852">
        <v>1744</v>
      </c>
      <c r="BI852" t="s">
        <v>236</v>
      </c>
      <c r="BK852">
        <v>12582</v>
      </c>
      <c r="BL852" s="28"/>
      <c r="BM852" s="28"/>
      <c r="BN852" s="28"/>
    </row>
    <row r="853" spans="49:66" x14ac:dyDescent="0.3">
      <c r="AZ853" s="28"/>
      <c r="BA853" t="s">
        <v>238</v>
      </c>
      <c r="BB853" t="s">
        <v>239</v>
      </c>
      <c r="BD853" t="s">
        <v>240</v>
      </c>
      <c r="BE853" t="s">
        <v>241</v>
      </c>
      <c r="BH853" t="s">
        <v>242</v>
      </c>
      <c r="BI853" s="131" t="s">
        <v>243</v>
      </c>
      <c r="BL853" s="28"/>
      <c r="BM853" s="28"/>
      <c r="BN853" s="28"/>
    </row>
    <row r="854" spans="49:66" x14ac:dyDescent="0.3">
      <c r="AZ854" s="28"/>
      <c r="BA854" t="s">
        <v>233</v>
      </c>
      <c r="BC854">
        <v>61579</v>
      </c>
      <c r="BD854" s="236" t="s">
        <v>233</v>
      </c>
      <c r="BF854">
        <v>4867</v>
      </c>
      <c r="BG854" t="s">
        <v>233</v>
      </c>
      <c r="BI854">
        <v>11846</v>
      </c>
      <c r="BJ854" t="s">
        <v>245</v>
      </c>
      <c r="BK854">
        <v>108727</v>
      </c>
      <c r="BL854" s="28"/>
      <c r="BM854" s="28"/>
      <c r="BN854" s="28"/>
    </row>
    <row r="855" spans="49:66" x14ac:dyDescent="0.3">
      <c r="AZ855" s="28"/>
      <c r="BA855" t="s">
        <v>236</v>
      </c>
      <c r="BC855">
        <v>47148</v>
      </c>
      <c r="BD855" s="236" t="s">
        <v>236</v>
      </c>
      <c r="BF855">
        <v>6979</v>
      </c>
      <c r="BG855" t="s">
        <v>236</v>
      </c>
      <c r="BI855">
        <v>19633</v>
      </c>
      <c r="BK855">
        <v>34479</v>
      </c>
      <c r="BL855">
        <v>140206</v>
      </c>
      <c r="BM855" s="28"/>
      <c r="BN855" s="28"/>
    </row>
    <row r="856" spans="49:66" x14ac:dyDescent="0.3">
      <c r="AZ856" s="28"/>
      <c r="BA856" s="28"/>
      <c r="BB856" s="28"/>
      <c r="BC856" s="28"/>
      <c r="BD856" s="28"/>
      <c r="BE856" s="28"/>
      <c r="BF856" s="28"/>
      <c r="BG856" s="28"/>
      <c r="BH856" s="28"/>
      <c r="BI856" s="257"/>
      <c r="BJ856" s="28"/>
      <c r="BK856" s="28"/>
      <c r="BL856" s="28"/>
      <c r="BM856" s="28"/>
      <c r="BN856" s="28"/>
    </row>
    <row r="857" spans="49:66" x14ac:dyDescent="0.3">
      <c r="AZ857" s="218"/>
      <c r="BA857" s="28"/>
      <c r="BB857" s="28"/>
      <c r="BC857" s="28"/>
      <c r="BD857" s="21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</row>
    <row r="858" spans="49:66" x14ac:dyDescent="0.3">
      <c r="AZ858" s="218"/>
      <c r="BA858" s="28"/>
      <c r="BB858" s="28"/>
      <c r="BC858" s="28"/>
      <c r="BD858" s="21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</row>
    <row r="859" spans="49:66" x14ac:dyDescent="0.3">
      <c r="BA859" s="28"/>
      <c r="BB859" s="28"/>
      <c r="BC859" s="28"/>
      <c r="BD859" s="218"/>
      <c r="BE859" s="28"/>
      <c r="BF859" s="28"/>
      <c r="BG859" s="28"/>
      <c r="BH859" s="28"/>
      <c r="BI859" s="28"/>
      <c r="BJ859" s="28"/>
      <c r="BK859" s="28"/>
      <c r="BM859" s="28"/>
      <c r="BN859" s="28"/>
    </row>
    <row r="860" spans="49:66" x14ac:dyDescent="0.3"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18"/>
      <c r="BN860" s="28"/>
    </row>
  </sheetData>
  <mergeCells count="8">
    <mergeCell ref="BS632:BV632"/>
    <mergeCell ref="S713:U713"/>
    <mergeCell ref="R715:U715"/>
    <mergeCell ref="D791:H791"/>
    <mergeCell ref="R791:U791"/>
    <mergeCell ref="AE791:AH791"/>
    <mergeCell ref="AR791:AT791"/>
    <mergeCell ref="BE791:BG791"/>
  </mergeCells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J906"/>
  <sheetViews>
    <sheetView topLeftCell="A871" zoomScaleNormal="100" workbookViewId="0">
      <selection activeCell="B877" sqref="B877:C877"/>
    </sheetView>
  </sheetViews>
  <sheetFormatPr defaultRowHeight="14.4" x14ac:dyDescent="0.3"/>
  <sheetData>
    <row r="1" spans="1:62" ht="21" x14ac:dyDescent="0.4">
      <c r="E1" s="329" t="s">
        <v>1941</v>
      </c>
      <c r="R1" s="329" t="s">
        <v>1941</v>
      </c>
      <c r="AD1" s="329" t="s">
        <v>1873</v>
      </c>
      <c r="AQ1" s="329" t="s">
        <v>1941</v>
      </c>
      <c r="AU1" s="28"/>
      <c r="AV1" s="28"/>
      <c r="AW1" s="28"/>
      <c r="AX1" s="28"/>
      <c r="AY1" s="28"/>
      <c r="AZ1" s="212"/>
      <c r="BA1" s="261"/>
      <c r="BB1" s="184"/>
      <c r="BD1" s="329" t="s">
        <v>1873</v>
      </c>
      <c r="BJ1" s="28"/>
    </row>
    <row r="2" spans="1:62" x14ac:dyDescent="0.3">
      <c r="C2" t="s">
        <v>1942</v>
      </c>
      <c r="Q2" t="s">
        <v>1</v>
      </c>
      <c r="AC2" t="s">
        <v>1943</v>
      </c>
      <c r="AP2" t="s">
        <v>1443</v>
      </c>
      <c r="AW2" s="28"/>
      <c r="AX2" s="218"/>
      <c r="BC2" t="s">
        <v>1445</v>
      </c>
      <c r="BF2" s="28"/>
      <c r="BG2" s="28"/>
      <c r="BH2" s="28"/>
      <c r="BI2" s="28"/>
      <c r="BJ2" s="28"/>
    </row>
    <row r="3" spans="1:62" x14ac:dyDescent="0.3">
      <c r="C3" t="s">
        <v>1944</v>
      </c>
      <c r="D3" t="s">
        <v>1945</v>
      </c>
      <c r="Q3" s="408" t="s">
        <v>1286</v>
      </c>
      <c r="R3" s="408"/>
      <c r="S3" s="408"/>
      <c r="AC3" t="s">
        <v>9</v>
      </c>
      <c r="AQ3" t="s">
        <v>2</v>
      </c>
      <c r="AW3" s="28"/>
      <c r="AX3" s="218"/>
      <c r="BD3" t="s">
        <v>2</v>
      </c>
      <c r="BF3" s="28"/>
      <c r="BG3" s="28"/>
      <c r="BH3" s="28"/>
      <c r="BI3" s="28"/>
      <c r="BJ3" s="28"/>
    </row>
    <row r="4" spans="1:62" x14ac:dyDescent="0.3">
      <c r="C4" t="s">
        <v>1946</v>
      </c>
      <c r="P4" t="s">
        <v>1947</v>
      </c>
      <c r="AC4" t="s">
        <v>11</v>
      </c>
      <c r="AO4" t="s">
        <v>1948</v>
      </c>
      <c r="BB4" t="s">
        <v>1949</v>
      </c>
      <c r="BF4" s="28"/>
      <c r="BG4" s="28"/>
      <c r="BH4" s="28"/>
      <c r="BI4" s="28"/>
      <c r="BJ4" s="28"/>
    </row>
    <row r="5" spans="1:62" x14ac:dyDescent="0.3">
      <c r="B5" s="408" t="s">
        <v>1950</v>
      </c>
      <c r="C5" s="408"/>
      <c r="D5" s="408"/>
      <c r="E5" s="408"/>
      <c r="F5" s="408"/>
      <c r="P5" s="408" t="s">
        <v>1951</v>
      </c>
      <c r="Q5" s="408"/>
      <c r="R5" s="408"/>
      <c r="S5" s="408"/>
      <c r="AC5" s="408" t="s">
        <v>1952</v>
      </c>
      <c r="AD5" s="408"/>
      <c r="AE5" s="408"/>
      <c r="AF5" s="408"/>
      <c r="AP5" s="408" t="s">
        <v>1953</v>
      </c>
      <c r="AQ5" s="408"/>
      <c r="AR5" s="408"/>
      <c r="BA5" t="s">
        <v>6</v>
      </c>
      <c r="BB5" t="s">
        <v>1954</v>
      </c>
      <c r="BC5" s="345"/>
      <c r="BD5" s="345"/>
      <c r="BE5" s="345"/>
      <c r="BF5" s="28"/>
      <c r="BG5" s="28"/>
      <c r="BH5" s="238" t="s">
        <v>950</v>
      </c>
      <c r="BI5" s="28"/>
      <c r="BJ5" s="28"/>
    </row>
    <row r="6" spans="1:62" ht="15" thickBot="1" x14ac:dyDescent="0.35">
      <c r="I6" s="194" t="s">
        <v>949</v>
      </c>
      <c r="V6" t="s">
        <v>15</v>
      </c>
      <c r="AI6" s="28" t="s">
        <v>25</v>
      </c>
      <c r="AU6" s="194" t="s">
        <v>951</v>
      </c>
      <c r="AY6" s="195" t="s">
        <v>17</v>
      </c>
      <c r="AZ6" s="134" t="s">
        <v>27</v>
      </c>
      <c r="BA6" s="135"/>
      <c r="BB6" s="134" t="s">
        <v>28</v>
      </c>
      <c r="BC6" s="135"/>
      <c r="BD6" s="136"/>
      <c r="BE6" s="134" t="s">
        <v>1955</v>
      </c>
      <c r="BF6" s="136"/>
      <c r="BG6" s="135" t="s">
        <v>31</v>
      </c>
      <c r="BH6" s="135"/>
      <c r="BI6" s="136"/>
      <c r="BJ6" s="28"/>
    </row>
    <row r="7" spans="1:62" x14ac:dyDescent="0.3">
      <c r="A7" s="33" t="s">
        <v>17</v>
      </c>
      <c r="B7" s="33" t="s">
        <v>18</v>
      </c>
      <c r="C7" s="35"/>
      <c r="D7" s="33" t="s">
        <v>19</v>
      </c>
      <c r="E7" s="34"/>
      <c r="F7" s="34"/>
      <c r="G7" s="32"/>
      <c r="H7" s="34" t="s">
        <v>21</v>
      </c>
      <c r="I7" s="34"/>
      <c r="J7" s="35"/>
      <c r="M7" s="33" t="s">
        <v>17</v>
      </c>
      <c r="N7" s="34" t="s">
        <v>22</v>
      </c>
      <c r="O7" s="35"/>
      <c r="P7" s="33" t="s">
        <v>23</v>
      </c>
      <c r="Q7" s="34"/>
      <c r="R7" s="35"/>
      <c r="S7" s="33" t="s">
        <v>24</v>
      </c>
      <c r="T7" s="35"/>
      <c r="U7" s="33" t="s">
        <v>21</v>
      </c>
      <c r="V7" s="35"/>
      <c r="Y7" s="33" t="s">
        <v>34</v>
      </c>
      <c r="Z7" s="200" t="s">
        <v>35</v>
      </c>
      <c r="AA7" s="34"/>
      <c r="AB7" s="32" t="s">
        <v>1944</v>
      </c>
      <c r="AC7" s="34" t="s">
        <v>51</v>
      </c>
      <c r="AD7" s="34"/>
      <c r="AE7" s="200" t="s">
        <v>37</v>
      </c>
      <c r="AF7" s="201" t="s">
        <v>1956</v>
      </c>
      <c r="AG7" s="34" t="s">
        <v>30</v>
      </c>
      <c r="AH7" s="200" t="s">
        <v>38</v>
      </c>
      <c r="AI7" s="34"/>
      <c r="AJ7" s="35"/>
      <c r="AM7" s="134" t="s">
        <v>17</v>
      </c>
      <c r="AN7" s="134" t="s">
        <v>39</v>
      </c>
      <c r="AO7" s="136"/>
      <c r="AP7" s="134" t="s">
        <v>29</v>
      </c>
      <c r="AQ7" s="136" t="s">
        <v>30</v>
      </c>
      <c r="AR7" s="135" t="s">
        <v>40</v>
      </c>
      <c r="AS7" s="135"/>
      <c r="AT7" s="135"/>
      <c r="AU7" s="135"/>
      <c r="AV7" s="136"/>
      <c r="AY7" s="196"/>
      <c r="AZ7" s="138"/>
      <c r="BA7" s="28"/>
      <c r="BB7" s="138"/>
      <c r="BC7" s="28"/>
      <c r="BD7" s="141"/>
      <c r="BE7" s="138"/>
      <c r="BF7" s="141"/>
      <c r="BG7" s="28" t="s">
        <v>41</v>
      </c>
      <c r="BH7" s="28"/>
      <c r="BI7" s="141"/>
      <c r="BJ7" s="28"/>
    </row>
    <row r="8" spans="1:62" ht="15" thickBot="1" x14ac:dyDescent="0.35">
      <c r="A8" s="42" t="s">
        <v>32</v>
      </c>
      <c r="B8" s="42"/>
      <c r="C8" s="40"/>
      <c r="D8" s="47"/>
      <c r="E8" s="48"/>
      <c r="F8" s="48"/>
      <c r="G8" s="41"/>
      <c r="H8" s="28" t="s">
        <v>33</v>
      </c>
      <c r="I8" s="28"/>
      <c r="J8" s="40"/>
      <c r="M8" s="42"/>
      <c r="N8" s="28"/>
      <c r="O8" s="40"/>
      <c r="P8" s="42"/>
      <c r="Q8" s="28"/>
      <c r="R8" s="40"/>
      <c r="S8" s="42"/>
      <c r="T8" s="40"/>
      <c r="U8" s="42" t="s">
        <v>33</v>
      </c>
      <c r="V8" s="40"/>
      <c r="Y8" s="47" t="s">
        <v>50</v>
      </c>
      <c r="Z8" s="202" t="s">
        <v>43</v>
      </c>
      <c r="AA8" s="48" t="s">
        <v>44</v>
      </c>
      <c r="AB8" s="46" t="s">
        <v>1458</v>
      </c>
      <c r="AC8" s="48" t="s">
        <v>46</v>
      </c>
      <c r="AD8" s="48" t="s">
        <v>52</v>
      </c>
      <c r="AE8" s="202" t="s">
        <v>43</v>
      </c>
      <c r="AF8" s="203" t="s">
        <v>44</v>
      </c>
      <c r="AG8" s="48" t="s">
        <v>43</v>
      </c>
      <c r="AH8" s="202" t="s">
        <v>53</v>
      </c>
      <c r="AI8" s="48"/>
      <c r="AJ8" s="49"/>
      <c r="AM8" s="138" t="s">
        <v>42</v>
      </c>
      <c r="AN8" s="138" t="s">
        <v>43</v>
      </c>
      <c r="AO8" s="141" t="s">
        <v>44</v>
      </c>
      <c r="AP8" s="138" t="s">
        <v>43</v>
      </c>
      <c r="AQ8" s="141" t="s">
        <v>44</v>
      </c>
      <c r="AR8" s="28"/>
      <c r="AS8" s="28"/>
      <c r="AT8" s="28"/>
      <c r="AU8" s="28"/>
      <c r="AV8" s="141"/>
      <c r="AY8" s="199" t="s">
        <v>42</v>
      </c>
      <c r="AZ8" s="142" t="s">
        <v>43</v>
      </c>
      <c r="BA8" s="143" t="s">
        <v>44</v>
      </c>
      <c r="BB8" s="142" t="s">
        <v>45</v>
      </c>
      <c r="BC8" s="143" t="s">
        <v>46</v>
      </c>
      <c r="BD8" s="146" t="s">
        <v>52</v>
      </c>
      <c r="BE8" s="142" t="s">
        <v>43</v>
      </c>
      <c r="BF8" s="146" t="s">
        <v>44</v>
      </c>
      <c r="BG8" s="143" t="s">
        <v>54</v>
      </c>
      <c r="BH8" s="143"/>
      <c r="BI8" s="146"/>
      <c r="BJ8" s="28"/>
    </row>
    <row r="9" spans="1:62" ht="15" thickBot="1" x14ac:dyDescent="0.35">
      <c r="A9" s="47" t="s">
        <v>42</v>
      </c>
      <c r="B9" s="47" t="s">
        <v>43</v>
      </c>
      <c r="C9" s="49" t="s">
        <v>44</v>
      </c>
      <c r="D9" s="48" t="s">
        <v>45</v>
      </c>
      <c r="E9" s="48" t="s">
        <v>46</v>
      </c>
      <c r="F9" s="48" t="s">
        <v>47</v>
      </c>
      <c r="G9" s="350" t="s">
        <v>1460</v>
      </c>
      <c r="H9" s="48" t="s">
        <v>49</v>
      </c>
      <c r="I9" s="48"/>
      <c r="J9" s="49"/>
      <c r="M9" s="47" t="s">
        <v>50</v>
      </c>
      <c r="N9" s="48" t="s">
        <v>43</v>
      </c>
      <c r="O9" s="49" t="s">
        <v>44</v>
      </c>
      <c r="P9" s="47" t="s">
        <v>43</v>
      </c>
      <c r="Q9" s="48" t="s">
        <v>51</v>
      </c>
      <c r="R9" s="49" t="s">
        <v>44</v>
      </c>
      <c r="S9" s="47" t="s">
        <v>43</v>
      </c>
      <c r="T9" s="49" t="s">
        <v>44</v>
      </c>
      <c r="U9" s="47" t="s">
        <v>49</v>
      </c>
      <c r="V9" s="49"/>
      <c r="Y9" s="33"/>
      <c r="Z9" s="33"/>
      <c r="AA9" s="35"/>
      <c r="AB9" s="34"/>
      <c r="AC9" s="34"/>
      <c r="AD9" s="34"/>
      <c r="AE9" s="33"/>
      <c r="AF9" s="35"/>
      <c r="AG9" s="32"/>
      <c r="AH9" s="33" t="s">
        <v>62</v>
      </c>
      <c r="AI9" s="34"/>
      <c r="AJ9" s="35"/>
      <c r="AM9" s="134" t="s">
        <v>56</v>
      </c>
      <c r="AN9" s="134">
        <v>1249</v>
      </c>
      <c r="AO9" s="136">
        <v>1186</v>
      </c>
      <c r="AP9" s="134"/>
      <c r="AQ9" s="136"/>
      <c r="AR9" s="135"/>
      <c r="AS9" s="135" t="s">
        <v>91</v>
      </c>
      <c r="AT9" s="135"/>
      <c r="AU9" s="135"/>
      <c r="AV9" s="136"/>
      <c r="AY9" s="195" t="s">
        <v>64</v>
      </c>
      <c r="AZ9" s="134">
        <v>135</v>
      </c>
      <c r="BA9" s="136">
        <v>204</v>
      </c>
      <c r="BB9" s="134">
        <v>0</v>
      </c>
      <c r="BC9" s="135">
        <v>0</v>
      </c>
      <c r="BD9" s="136">
        <v>0</v>
      </c>
      <c r="BE9" s="134">
        <v>0</v>
      </c>
      <c r="BF9" s="136">
        <v>0</v>
      </c>
      <c r="BG9" s="134" t="s">
        <v>58</v>
      </c>
      <c r="BH9" s="135"/>
      <c r="BI9" s="136"/>
    </row>
    <row r="10" spans="1:62" x14ac:dyDescent="0.3">
      <c r="A10" s="138"/>
      <c r="B10" s="138"/>
      <c r="C10" s="28"/>
      <c r="D10" s="138"/>
      <c r="E10" s="28"/>
      <c r="F10" s="28"/>
      <c r="G10" s="196">
        <v>1</v>
      </c>
      <c r="H10" s="28" t="s">
        <v>396</v>
      </c>
      <c r="I10" s="28"/>
      <c r="J10" s="141"/>
      <c r="M10" s="138"/>
      <c r="N10" s="138"/>
      <c r="O10" s="196"/>
      <c r="P10" s="138"/>
      <c r="Q10" s="196"/>
      <c r="R10" s="141"/>
      <c r="S10" s="138"/>
      <c r="T10" s="196"/>
      <c r="U10" s="138" t="s">
        <v>396</v>
      </c>
      <c r="V10" s="141"/>
      <c r="Y10" s="42"/>
      <c r="Z10" s="42"/>
      <c r="AA10" s="40"/>
      <c r="AB10" s="28"/>
      <c r="AC10" s="28"/>
      <c r="AD10" s="28"/>
      <c r="AE10" s="42"/>
      <c r="AF10" s="40"/>
      <c r="AG10" s="41"/>
      <c r="AH10" s="42">
        <v>2</v>
      </c>
      <c r="AI10" s="28" t="s">
        <v>1290</v>
      </c>
      <c r="AJ10" s="40"/>
      <c r="AM10" s="138" t="s">
        <v>63</v>
      </c>
      <c r="AN10" s="138">
        <v>0</v>
      </c>
      <c r="AO10" s="141">
        <v>4</v>
      </c>
      <c r="AP10" s="138"/>
      <c r="AQ10" s="141"/>
      <c r="AR10" s="28"/>
      <c r="AS10" s="28">
        <v>86</v>
      </c>
      <c r="AT10" s="28" t="s">
        <v>1026</v>
      </c>
      <c r="AU10" s="28"/>
      <c r="AV10" s="141"/>
      <c r="AY10" s="196" t="s">
        <v>56</v>
      </c>
      <c r="AZ10" s="138">
        <v>0</v>
      </c>
      <c r="BA10" s="141">
        <v>0</v>
      </c>
      <c r="BB10" s="138">
        <v>0</v>
      </c>
      <c r="BC10" s="43">
        <v>0</v>
      </c>
      <c r="BD10" s="209">
        <v>0</v>
      </c>
      <c r="BE10" s="138">
        <v>0</v>
      </c>
      <c r="BF10" s="141">
        <v>0</v>
      </c>
      <c r="BG10" s="212">
        <v>9</v>
      </c>
      <c r="BH10" s="28" t="s">
        <v>65</v>
      </c>
      <c r="BI10" s="141" t="s">
        <v>1293</v>
      </c>
    </row>
    <row r="11" spans="1:62" x14ac:dyDescent="0.3">
      <c r="A11" s="138" t="s">
        <v>59</v>
      </c>
      <c r="B11" s="138">
        <v>1359</v>
      </c>
      <c r="C11" s="28">
        <v>1335</v>
      </c>
      <c r="D11" s="138"/>
      <c r="E11" s="28" t="s">
        <v>1291</v>
      </c>
      <c r="F11" s="28"/>
      <c r="G11" s="196"/>
      <c r="H11" s="28">
        <v>5</v>
      </c>
      <c r="I11" s="28" t="s">
        <v>61</v>
      </c>
      <c r="J11" s="141"/>
      <c r="M11" s="138" t="s">
        <v>59</v>
      </c>
      <c r="N11" s="138">
        <v>8449</v>
      </c>
      <c r="O11" s="196">
        <v>25328</v>
      </c>
      <c r="P11" s="138">
        <v>0</v>
      </c>
      <c r="Q11" s="196">
        <v>0</v>
      </c>
      <c r="R11" s="141">
        <v>0</v>
      </c>
      <c r="S11" s="138">
        <v>0</v>
      </c>
      <c r="T11" s="196">
        <v>0</v>
      </c>
      <c r="U11" s="138"/>
      <c r="V11" s="141"/>
      <c r="Y11" s="42" t="s">
        <v>59</v>
      </c>
      <c r="Z11" s="42">
        <v>2611</v>
      </c>
      <c r="AA11" s="40">
        <v>2703</v>
      </c>
      <c r="AB11" s="28">
        <v>0</v>
      </c>
      <c r="AC11" s="43">
        <v>0</v>
      </c>
      <c r="AD11" s="43">
        <v>0</v>
      </c>
      <c r="AE11" s="42">
        <v>0</v>
      </c>
      <c r="AF11" s="40">
        <v>0</v>
      </c>
      <c r="AG11" s="41">
        <v>0</v>
      </c>
      <c r="AH11" s="42">
        <v>9</v>
      </c>
      <c r="AI11" s="28" t="s">
        <v>66</v>
      </c>
      <c r="AJ11" s="40"/>
      <c r="AM11" s="138" t="s">
        <v>84</v>
      </c>
      <c r="AN11" s="138">
        <v>1249</v>
      </c>
      <c r="AO11" s="141">
        <v>1190</v>
      </c>
      <c r="AP11" s="138"/>
      <c r="AQ11" s="141"/>
      <c r="AR11" s="28"/>
      <c r="AS11" s="43">
        <v>1</v>
      </c>
      <c r="AT11" s="28" t="s">
        <v>1292</v>
      </c>
      <c r="AU11" s="43"/>
      <c r="AV11" s="141"/>
      <c r="AY11" s="196" t="s">
        <v>817</v>
      </c>
      <c r="AZ11" s="138">
        <v>0</v>
      </c>
      <c r="BA11" s="141">
        <v>0</v>
      </c>
      <c r="BB11" s="138">
        <v>0</v>
      </c>
      <c r="BC11" s="43">
        <v>0</v>
      </c>
      <c r="BD11" s="209">
        <v>0</v>
      </c>
      <c r="BE11" s="138">
        <v>0</v>
      </c>
      <c r="BF11" s="141">
        <v>0</v>
      </c>
      <c r="BG11" s="138">
        <v>2</v>
      </c>
      <c r="BH11" s="28" t="s">
        <v>69</v>
      </c>
      <c r="BI11" s="141"/>
    </row>
    <row r="12" spans="1:62" ht="15" thickBot="1" x14ac:dyDescent="0.35">
      <c r="A12" s="138" t="s">
        <v>6</v>
      </c>
      <c r="B12" s="138"/>
      <c r="C12" s="28"/>
      <c r="D12" s="138"/>
      <c r="E12" s="28"/>
      <c r="F12" s="28"/>
      <c r="G12" s="196"/>
      <c r="H12" s="28">
        <v>0</v>
      </c>
      <c r="I12" s="28" t="s">
        <v>528</v>
      </c>
      <c r="J12" s="141">
        <v>5</v>
      </c>
      <c r="M12" s="142"/>
      <c r="N12" s="142"/>
      <c r="O12" s="199"/>
      <c r="P12" s="142"/>
      <c r="Q12" s="199"/>
      <c r="R12" s="146"/>
      <c r="S12" s="142"/>
      <c r="T12" s="199"/>
      <c r="U12" s="142"/>
      <c r="V12" s="146"/>
      <c r="Y12" s="42"/>
      <c r="Z12" s="42"/>
      <c r="AA12" s="40"/>
      <c r="AB12" s="28"/>
      <c r="AC12" s="28"/>
      <c r="AD12" s="28"/>
      <c r="AE12" s="42"/>
      <c r="AF12" s="40"/>
      <c r="AG12" s="41"/>
      <c r="AH12" s="47"/>
      <c r="AI12" s="48"/>
      <c r="AJ12" s="49">
        <v>11</v>
      </c>
      <c r="AM12" s="142" t="s">
        <v>6</v>
      </c>
      <c r="AN12" s="142"/>
      <c r="AO12" s="146"/>
      <c r="AP12" s="142"/>
      <c r="AQ12" s="146"/>
      <c r="AR12" s="143"/>
      <c r="AS12" s="143">
        <v>1</v>
      </c>
      <c r="AT12" s="143" t="s">
        <v>1294</v>
      </c>
      <c r="AU12" s="143"/>
      <c r="AV12" s="146">
        <v>88</v>
      </c>
      <c r="AY12" s="239" t="s">
        <v>84</v>
      </c>
      <c r="AZ12" s="142">
        <v>135</v>
      </c>
      <c r="BA12" s="146">
        <v>204</v>
      </c>
      <c r="BB12" s="142">
        <v>0</v>
      </c>
      <c r="BC12" s="143">
        <v>0</v>
      </c>
      <c r="BD12" s="146">
        <v>0</v>
      </c>
      <c r="BE12" s="142">
        <v>0</v>
      </c>
      <c r="BF12" s="146">
        <v>0</v>
      </c>
      <c r="BG12" s="142"/>
      <c r="BH12" s="143"/>
      <c r="BI12" s="146">
        <v>13</v>
      </c>
      <c r="BJ12" s="28"/>
    </row>
    <row r="13" spans="1:62" x14ac:dyDescent="0.3">
      <c r="A13" s="134"/>
      <c r="B13" s="134"/>
      <c r="C13" s="135"/>
      <c r="D13" s="134"/>
      <c r="E13" s="135"/>
      <c r="F13" s="135"/>
      <c r="G13" s="195">
        <v>1</v>
      </c>
      <c r="H13" s="135" t="s">
        <v>70</v>
      </c>
      <c r="I13" s="135"/>
      <c r="J13" s="136"/>
      <c r="M13" s="134"/>
      <c r="N13" s="134"/>
      <c r="O13" s="195"/>
      <c r="P13" s="134"/>
      <c r="Q13" s="195"/>
      <c r="R13" s="136"/>
      <c r="S13" s="134"/>
      <c r="T13" s="195"/>
      <c r="U13" s="134"/>
      <c r="V13" s="136"/>
      <c r="Y13" s="32"/>
      <c r="Z13" s="33"/>
      <c r="AA13" s="35"/>
      <c r="AB13" s="33"/>
      <c r="AC13" s="34"/>
      <c r="AD13" s="35"/>
      <c r="AE13" s="33"/>
      <c r="AF13" s="35"/>
      <c r="AG13" s="32"/>
      <c r="AH13" s="33" t="s">
        <v>1957</v>
      </c>
      <c r="AI13" s="34"/>
      <c r="AJ13" s="35"/>
      <c r="AM13" s="134"/>
      <c r="AN13" s="134"/>
      <c r="AO13" s="136"/>
      <c r="AP13" s="134"/>
      <c r="AQ13" s="136"/>
      <c r="AR13" s="135"/>
      <c r="AS13" s="135"/>
      <c r="AT13" s="135"/>
      <c r="AU13" s="135"/>
      <c r="AV13" s="136"/>
      <c r="AY13" s="195" t="s">
        <v>56</v>
      </c>
      <c r="AZ13" s="134">
        <v>0</v>
      </c>
      <c r="BA13" s="136">
        <v>0</v>
      </c>
      <c r="BB13" s="240">
        <v>0</v>
      </c>
      <c r="BC13" s="241">
        <v>0</v>
      </c>
      <c r="BD13" s="242">
        <v>0</v>
      </c>
      <c r="BE13" s="134">
        <v>0</v>
      </c>
      <c r="BF13" s="136">
        <v>0</v>
      </c>
      <c r="BG13" s="135"/>
      <c r="BH13" s="135" t="s">
        <v>92</v>
      </c>
      <c r="BI13" s="136"/>
    </row>
    <row r="14" spans="1:62" x14ac:dyDescent="0.3">
      <c r="A14" s="138" t="s">
        <v>74</v>
      </c>
      <c r="B14" s="138">
        <v>1102</v>
      </c>
      <c r="C14" s="28">
        <v>2705</v>
      </c>
      <c r="D14" s="138"/>
      <c r="E14" s="28" t="s">
        <v>1291</v>
      </c>
      <c r="F14" s="28"/>
      <c r="G14" s="196"/>
      <c r="H14" s="28">
        <v>1</v>
      </c>
      <c r="I14" s="28" t="s">
        <v>75</v>
      </c>
      <c r="J14" s="141"/>
      <c r="M14" s="138"/>
      <c r="N14" s="138"/>
      <c r="O14" s="196"/>
      <c r="P14" s="138"/>
      <c r="Q14" s="196"/>
      <c r="R14" s="141"/>
      <c r="S14" s="138"/>
      <c r="T14" s="196"/>
      <c r="U14" s="138" t="s">
        <v>80</v>
      </c>
      <c r="V14" s="141"/>
      <c r="Y14" s="41" t="s">
        <v>76</v>
      </c>
      <c r="Z14" s="42">
        <v>216</v>
      </c>
      <c r="AA14" s="40">
        <v>0</v>
      </c>
      <c r="AB14" s="42"/>
      <c r="AC14" s="43">
        <v>0</v>
      </c>
      <c r="AD14" s="40">
        <v>0</v>
      </c>
      <c r="AE14" s="42">
        <v>0</v>
      </c>
      <c r="AF14" s="40">
        <v>0</v>
      </c>
      <c r="AG14" s="41">
        <v>0</v>
      </c>
      <c r="AH14" s="67">
        <v>1</v>
      </c>
      <c r="AI14" s="43" t="s">
        <v>1295</v>
      </c>
      <c r="AJ14" s="40"/>
      <c r="AM14" s="138"/>
      <c r="AN14" s="138"/>
      <c r="AO14" s="141"/>
      <c r="AP14" s="138"/>
      <c r="AQ14" s="141"/>
      <c r="AR14" s="28"/>
      <c r="AS14" s="28" t="s">
        <v>110</v>
      </c>
      <c r="AT14" s="28" t="s">
        <v>111</v>
      </c>
      <c r="AU14" s="28" t="s">
        <v>112</v>
      </c>
      <c r="AV14" s="141"/>
      <c r="AY14" s="196" t="s">
        <v>1247</v>
      </c>
      <c r="AZ14" s="138">
        <v>0</v>
      </c>
      <c r="BA14" s="141">
        <v>0</v>
      </c>
      <c r="BB14" s="138">
        <v>0</v>
      </c>
      <c r="BC14" s="43">
        <v>0</v>
      </c>
      <c r="BD14" s="141">
        <v>0</v>
      </c>
      <c r="BE14" s="138">
        <v>2377</v>
      </c>
      <c r="BF14" s="141">
        <v>909</v>
      </c>
      <c r="BG14" s="43">
        <v>27</v>
      </c>
      <c r="BH14" s="28" t="s">
        <v>1297</v>
      </c>
      <c r="BI14" s="141"/>
    </row>
    <row r="15" spans="1:62" ht="15" thickBot="1" x14ac:dyDescent="0.35">
      <c r="A15" s="138"/>
      <c r="B15" s="138"/>
      <c r="C15" s="28"/>
      <c r="D15" s="138"/>
      <c r="E15" s="28"/>
      <c r="F15" s="28"/>
      <c r="G15" s="196"/>
      <c r="H15" s="43">
        <v>17</v>
      </c>
      <c r="I15" s="43" t="s">
        <v>436</v>
      </c>
      <c r="J15" s="141"/>
      <c r="M15" s="138" t="s">
        <v>74</v>
      </c>
      <c r="N15" s="138">
        <v>4085</v>
      </c>
      <c r="O15" s="196">
        <v>233</v>
      </c>
      <c r="P15" s="138">
        <v>0</v>
      </c>
      <c r="Q15" s="196">
        <v>0</v>
      </c>
      <c r="R15" s="141">
        <v>0</v>
      </c>
      <c r="S15" s="138">
        <v>0</v>
      </c>
      <c r="T15" s="196">
        <v>0</v>
      </c>
      <c r="U15" s="138"/>
      <c r="V15" s="141"/>
      <c r="Y15" s="46"/>
      <c r="Z15" s="47"/>
      <c r="AA15" s="49"/>
      <c r="AB15" s="47"/>
      <c r="AC15" s="48"/>
      <c r="AD15" s="73"/>
      <c r="AE15" s="72"/>
      <c r="AF15" s="73"/>
      <c r="AG15" s="62"/>
      <c r="AH15" s="72">
        <v>2</v>
      </c>
      <c r="AI15" s="51" t="s">
        <v>1296</v>
      </c>
      <c r="AJ15" s="49">
        <v>3</v>
      </c>
      <c r="AM15" s="138" t="s">
        <v>56</v>
      </c>
      <c r="AN15" s="138">
        <v>0</v>
      </c>
      <c r="AO15" s="141">
        <v>0</v>
      </c>
      <c r="AP15" s="138">
        <v>0</v>
      </c>
      <c r="AQ15" s="141">
        <v>0</v>
      </c>
      <c r="AR15" s="43"/>
      <c r="AS15" s="28"/>
      <c r="AT15" s="28"/>
      <c r="AU15" s="28"/>
      <c r="AV15" s="141"/>
      <c r="AY15" s="211" t="s">
        <v>64</v>
      </c>
      <c r="AZ15" s="138">
        <v>0</v>
      </c>
      <c r="BA15" s="141">
        <v>0</v>
      </c>
      <c r="BB15" s="212">
        <v>0</v>
      </c>
      <c r="BC15" s="43">
        <v>0</v>
      </c>
      <c r="BD15" s="209">
        <v>0</v>
      </c>
      <c r="BE15" s="138">
        <v>3405</v>
      </c>
      <c r="BF15" s="141">
        <v>0</v>
      </c>
      <c r="BG15" s="43"/>
      <c r="BH15" s="28"/>
      <c r="BI15" s="141"/>
      <c r="BJ15" s="28"/>
    </row>
    <row r="16" spans="1:62" x14ac:dyDescent="0.3">
      <c r="A16" s="142"/>
      <c r="B16" s="142"/>
      <c r="C16" s="143"/>
      <c r="D16" s="142"/>
      <c r="E16" s="143"/>
      <c r="F16" s="143"/>
      <c r="G16" s="199"/>
      <c r="H16" s="143"/>
      <c r="I16" s="143"/>
      <c r="J16" s="146">
        <v>18</v>
      </c>
      <c r="M16" s="142"/>
      <c r="N16" s="142"/>
      <c r="O16" s="199"/>
      <c r="P16" s="142"/>
      <c r="Q16" s="199"/>
      <c r="R16" s="146"/>
      <c r="S16" s="142"/>
      <c r="T16" s="199"/>
      <c r="U16" s="142"/>
      <c r="V16" s="146"/>
      <c r="Y16" s="32"/>
      <c r="Z16" s="34"/>
      <c r="AA16" s="34"/>
      <c r="AB16" s="33"/>
      <c r="AC16" s="34"/>
      <c r="AD16" s="35"/>
      <c r="AE16" s="34"/>
      <c r="AF16" s="34"/>
      <c r="AG16" s="32"/>
      <c r="AH16" s="33" t="s">
        <v>1298</v>
      </c>
      <c r="AI16" s="34"/>
      <c r="AJ16" s="35"/>
      <c r="AM16" s="138" t="s">
        <v>72</v>
      </c>
      <c r="AN16" s="138">
        <v>6</v>
      </c>
      <c r="AO16" s="141">
        <v>6</v>
      </c>
      <c r="AP16" s="138">
        <v>0</v>
      </c>
      <c r="AQ16" s="141">
        <v>0</v>
      </c>
      <c r="AR16" s="28"/>
      <c r="AS16" s="43"/>
      <c r="AT16" s="28"/>
      <c r="AU16" s="28"/>
      <c r="AV16" s="141"/>
      <c r="AY16" s="196" t="s">
        <v>107</v>
      </c>
      <c r="AZ16" s="138">
        <v>0</v>
      </c>
      <c r="BA16" s="141">
        <v>0</v>
      </c>
      <c r="BB16" s="138">
        <v>0</v>
      </c>
      <c r="BC16" s="43">
        <v>0</v>
      </c>
      <c r="BD16" s="141">
        <v>0</v>
      </c>
      <c r="BE16" s="138">
        <v>0</v>
      </c>
      <c r="BF16" s="141">
        <v>909</v>
      </c>
      <c r="BG16" s="43"/>
      <c r="BH16" s="28"/>
      <c r="BI16" s="141"/>
    </row>
    <row r="17" spans="1:62" x14ac:dyDescent="0.3">
      <c r="A17" s="134"/>
      <c r="B17" s="134"/>
      <c r="C17" s="135"/>
      <c r="D17" s="134"/>
      <c r="E17" s="135"/>
      <c r="F17" s="135"/>
      <c r="G17" s="195">
        <v>1</v>
      </c>
      <c r="H17" s="135" t="s">
        <v>87</v>
      </c>
      <c r="I17" s="135"/>
      <c r="J17" s="136"/>
      <c r="M17" s="134"/>
      <c r="N17" s="134"/>
      <c r="O17" s="195"/>
      <c r="P17" s="134"/>
      <c r="Q17" s="195"/>
      <c r="R17" s="136"/>
      <c r="S17" s="134"/>
      <c r="T17" s="195"/>
      <c r="U17" s="134" t="s">
        <v>6</v>
      </c>
      <c r="V17" s="136"/>
      <c r="Y17" s="41"/>
      <c r="AB17" s="42"/>
      <c r="AC17" s="28"/>
      <c r="AD17" s="40"/>
      <c r="AG17" s="41"/>
      <c r="AH17" s="42">
        <v>6</v>
      </c>
      <c r="AI17" s="43" t="s">
        <v>1299</v>
      </c>
      <c r="AJ17" s="40"/>
      <c r="AM17" s="138" t="s">
        <v>78</v>
      </c>
      <c r="AN17" s="138">
        <v>21</v>
      </c>
      <c r="AO17" s="141">
        <v>13</v>
      </c>
      <c r="AP17" s="138">
        <v>0</v>
      </c>
      <c r="AQ17" s="141">
        <v>0</v>
      </c>
      <c r="AR17" s="28"/>
      <c r="AS17" s="28"/>
      <c r="AT17" s="28"/>
      <c r="AU17" s="28"/>
      <c r="AV17" s="141"/>
      <c r="AY17" s="211" t="s">
        <v>99</v>
      </c>
      <c r="AZ17" s="138">
        <v>0</v>
      </c>
      <c r="BA17" s="141">
        <v>0</v>
      </c>
      <c r="BB17" s="138">
        <v>0</v>
      </c>
      <c r="BC17" s="43">
        <v>0</v>
      </c>
      <c r="BD17" s="141">
        <v>0</v>
      </c>
      <c r="BE17" s="138">
        <v>72140</v>
      </c>
      <c r="BF17" s="141">
        <v>16362</v>
      </c>
      <c r="BG17" s="28"/>
      <c r="BH17" s="28"/>
      <c r="BI17" s="141"/>
      <c r="BJ17" s="28"/>
    </row>
    <row r="18" spans="1:62" ht="15" thickBot="1" x14ac:dyDescent="0.35">
      <c r="A18" s="138" t="s">
        <v>93</v>
      </c>
      <c r="B18" s="138">
        <v>4097</v>
      </c>
      <c r="C18" s="28">
        <v>5854</v>
      </c>
      <c r="D18" s="138"/>
      <c r="E18" s="28" t="s">
        <v>1291</v>
      </c>
      <c r="F18" s="28"/>
      <c r="G18" s="196"/>
      <c r="H18" s="43">
        <v>21</v>
      </c>
      <c r="I18" s="28" t="s">
        <v>101</v>
      </c>
      <c r="J18" s="141"/>
      <c r="M18" s="138"/>
      <c r="N18" s="138"/>
      <c r="O18" s="196"/>
      <c r="P18" s="138"/>
      <c r="Q18" s="196"/>
      <c r="R18" s="141"/>
      <c r="S18" s="138"/>
      <c r="T18" s="196"/>
      <c r="U18" s="138"/>
      <c r="V18" s="141"/>
      <c r="Y18" s="46" t="s">
        <v>1300</v>
      </c>
      <c r="Z18" s="48">
        <v>258</v>
      </c>
      <c r="AA18" s="48">
        <v>470</v>
      </c>
      <c r="AB18" s="47">
        <v>0</v>
      </c>
      <c r="AC18" s="48">
        <v>0</v>
      </c>
      <c r="AD18" s="49">
        <v>0</v>
      </c>
      <c r="AE18" s="48">
        <v>0</v>
      </c>
      <c r="AF18" s="48">
        <v>0</v>
      </c>
      <c r="AG18" s="46">
        <v>0</v>
      </c>
      <c r="AH18" s="47">
        <v>3</v>
      </c>
      <c r="AI18" s="48" t="s">
        <v>145</v>
      </c>
      <c r="AJ18" s="49">
        <v>9</v>
      </c>
      <c r="AM18" s="138" t="s">
        <v>67</v>
      </c>
      <c r="AN18" s="138">
        <v>77</v>
      </c>
      <c r="AO18" s="141">
        <v>84</v>
      </c>
      <c r="AP18" s="138">
        <v>0</v>
      </c>
      <c r="AQ18" s="141">
        <v>0</v>
      </c>
      <c r="AR18" s="28"/>
      <c r="AS18" s="43">
        <v>26</v>
      </c>
      <c r="AT18" s="28" t="s">
        <v>123</v>
      </c>
      <c r="AU18" s="28" t="s">
        <v>6</v>
      </c>
      <c r="AV18" s="141"/>
      <c r="AY18" s="211" t="s">
        <v>108</v>
      </c>
      <c r="AZ18" s="138">
        <v>0</v>
      </c>
      <c r="BA18" s="141">
        <v>0</v>
      </c>
      <c r="BB18" s="138">
        <v>0</v>
      </c>
      <c r="BC18" s="43">
        <v>0</v>
      </c>
      <c r="BD18" s="141">
        <v>0</v>
      </c>
      <c r="BE18" s="138">
        <v>0</v>
      </c>
      <c r="BF18" s="209">
        <v>0</v>
      </c>
      <c r="BG18" s="43"/>
      <c r="BH18" s="43"/>
      <c r="BI18" s="141"/>
      <c r="BJ18" s="28"/>
    </row>
    <row r="19" spans="1:62" x14ac:dyDescent="0.3">
      <c r="A19" s="138"/>
      <c r="B19" s="138"/>
      <c r="C19" s="28"/>
      <c r="D19" s="138"/>
      <c r="E19" s="28"/>
      <c r="F19" s="28"/>
      <c r="G19" s="196"/>
      <c r="H19" s="43">
        <v>10</v>
      </c>
      <c r="I19" s="28" t="s">
        <v>927</v>
      </c>
      <c r="J19" s="141">
        <v>31</v>
      </c>
      <c r="M19" s="138"/>
      <c r="N19" s="138"/>
      <c r="O19" s="196"/>
      <c r="P19" s="138"/>
      <c r="Q19" s="196"/>
      <c r="R19" s="141"/>
      <c r="S19" s="138"/>
      <c r="T19" s="196"/>
      <c r="U19" s="138"/>
      <c r="V19" s="141"/>
      <c r="Y19" s="42" t="s">
        <v>137</v>
      </c>
      <c r="Z19" s="42">
        <v>0</v>
      </c>
      <c r="AA19" s="40">
        <v>0</v>
      </c>
      <c r="AB19" s="33">
        <v>0</v>
      </c>
      <c r="AC19" s="34">
        <v>0</v>
      </c>
      <c r="AD19" s="35">
        <v>0</v>
      </c>
      <c r="AE19" s="33">
        <v>0</v>
      </c>
      <c r="AF19" s="35">
        <v>0</v>
      </c>
      <c r="AG19" s="43">
        <v>0</v>
      </c>
      <c r="AH19" s="33" t="s">
        <v>90</v>
      </c>
      <c r="AI19" s="34"/>
      <c r="AJ19" s="35"/>
      <c r="AM19" s="138" t="s">
        <v>132</v>
      </c>
      <c r="AN19" s="138">
        <v>5</v>
      </c>
      <c r="AO19" s="141">
        <v>3</v>
      </c>
      <c r="AP19" s="138">
        <v>0</v>
      </c>
      <c r="AQ19" s="141">
        <v>0</v>
      </c>
      <c r="AR19" s="28"/>
      <c r="AS19" s="43">
        <v>47</v>
      </c>
      <c r="AT19" s="28" t="s">
        <v>126</v>
      </c>
      <c r="AU19" s="28"/>
      <c r="AV19" s="141"/>
      <c r="AY19" s="211" t="s">
        <v>84</v>
      </c>
      <c r="AZ19" s="212">
        <v>0</v>
      </c>
      <c r="BA19" s="209">
        <v>0</v>
      </c>
      <c r="BB19" s="138">
        <v>0</v>
      </c>
      <c r="BC19" s="43">
        <v>0</v>
      </c>
      <c r="BD19" s="141"/>
      <c r="BE19" s="138">
        <v>77922</v>
      </c>
      <c r="BF19" s="209">
        <v>18180</v>
      </c>
      <c r="BG19" s="28"/>
      <c r="BH19" s="43"/>
      <c r="BI19" s="141">
        <v>27</v>
      </c>
      <c r="BJ19" s="28"/>
    </row>
    <row r="20" spans="1:62" x14ac:dyDescent="0.3">
      <c r="A20" s="134" t="s">
        <v>108</v>
      </c>
      <c r="B20" s="134">
        <v>0</v>
      </c>
      <c r="C20" s="136">
        <v>0</v>
      </c>
      <c r="D20" s="135">
        <v>0</v>
      </c>
      <c r="E20" s="243">
        <v>419</v>
      </c>
      <c r="F20" s="135">
        <v>0</v>
      </c>
      <c r="G20" s="195">
        <v>1</v>
      </c>
      <c r="H20" s="135" t="s">
        <v>104</v>
      </c>
      <c r="I20" s="135"/>
      <c r="J20" s="136"/>
      <c r="M20" s="142"/>
      <c r="N20" s="142"/>
      <c r="O20" s="199"/>
      <c r="P20" s="142"/>
      <c r="Q20" s="199"/>
      <c r="R20" s="146"/>
      <c r="S20" s="142"/>
      <c r="T20" s="199"/>
      <c r="U20" s="142"/>
      <c r="V20" s="146"/>
      <c r="Y20" s="42" t="s">
        <v>97</v>
      </c>
      <c r="Z20" s="42">
        <v>0</v>
      </c>
      <c r="AA20" s="40">
        <v>0</v>
      </c>
      <c r="AB20" s="42">
        <v>0</v>
      </c>
      <c r="AC20" s="43">
        <v>0</v>
      </c>
      <c r="AD20" s="40">
        <v>0</v>
      </c>
      <c r="AE20" s="42">
        <v>0</v>
      </c>
      <c r="AF20" s="40">
        <v>0</v>
      </c>
      <c r="AG20" s="43">
        <v>0</v>
      </c>
      <c r="AH20" s="67"/>
      <c r="AI20" s="28"/>
      <c r="AJ20" s="40"/>
      <c r="AM20" s="138" t="s">
        <v>128</v>
      </c>
      <c r="AN20" s="138">
        <v>3</v>
      </c>
      <c r="AO20" s="141">
        <v>0</v>
      </c>
      <c r="AP20" s="138">
        <v>0</v>
      </c>
      <c r="AQ20" s="141">
        <v>0</v>
      </c>
      <c r="AR20" s="28"/>
      <c r="AS20" s="43">
        <v>41</v>
      </c>
      <c r="AT20" s="28" t="s">
        <v>129</v>
      </c>
      <c r="AU20" s="28" t="s">
        <v>6</v>
      </c>
      <c r="AV20" s="141"/>
      <c r="AY20" s="134" t="s">
        <v>113</v>
      </c>
      <c r="AZ20" s="134">
        <v>582</v>
      </c>
      <c r="BA20" s="136">
        <v>564</v>
      </c>
      <c r="BB20" s="134">
        <v>0</v>
      </c>
      <c r="BC20" s="135">
        <v>0</v>
      </c>
      <c r="BD20" s="136">
        <v>0</v>
      </c>
      <c r="BE20" s="134">
        <v>0</v>
      </c>
      <c r="BF20" s="136">
        <v>0</v>
      </c>
      <c r="BG20" s="134"/>
      <c r="BH20" s="135" t="s">
        <v>91</v>
      </c>
      <c r="BI20" s="136"/>
      <c r="BJ20" s="28"/>
    </row>
    <row r="21" spans="1:62" x14ac:dyDescent="0.3">
      <c r="A21" s="138" t="s">
        <v>109</v>
      </c>
      <c r="B21" s="138">
        <v>1967</v>
      </c>
      <c r="C21" s="141">
        <v>2622</v>
      </c>
      <c r="D21" s="28">
        <v>0</v>
      </c>
      <c r="E21" s="343">
        <v>0</v>
      </c>
      <c r="F21" s="43">
        <v>0</v>
      </c>
      <c r="G21" s="196"/>
      <c r="H21" s="43">
        <v>9</v>
      </c>
      <c r="I21" s="28" t="s">
        <v>114</v>
      </c>
      <c r="J21" s="141"/>
      <c r="M21" s="134" t="s">
        <v>108</v>
      </c>
      <c r="N21" s="134">
        <v>0</v>
      </c>
      <c r="O21" s="195">
        <v>141</v>
      </c>
      <c r="P21" s="134">
        <v>0</v>
      </c>
      <c r="Q21" s="195">
        <v>0</v>
      </c>
      <c r="R21" s="136">
        <v>0</v>
      </c>
      <c r="S21" s="134">
        <v>0</v>
      </c>
      <c r="T21" s="195">
        <v>0</v>
      </c>
      <c r="U21" s="134" t="s">
        <v>104</v>
      </c>
      <c r="V21" s="136"/>
      <c r="Y21" s="67" t="s">
        <v>89</v>
      </c>
      <c r="Z21" s="67">
        <v>76</v>
      </c>
      <c r="AA21" s="56">
        <v>81</v>
      </c>
      <c r="AB21" s="42">
        <v>0</v>
      </c>
      <c r="AC21" s="43">
        <v>0</v>
      </c>
      <c r="AD21" s="40">
        <v>0</v>
      </c>
      <c r="AE21" s="42">
        <v>0</v>
      </c>
      <c r="AF21" s="40">
        <v>0</v>
      </c>
      <c r="AG21" s="43">
        <v>0</v>
      </c>
      <c r="AH21" s="67">
        <v>2</v>
      </c>
      <c r="AI21" s="43" t="s">
        <v>98</v>
      </c>
      <c r="AJ21" s="40"/>
      <c r="AM21" s="138" t="s">
        <v>115</v>
      </c>
      <c r="AN21" s="138">
        <v>55</v>
      </c>
      <c r="AO21" s="141">
        <v>65</v>
      </c>
      <c r="AP21" s="138">
        <v>0</v>
      </c>
      <c r="AQ21" s="141">
        <v>0</v>
      </c>
      <c r="AR21" s="28"/>
      <c r="AS21" s="28"/>
      <c r="AT21" s="28"/>
      <c r="AU21" s="28"/>
      <c r="AV21" s="141"/>
      <c r="AY21" s="138" t="s">
        <v>137</v>
      </c>
      <c r="AZ21" s="138">
        <v>867</v>
      </c>
      <c r="BA21" s="141">
        <v>649</v>
      </c>
      <c r="BB21" s="138">
        <v>0</v>
      </c>
      <c r="BC21" s="43">
        <v>0</v>
      </c>
      <c r="BD21" s="141">
        <v>0</v>
      </c>
      <c r="BE21" s="138">
        <v>0</v>
      </c>
      <c r="BF21" s="209">
        <v>0</v>
      </c>
      <c r="BG21" s="212"/>
      <c r="BH21" s="43"/>
      <c r="BI21" s="141"/>
      <c r="BJ21" s="28"/>
    </row>
    <row r="22" spans="1:62" ht="15" thickBot="1" x14ac:dyDescent="0.35">
      <c r="A22" s="138" t="s">
        <v>84</v>
      </c>
      <c r="B22" s="138">
        <v>1967</v>
      </c>
      <c r="C22" s="141">
        <v>2622</v>
      </c>
      <c r="D22" s="28">
        <v>0</v>
      </c>
      <c r="E22" s="343">
        <v>419</v>
      </c>
      <c r="F22" s="43">
        <v>0</v>
      </c>
      <c r="G22" s="196"/>
      <c r="H22" s="28"/>
      <c r="I22" s="28"/>
      <c r="J22" s="141"/>
      <c r="M22" s="138" t="s">
        <v>109</v>
      </c>
      <c r="N22" s="138">
        <v>504</v>
      </c>
      <c r="O22" s="196">
        <v>0</v>
      </c>
      <c r="P22" s="138">
        <v>0</v>
      </c>
      <c r="Q22" s="196">
        <v>0</v>
      </c>
      <c r="R22" s="141">
        <v>0</v>
      </c>
      <c r="S22" s="138">
        <v>0</v>
      </c>
      <c r="T22" s="196">
        <v>0</v>
      </c>
      <c r="U22" s="138"/>
      <c r="V22" s="141"/>
      <c r="Y22" s="42" t="s">
        <v>84</v>
      </c>
      <c r="Z22" s="244">
        <v>76</v>
      </c>
      <c r="AA22" s="245">
        <v>81</v>
      </c>
      <c r="AB22" s="47">
        <v>0</v>
      </c>
      <c r="AC22" s="48">
        <v>0</v>
      </c>
      <c r="AD22" s="49">
        <v>0</v>
      </c>
      <c r="AE22" s="47">
        <v>0</v>
      </c>
      <c r="AF22" s="49">
        <v>0</v>
      </c>
      <c r="AG22" s="43">
        <v>0</v>
      </c>
      <c r="AH22" s="72"/>
      <c r="AI22" s="48"/>
      <c r="AJ22" s="49">
        <v>2</v>
      </c>
      <c r="AM22" s="138" t="s">
        <v>81</v>
      </c>
      <c r="AN22" s="138">
        <v>10</v>
      </c>
      <c r="AO22" s="141">
        <v>10</v>
      </c>
      <c r="AP22" s="138">
        <v>0</v>
      </c>
      <c r="AQ22" s="141">
        <v>0</v>
      </c>
      <c r="AR22" s="28"/>
      <c r="AS22" s="28"/>
      <c r="AT22" s="28"/>
      <c r="AU22" s="28"/>
      <c r="AV22" s="141" t="s">
        <v>6</v>
      </c>
      <c r="AY22" s="212" t="s">
        <v>88</v>
      </c>
      <c r="AZ22" s="212">
        <v>126</v>
      </c>
      <c r="BA22" s="209">
        <v>332</v>
      </c>
      <c r="BB22" s="138">
        <v>0</v>
      </c>
      <c r="BC22" s="43">
        <v>0</v>
      </c>
      <c r="BD22" s="141">
        <v>0</v>
      </c>
      <c r="BE22" s="138">
        <v>0</v>
      </c>
      <c r="BF22" s="209">
        <v>0</v>
      </c>
      <c r="BG22" s="138">
        <v>36</v>
      </c>
      <c r="BH22" s="43" t="s">
        <v>1301</v>
      </c>
      <c r="BI22" s="141"/>
      <c r="BJ22" s="28"/>
    </row>
    <row r="23" spans="1:62" x14ac:dyDescent="0.3">
      <c r="A23" s="138"/>
      <c r="B23" s="138"/>
      <c r="C23" s="141"/>
      <c r="D23" s="28"/>
      <c r="E23" s="28"/>
      <c r="F23" s="28"/>
      <c r="G23" s="196"/>
      <c r="H23" s="28"/>
      <c r="I23" s="28"/>
      <c r="J23" s="141">
        <v>9</v>
      </c>
      <c r="M23" s="142" t="s">
        <v>84</v>
      </c>
      <c r="N23" s="142">
        <v>504</v>
      </c>
      <c r="O23" s="199">
        <v>141</v>
      </c>
      <c r="P23" s="142">
        <v>0</v>
      </c>
      <c r="Q23" s="199">
        <v>0</v>
      </c>
      <c r="R23" s="146">
        <v>0</v>
      </c>
      <c r="S23" s="142">
        <v>0</v>
      </c>
      <c r="T23" s="199">
        <v>0</v>
      </c>
      <c r="U23" s="142"/>
      <c r="V23" s="146"/>
      <c r="Y23" s="32" t="s">
        <v>108</v>
      </c>
      <c r="Z23" s="135">
        <v>0</v>
      </c>
      <c r="AA23" s="135">
        <v>0</v>
      </c>
      <c r="AB23" s="33">
        <v>0</v>
      </c>
      <c r="AC23" s="34">
        <v>0</v>
      </c>
      <c r="AD23" s="35">
        <v>0</v>
      </c>
      <c r="AE23" s="67">
        <v>0</v>
      </c>
      <c r="AF23" s="56">
        <v>0</v>
      </c>
      <c r="AG23" s="32">
        <v>0</v>
      </c>
      <c r="AH23" s="34"/>
      <c r="AI23" s="34"/>
      <c r="AJ23" s="35"/>
      <c r="AM23" s="138" t="s">
        <v>122</v>
      </c>
      <c r="AN23" s="138">
        <v>63</v>
      </c>
      <c r="AO23" s="141">
        <v>45</v>
      </c>
      <c r="AP23" s="138">
        <v>0</v>
      </c>
      <c r="AQ23" s="141">
        <v>0</v>
      </c>
      <c r="AR23" s="28"/>
      <c r="AS23" s="28"/>
      <c r="AT23" s="28"/>
      <c r="AU23" s="28"/>
      <c r="AV23" s="141"/>
      <c r="AY23" s="138" t="s">
        <v>108</v>
      </c>
      <c r="AZ23" s="138">
        <v>0</v>
      </c>
      <c r="BA23" s="141">
        <v>0</v>
      </c>
      <c r="BB23" s="138">
        <v>0</v>
      </c>
      <c r="BC23" s="43">
        <v>0</v>
      </c>
      <c r="BD23" s="141">
        <v>0</v>
      </c>
      <c r="BE23" s="138">
        <v>0</v>
      </c>
      <c r="BF23" s="209">
        <v>0</v>
      </c>
      <c r="BG23" s="212">
        <v>86</v>
      </c>
      <c r="BH23" s="28" t="s">
        <v>1303</v>
      </c>
      <c r="BI23" s="141"/>
      <c r="BJ23" s="28"/>
    </row>
    <row r="24" spans="1:62" x14ac:dyDescent="0.3">
      <c r="A24" s="134"/>
      <c r="B24" s="134">
        <v>1346</v>
      </c>
      <c r="C24" s="242">
        <v>1656</v>
      </c>
      <c r="D24" s="135"/>
      <c r="E24" s="135"/>
      <c r="F24" s="135"/>
      <c r="G24" s="195">
        <v>1</v>
      </c>
      <c r="H24" s="134" t="s">
        <v>118</v>
      </c>
      <c r="I24" s="135"/>
      <c r="J24" s="136"/>
      <c r="M24" s="134" t="s">
        <v>93</v>
      </c>
      <c r="N24" s="134"/>
      <c r="O24" s="195"/>
      <c r="P24" s="134"/>
      <c r="Q24" s="195"/>
      <c r="R24" s="136"/>
      <c r="S24" s="134"/>
      <c r="T24" s="195"/>
      <c r="U24" s="134" t="s">
        <v>116</v>
      </c>
      <c r="V24" s="136"/>
      <c r="Y24" s="41" t="s">
        <v>817</v>
      </c>
      <c r="Z24" s="43">
        <v>304</v>
      </c>
      <c r="AA24" s="43">
        <v>6279</v>
      </c>
      <c r="AB24" s="42">
        <v>0</v>
      </c>
      <c r="AC24" s="43">
        <v>0</v>
      </c>
      <c r="AD24" s="40">
        <v>0</v>
      </c>
      <c r="AE24" s="67">
        <v>0</v>
      </c>
      <c r="AF24" s="56">
        <v>0</v>
      </c>
      <c r="AG24" s="41">
        <v>0</v>
      </c>
      <c r="AH24" s="28" t="s">
        <v>1302</v>
      </c>
      <c r="AI24" s="28" t="s">
        <v>6</v>
      </c>
      <c r="AJ24" s="40"/>
      <c r="AM24" s="138" t="s">
        <v>230</v>
      </c>
      <c r="AN24" s="138">
        <v>4</v>
      </c>
      <c r="AO24" s="141">
        <v>4</v>
      </c>
      <c r="AP24" s="138">
        <v>0</v>
      </c>
      <c r="AQ24" s="141">
        <v>0</v>
      </c>
      <c r="AR24" s="28"/>
      <c r="AS24" s="28"/>
      <c r="AT24" s="28"/>
      <c r="AU24" s="28"/>
      <c r="AV24" s="141"/>
      <c r="AY24" s="212" t="s">
        <v>97</v>
      </c>
      <c r="AZ24" s="212">
        <v>1692</v>
      </c>
      <c r="BA24" s="209">
        <v>841</v>
      </c>
      <c r="BB24" s="138">
        <v>0</v>
      </c>
      <c r="BC24" s="43">
        <v>0</v>
      </c>
      <c r="BD24" s="141">
        <v>0</v>
      </c>
      <c r="BE24" s="138">
        <v>0</v>
      </c>
      <c r="BF24" s="209">
        <v>0</v>
      </c>
      <c r="BG24" s="138">
        <v>1</v>
      </c>
      <c r="BH24" s="43" t="s">
        <v>1304</v>
      </c>
      <c r="BI24" s="141"/>
      <c r="BJ24" s="28"/>
    </row>
    <row r="25" spans="1:62" x14ac:dyDescent="0.3">
      <c r="A25" s="138" t="s">
        <v>785</v>
      </c>
      <c r="B25" s="138">
        <v>7443</v>
      </c>
      <c r="C25" s="209">
        <v>8508</v>
      </c>
      <c r="D25" s="28"/>
      <c r="E25" s="28"/>
      <c r="F25" s="28"/>
      <c r="G25" s="196"/>
      <c r="H25" s="138">
        <v>70</v>
      </c>
      <c r="I25" s="28" t="s">
        <v>101</v>
      </c>
      <c r="J25" s="141"/>
      <c r="M25" s="138" t="s">
        <v>99</v>
      </c>
      <c r="N25" s="138">
        <v>10282</v>
      </c>
      <c r="O25" s="196">
        <v>7065</v>
      </c>
      <c r="P25" s="138"/>
      <c r="Q25" s="196"/>
      <c r="R25" s="141"/>
      <c r="S25" s="138">
        <v>2262</v>
      </c>
      <c r="T25" s="196">
        <v>251</v>
      </c>
      <c r="U25" s="138"/>
      <c r="V25" s="141"/>
      <c r="Y25" s="41" t="s">
        <v>1120</v>
      </c>
      <c r="Z25" s="43">
        <v>0</v>
      </c>
      <c r="AA25" s="43">
        <v>0</v>
      </c>
      <c r="AB25" s="42">
        <v>0</v>
      </c>
      <c r="AC25" s="43">
        <v>0</v>
      </c>
      <c r="AD25" s="40">
        <v>0</v>
      </c>
      <c r="AE25" s="67">
        <v>0</v>
      </c>
      <c r="AF25" s="56">
        <v>0</v>
      </c>
      <c r="AG25" s="41">
        <v>0</v>
      </c>
      <c r="AH25" s="43">
        <v>46</v>
      </c>
      <c r="AI25" s="43" t="s">
        <v>359</v>
      </c>
      <c r="AJ25" s="40"/>
      <c r="AM25" s="138" t="s">
        <v>63</v>
      </c>
      <c r="AN25" s="138">
        <v>53</v>
      </c>
      <c r="AO25" s="141">
        <v>94</v>
      </c>
      <c r="AP25" s="138">
        <v>0</v>
      </c>
      <c r="AQ25" s="141">
        <v>0</v>
      </c>
      <c r="AR25" s="28"/>
      <c r="AS25" s="28"/>
      <c r="AT25" s="28"/>
      <c r="AU25" s="28"/>
      <c r="AV25" s="141"/>
      <c r="AY25" s="212" t="s">
        <v>102</v>
      </c>
      <c r="AZ25" s="212">
        <v>0</v>
      </c>
      <c r="BA25" s="209">
        <v>0</v>
      </c>
      <c r="BB25" s="138">
        <v>0</v>
      </c>
      <c r="BC25" s="43">
        <v>0</v>
      </c>
      <c r="BD25" s="141">
        <v>0</v>
      </c>
      <c r="BE25" s="138">
        <v>0</v>
      </c>
      <c r="BF25" s="209">
        <v>0</v>
      </c>
      <c r="BG25" s="138">
        <v>48</v>
      </c>
      <c r="BH25" s="43" t="s">
        <v>1305</v>
      </c>
      <c r="BI25" s="141"/>
      <c r="BJ25" s="28"/>
    </row>
    <row r="26" spans="1:62" x14ac:dyDescent="0.3">
      <c r="A26" s="138" t="s">
        <v>93</v>
      </c>
      <c r="B26" s="212">
        <v>4848</v>
      </c>
      <c r="C26" s="209">
        <v>5325</v>
      </c>
      <c r="D26" s="28"/>
      <c r="E26" s="28" t="s">
        <v>1291</v>
      </c>
      <c r="F26" s="28"/>
      <c r="G26" s="211"/>
      <c r="H26" s="138">
        <v>35</v>
      </c>
      <c r="I26" s="28" t="s">
        <v>927</v>
      </c>
      <c r="J26" s="141"/>
      <c r="M26" s="138" t="s">
        <v>120</v>
      </c>
      <c r="N26" s="138">
        <v>1078</v>
      </c>
      <c r="O26" s="196">
        <v>9468</v>
      </c>
      <c r="P26" s="138"/>
      <c r="Q26" s="196"/>
      <c r="R26" s="141"/>
      <c r="S26" s="138">
        <v>0</v>
      </c>
      <c r="T26" s="196">
        <v>0</v>
      </c>
      <c r="U26" s="138"/>
      <c r="V26" s="141"/>
      <c r="Y26" s="41" t="s">
        <v>99</v>
      </c>
      <c r="Z26" s="43">
        <v>0</v>
      </c>
      <c r="AA26" s="43">
        <v>0</v>
      </c>
      <c r="AB26" s="42">
        <v>0</v>
      </c>
      <c r="AC26" s="43">
        <v>0</v>
      </c>
      <c r="AD26" s="40">
        <v>0</v>
      </c>
      <c r="AE26" s="67">
        <v>0</v>
      </c>
      <c r="AF26" s="56">
        <v>0</v>
      </c>
      <c r="AG26" s="41">
        <v>0</v>
      </c>
      <c r="AH26" s="43"/>
      <c r="AI26" s="43"/>
      <c r="AJ26" s="40"/>
      <c r="AM26" s="142" t="s">
        <v>84</v>
      </c>
      <c r="AN26" s="142">
        <v>297</v>
      </c>
      <c r="AO26" s="146">
        <v>324</v>
      </c>
      <c r="AP26" s="142">
        <v>0</v>
      </c>
      <c r="AQ26" s="146">
        <v>0</v>
      </c>
      <c r="AR26" s="143"/>
      <c r="AS26" s="143"/>
      <c r="AT26" s="143"/>
      <c r="AU26" s="143"/>
      <c r="AV26" s="146">
        <v>114</v>
      </c>
      <c r="AY26" s="212" t="s">
        <v>817</v>
      </c>
      <c r="AZ26" s="212">
        <v>0</v>
      </c>
      <c r="BA26" s="209">
        <v>1925</v>
      </c>
      <c r="BB26" s="138">
        <v>0</v>
      </c>
      <c r="BC26" s="43">
        <v>0</v>
      </c>
      <c r="BD26" s="141">
        <v>0</v>
      </c>
      <c r="BE26" s="138">
        <v>0</v>
      </c>
      <c r="BF26" s="209">
        <v>0</v>
      </c>
      <c r="BG26" s="138">
        <v>7</v>
      </c>
      <c r="BH26" s="43" t="s">
        <v>1026</v>
      </c>
      <c r="BI26" s="141"/>
      <c r="BJ26" s="28"/>
    </row>
    <row r="27" spans="1:62" ht="15" thickBot="1" x14ac:dyDescent="0.35">
      <c r="A27" s="138" t="s">
        <v>120</v>
      </c>
      <c r="B27" s="138">
        <v>1112</v>
      </c>
      <c r="C27" s="141">
        <v>1324</v>
      </c>
      <c r="D27" s="28"/>
      <c r="E27" s="28"/>
      <c r="F27" s="28"/>
      <c r="G27" s="196"/>
      <c r="H27" s="138">
        <v>21</v>
      </c>
      <c r="I27" s="28" t="s">
        <v>1306</v>
      </c>
      <c r="J27" s="141"/>
      <c r="M27" s="142" t="s">
        <v>84</v>
      </c>
      <c r="N27" s="142">
        <v>11360</v>
      </c>
      <c r="O27" s="199">
        <v>16533</v>
      </c>
      <c r="P27" s="142"/>
      <c r="Q27" s="199"/>
      <c r="R27" s="146"/>
      <c r="S27" s="142"/>
      <c r="T27" s="199"/>
      <c r="U27" s="142"/>
      <c r="V27" s="146"/>
      <c r="Y27" s="46" t="s">
        <v>84</v>
      </c>
      <c r="Z27" s="43">
        <v>304</v>
      </c>
      <c r="AA27" s="43">
        <v>6279</v>
      </c>
      <c r="AB27" s="47">
        <v>0</v>
      </c>
      <c r="AC27" s="48">
        <v>0</v>
      </c>
      <c r="AD27" s="49">
        <v>0</v>
      </c>
      <c r="AE27" s="67">
        <v>0</v>
      </c>
      <c r="AF27" s="56">
        <v>0</v>
      </c>
      <c r="AG27" s="46">
        <v>0</v>
      </c>
      <c r="AH27" s="48"/>
      <c r="AI27" s="48"/>
      <c r="AJ27" s="49">
        <v>46</v>
      </c>
      <c r="AM27" s="134"/>
      <c r="AN27" s="134"/>
      <c r="AO27" s="136"/>
      <c r="AP27" s="134"/>
      <c r="AQ27" s="136"/>
      <c r="AR27" s="135"/>
      <c r="AS27" s="135"/>
      <c r="AT27" s="135"/>
      <c r="AU27" s="135"/>
      <c r="AV27" s="136"/>
      <c r="AW27" s="28"/>
      <c r="AX27" s="28"/>
      <c r="AY27" s="212" t="s">
        <v>429</v>
      </c>
      <c r="AZ27" s="212">
        <v>288</v>
      </c>
      <c r="BA27" s="209">
        <v>939</v>
      </c>
      <c r="BB27" s="212">
        <v>0</v>
      </c>
      <c r="BC27" s="43">
        <v>0</v>
      </c>
      <c r="BD27" s="209">
        <v>0</v>
      </c>
      <c r="BE27" s="212">
        <v>0</v>
      </c>
      <c r="BF27" s="209">
        <v>0</v>
      </c>
      <c r="BG27" s="138"/>
      <c r="BH27" s="28"/>
      <c r="BI27" s="141"/>
      <c r="BJ27" s="28"/>
    </row>
    <row r="28" spans="1:62" x14ac:dyDescent="0.3">
      <c r="A28" s="212" t="s">
        <v>429</v>
      </c>
      <c r="B28" s="212">
        <v>134</v>
      </c>
      <c r="C28" s="209">
        <v>0</v>
      </c>
      <c r="D28" s="28"/>
      <c r="E28" s="28"/>
      <c r="F28" s="28"/>
      <c r="G28" s="196"/>
      <c r="H28" s="138"/>
      <c r="I28" s="28"/>
      <c r="J28" s="141"/>
      <c r="M28" s="134"/>
      <c r="N28" s="134"/>
      <c r="O28" s="195"/>
      <c r="P28" s="134"/>
      <c r="Q28" s="195"/>
      <c r="R28" s="136"/>
      <c r="S28" s="134"/>
      <c r="T28" s="195"/>
      <c r="U28" s="134"/>
      <c r="V28" s="136"/>
      <c r="Y28" s="42"/>
      <c r="Z28" s="33"/>
      <c r="AA28" s="35"/>
      <c r="AB28" s="34"/>
      <c r="AC28" s="34"/>
      <c r="AD28" s="34"/>
      <c r="AE28" s="33"/>
      <c r="AF28" s="35"/>
      <c r="AG28" s="32"/>
      <c r="AH28" s="34"/>
      <c r="AI28" s="34" t="s">
        <v>117</v>
      </c>
      <c r="AJ28" s="35"/>
      <c r="AM28" s="138"/>
      <c r="AN28" s="138"/>
      <c r="AO28" s="141"/>
      <c r="AP28" s="138"/>
      <c r="AQ28" s="141"/>
      <c r="AR28" s="28"/>
      <c r="AS28" s="28"/>
      <c r="AT28" s="28"/>
      <c r="AU28" s="28"/>
      <c r="AV28" s="141"/>
      <c r="AW28" s="28"/>
      <c r="AX28" s="28"/>
      <c r="AY28" s="212" t="s">
        <v>1120</v>
      </c>
      <c r="AZ28" s="212">
        <v>176</v>
      </c>
      <c r="BA28" s="209">
        <v>3887</v>
      </c>
      <c r="BB28" s="138">
        <v>0</v>
      </c>
      <c r="BC28" s="43">
        <v>0</v>
      </c>
      <c r="BD28" s="141">
        <v>0</v>
      </c>
      <c r="BE28" s="138">
        <v>0</v>
      </c>
      <c r="BF28" s="141">
        <v>0</v>
      </c>
      <c r="BG28" s="138"/>
      <c r="BH28" s="28"/>
      <c r="BI28" s="141"/>
      <c r="BJ28" s="28"/>
    </row>
    <row r="29" spans="1:62" ht="15" thickBot="1" x14ac:dyDescent="0.35">
      <c r="A29" s="142" t="s">
        <v>84</v>
      </c>
      <c r="B29" s="142">
        <v>14883</v>
      </c>
      <c r="C29" s="146">
        <v>16813</v>
      </c>
      <c r="D29" s="143"/>
      <c r="E29" s="143"/>
      <c r="F29" s="143"/>
      <c r="G29" s="199"/>
      <c r="H29" s="142"/>
      <c r="I29" s="143"/>
      <c r="J29" s="146">
        <v>126</v>
      </c>
      <c r="M29" s="138" t="s">
        <v>105</v>
      </c>
      <c r="N29" s="138">
        <v>3334</v>
      </c>
      <c r="O29" s="196">
        <v>0</v>
      </c>
      <c r="P29" s="138">
        <v>0</v>
      </c>
      <c r="Q29" s="196">
        <v>0</v>
      </c>
      <c r="R29" s="141">
        <v>0</v>
      </c>
      <c r="S29" s="138">
        <v>1</v>
      </c>
      <c r="T29" s="196">
        <v>0</v>
      </c>
      <c r="U29" s="138"/>
      <c r="V29" s="141"/>
      <c r="Y29" s="47"/>
      <c r="Z29" s="47"/>
      <c r="AA29" s="49"/>
      <c r="AB29" s="48"/>
      <c r="AC29" s="48"/>
      <c r="AD29" s="48"/>
      <c r="AE29" s="47"/>
      <c r="AF29" s="49"/>
      <c r="AG29" s="46"/>
      <c r="AH29" s="48"/>
      <c r="AI29" s="48" t="s">
        <v>124</v>
      </c>
      <c r="AJ29" s="49"/>
      <c r="AM29" s="138"/>
      <c r="AN29" s="138"/>
      <c r="AO29" s="141"/>
      <c r="AP29" s="138"/>
      <c r="AQ29" s="141"/>
      <c r="AR29" s="28"/>
      <c r="AS29" s="28"/>
      <c r="AT29" s="28"/>
      <c r="AU29" s="28"/>
      <c r="AV29" s="141"/>
      <c r="AW29" s="28"/>
      <c r="AX29" s="28"/>
      <c r="AY29" s="212" t="s">
        <v>89</v>
      </c>
      <c r="AZ29" s="138">
        <v>1280</v>
      </c>
      <c r="BA29" s="141">
        <v>975</v>
      </c>
      <c r="BB29" s="138">
        <v>0</v>
      </c>
      <c r="BC29" s="43">
        <v>0</v>
      </c>
      <c r="BD29" s="141">
        <v>0</v>
      </c>
      <c r="BE29" s="138">
        <v>0</v>
      </c>
      <c r="BF29" s="141">
        <v>0</v>
      </c>
      <c r="BG29" s="138"/>
      <c r="BH29" s="43"/>
      <c r="BI29" s="141"/>
      <c r="BJ29" s="28"/>
    </row>
    <row r="30" spans="1:62" x14ac:dyDescent="0.3">
      <c r="A30" s="138" t="s">
        <v>93</v>
      </c>
      <c r="B30" s="138">
        <v>7416</v>
      </c>
      <c r="C30" s="209">
        <v>8122</v>
      </c>
      <c r="D30" s="138"/>
      <c r="E30" s="28" t="s">
        <v>1291</v>
      </c>
      <c r="F30" s="28"/>
      <c r="G30" s="196">
        <v>1</v>
      </c>
      <c r="H30" s="28" t="s">
        <v>116</v>
      </c>
      <c r="I30" s="28"/>
      <c r="J30" s="141"/>
      <c r="M30" s="138" t="s">
        <v>99</v>
      </c>
      <c r="N30" s="138">
        <v>0</v>
      </c>
      <c r="O30" s="196">
        <v>0</v>
      </c>
      <c r="P30" s="138">
        <v>0</v>
      </c>
      <c r="Q30" s="196">
        <v>0</v>
      </c>
      <c r="R30" s="141">
        <v>0</v>
      </c>
      <c r="S30" s="138">
        <v>0</v>
      </c>
      <c r="T30" s="196"/>
      <c r="U30" s="138" t="s">
        <v>135</v>
      </c>
      <c r="V30" s="141"/>
      <c r="Y30" s="33" t="s">
        <v>137</v>
      </c>
      <c r="Z30" s="33">
        <v>301</v>
      </c>
      <c r="AA30" s="35">
        <v>245</v>
      </c>
      <c r="AB30" s="34">
        <v>0</v>
      </c>
      <c r="AC30" s="34">
        <v>0</v>
      </c>
      <c r="AD30" s="34">
        <v>0</v>
      </c>
      <c r="AE30" s="33">
        <v>0</v>
      </c>
      <c r="AF30" s="35">
        <v>0</v>
      </c>
      <c r="AG30" s="32">
        <v>0</v>
      </c>
      <c r="AH30" s="34"/>
      <c r="AI30" s="34"/>
      <c r="AJ30" s="35"/>
      <c r="AM30" s="138"/>
      <c r="AN30" s="138"/>
      <c r="AO30" s="141"/>
      <c r="AP30" s="138"/>
      <c r="AQ30" s="141"/>
      <c r="AR30" s="28"/>
      <c r="AS30" s="28"/>
      <c r="AT30" s="28"/>
      <c r="AU30" s="28"/>
      <c r="AV30" s="141"/>
      <c r="AW30" s="28"/>
      <c r="AX30" s="28"/>
      <c r="AY30" s="212" t="s">
        <v>1348</v>
      </c>
      <c r="AZ30" s="138">
        <v>0</v>
      </c>
      <c r="BA30" s="141">
        <v>149</v>
      </c>
      <c r="BB30" s="138">
        <v>0</v>
      </c>
      <c r="BC30" s="43">
        <v>0</v>
      </c>
      <c r="BD30" s="141">
        <v>0</v>
      </c>
      <c r="BE30" s="138">
        <v>0</v>
      </c>
      <c r="BF30" s="141">
        <v>0</v>
      </c>
      <c r="BG30" s="138"/>
      <c r="BH30" s="28"/>
      <c r="BI30" s="141"/>
      <c r="BJ30" s="28"/>
    </row>
    <row r="31" spans="1:62" x14ac:dyDescent="0.3">
      <c r="A31" s="138" t="s">
        <v>99</v>
      </c>
      <c r="B31" s="138">
        <v>8756</v>
      </c>
      <c r="C31" s="209">
        <v>9657</v>
      </c>
      <c r="D31" s="138"/>
      <c r="E31" s="28" t="s">
        <v>1291</v>
      </c>
      <c r="F31" s="28"/>
      <c r="G31" s="196"/>
      <c r="H31" s="43">
        <v>156</v>
      </c>
      <c r="I31" s="28" t="s">
        <v>188</v>
      </c>
      <c r="J31" s="141"/>
      <c r="M31" s="138"/>
      <c r="N31" s="138"/>
      <c r="O31" s="196"/>
      <c r="P31" s="138"/>
      <c r="Q31" s="196"/>
      <c r="R31" s="141"/>
      <c r="S31" s="138"/>
      <c r="T31" s="196">
        <v>0</v>
      </c>
      <c r="U31" s="138"/>
      <c r="V31" s="141"/>
      <c r="Y31" s="42" t="s">
        <v>97</v>
      </c>
      <c r="Z31" s="42">
        <v>150</v>
      </c>
      <c r="AA31" s="40">
        <v>129</v>
      </c>
      <c r="AB31" s="43">
        <v>0</v>
      </c>
      <c r="AC31" s="43">
        <v>0</v>
      </c>
      <c r="AD31" s="43">
        <v>0</v>
      </c>
      <c r="AE31" s="42">
        <v>0</v>
      </c>
      <c r="AF31" s="40">
        <v>0</v>
      </c>
      <c r="AG31" s="41">
        <v>0</v>
      </c>
      <c r="AH31" s="28" t="s">
        <v>953</v>
      </c>
      <c r="AI31" s="28"/>
      <c r="AJ31" s="40"/>
      <c r="AM31" s="142"/>
      <c r="AN31" s="142"/>
      <c r="AO31" s="146"/>
      <c r="AP31" s="142"/>
      <c r="AQ31" s="146"/>
      <c r="AR31" s="143"/>
      <c r="AS31" s="143"/>
      <c r="AT31" s="143"/>
      <c r="AU31" s="143"/>
      <c r="AV31" s="146"/>
      <c r="AW31" s="43"/>
      <c r="AX31" s="28"/>
      <c r="AY31" s="212"/>
      <c r="AZ31" s="142"/>
      <c r="BA31" s="146"/>
      <c r="BB31" s="142">
        <v>0</v>
      </c>
      <c r="BC31" s="143">
        <v>0</v>
      </c>
      <c r="BD31" s="146">
        <v>0</v>
      </c>
      <c r="BE31" s="142">
        <v>0</v>
      </c>
      <c r="BF31" s="146">
        <v>0</v>
      </c>
      <c r="BG31" s="142"/>
      <c r="BH31" s="143"/>
      <c r="BI31" s="146">
        <v>178</v>
      </c>
      <c r="BJ31" s="28"/>
    </row>
    <row r="32" spans="1:62" x14ac:dyDescent="0.3">
      <c r="A32" s="138" t="s">
        <v>120</v>
      </c>
      <c r="B32" s="138">
        <v>3614</v>
      </c>
      <c r="C32" s="209">
        <v>4473</v>
      </c>
      <c r="D32" s="138"/>
      <c r="E32" s="28" t="s">
        <v>1291</v>
      </c>
      <c r="F32" s="28"/>
      <c r="G32" s="196"/>
      <c r="H32" s="43">
        <v>0</v>
      </c>
      <c r="I32" s="28" t="s">
        <v>148</v>
      </c>
      <c r="J32" s="141"/>
      <c r="M32" s="142" t="s">
        <v>84</v>
      </c>
      <c r="N32" s="142">
        <v>3334</v>
      </c>
      <c r="O32" s="199">
        <v>0</v>
      </c>
      <c r="P32" s="142"/>
      <c r="Q32" s="199">
        <v>0</v>
      </c>
      <c r="R32" s="146">
        <v>0</v>
      </c>
      <c r="S32" s="142">
        <v>0</v>
      </c>
      <c r="T32" s="199">
        <v>0</v>
      </c>
      <c r="U32" s="142"/>
      <c r="V32" s="146"/>
      <c r="Y32" s="42" t="s">
        <v>89</v>
      </c>
      <c r="Z32" s="42">
        <v>538</v>
      </c>
      <c r="AA32" s="40">
        <v>472</v>
      </c>
      <c r="AB32" s="43">
        <v>0</v>
      </c>
      <c r="AC32" s="43">
        <v>0</v>
      </c>
      <c r="AD32" s="43">
        <v>0</v>
      </c>
      <c r="AE32" s="42">
        <v>0</v>
      </c>
      <c r="AF32" s="40">
        <v>0</v>
      </c>
      <c r="AG32" s="41">
        <v>0</v>
      </c>
      <c r="AH32" s="43">
        <v>12</v>
      </c>
      <c r="AI32" s="28" t="s">
        <v>884</v>
      </c>
      <c r="AJ32" s="40"/>
      <c r="AM32" s="134" t="s">
        <v>56</v>
      </c>
      <c r="AN32" s="134">
        <v>29</v>
      </c>
      <c r="AO32" s="136">
        <v>31</v>
      </c>
      <c r="AP32" s="134">
        <v>0</v>
      </c>
      <c r="AQ32" s="136">
        <v>0</v>
      </c>
      <c r="AR32" s="134"/>
      <c r="AS32" s="135" t="s">
        <v>140</v>
      </c>
      <c r="AT32" s="135"/>
      <c r="AU32" s="135"/>
      <c r="AV32" s="136"/>
      <c r="AW32" s="43"/>
      <c r="AX32" s="28"/>
      <c r="AY32" s="247" t="s">
        <v>84</v>
      </c>
      <c r="AZ32" s="247">
        <v>5011</v>
      </c>
      <c r="BA32" s="248">
        <v>10261</v>
      </c>
      <c r="BB32" s="197">
        <v>0</v>
      </c>
      <c r="BC32" s="198">
        <v>0</v>
      </c>
      <c r="BD32" s="249">
        <v>0</v>
      </c>
      <c r="BE32" s="197">
        <v>0</v>
      </c>
      <c r="BF32" s="249">
        <v>0</v>
      </c>
      <c r="BG32" s="197"/>
      <c r="BH32" s="198"/>
      <c r="BI32" s="249"/>
      <c r="BJ32" s="28"/>
    </row>
    <row r="33" spans="1:62" x14ac:dyDescent="0.3">
      <c r="A33" s="138" t="s">
        <v>84</v>
      </c>
      <c r="B33" s="138">
        <v>19786</v>
      </c>
      <c r="C33" s="28">
        <v>22252</v>
      </c>
      <c r="D33" s="138"/>
      <c r="E33" s="28" t="s">
        <v>1291</v>
      </c>
      <c r="F33" s="28"/>
      <c r="G33" s="196"/>
      <c r="H33" s="43">
        <v>1</v>
      </c>
      <c r="I33" s="28" t="s">
        <v>152</v>
      </c>
      <c r="J33" s="141"/>
      <c r="M33" s="138"/>
      <c r="N33" s="138"/>
      <c r="O33" s="196"/>
      <c r="P33" s="138"/>
      <c r="Q33" s="196"/>
      <c r="R33" s="141"/>
      <c r="S33" s="138"/>
      <c r="T33" s="196"/>
      <c r="U33" s="138"/>
      <c r="V33" s="141"/>
      <c r="Y33" s="42" t="s">
        <v>84</v>
      </c>
      <c r="Z33" s="42">
        <v>989</v>
      </c>
      <c r="AA33" s="40">
        <v>846</v>
      </c>
      <c r="AB33" s="43">
        <v>0</v>
      </c>
      <c r="AC33" s="43">
        <v>0</v>
      </c>
      <c r="AD33" s="43">
        <v>0</v>
      </c>
      <c r="AE33" s="42">
        <v>0</v>
      </c>
      <c r="AF33" s="40">
        <v>0</v>
      </c>
      <c r="AG33" s="41">
        <v>0</v>
      </c>
      <c r="AH33" s="43">
        <v>8</v>
      </c>
      <c r="AI33" s="28" t="s">
        <v>141</v>
      </c>
      <c r="AJ33" s="40">
        <v>20</v>
      </c>
      <c r="AM33" s="138" t="s">
        <v>72</v>
      </c>
      <c r="AN33" s="138">
        <v>35</v>
      </c>
      <c r="AO33" s="141">
        <v>36</v>
      </c>
      <c r="AP33" s="138">
        <v>0</v>
      </c>
      <c r="AQ33" s="141">
        <v>0</v>
      </c>
      <c r="AR33" s="138"/>
      <c r="AS33" s="43">
        <v>4</v>
      </c>
      <c r="AT33" s="28" t="s">
        <v>1294</v>
      </c>
      <c r="AU33" s="28" t="s">
        <v>175</v>
      </c>
      <c r="AV33" s="141"/>
      <c r="AW33" s="28"/>
      <c r="AX33" s="28"/>
      <c r="AY33" s="134"/>
      <c r="AZ33" s="134"/>
      <c r="BA33" s="136"/>
      <c r="BB33" s="135"/>
      <c r="BC33" s="135"/>
      <c r="BD33" s="135"/>
      <c r="BE33" s="138"/>
      <c r="BF33" s="141"/>
      <c r="BG33" s="28" t="s">
        <v>1025</v>
      </c>
      <c r="BH33" s="28"/>
      <c r="BI33" s="141"/>
      <c r="BJ33" s="28"/>
    </row>
    <row r="34" spans="1:62" ht="15" thickBot="1" x14ac:dyDescent="0.35">
      <c r="A34" s="142"/>
      <c r="B34" s="142"/>
      <c r="C34" s="143"/>
      <c r="D34" s="142"/>
      <c r="E34" s="143"/>
      <c r="F34" s="143"/>
      <c r="G34" s="199"/>
      <c r="H34" s="143">
        <v>0</v>
      </c>
      <c r="I34" s="143" t="s">
        <v>958</v>
      </c>
      <c r="J34" s="146">
        <v>157</v>
      </c>
      <c r="M34" s="138"/>
      <c r="N34" s="138"/>
      <c r="O34" s="196"/>
      <c r="P34" s="138"/>
      <c r="Q34" s="196"/>
      <c r="R34" s="141"/>
      <c r="S34" s="138"/>
      <c r="T34" s="196"/>
      <c r="U34" s="138"/>
      <c r="V34" s="141"/>
      <c r="Y34" s="47"/>
      <c r="Z34" s="47"/>
      <c r="AA34" s="49"/>
      <c r="AB34" s="48"/>
      <c r="AC34" s="48"/>
      <c r="AD34" s="48"/>
      <c r="AE34" s="47"/>
      <c r="AF34" s="49"/>
      <c r="AG34" s="46"/>
      <c r="AH34" s="48"/>
      <c r="AI34" s="48"/>
      <c r="AJ34" s="49"/>
      <c r="AM34" s="138" t="s">
        <v>78</v>
      </c>
      <c r="AN34" s="138">
        <v>32</v>
      </c>
      <c r="AO34" s="141">
        <v>71</v>
      </c>
      <c r="AP34" s="138">
        <v>0</v>
      </c>
      <c r="AQ34" s="141">
        <v>0</v>
      </c>
      <c r="AR34" s="138"/>
      <c r="AS34" s="43">
        <v>17</v>
      </c>
      <c r="AT34" s="28" t="s">
        <v>213</v>
      </c>
      <c r="AU34" s="43" t="s">
        <v>1308</v>
      </c>
      <c r="AV34" s="141"/>
      <c r="AW34" s="28"/>
      <c r="AX34" s="28"/>
      <c r="AY34" s="142" t="s">
        <v>64</v>
      </c>
      <c r="AZ34" s="142">
        <v>50</v>
      </c>
      <c r="BA34" s="146">
        <v>87</v>
      </c>
      <c r="BB34" s="28">
        <v>0</v>
      </c>
      <c r="BC34" s="43">
        <v>0</v>
      </c>
      <c r="BD34" s="43">
        <v>0</v>
      </c>
      <c r="BE34" s="142">
        <v>0</v>
      </c>
      <c r="BF34" s="146">
        <v>0</v>
      </c>
      <c r="BG34" s="143">
        <v>9</v>
      </c>
      <c r="BH34" s="143" t="s">
        <v>1026</v>
      </c>
      <c r="BI34" s="146">
        <v>9</v>
      </c>
      <c r="BJ34" s="28"/>
    </row>
    <row r="35" spans="1:62" x14ac:dyDescent="0.3">
      <c r="A35" s="134" t="s">
        <v>105</v>
      </c>
      <c r="B35" s="134">
        <v>1300</v>
      </c>
      <c r="C35" s="135">
        <v>1685</v>
      </c>
      <c r="D35" s="134"/>
      <c r="E35" s="243">
        <v>615</v>
      </c>
      <c r="F35" s="135"/>
      <c r="G35" s="195">
        <v>1</v>
      </c>
      <c r="H35" s="135" t="s">
        <v>162</v>
      </c>
      <c r="I35" s="135"/>
      <c r="J35" s="136"/>
      <c r="M35" s="138"/>
      <c r="N35" s="138"/>
      <c r="O35" s="196"/>
      <c r="P35" s="138"/>
      <c r="Q35" s="196"/>
      <c r="R35" s="141"/>
      <c r="S35" s="138"/>
      <c r="T35" s="196"/>
      <c r="U35" s="138"/>
      <c r="V35" s="141"/>
      <c r="Y35" s="42" t="s">
        <v>99</v>
      </c>
      <c r="Z35" s="42">
        <v>0</v>
      </c>
      <c r="AA35" s="40">
        <v>0</v>
      </c>
      <c r="AB35" s="43">
        <v>0</v>
      </c>
      <c r="AC35" s="43">
        <v>0</v>
      </c>
      <c r="AD35" s="43">
        <v>0</v>
      </c>
      <c r="AE35" s="42">
        <v>42051</v>
      </c>
      <c r="AF35" s="40">
        <v>4377</v>
      </c>
      <c r="AG35" s="41">
        <v>0</v>
      </c>
      <c r="AH35" s="28" t="s">
        <v>149</v>
      </c>
      <c r="AI35" s="28"/>
      <c r="AJ35" s="40"/>
      <c r="AM35" s="138" t="s">
        <v>67</v>
      </c>
      <c r="AN35" s="138">
        <v>24</v>
      </c>
      <c r="AO35" s="141">
        <v>41</v>
      </c>
      <c r="AP35" s="138">
        <v>0</v>
      </c>
      <c r="AQ35" s="141">
        <v>0</v>
      </c>
      <c r="AR35" s="138"/>
      <c r="AS35" s="43">
        <v>1</v>
      </c>
      <c r="AT35" s="43" t="s">
        <v>1067</v>
      </c>
      <c r="AU35" s="28" t="s">
        <v>1309</v>
      </c>
      <c r="AV35" s="141"/>
      <c r="AW35" s="28"/>
      <c r="AX35" s="28"/>
      <c r="AY35" s="138"/>
      <c r="AZ35" s="134"/>
      <c r="BA35" s="136"/>
      <c r="BB35" s="134"/>
      <c r="BC35" s="135"/>
      <c r="BD35" s="136"/>
      <c r="BE35" s="138"/>
      <c r="BF35" s="141"/>
      <c r="BG35" s="28" t="s">
        <v>994</v>
      </c>
      <c r="BH35" s="28"/>
      <c r="BI35" s="141"/>
      <c r="BJ35" s="28"/>
    </row>
    <row r="36" spans="1:62" x14ac:dyDescent="0.3">
      <c r="A36" s="138" t="s">
        <v>99</v>
      </c>
      <c r="B36" s="138">
        <v>686</v>
      </c>
      <c r="C36" s="43">
        <v>1292</v>
      </c>
      <c r="D36" s="138"/>
      <c r="E36" s="343">
        <v>801</v>
      </c>
      <c r="F36" s="28"/>
      <c r="G36" s="196"/>
      <c r="H36" s="28"/>
      <c r="I36" s="28"/>
      <c r="J36" s="141"/>
      <c r="M36" s="138"/>
      <c r="N36" s="138"/>
      <c r="O36" s="196"/>
      <c r="P36" s="138"/>
      <c r="Q36" s="196"/>
      <c r="R36" s="141"/>
      <c r="S36" s="138"/>
      <c r="T36" s="196"/>
      <c r="U36" s="138"/>
      <c r="V36" s="141"/>
      <c r="Y36" s="42" t="s">
        <v>174</v>
      </c>
      <c r="Z36" s="42">
        <v>0</v>
      </c>
      <c r="AA36" s="40">
        <v>0</v>
      </c>
      <c r="AB36" s="43">
        <v>0</v>
      </c>
      <c r="AC36" s="43">
        <v>0</v>
      </c>
      <c r="AD36" s="43">
        <v>0</v>
      </c>
      <c r="AE36" s="42">
        <v>0</v>
      </c>
      <c r="AF36" s="40">
        <v>0</v>
      </c>
      <c r="AG36" s="41">
        <v>0</v>
      </c>
      <c r="AH36" s="43">
        <v>2</v>
      </c>
      <c r="AI36" s="28" t="s">
        <v>153</v>
      </c>
      <c r="AJ36" s="40"/>
      <c r="AM36" s="138" t="s">
        <v>115</v>
      </c>
      <c r="AN36" s="138">
        <v>14</v>
      </c>
      <c r="AO36" s="141">
        <v>15</v>
      </c>
      <c r="AP36" s="138">
        <v>0</v>
      </c>
      <c r="AQ36" s="141">
        <v>0</v>
      </c>
      <c r="AR36" s="138"/>
      <c r="AS36" s="43"/>
      <c r="AT36" s="43" t="s">
        <v>1310</v>
      </c>
      <c r="AU36" s="43" t="s">
        <v>330</v>
      </c>
      <c r="AV36" s="141"/>
      <c r="AW36" s="28"/>
      <c r="AX36" s="28"/>
      <c r="AY36" s="138" t="s">
        <v>113</v>
      </c>
      <c r="AZ36" s="138">
        <v>500</v>
      </c>
      <c r="BA36" s="141">
        <v>434</v>
      </c>
      <c r="BB36" s="138">
        <v>0</v>
      </c>
      <c r="BC36" s="43">
        <v>0</v>
      </c>
      <c r="BD36" s="209">
        <v>0</v>
      </c>
      <c r="BE36" s="138">
        <v>0</v>
      </c>
      <c r="BF36" s="141">
        <v>0</v>
      </c>
      <c r="BG36" s="43">
        <v>21</v>
      </c>
      <c r="BH36" s="28" t="s">
        <v>100</v>
      </c>
      <c r="BI36" s="141"/>
      <c r="BJ36" s="28"/>
    </row>
    <row r="37" spans="1:62" ht="15" thickBot="1" x14ac:dyDescent="0.35">
      <c r="A37" s="138"/>
      <c r="B37" s="138"/>
      <c r="C37" s="28"/>
      <c r="D37" s="138"/>
      <c r="E37" s="28"/>
      <c r="F37" s="28"/>
      <c r="G37" s="196"/>
      <c r="H37" s="43">
        <v>44</v>
      </c>
      <c r="I37" s="28" t="s">
        <v>101</v>
      </c>
      <c r="J37" s="141"/>
      <c r="M37" s="138"/>
      <c r="N37" s="138"/>
      <c r="O37" s="196"/>
      <c r="P37" s="138"/>
      <c r="Q37" s="196"/>
      <c r="R37" s="141"/>
      <c r="S37" s="138"/>
      <c r="T37" s="196"/>
      <c r="U37" s="138"/>
      <c r="V37" s="141"/>
      <c r="Y37" s="42" t="s">
        <v>84</v>
      </c>
      <c r="Z37" s="42">
        <v>0</v>
      </c>
      <c r="AA37" s="40">
        <v>0</v>
      </c>
      <c r="AB37" s="43">
        <v>0</v>
      </c>
      <c r="AC37" s="43">
        <v>0</v>
      </c>
      <c r="AD37" s="43">
        <v>0</v>
      </c>
      <c r="AE37" s="42">
        <v>42051</v>
      </c>
      <c r="AF37" s="40">
        <v>4377</v>
      </c>
      <c r="AG37" s="41">
        <v>0</v>
      </c>
      <c r="AH37" s="43">
        <v>1</v>
      </c>
      <c r="AI37" s="43" t="s">
        <v>1311</v>
      </c>
      <c r="AJ37" s="40">
        <v>3</v>
      </c>
      <c r="AM37" s="138" t="s">
        <v>81</v>
      </c>
      <c r="AN37" s="138">
        <v>17</v>
      </c>
      <c r="AO37" s="141">
        <v>10</v>
      </c>
      <c r="AP37" s="138">
        <v>0</v>
      </c>
      <c r="AQ37" s="141">
        <v>0</v>
      </c>
      <c r="AR37" s="138"/>
      <c r="AS37" s="43">
        <v>9</v>
      </c>
      <c r="AT37" s="43" t="s">
        <v>1312</v>
      </c>
      <c r="AU37" s="43" t="s">
        <v>519</v>
      </c>
      <c r="AV37" s="141"/>
      <c r="AW37" s="28"/>
      <c r="AX37" s="28"/>
      <c r="AY37" s="142" t="s">
        <v>84</v>
      </c>
      <c r="AZ37" s="142">
        <v>500</v>
      </c>
      <c r="BA37" s="146">
        <v>434</v>
      </c>
      <c r="BB37" s="142">
        <v>0</v>
      </c>
      <c r="BC37" s="224">
        <v>0</v>
      </c>
      <c r="BD37" s="251">
        <v>0</v>
      </c>
      <c r="BE37" s="142">
        <v>0</v>
      </c>
      <c r="BF37" s="146">
        <v>0</v>
      </c>
      <c r="BG37" s="43">
        <v>23</v>
      </c>
      <c r="BH37" s="43" t="s">
        <v>1292</v>
      </c>
      <c r="BI37" s="146">
        <v>44</v>
      </c>
      <c r="BJ37" s="28"/>
    </row>
    <row r="38" spans="1:62" ht="15" thickBot="1" x14ac:dyDescent="0.35">
      <c r="A38" s="138" t="s">
        <v>84</v>
      </c>
      <c r="B38" s="142">
        <v>1986</v>
      </c>
      <c r="C38" s="143">
        <v>2977</v>
      </c>
      <c r="D38" s="142"/>
      <c r="E38" s="345">
        <v>1416</v>
      </c>
      <c r="F38" s="143"/>
      <c r="G38" s="199"/>
      <c r="H38" s="143"/>
      <c r="I38" s="143"/>
      <c r="J38" s="146">
        <v>44</v>
      </c>
      <c r="M38" s="171" t="s">
        <v>84</v>
      </c>
      <c r="N38" s="210">
        <v>27732</v>
      </c>
      <c r="O38" s="206">
        <v>42235</v>
      </c>
      <c r="P38" s="210"/>
      <c r="Q38" s="206"/>
      <c r="R38" s="170">
        <v>0</v>
      </c>
      <c r="S38" s="210">
        <v>2263</v>
      </c>
      <c r="T38" s="206">
        <v>251</v>
      </c>
      <c r="U38" s="210"/>
      <c r="V38" s="172"/>
      <c r="Y38" s="32" t="s">
        <v>88</v>
      </c>
      <c r="Z38" s="33">
        <v>0</v>
      </c>
      <c r="AA38" s="35">
        <v>0</v>
      </c>
      <c r="AB38" s="33">
        <v>0</v>
      </c>
      <c r="AC38" s="34">
        <v>0</v>
      </c>
      <c r="AD38" s="35">
        <v>0</v>
      </c>
      <c r="AE38" s="33">
        <v>21747</v>
      </c>
      <c r="AF38" s="35">
        <v>0</v>
      </c>
      <c r="AG38" s="32">
        <v>0</v>
      </c>
      <c r="AH38" s="33" t="s">
        <v>157</v>
      </c>
      <c r="AI38" s="34"/>
      <c r="AJ38" s="35"/>
      <c r="AM38" s="138" t="s">
        <v>230</v>
      </c>
      <c r="AN38" s="138">
        <v>1</v>
      </c>
      <c r="AO38" s="141">
        <v>2</v>
      </c>
      <c r="AP38" s="138">
        <v>0</v>
      </c>
      <c r="AQ38" s="141">
        <v>0</v>
      </c>
      <c r="AR38" s="138"/>
      <c r="AS38" s="43">
        <v>22</v>
      </c>
      <c r="AT38" s="43" t="s">
        <v>216</v>
      </c>
      <c r="AU38" s="43" t="s">
        <v>1313</v>
      </c>
      <c r="AV38" s="141"/>
      <c r="AW38" s="28"/>
      <c r="AX38" s="28"/>
      <c r="AY38" s="195" t="s">
        <v>1316</v>
      </c>
      <c r="AZ38" s="134">
        <v>0</v>
      </c>
      <c r="BA38" s="136">
        <v>0</v>
      </c>
      <c r="BB38" s="134">
        <v>0</v>
      </c>
      <c r="BC38" s="135">
        <v>0</v>
      </c>
      <c r="BD38" s="136">
        <v>0</v>
      </c>
      <c r="BE38" s="135">
        <v>0</v>
      </c>
      <c r="BF38" s="136">
        <v>0</v>
      </c>
      <c r="BG38" s="134" t="s">
        <v>140</v>
      </c>
      <c r="BH38" s="135"/>
      <c r="BI38" s="136"/>
      <c r="BJ38" s="28"/>
    </row>
    <row r="39" spans="1:62" x14ac:dyDescent="0.3">
      <c r="A39" s="195" t="s">
        <v>181</v>
      </c>
      <c r="B39" s="135">
        <v>4178</v>
      </c>
      <c r="C39" s="135">
        <v>4394</v>
      </c>
      <c r="D39" s="134"/>
      <c r="E39" s="135" t="s">
        <v>1291</v>
      </c>
      <c r="F39" s="136"/>
      <c r="G39" s="195">
        <v>1</v>
      </c>
      <c r="H39" s="134" t="s">
        <v>182</v>
      </c>
      <c r="I39" s="135"/>
      <c r="J39" s="136"/>
      <c r="Y39" s="41" t="s">
        <v>1118</v>
      </c>
      <c r="Z39" s="42">
        <v>0</v>
      </c>
      <c r="AA39" s="40">
        <v>0</v>
      </c>
      <c r="AB39" s="67">
        <v>0</v>
      </c>
      <c r="AC39" s="43">
        <v>0</v>
      </c>
      <c r="AD39" s="56">
        <v>0</v>
      </c>
      <c r="AE39" s="42">
        <v>0</v>
      </c>
      <c r="AF39" s="40">
        <v>10578</v>
      </c>
      <c r="AG39" s="41">
        <v>0</v>
      </c>
      <c r="AH39" s="67">
        <v>3</v>
      </c>
      <c r="AI39" s="28" t="s">
        <v>153</v>
      </c>
      <c r="AJ39" s="40"/>
      <c r="AM39" s="138" t="s">
        <v>63</v>
      </c>
      <c r="AN39" s="138">
        <v>7</v>
      </c>
      <c r="AO39" s="141">
        <v>42</v>
      </c>
      <c r="AP39" s="138">
        <v>0</v>
      </c>
      <c r="AQ39" s="141">
        <v>0</v>
      </c>
      <c r="AR39" s="138"/>
      <c r="AS39" s="43">
        <v>1</v>
      </c>
      <c r="AT39" s="43" t="s">
        <v>1314</v>
      </c>
      <c r="AU39" s="43" t="s">
        <v>1315</v>
      </c>
      <c r="AV39" s="141"/>
      <c r="AW39" s="28"/>
      <c r="AX39" s="28"/>
      <c r="AY39" s="196" t="s">
        <v>97</v>
      </c>
      <c r="AZ39" s="138">
        <v>0</v>
      </c>
      <c r="BA39" s="209">
        <v>0</v>
      </c>
      <c r="BB39" s="138">
        <v>0</v>
      </c>
      <c r="BC39" s="43">
        <v>0</v>
      </c>
      <c r="BD39" s="141">
        <v>0</v>
      </c>
      <c r="BE39" s="43">
        <v>0</v>
      </c>
      <c r="BF39" s="141">
        <v>0</v>
      </c>
      <c r="BG39" s="138"/>
      <c r="BH39" s="28"/>
      <c r="BI39" s="141"/>
      <c r="BJ39" s="28"/>
    </row>
    <row r="40" spans="1:62" x14ac:dyDescent="0.3">
      <c r="A40" s="196"/>
      <c r="B40" s="28"/>
      <c r="C40" s="28"/>
      <c r="D40" s="138"/>
      <c r="E40" s="28" t="s">
        <v>1291</v>
      </c>
      <c r="F40" s="141"/>
      <c r="G40" s="196"/>
      <c r="H40" s="138">
        <v>26</v>
      </c>
      <c r="I40" s="28" t="s">
        <v>436</v>
      </c>
      <c r="J40" s="141"/>
      <c r="Y40" s="41" t="s">
        <v>99</v>
      </c>
      <c r="Z40" s="42">
        <v>0</v>
      </c>
      <c r="AA40" s="40">
        <v>0</v>
      </c>
      <c r="AB40" s="67">
        <v>0</v>
      </c>
      <c r="AC40" s="43">
        <v>0</v>
      </c>
      <c r="AD40" s="56">
        <v>0</v>
      </c>
      <c r="AE40" s="42">
        <v>180707</v>
      </c>
      <c r="AF40" s="40">
        <v>10230</v>
      </c>
      <c r="AG40" s="41">
        <v>0</v>
      </c>
      <c r="AH40" s="42">
        <v>4</v>
      </c>
      <c r="AI40" s="28" t="s">
        <v>1317</v>
      </c>
      <c r="AJ40" s="40"/>
      <c r="AM40" s="138" t="s">
        <v>122</v>
      </c>
      <c r="AN40" s="138">
        <v>8</v>
      </c>
      <c r="AO40" s="141">
        <v>8</v>
      </c>
      <c r="AP40" s="138">
        <v>0</v>
      </c>
      <c r="AQ40" s="141">
        <v>0</v>
      </c>
      <c r="AR40" s="138"/>
      <c r="AS40" s="43">
        <v>67</v>
      </c>
      <c r="AT40" s="43" t="s">
        <v>215</v>
      </c>
      <c r="AU40" s="43"/>
      <c r="AV40" s="141"/>
      <c r="AW40" s="28"/>
      <c r="AX40" s="28"/>
      <c r="AY40" s="196" t="s">
        <v>214</v>
      </c>
      <c r="AZ40" s="138">
        <v>2</v>
      </c>
      <c r="BA40" s="209">
        <v>0</v>
      </c>
      <c r="BB40" s="138">
        <v>0</v>
      </c>
      <c r="BC40" s="43">
        <v>0</v>
      </c>
      <c r="BD40" s="141">
        <v>0</v>
      </c>
      <c r="BE40" s="43">
        <v>0</v>
      </c>
      <c r="BF40" s="141">
        <v>0</v>
      </c>
      <c r="BG40" s="138"/>
      <c r="BH40" s="28"/>
      <c r="BI40" s="141"/>
      <c r="BJ40" s="28"/>
    </row>
    <row r="41" spans="1:62" x14ac:dyDescent="0.3">
      <c r="A41" s="196" t="s">
        <v>84</v>
      </c>
      <c r="B41" s="28">
        <v>4178</v>
      </c>
      <c r="C41" s="43">
        <v>4394</v>
      </c>
      <c r="D41" s="138"/>
      <c r="E41" s="28" t="s">
        <v>1291</v>
      </c>
      <c r="F41" s="141"/>
      <c r="G41" s="196"/>
      <c r="H41" s="138">
        <v>4</v>
      </c>
      <c r="I41" s="28" t="s">
        <v>101</v>
      </c>
      <c r="J41" s="141"/>
      <c r="Y41" s="68" t="s">
        <v>403</v>
      </c>
      <c r="Z41" s="42">
        <v>0</v>
      </c>
      <c r="AA41" s="40">
        <v>0</v>
      </c>
      <c r="AB41" s="42">
        <v>0</v>
      </c>
      <c r="AC41" s="43">
        <v>0</v>
      </c>
      <c r="AD41" s="40">
        <v>0</v>
      </c>
      <c r="AE41" s="42">
        <v>0</v>
      </c>
      <c r="AF41" s="40">
        <v>11514</v>
      </c>
      <c r="AG41" s="41">
        <v>0</v>
      </c>
      <c r="AH41" s="42">
        <v>5</v>
      </c>
      <c r="AI41" s="43" t="s">
        <v>1318</v>
      </c>
      <c r="AJ41" s="40"/>
      <c r="AM41" s="138" t="s">
        <v>132</v>
      </c>
      <c r="AN41" s="138">
        <v>0</v>
      </c>
      <c r="AO41" s="141">
        <v>0</v>
      </c>
      <c r="AP41" s="138">
        <v>0</v>
      </c>
      <c r="AQ41" s="141">
        <v>0</v>
      </c>
      <c r="AR41" s="138"/>
      <c r="AS41" s="43">
        <v>1</v>
      </c>
      <c r="AT41" s="43" t="s">
        <v>1314</v>
      </c>
      <c r="AU41" s="28"/>
      <c r="AV41" s="141"/>
      <c r="AW41" s="28"/>
      <c r="AX41" s="28"/>
      <c r="AY41" s="196" t="s">
        <v>218</v>
      </c>
      <c r="AZ41" s="138">
        <v>0</v>
      </c>
      <c r="BA41" s="141">
        <v>28</v>
      </c>
      <c r="BB41" s="252">
        <v>0</v>
      </c>
      <c r="BC41" s="43">
        <v>0</v>
      </c>
      <c r="BD41" s="141">
        <v>0</v>
      </c>
      <c r="BE41" s="43">
        <v>0</v>
      </c>
      <c r="BF41" s="141">
        <v>0</v>
      </c>
      <c r="BG41" s="138" t="s">
        <v>142</v>
      </c>
      <c r="BH41" s="43">
        <v>7</v>
      </c>
      <c r="BI41" s="141" t="s">
        <v>682</v>
      </c>
      <c r="BJ41" s="28"/>
    </row>
    <row r="42" spans="1:62" ht="15" thickBot="1" x14ac:dyDescent="0.35">
      <c r="A42" s="196"/>
      <c r="B42" s="28"/>
      <c r="C42" s="28"/>
      <c r="D42" s="142"/>
      <c r="E42" s="143"/>
      <c r="F42" s="146"/>
      <c r="G42" s="196"/>
      <c r="H42" s="138">
        <v>0</v>
      </c>
      <c r="I42" s="43" t="s">
        <v>94</v>
      </c>
      <c r="J42" s="141">
        <v>30</v>
      </c>
      <c r="Y42" s="68" t="s">
        <v>85</v>
      </c>
      <c r="Z42" s="42">
        <v>0</v>
      </c>
      <c r="AA42" s="40">
        <v>0</v>
      </c>
      <c r="AB42" s="67">
        <v>0</v>
      </c>
      <c r="AC42" s="43">
        <v>0</v>
      </c>
      <c r="AD42" s="56">
        <v>0</v>
      </c>
      <c r="AE42" s="42">
        <v>0</v>
      </c>
      <c r="AF42" s="40">
        <v>10913</v>
      </c>
      <c r="AG42" s="41">
        <v>0</v>
      </c>
      <c r="AH42" s="67"/>
      <c r="AI42" s="28"/>
      <c r="AJ42" s="40"/>
      <c r="AM42" s="138" t="s">
        <v>1319</v>
      </c>
      <c r="AN42" s="138">
        <v>0</v>
      </c>
      <c r="AO42" s="141">
        <v>0</v>
      </c>
      <c r="AP42" s="138">
        <v>0</v>
      </c>
      <c r="AQ42" s="141">
        <v>0</v>
      </c>
      <c r="AR42" s="138"/>
      <c r="AS42" s="43">
        <v>12</v>
      </c>
      <c r="AT42" s="43" t="s">
        <v>903</v>
      </c>
      <c r="AU42" s="28"/>
      <c r="AV42" s="141"/>
      <c r="AW42" s="28"/>
      <c r="AX42" s="28"/>
      <c r="AY42" s="196" t="s">
        <v>596</v>
      </c>
      <c r="AZ42" s="138">
        <v>1</v>
      </c>
      <c r="BA42" s="141">
        <v>0</v>
      </c>
      <c r="BB42" s="252">
        <v>0</v>
      </c>
      <c r="BC42" s="255">
        <v>0</v>
      </c>
      <c r="BD42" s="141">
        <v>0</v>
      </c>
      <c r="BE42" s="43">
        <v>0</v>
      </c>
      <c r="BF42" s="141">
        <v>0</v>
      </c>
      <c r="BG42" s="138" t="s">
        <v>146</v>
      </c>
      <c r="BH42" s="28"/>
      <c r="BI42" s="256" t="s">
        <v>1321</v>
      </c>
      <c r="BJ42" s="28"/>
    </row>
    <row r="43" spans="1:62" ht="15" thickBot="1" x14ac:dyDescent="0.35">
      <c r="A43" s="254" t="s">
        <v>84</v>
      </c>
      <c r="B43" s="275">
        <v>49358</v>
      </c>
      <c r="C43" s="253">
        <v>58952</v>
      </c>
      <c r="D43" s="253"/>
      <c r="E43" s="253">
        <v>1835</v>
      </c>
      <c r="F43" s="253"/>
      <c r="G43" s="254">
        <v>8</v>
      </c>
      <c r="H43" s="171"/>
      <c r="I43" s="170"/>
      <c r="J43" s="172">
        <v>420</v>
      </c>
      <c r="Y43" s="68" t="s">
        <v>1320</v>
      </c>
      <c r="Z43" s="67">
        <v>0</v>
      </c>
      <c r="AA43" s="56">
        <v>0</v>
      </c>
      <c r="AB43" s="42">
        <v>0</v>
      </c>
      <c r="AC43" s="43">
        <v>0</v>
      </c>
      <c r="AD43" s="40">
        <v>0</v>
      </c>
      <c r="AE43" s="42">
        <v>0</v>
      </c>
      <c r="AF43" s="40">
        <v>4197</v>
      </c>
      <c r="AG43" s="41">
        <v>0</v>
      </c>
      <c r="AH43" s="42"/>
      <c r="AI43" s="28"/>
      <c r="AJ43" s="40"/>
      <c r="AM43" s="138" t="s">
        <v>84</v>
      </c>
      <c r="AN43" s="138">
        <v>167</v>
      </c>
      <c r="AO43" s="141">
        <v>256</v>
      </c>
      <c r="AP43" s="138">
        <v>0</v>
      </c>
      <c r="AQ43" s="141">
        <v>0</v>
      </c>
      <c r="AR43" s="142"/>
      <c r="AS43" s="224">
        <v>4</v>
      </c>
      <c r="AT43" s="224" t="s">
        <v>244</v>
      </c>
      <c r="AU43" s="143"/>
      <c r="AV43" s="146">
        <v>167</v>
      </c>
      <c r="AW43" s="28"/>
      <c r="AX43" s="28"/>
      <c r="AY43" s="196" t="s">
        <v>169</v>
      </c>
      <c r="AZ43" s="138">
        <v>2</v>
      </c>
      <c r="BA43" s="141">
        <v>3</v>
      </c>
      <c r="BB43" s="252">
        <v>0</v>
      </c>
      <c r="BC43" s="43">
        <v>0</v>
      </c>
      <c r="BD43" s="141">
        <v>0</v>
      </c>
      <c r="BE43" s="43">
        <v>0</v>
      </c>
      <c r="BF43" s="141">
        <v>0</v>
      </c>
      <c r="BG43" s="138"/>
      <c r="BH43" s="28"/>
      <c r="BI43" s="141" t="s">
        <v>1322</v>
      </c>
      <c r="BJ43" s="28"/>
    </row>
    <row r="44" spans="1:62" ht="15" thickBot="1" x14ac:dyDescent="0.35">
      <c r="Y44" s="68" t="s">
        <v>108</v>
      </c>
      <c r="Z44" s="67">
        <v>0</v>
      </c>
      <c r="AA44" s="56">
        <v>0</v>
      </c>
      <c r="AB44" s="67">
        <v>0</v>
      </c>
      <c r="AC44" s="43">
        <v>0</v>
      </c>
      <c r="AD44" s="56">
        <v>0</v>
      </c>
      <c r="AE44" s="42">
        <v>0</v>
      </c>
      <c r="AF44" s="40">
        <v>23700</v>
      </c>
      <c r="AG44" s="41">
        <v>0</v>
      </c>
      <c r="AH44" s="67"/>
      <c r="AI44" s="28"/>
      <c r="AJ44" s="40"/>
      <c r="AM44" s="171" t="s">
        <v>84</v>
      </c>
      <c r="AN44" s="171">
        <v>1713</v>
      </c>
      <c r="AO44" s="172">
        <v>1770</v>
      </c>
      <c r="AP44" s="170"/>
      <c r="AQ44" s="172"/>
      <c r="AR44" s="48"/>
      <c r="AS44" s="48"/>
      <c r="AT44" s="48"/>
      <c r="AU44" s="48"/>
      <c r="AV44" s="49">
        <v>369</v>
      </c>
      <c r="AW44" s="28"/>
      <c r="AX44" s="28"/>
      <c r="AY44" s="196" t="s">
        <v>358</v>
      </c>
      <c r="AZ44" s="138">
        <v>22</v>
      </c>
      <c r="BA44" s="141">
        <v>16</v>
      </c>
      <c r="BB44" s="252">
        <v>0</v>
      </c>
      <c r="BC44" s="43">
        <v>0</v>
      </c>
      <c r="BD44" s="141">
        <v>0</v>
      </c>
      <c r="BE44" s="43">
        <v>0</v>
      </c>
      <c r="BF44" s="141">
        <v>0</v>
      </c>
      <c r="BG44" s="138" t="s">
        <v>151</v>
      </c>
      <c r="BH44" s="28"/>
      <c r="BI44" s="141"/>
      <c r="BJ44" s="28"/>
    </row>
    <row r="45" spans="1:62" x14ac:dyDescent="0.3">
      <c r="Y45" s="68" t="s">
        <v>133</v>
      </c>
      <c r="Z45" s="67">
        <v>0</v>
      </c>
      <c r="AA45" s="56">
        <v>0</v>
      </c>
      <c r="AB45" s="42">
        <v>0</v>
      </c>
      <c r="AC45" s="43">
        <v>0</v>
      </c>
      <c r="AD45" s="40">
        <v>0</v>
      </c>
      <c r="AE45" s="42">
        <v>0</v>
      </c>
      <c r="AF45" s="40">
        <v>0</v>
      </c>
      <c r="AG45" s="41">
        <v>0</v>
      </c>
      <c r="AH45" s="42"/>
      <c r="AI45" s="28"/>
      <c r="AJ45" s="40"/>
      <c r="AR45" s="43"/>
      <c r="AS45" s="43"/>
      <c r="AT45" s="43"/>
      <c r="AU45" s="28"/>
      <c r="AV45" s="28"/>
      <c r="AW45" s="28"/>
      <c r="AX45" s="28"/>
      <c r="AY45" s="196" t="s">
        <v>211</v>
      </c>
      <c r="AZ45" s="138">
        <v>12</v>
      </c>
      <c r="BA45" s="141">
        <v>0</v>
      </c>
      <c r="BB45" s="252">
        <v>0</v>
      </c>
      <c r="BC45" s="43">
        <v>0</v>
      </c>
      <c r="BD45" s="141">
        <v>0</v>
      </c>
      <c r="BE45" s="43">
        <v>0</v>
      </c>
      <c r="BF45" s="141">
        <v>0</v>
      </c>
      <c r="BG45" s="138" t="s">
        <v>1323</v>
      </c>
      <c r="BH45" s="257" t="s">
        <v>1324</v>
      </c>
      <c r="BI45" s="141" t="s">
        <v>1325</v>
      </c>
      <c r="BJ45" s="28"/>
    </row>
    <row r="46" spans="1:62" ht="15" thickBot="1" x14ac:dyDescent="0.35">
      <c r="Y46" s="62" t="s">
        <v>84</v>
      </c>
      <c r="Z46" s="47">
        <v>0</v>
      </c>
      <c r="AA46" s="49">
        <v>0</v>
      </c>
      <c r="AB46" s="47">
        <v>0</v>
      </c>
      <c r="AC46" s="48">
        <v>0</v>
      </c>
      <c r="AD46" s="49">
        <v>0</v>
      </c>
      <c r="AE46" s="47">
        <v>202454</v>
      </c>
      <c r="AF46" s="49">
        <v>71132</v>
      </c>
      <c r="AG46" s="46">
        <v>0</v>
      </c>
      <c r="AH46" s="47"/>
      <c r="AI46" s="48"/>
      <c r="AJ46" s="49">
        <v>12</v>
      </c>
      <c r="AR46" s="28"/>
      <c r="AS46" s="28"/>
      <c r="AT46" s="28"/>
      <c r="AU46" s="28"/>
      <c r="AV46" s="28"/>
      <c r="AW46" s="28"/>
      <c r="AX46" s="28"/>
      <c r="AY46" s="196" t="s">
        <v>113</v>
      </c>
      <c r="AZ46" s="138">
        <v>62</v>
      </c>
      <c r="BA46" s="141">
        <v>67</v>
      </c>
      <c r="BB46" s="252">
        <v>0</v>
      </c>
      <c r="BC46" s="43">
        <v>0</v>
      </c>
      <c r="BD46" s="141">
        <v>0</v>
      </c>
      <c r="BE46" s="43">
        <v>0</v>
      </c>
      <c r="BF46" s="141">
        <v>0</v>
      </c>
      <c r="BG46" s="212" t="s">
        <v>1006</v>
      </c>
      <c r="BH46" s="28" t="s">
        <v>1327</v>
      </c>
      <c r="BI46" s="141"/>
      <c r="BJ46" s="28"/>
    </row>
    <row r="47" spans="1:62" x14ac:dyDescent="0.3">
      <c r="Y47" s="42" t="s">
        <v>102</v>
      </c>
      <c r="Z47" s="42">
        <v>122</v>
      </c>
      <c r="AA47" s="40">
        <v>222</v>
      </c>
      <c r="AB47" s="42">
        <v>0</v>
      </c>
      <c r="AC47" s="43">
        <v>0</v>
      </c>
      <c r="AD47" s="40">
        <v>0</v>
      </c>
      <c r="AE47" s="42">
        <v>0</v>
      </c>
      <c r="AF47" s="40">
        <v>0</v>
      </c>
      <c r="AG47" s="41">
        <v>0</v>
      </c>
      <c r="AH47" s="33" t="s">
        <v>1326</v>
      </c>
      <c r="AI47" s="34"/>
      <c r="AJ47" s="35"/>
      <c r="AR47" s="28"/>
      <c r="AS47" s="28"/>
      <c r="AT47" s="28"/>
      <c r="AU47" s="28"/>
      <c r="AV47" s="28"/>
      <c r="AW47" s="28"/>
      <c r="AX47" s="28"/>
      <c r="AY47" s="196" t="s">
        <v>429</v>
      </c>
      <c r="AZ47" s="138">
        <v>0</v>
      </c>
      <c r="BA47" s="141">
        <v>0</v>
      </c>
      <c r="BB47" s="252">
        <v>0</v>
      </c>
      <c r="BC47" s="43">
        <v>0</v>
      </c>
      <c r="BD47" s="141">
        <v>0</v>
      </c>
      <c r="BE47" s="43">
        <v>0</v>
      </c>
      <c r="BF47" s="141">
        <v>0</v>
      </c>
      <c r="BG47" s="212" t="s">
        <v>1330</v>
      </c>
      <c r="BH47" s="43" t="s">
        <v>1331</v>
      </c>
      <c r="BI47" s="141"/>
      <c r="BJ47" s="28"/>
    </row>
    <row r="48" spans="1:62" x14ac:dyDescent="0.3">
      <c r="Y48" s="42" t="s">
        <v>88</v>
      </c>
      <c r="Z48" s="42">
        <v>134</v>
      </c>
      <c r="AA48" s="40">
        <v>0</v>
      </c>
      <c r="AB48" s="67">
        <v>0</v>
      </c>
      <c r="AC48" s="43">
        <v>0</v>
      </c>
      <c r="AD48" s="56">
        <v>0</v>
      </c>
      <c r="AE48" s="42">
        <v>0</v>
      </c>
      <c r="AF48" s="40">
        <v>0</v>
      </c>
      <c r="AG48" s="41">
        <v>0</v>
      </c>
      <c r="AH48" s="67">
        <v>9</v>
      </c>
      <c r="AI48" s="28" t="s">
        <v>1328</v>
      </c>
      <c r="AJ48" s="40"/>
      <c r="AR48" s="28"/>
      <c r="AS48" s="28"/>
      <c r="AT48" s="28"/>
      <c r="AU48" s="28"/>
      <c r="AV48" s="28"/>
      <c r="AW48" s="28"/>
      <c r="AX48" s="28"/>
      <c r="AY48" s="196" t="s">
        <v>99</v>
      </c>
      <c r="AZ48" s="138">
        <v>13</v>
      </c>
      <c r="BA48" s="141">
        <v>3</v>
      </c>
      <c r="BB48" s="252">
        <v>0</v>
      </c>
      <c r="BC48" s="43">
        <v>0</v>
      </c>
      <c r="BD48" s="141">
        <v>0</v>
      </c>
      <c r="BE48" s="43">
        <v>0</v>
      </c>
      <c r="BF48" s="141">
        <v>0</v>
      </c>
      <c r="BG48" s="138" t="s">
        <v>1332</v>
      </c>
      <c r="BH48" s="43" t="s">
        <v>634</v>
      </c>
      <c r="BI48" s="141"/>
      <c r="BJ48" s="28"/>
    </row>
    <row r="49" spans="2:62" ht="15" thickBot="1" x14ac:dyDescent="0.35">
      <c r="Y49" s="47" t="s">
        <v>84</v>
      </c>
      <c r="Z49" s="47">
        <v>256</v>
      </c>
      <c r="AA49" s="49">
        <v>222</v>
      </c>
      <c r="AB49" s="47">
        <v>0</v>
      </c>
      <c r="AC49" s="48">
        <v>0</v>
      </c>
      <c r="AD49" s="49">
        <v>0</v>
      </c>
      <c r="AE49" s="47">
        <v>0</v>
      </c>
      <c r="AF49" s="49">
        <v>0</v>
      </c>
      <c r="AG49" s="46"/>
      <c r="AH49" s="47"/>
      <c r="AI49" s="48"/>
      <c r="AJ49" s="49">
        <v>9</v>
      </c>
      <c r="AR49" s="28"/>
      <c r="AS49" s="28"/>
      <c r="AT49" s="28"/>
      <c r="AU49" s="28"/>
      <c r="AV49" s="28"/>
      <c r="AW49" s="28"/>
      <c r="AX49" s="28"/>
      <c r="AY49" s="196" t="s">
        <v>200</v>
      </c>
      <c r="AZ49" s="138">
        <v>2</v>
      </c>
      <c r="BA49" s="141">
        <v>3</v>
      </c>
      <c r="BB49" s="252">
        <v>0</v>
      </c>
      <c r="BC49" s="43">
        <v>0</v>
      </c>
      <c r="BD49" s="141">
        <v>0</v>
      </c>
      <c r="BE49" s="43">
        <v>0</v>
      </c>
      <c r="BF49" s="141">
        <v>0</v>
      </c>
      <c r="BG49" s="138" t="s">
        <v>1333</v>
      </c>
      <c r="BH49" s="43" t="s">
        <v>1334</v>
      </c>
      <c r="BI49" s="141"/>
      <c r="BJ49" s="28"/>
    </row>
    <row r="50" spans="2:62" ht="15" thickBot="1" x14ac:dyDescent="0.35">
      <c r="Y50" s="254" t="s">
        <v>84</v>
      </c>
      <c r="Z50" s="171">
        <v>4710</v>
      </c>
      <c r="AA50" s="172">
        <v>10601</v>
      </c>
      <c r="AB50" s="171"/>
      <c r="AC50" s="170">
        <v>0</v>
      </c>
      <c r="AD50" s="172">
        <v>0</v>
      </c>
      <c r="AE50" s="47">
        <v>244505</v>
      </c>
      <c r="AF50" s="49">
        <v>75509</v>
      </c>
      <c r="AG50" s="46">
        <v>0</v>
      </c>
      <c r="AH50" s="351" t="s">
        <v>1958</v>
      </c>
      <c r="AI50" s="170"/>
      <c r="AJ50" s="172">
        <v>115</v>
      </c>
      <c r="AR50" s="28"/>
      <c r="AS50" s="28"/>
      <c r="AT50" s="28"/>
      <c r="AU50" s="28"/>
      <c r="AV50" s="28"/>
      <c r="AW50" s="28"/>
      <c r="AX50" s="28"/>
      <c r="AY50" s="196" t="s">
        <v>93</v>
      </c>
      <c r="AZ50" s="138">
        <v>0</v>
      </c>
      <c r="BA50" s="141">
        <v>2</v>
      </c>
      <c r="BB50" s="252">
        <v>0</v>
      </c>
      <c r="BC50" s="43">
        <v>0</v>
      </c>
      <c r="BD50" s="141">
        <v>0</v>
      </c>
      <c r="BE50" s="43">
        <v>0</v>
      </c>
      <c r="BF50" s="141">
        <v>0</v>
      </c>
      <c r="BG50" s="212" t="s">
        <v>1335</v>
      </c>
      <c r="BH50" s="43" t="s">
        <v>500</v>
      </c>
      <c r="BI50" s="141"/>
      <c r="BJ50" s="28"/>
    </row>
    <row r="51" spans="2:62" x14ac:dyDescent="0.3">
      <c r="B51" s="28"/>
      <c r="C51" s="28"/>
      <c r="D51" s="28"/>
      <c r="E51" s="28"/>
      <c r="F51" s="28"/>
      <c r="G51" s="28"/>
      <c r="H51" s="28"/>
      <c r="I51" s="28"/>
      <c r="J51" s="28"/>
      <c r="AR51" s="28"/>
      <c r="AS51" s="28"/>
      <c r="AT51" s="28"/>
      <c r="AU51" s="28"/>
      <c r="AV51" s="28"/>
      <c r="AW51" s="28"/>
      <c r="AX51" s="28"/>
      <c r="AY51" s="196" t="s">
        <v>657</v>
      </c>
      <c r="AZ51" s="138">
        <v>0</v>
      </c>
      <c r="BA51" s="141">
        <v>2</v>
      </c>
      <c r="BB51" s="252">
        <v>0</v>
      </c>
      <c r="BC51" s="43">
        <v>0</v>
      </c>
      <c r="BD51" s="141">
        <v>0</v>
      </c>
      <c r="BE51" s="43">
        <v>0</v>
      </c>
      <c r="BF51" s="141">
        <v>0</v>
      </c>
      <c r="BG51" s="138" t="s">
        <v>725</v>
      </c>
      <c r="BH51" s="43" t="s">
        <v>1336</v>
      </c>
      <c r="BI51" s="209"/>
      <c r="BJ51" s="28"/>
    </row>
    <row r="52" spans="2:62" ht="15.6" x14ac:dyDescent="0.3">
      <c r="B52" s="28"/>
      <c r="C52" s="43"/>
      <c r="D52" s="28"/>
      <c r="E52" s="28"/>
      <c r="F52" s="28"/>
      <c r="G52" s="28"/>
      <c r="H52" s="28"/>
      <c r="I52" s="28"/>
      <c r="J52" s="28"/>
      <c r="AR52" s="28"/>
      <c r="AS52" s="28"/>
      <c r="AT52" s="28"/>
      <c r="AU52" s="28"/>
      <c r="AV52" s="28"/>
      <c r="AW52" s="28"/>
      <c r="AX52" s="28"/>
      <c r="AY52" s="196" t="s">
        <v>89</v>
      </c>
      <c r="AZ52" s="138">
        <v>0</v>
      </c>
      <c r="BA52" s="141">
        <v>2</v>
      </c>
      <c r="BB52" s="252">
        <v>0</v>
      </c>
      <c r="BC52" s="43">
        <v>0</v>
      </c>
      <c r="BD52" s="141">
        <v>0</v>
      </c>
      <c r="BE52" s="43">
        <v>0</v>
      </c>
      <c r="BF52" s="141">
        <v>0</v>
      </c>
      <c r="BG52" s="138" t="s">
        <v>479</v>
      </c>
      <c r="BH52" s="258" t="s">
        <v>1033</v>
      </c>
      <c r="BI52" s="209"/>
      <c r="BJ52" s="28"/>
    </row>
    <row r="53" spans="2:62" x14ac:dyDescent="0.3">
      <c r="B53" s="28"/>
      <c r="C53" s="43"/>
      <c r="D53" s="28"/>
      <c r="E53" s="28"/>
      <c r="F53" s="28"/>
      <c r="G53" s="28"/>
      <c r="H53" s="43"/>
      <c r="I53" s="28"/>
      <c r="J53" s="28"/>
      <c r="AR53" s="28"/>
      <c r="AS53" s="28"/>
      <c r="AT53" s="28"/>
      <c r="AU53" s="28"/>
      <c r="AV53" s="28"/>
      <c r="AW53" s="28"/>
      <c r="AX53" s="28"/>
      <c r="AY53" s="196" t="s">
        <v>64</v>
      </c>
      <c r="AZ53" s="138">
        <v>2</v>
      </c>
      <c r="BA53" s="141">
        <v>0</v>
      </c>
      <c r="BB53" s="252">
        <v>0</v>
      </c>
      <c r="BC53" s="43">
        <v>0</v>
      </c>
      <c r="BD53" s="141">
        <v>0</v>
      </c>
      <c r="BE53" s="43">
        <v>0</v>
      </c>
      <c r="BF53" s="141">
        <v>0</v>
      </c>
      <c r="BG53" s="138" t="s">
        <v>719</v>
      </c>
      <c r="BH53" s="43" t="s">
        <v>307</v>
      </c>
      <c r="BI53" s="141"/>
      <c r="BJ53" s="28"/>
    </row>
    <row r="54" spans="2:62" ht="15.6" x14ac:dyDescent="0.3">
      <c r="B54" s="28"/>
      <c r="C54" s="43"/>
      <c r="D54" s="28"/>
      <c r="E54" s="28"/>
      <c r="F54" s="28"/>
      <c r="G54" s="28"/>
      <c r="H54" s="43"/>
      <c r="I54" s="28"/>
      <c r="J54" s="28"/>
      <c r="AR54" s="28"/>
      <c r="AS54" s="28"/>
      <c r="AT54" s="28"/>
      <c r="AU54" s="28"/>
      <c r="AV54" s="28"/>
      <c r="AW54" s="28"/>
      <c r="AX54" s="28"/>
      <c r="AY54" s="259" t="s">
        <v>139</v>
      </c>
      <c r="AZ54" s="138">
        <v>5</v>
      </c>
      <c r="BA54" s="141">
        <v>0</v>
      </c>
      <c r="BB54" s="252">
        <v>0</v>
      </c>
      <c r="BC54" s="43">
        <v>0</v>
      </c>
      <c r="BD54" s="141">
        <v>0</v>
      </c>
      <c r="BE54" s="43">
        <v>0</v>
      </c>
      <c r="BF54" s="141">
        <v>0</v>
      </c>
      <c r="BG54" s="138" t="s">
        <v>803</v>
      </c>
      <c r="BH54" s="258"/>
      <c r="BI54" s="260"/>
      <c r="BJ54" s="28"/>
    </row>
    <row r="55" spans="2:62" ht="15.6" x14ac:dyDescent="0.3">
      <c r="B55" s="28"/>
      <c r="C55" s="28"/>
      <c r="D55" s="28"/>
      <c r="E55" s="28"/>
      <c r="F55" s="28"/>
      <c r="G55" s="28"/>
      <c r="H55" s="43"/>
      <c r="I55" s="28"/>
      <c r="J55" s="28"/>
      <c r="AR55" s="28"/>
      <c r="AS55" s="28"/>
      <c r="AT55" s="28"/>
      <c r="AU55" s="28"/>
      <c r="AV55" s="28"/>
      <c r="AW55" s="28"/>
      <c r="AX55" s="28"/>
      <c r="AY55" s="196" t="s">
        <v>108</v>
      </c>
      <c r="AZ55" s="138">
        <v>2</v>
      </c>
      <c r="BA55" s="141">
        <v>1</v>
      </c>
      <c r="BB55" s="252">
        <v>0</v>
      </c>
      <c r="BC55" s="43">
        <v>0</v>
      </c>
      <c r="BD55" s="141">
        <v>0</v>
      </c>
      <c r="BE55" s="43">
        <v>0</v>
      </c>
      <c r="BF55" s="141">
        <v>0</v>
      </c>
      <c r="BG55" s="138" t="s">
        <v>330</v>
      </c>
      <c r="BH55" s="258"/>
      <c r="BI55" s="141"/>
      <c r="BJ55" s="28"/>
    </row>
    <row r="56" spans="2:62" ht="15.6" x14ac:dyDescent="0.3">
      <c r="B56" s="28"/>
      <c r="C56" s="28"/>
      <c r="D56" s="28"/>
      <c r="E56" s="28"/>
      <c r="F56" s="28"/>
      <c r="G56" s="28"/>
      <c r="H56" s="28"/>
      <c r="I56" s="28"/>
      <c r="J56" s="28"/>
      <c r="AR56" s="28"/>
      <c r="AS56" s="28"/>
      <c r="AT56" s="28"/>
      <c r="AU56" s="28"/>
      <c r="AV56" s="28"/>
      <c r="AW56" s="28"/>
      <c r="AX56" s="28"/>
      <c r="AY56" s="196" t="s">
        <v>862</v>
      </c>
      <c r="AZ56" s="138">
        <v>0</v>
      </c>
      <c r="BA56" s="141">
        <v>0</v>
      </c>
      <c r="BB56" s="252">
        <v>0</v>
      </c>
      <c r="BC56" s="43">
        <v>0</v>
      </c>
      <c r="BD56" s="141">
        <v>0</v>
      </c>
      <c r="BE56" s="43">
        <v>0</v>
      </c>
      <c r="BF56" s="141">
        <v>0</v>
      </c>
      <c r="BG56" s="138" t="s">
        <v>1004</v>
      </c>
      <c r="BH56" s="258"/>
      <c r="BI56" s="141"/>
      <c r="BJ56" s="28"/>
    </row>
    <row r="57" spans="2:62" ht="15.6" x14ac:dyDescent="0.3">
      <c r="B57" s="28"/>
      <c r="C57" s="28"/>
      <c r="D57" s="28"/>
      <c r="E57" s="343"/>
      <c r="F57" s="28"/>
      <c r="G57" s="28"/>
      <c r="H57" s="28"/>
      <c r="I57" s="28"/>
      <c r="J57" s="28"/>
      <c r="AR57" s="28"/>
      <c r="AS57" s="28"/>
      <c r="AT57" s="28"/>
      <c r="AU57" s="28"/>
      <c r="AV57" s="28"/>
      <c r="AW57" s="28"/>
      <c r="AX57" s="28"/>
      <c r="AY57" s="196" t="s">
        <v>1337</v>
      </c>
      <c r="AZ57" s="138">
        <v>9</v>
      </c>
      <c r="BA57" s="141">
        <v>9</v>
      </c>
      <c r="BB57" s="252">
        <v>0</v>
      </c>
      <c r="BC57" s="43">
        <v>0</v>
      </c>
      <c r="BD57" s="141">
        <v>0</v>
      </c>
      <c r="BE57" s="43">
        <v>0</v>
      </c>
      <c r="BF57" s="141">
        <v>0</v>
      </c>
      <c r="BG57" s="138" t="s">
        <v>1338</v>
      </c>
      <c r="BH57" s="258"/>
      <c r="BI57" s="141"/>
      <c r="BJ57" s="28"/>
    </row>
    <row r="58" spans="2:62" ht="15.6" x14ac:dyDescent="0.3">
      <c r="B58" s="28"/>
      <c r="C58" s="43"/>
      <c r="D58" s="28"/>
      <c r="E58" s="343"/>
      <c r="F58" s="28"/>
      <c r="G58" s="28"/>
      <c r="H58" s="28"/>
      <c r="I58" s="28"/>
      <c r="J58" s="28"/>
      <c r="AR58" s="28"/>
      <c r="AS58" s="28"/>
      <c r="AT58" s="28"/>
      <c r="AU58" s="28"/>
      <c r="AV58" s="28"/>
      <c r="AW58" s="28"/>
      <c r="AX58" s="28"/>
      <c r="AY58" s="196" t="s">
        <v>331</v>
      </c>
      <c r="AZ58" s="138">
        <v>13</v>
      </c>
      <c r="BA58" s="141">
        <v>0</v>
      </c>
      <c r="BB58" s="252">
        <v>0</v>
      </c>
      <c r="BC58" s="43">
        <v>0</v>
      </c>
      <c r="BD58" s="141">
        <v>0</v>
      </c>
      <c r="BE58" s="43">
        <v>0</v>
      </c>
      <c r="BF58" s="141">
        <v>0</v>
      </c>
      <c r="BG58" s="138" t="s">
        <v>736</v>
      </c>
      <c r="BH58" s="258"/>
      <c r="BI58" s="141"/>
      <c r="BJ58" s="28"/>
    </row>
    <row r="59" spans="2:62" ht="15.6" x14ac:dyDescent="0.3">
      <c r="B59" s="28"/>
      <c r="C59" s="28"/>
      <c r="D59" s="28"/>
      <c r="E59" s="28"/>
      <c r="F59" s="28"/>
      <c r="G59" s="28"/>
      <c r="H59" s="43"/>
      <c r="I59" s="28"/>
      <c r="J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R59" s="28"/>
      <c r="AS59" s="28"/>
      <c r="AT59" s="28"/>
      <c r="AU59" s="28"/>
      <c r="AV59" s="28"/>
      <c r="AW59" s="28"/>
      <c r="AX59" s="28"/>
      <c r="AY59" s="196" t="s">
        <v>956</v>
      </c>
      <c r="AZ59" s="138">
        <v>0</v>
      </c>
      <c r="BA59" s="141">
        <v>12</v>
      </c>
      <c r="BB59" s="138">
        <v>0</v>
      </c>
      <c r="BC59" s="43">
        <v>0</v>
      </c>
      <c r="BD59" s="141">
        <v>0</v>
      </c>
      <c r="BE59" s="43">
        <v>0</v>
      </c>
      <c r="BF59" s="141">
        <v>0</v>
      </c>
      <c r="BG59" s="138"/>
      <c r="BH59" s="258"/>
      <c r="BI59" s="141"/>
      <c r="BJ59" s="28"/>
    </row>
    <row r="60" spans="2:62" ht="15.6" x14ac:dyDescent="0.3">
      <c r="B60" s="28"/>
      <c r="C60" s="28"/>
      <c r="D60" s="28"/>
      <c r="E60" s="343"/>
      <c r="F60" s="28"/>
      <c r="G60" s="28"/>
      <c r="H60" s="28"/>
      <c r="I60" s="28"/>
      <c r="J60" s="28"/>
      <c r="Y60" s="28"/>
      <c r="Z60" s="28"/>
      <c r="AA60" s="28"/>
      <c r="AB60" s="43"/>
      <c r="AC60" s="43"/>
      <c r="AD60" s="43"/>
      <c r="AE60" s="28"/>
      <c r="AF60" s="28"/>
      <c r="AG60" s="28"/>
      <c r="AH60" s="43"/>
      <c r="AI60" s="28"/>
      <c r="AJ60" s="28"/>
      <c r="AR60" s="28"/>
      <c r="AS60" s="28"/>
      <c r="AT60" s="28"/>
      <c r="AU60" s="28"/>
      <c r="AV60" s="28"/>
      <c r="AW60" s="28"/>
      <c r="AX60" s="28"/>
      <c r="AY60" s="196" t="s">
        <v>133</v>
      </c>
      <c r="AZ60" s="138">
        <v>0</v>
      </c>
      <c r="BA60" s="141">
        <v>5</v>
      </c>
      <c r="BB60" s="138">
        <v>0</v>
      </c>
      <c r="BC60" s="43">
        <v>0</v>
      </c>
      <c r="BD60" s="141">
        <v>0</v>
      </c>
      <c r="BE60" s="43">
        <v>0</v>
      </c>
      <c r="BF60" s="141">
        <v>0</v>
      </c>
      <c r="BG60" s="138"/>
      <c r="BH60" s="258"/>
      <c r="BI60" s="141"/>
      <c r="BJ60" s="28"/>
    </row>
    <row r="61" spans="2:62" x14ac:dyDescent="0.3">
      <c r="B61" s="28"/>
      <c r="C61" s="28"/>
      <c r="D61" s="28"/>
      <c r="E61" s="28"/>
      <c r="F61" s="28"/>
      <c r="G61" s="28"/>
      <c r="H61" s="28"/>
      <c r="I61" s="28"/>
      <c r="J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R61" s="28"/>
      <c r="AS61" s="28"/>
      <c r="AT61" s="28"/>
      <c r="AU61" s="28"/>
      <c r="AV61" s="28"/>
      <c r="AW61" s="28"/>
      <c r="AX61" s="28"/>
      <c r="AY61" s="211" t="s">
        <v>85</v>
      </c>
      <c r="AZ61" s="212">
        <v>0</v>
      </c>
      <c r="BA61" s="261">
        <v>0</v>
      </c>
      <c r="BB61" s="138">
        <v>0</v>
      </c>
      <c r="BC61" s="43">
        <v>0</v>
      </c>
      <c r="BD61" s="141">
        <v>0</v>
      </c>
      <c r="BE61" s="43">
        <v>0</v>
      </c>
      <c r="BF61" s="209">
        <v>0</v>
      </c>
      <c r="BG61" s="138"/>
      <c r="BH61" s="28"/>
      <c r="BI61" s="141"/>
      <c r="BJ61" s="28"/>
    </row>
    <row r="62" spans="2:62" x14ac:dyDescent="0.3">
      <c r="B62" s="28"/>
      <c r="C62" s="28"/>
      <c r="D62" s="28"/>
      <c r="E62" s="28"/>
      <c r="F62" s="28"/>
      <c r="G62" s="28"/>
      <c r="H62" s="28"/>
      <c r="I62" s="28"/>
      <c r="J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R62" s="28"/>
      <c r="AS62" s="28"/>
      <c r="AT62" s="28"/>
      <c r="AU62" s="28"/>
      <c r="AV62" s="28"/>
      <c r="AW62" s="28"/>
      <c r="AX62" s="28"/>
      <c r="AY62" s="211" t="s">
        <v>574</v>
      </c>
      <c r="AZ62" s="212">
        <v>0</v>
      </c>
      <c r="BA62" s="261">
        <v>3</v>
      </c>
      <c r="BB62" s="262">
        <v>0</v>
      </c>
      <c r="BC62" s="186">
        <v>0</v>
      </c>
      <c r="BD62" s="141">
        <v>0</v>
      </c>
      <c r="BE62" s="43">
        <v>0</v>
      </c>
      <c r="BF62" s="209">
        <v>0</v>
      </c>
      <c r="BG62" s="138"/>
      <c r="BH62" s="28"/>
      <c r="BI62" s="141"/>
      <c r="BJ62" s="28"/>
    </row>
    <row r="63" spans="2:62" x14ac:dyDescent="0.3">
      <c r="B63" s="28"/>
      <c r="C63" s="43"/>
      <c r="D63" s="28"/>
      <c r="E63" s="28"/>
      <c r="F63" s="28"/>
      <c r="G63" s="28"/>
      <c r="H63" s="28"/>
      <c r="I63" s="28"/>
      <c r="J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R63" s="28"/>
      <c r="AS63" s="28"/>
      <c r="AT63" s="28"/>
      <c r="AU63" s="28"/>
      <c r="AV63" s="28"/>
      <c r="AW63" s="28"/>
      <c r="AX63" s="28"/>
      <c r="AY63" s="211"/>
      <c r="AZ63" s="263"/>
      <c r="BA63" s="264"/>
      <c r="BB63" s="142">
        <v>0</v>
      </c>
      <c r="BC63" s="143">
        <v>0</v>
      </c>
      <c r="BD63" s="146">
        <v>0</v>
      </c>
      <c r="BE63" s="43">
        <v>0</v>
      </c>
      <c r="BF63" s="209">
        <v>0</v>
      </c>
      <c r="BG63" s="142"/>
      <c r="BH63" s="143"/>
      <c r="BI63" s="146">
        <v>51</v>
      </c>
      <c r="BJ63" s="28"/>
    </row>
    <row r="64" spans="2:62" ht="15" thickBot="1" x14ac:dyDescent="0.35">
      <c r="B64" s="28"/>
      <c r="C64" s="28"/>
      <c r="D64" s="28"/>
      <c r="E64" s="28"/>
      <c r="F64" s="28"/>
      <c r="G64" s="28"/>
      <c r="H64" s="28"/>
      <c r="I64" s="43"/>
      <c r="J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R64" s="28"/>
      <c r="AS64" s="28"/>
      <c r="AT64" s="28"/>
      <c r="AU64" s="28"/>
      <c r="AV64" s="28"/>
      <c r="AW64" s="28"/>
      <c r="AX64" s="28"/>
      <c r="AY64" s="233" t="s">
        <v>84</v>
      </c>
      <c r="AZ64" s="240">
        <v>147</v>
      </c>
      <c r="BA64" s="352">
        <v>156</v>
      </c>
      <c r="BB64" s="134">
        <v>0</v>
      </c>
      <c r="BC64" s="136">
        <v>0</v>
      </c>
      <c r="BD64" s="141">
        <v>0</v>
      </c>
      <c r="BE64" s="134">
        <v>77922</v>
      </c>
      <c r="BF64" s="136">
        <v>18180</v>
      </c>
      <c r="BG64" s="353"/>
      <c r="BH64" s="135"/>
      <c r="BI64" s="136">
        <v>322</v>
      </c>
      <c r="BJ64" s="28"/>
    </row>
    <row r="65" spans="2:62" ht="15" thickBot="1" x14ac:dyDescent="0.35">
      <c r="B65" s="178"/>
      <c r="C65" s="178"/>
      <c r="D65" s="178"/>
      <c r="E65" s="178"/>
      <c r="F65" s="178"/>
      <c r="G65" s="28"/>
      <c r="H65" s="28"/>
      <c r="I65" s="28"/>
      <c r="J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R65" s="28"/>
      <c r="AS65" s="28"/>
      <c r="AT65" s="28"/>
      <c r="AU65" s="28"/>
      <c r="AV65" s="28"/>
      <c r="AW65" s="28"/>
      <c r="AX65" s="28"/>
      <c r="AY65" s="171" t="s">
        <v>223</v>
      </c>
      <c r="AZ65" s="232">
        <v>5843</v>
      </c>
      <c r="BA65" s="272">
        <v>11142</v>
      </c>
      <c r="BB65" s="319"/>
      <c r="BC65" s="34" t="s">
        <v>1959</v>
      </c>
      <c r="BD65" s="34"/>
      <c r="BE65" s="34"/>
      <c r="BF65" s="298">
        <v>857</v>
      </c>
      <c r="BG65" s="35"/>
      <c r="BH65" s="33"/>
      <c r="BI65" s="35"/>
      <c r="BJ65" s="28"/>
    </row>
    <row r="66" spans="2:62" x14ac:dyDescent="0.3">
      <c r="AR66" s="28"/>
      <c r="AS66" s="28"/>
      <c r="AT66" s="28"/>
      <c r="AU66" s="28"/>
      <c r="AV66" s="28"/>
      <c r="AW66" s="28"/>
      <c r="AX66" s="28"/>
      <c r="AY66" s="33" t="s">
        <v>1340</v>
      </c>
      <c r="AZ66" s="34"/>
      <c r="BA66" s="309">
        <v>51</v>
      </c>
      <c r="BB66" s="42"/>
      <c r="BC66" s="28" t="s">
        <v>1960</v>
      </c>
      <c r="BD66" s="28"/>
      <c r="BE66" s="28"/>
      <c r="BF66" s="140">
        <v>369</v>
      </c>
      <c r="BG66" s="40">
        <v>1226</v>
      </c>
      <c r="BH66" s="42"/>
      <c r="BI66" s="40"/>
      <c r="BJ66" s="28"/>
    </row>
    <row r="67" spans="2:62" ht="16.2" thickBot="1" x14ac:dyDescent="0.35">
      <c r="AR67" s="267"/>
      <c r="AS67" s="28"/>
      <c r="AT67" s="28"/>
      <c r="AU67" s="28"/>
      <c r="AV67" s="28"/>
      <c r="AW67" s="28"/>
      <c r="AX67" s="28"/>
      <c r="AY67" s="42" t="s">
        <v>229</v>
      </c>
      <c r="AZ67" s="28"/>
      <c r="BA67" s="354">
        <v>2</v>
      </c>
      <c r="BB67" s="47"/>
      <c r="BC67" s="48"/>
      <c r="BD67" s="48"/>
      <c r="BE67" s="48"/>
      <c r="BF67" s="48"/>
      <c r="BG67" s="49"/>
      <c r="BH67" s="47"/>
      <c r="BI67" s="49"/>
      <c r="BJ67" s="28"/>
    </row>
    <row r="68" spans="2:62" x14ac:dyDescent="0.3">
      <c r="AR68" s="28"/>
      <c r="AS68" s="28"/>
      <c r="AT68" s="28"/>
      <c r="AU68" s="28"/>
      <c r="AV68" s="28"/>
      <c r="AW68" s="28"/>
      <c r="AX68" s="28"/>
      <c r="AY68" s="33" t="s">
        <v>232</v>
      </c>
      <c r="AZ68" s="34"/>
      <c r="BA68" s="303" t="s">
        <v>233</v>
      </c>
      <c r="BB68" s="28"/>
      <c r="BC68" s="174">
        <v>1713</v>
      </c>
      <c r="BD68" s="33"/>
      <c r="BE68" s="34" t="s">
        <v>234</v>
      </c>
      <c r="BF68" s="34"/>
      <c r="BG68" s="34" t="s">
        <v>233</v>
      </c>
      <c r="BH68" s="34"/>
      <c r="BI68" s="304">
        <v>5843</v>
      </c>
      <c r="BJ68" s="28"/>
    </row>
    <row r="69" spans="2:62" ht="15" thickBot="1" x14ac:dyDescent="0.35">
      <c r="AR69" s="28"/>
      <c r="AS69" s="28"/>
      <c r="AT69" s="28"/>
      <c r="AU69" s="28"/>
      <c r="AV69" s="28"/>
      <c r="AW69" s="28"/>
      <c r="AX69" s="28"/>
      <c r="AY69" s="47"/>
      <c r="AZ69" s="48"/>
      <c r="BA69" s="48" t="s">
        <v>236</v>
      </c>
      <c r="BB69" s="28"/>
      <c r="BC69" s="174">
        <v>1770</v>
      </c>
      <c r="BD69" s="47"/>
      <c r="BE69" s="48"/>
      <c r="BF69" s="48"/>
      <c r="BG69" s="48" t="s">
        <v>236</v>
      </c>
      <c r="BH69" s="48"/>
      <c r="BI69" s="301">
        <v>11142</v>
      </c>
    </row>
    <row r="70" spans="2:62" ht="15" thickBot="1" x14ac:dyDescent="0.35">
      <c r="AR70" s="28"/>
      <c r="AS70" s="28"/>
      <c r="AT70" s="28"/>
      <c r="AU70" s="28"/>
      <c r="AV70" s="28"/>
      <c r="AW70" s="28"/>
      <c r="AX70" s="28"/>
      <c r="AY70" s="33" t="s">
        <v>238</v>
      </c>
      <c r="AZ70" s="34" t="s">
        <v>239</v>
      </c>
      <c r="BA70" s="35"/>
      <c r="BB70" s="33" t="s">
        <v>240</v>
      </c>
      <c r="BC70" s="34" t="s">
        <v>241</v>
      </c>
      <c r="BD70" s="35"/>
      <c r="BE70" s="171"/>
      <c r="BF70" s="170" t="s">
        <v>242</v>
      </c>
      <c r="BG70" s="305" t="s">
        <v>243</v>
      </c>
      <c r="BH70" s="170"/>
      <c r="BI70" s="172"/>
    </row>
    <row r="71" spans="2:62" x14ac:dyDescent="0.3">
      <c r="AR71" s="28"/>
      <c r="AS71" s="28"/>
      <c r="AT71" s="28"/>
      <c r="AU71" s="28"/>
      <c r="AV71" s="28"/>
      <c r="AW71" s="28"/>
      <c r="AX71" s="28"/>
      <c r="AY71" s="42" t="s">
        <v>233</v>
      </c>
      <c r="AZ71" s="28"/>
      <c r="BA71" s="174">
        <v>49358</v>
      </c>
      <c r="BB71" s="306" t="s">
        <v>233</v>
      </c>
      <c r="BC71" s="28"/>
      <c r="BD71" s="174">
        <v>4710</v>
      </c>
      <c r="BE71" s="33" t="s">
        <v>233</v>
      </c>
      <c r="BF71" s="34"/>
      <c r="BG71" s="304">
        <v>10553</v>
      </c>
      <c r="BH71" s="33" t="s">
        <v>245</v>
      </c>
      <c r="BI71" s="304">
        <v>59911</v>
      </c>
    </row>
    <row r="72" spans="2:62" ht="15" thickBot="1" x14ac:dyDescent="0.35">
      <c r="AR72" s="28"/>
      <c r="AS72" s="28"/>
      <c r="AT72" s="28"/>
      <c r="AU72" s="28"/>
      <c r="AV72" s="28"/>
      <c r="AW72" s="28"/>
      <c r="AX72" s="28"/>
      <c r="AY72" s="47" t="s">
        <v>236</v>
      </c>
      <c r="AZ72" s="48"/>
      <c r="BA72" s="301">
        <v>58952</v>
      </c>
      <c r="BB72" s="307" t="s">
        <v>236</v>
      </c>
      <c r="BC72" s="48"/>
      <c r="BD72" s="301">
        <v>10601</v>
      </c>
      <c r="BE72" s="47" t="s">
        <v>236</v>
      </c>
      <c r="BF72" s="48"/>
      <c r="BG72" s="301">
        <v>21743</v>
      </c>
      <c r="BH72" s="47"/>
      <c r="BI72" s="301">
        <v>80695</v>
      </c>
      <c r="BJ72" s="184">
        <v>140606</v>
      </c>
    </row>
    <row r="73" spans="2:62" ht="16.2" thickBot="1" x14ac:dyDescent="0.35">
      <c r="AR73" s="28"/>
      <c r="AS73" s="28"/>
      <c r="AT73" s="28"/>
      <c r="AU73" s="28"/>
      <c r="AV73" s="28"/>
      <c r="AW73" s="28"/>
      <c r="AX73" s="28"/>
      <c r="AY73" s="171" t="s">
        <v>1961</v>
      </c>
      <c r="AZ73" s="170"/>
      <c r="BA73" s="172"/>
      <c r="BB73" s="171" t="s">
        <v>1506</v>
      </c>
      <c r="BC73" s="232"/>
      <c r="BD73" s="172"/>
      <c r="BE73" s="232"/>
      <c r="BF73" s="170"/>
      <c r="BG73" s="170" t="s">
        <v>51</v>
      </c>
      <c r="BH73" s="355"/>
      <c r="BI73" s="172"/>
      <c r="BJ73" s="28"/>
    </row>
    <row r="74" spans="2:62" ht="15.6" x14ac:dyDescent="0.3">
      <c r="AR74" s="28"/>
      <c r="AS74" s="28"/>
      <c r="AT74" s="28"/>
      <c r="AU74" s="28"/>
      <c r="AV74" s="28"/>
      <c r="AW74" s="28"/>
      <c r="AX74" s="28"/>
      <c r="AY74" s="42" t="s">
        <v>43</v>
      </c>
      <c r="AZ74" s="28" t="s">
        <v>44</v>
      </c>
      <c r="BA74" s="40"/>
      <c r="BB74" s="42" t="s">
        <v>43</v>
      </c>
      <c r="BC74" s="43" t="s">
        <v>44</v>
      </c>
      <c r="BD74" s="40"/>
      <c r="BE74" s="43"/>
      <c r="BF74" s="28"/>
      <c r="BG74" s="140">
        <v>1835</v>
      </c>
      <c r="BH74" s="258"/>
      <c r="BI74" s="40"/>
      <c r="BJ74" s="28"/>
    </row>
    <row r="75" spans="2:62" ht="15" thickBot="1" x14ac:dyDescent="0.35">
      <c r="AR75" s="28"/>
      <c r="AS75" s="28"/>
      <c r="AT75" s="28"/>
      <c r="AU75" s="28"/>
      <c r="AV75" s="28"/>
      <c r="AW75" s="28"/>
      <c r="AX75" s="28"/>
      <c r="AY75" s="356">
        <v>272237</v>
      </c>
      <c r="AZ75" s="312">
        <v>117744</v>
      </c>
      <c r="BA75" s="357"/>
      <c r="BB75" s="310">
        <v>80185</v>
      </c>
      <c r="BC75" s="312">
        <v>18431</v>
      </c>
      <c r="BD75" s="49"/>
      <c r="BE75" s="51"/>
      <c r="BF75" s="51"/>
      <c r="BG75" s="48"/>
      <c r="BH75" s="48"/>
      <c r="BI75" s="49"/>
      <c r="BJ75" s="28"/>
    </row>
    <row r="76" spans="2:62" x14ac:dyDescent="0.3">
      <c r="AY76" s="43"/>
      <c r="AZ76" s="43"/>
      <c r="BA76" s="186"/>
      <c r="BB76" s="140"/>
      <c r="BC76" s="186"/>
      <c r="BD76" s="28"/>
      <c r="BE76" s="43"/>
      <c r="BF76" s="43"/>
      <c r="BG76" s="28"/>
      <c r="BH76" s="28"/>
      <c r="BI76" s="28"/>
      <c r="BJ76" s="28"/>
    </row>
    <row r="77" spans="2:62" x14ac:dyDescent="0.3">
      <c r="AY77" s="43"/>
      <c r="AZ77" s="43"/>
      <c r="BA77" s="186"/>
      <c r="BB77" s="28"/>
      <c r="BC77" s="28"/>
      <c r="BD77" s="28"/>
      <c r="BE77" s="43"/>
      <c r="BF77" s="43"/>
      <c r="BG77" s="28"/>
      <c r="BH77" s="28"/>
      <c r="BI77" s="28"/>
      <c r="BJ77" s="28"/>
    </row>
    <row r="78" spans="2:62" x14ac:dyDescent="0.3">
      <c r="AY78" s="43"/>
      <c r="AZ78" s="43"/>
      <c r="BA78" s="186"/>
      <c r="BB78" s="28"/>
      <c r="BC78" s="28"/>
      <c r="BD78" s="28"/>
      <c r="BE78" s="28"/>
      <c r="BF78" s="28"/>
      <c r="BG78" s="28"/>
      <c r="BH78" s="28"/>
      <c r="BI78" s="28"/>
      <c r="BJ78" s="28"/>
    </row>
    <row r="79" spans="2:62" x14ac:dyDescent="0.3">
      <c r="AT79" s="178"/>
      <c r="AY79" s="28"/>
      <c r="AZ79" s="43"/>
      <c r="BA79" s="186"/>
      <c r="BB79" s="140"/>
      <c r="BC79" s="28"/>
      <c r="BD79" s="28"/>
      <c r="BE79" s="28"/>
      <c r="BF79" s="28"/>
      <c r="BG79" s="28"/>
      <c r="BH79" s="28"/>
      <c r="BI79" s="28"/>
      <c r="BJ79" s="28"/>
    </row>
    <row r="80" spans="2:62" ht="21" x14ac:dyDescent="0.4">
      <c r="B80" s="261"/>
      <c r="C80" s="184"/>
      <c r="E80" s="329" t="s">
        <v>1873</v>
      </c>
      <c r="O80" s="261"/>
      <c r="P80" s="184"/>
      <c r="R80" s="329" t="s">
        <v>1873</v>
      </c>
      <c r="AB80" s="261"/>
      <c r="AC80" s="184"/>
      <c r="AE80" s="329" t="s">
        <v>1873</v>
      </c>
      <c r="AN80" s="261"/>
      <c r="AO80" s="184"/>
      <c r="AQ80" s="329" t="s">
        <v>1873</v>
      </c>
      <c r="AY80" s="28"/>
      <c r="AZ80" s="28"/>
      <c r="BA80" s="186"/>
      <c r="BB80" s="28"/>
      <c r="BC80" s="28"/>
      <c r="BD80" s="28"/>
      <c r="BE80" s="28"/>
      <c r="BF80" s="28"/>
      <c r="BG80" s="28"/>
      <c r="BH80" s="28"/>
      <c r="BI80" s="28"/>
      <c r="BJ80" s="28"/>
    </row>
    <row r="81" spans="1:62" ht="21" x14ac:dyDescent="0.4">
      <c r="C81" t="s">
        <v>1962</v>
      </c>
      <c r="Q81" t="s">
        <v>1</v>
      </c>
      <c r="AC81" t="s">
        <v>1963</v>
      </c>
      <c r="AP81" t="s">
        <v>4</v>
      </c>
      <c r="AY81" s="28"/>
      <c r="AZ81" s="28"/>
      <c r="BA81" s="261"/>
      <c r="BB81" s="184"/>
      <c r="BD81" s="329" t="s">
        <v>1873</v>
      </c>
      <c r="BH81" s="28"/>
      <c r="BI81" s="28"/>
      <c r="BJ81" s="28"/>
    </row>
    <row r="82" spans="1:62" x14ac:dyDescent="0.3">
      <c r="C82" t="s">
        <v>1964</v>
      </c>
      <c r="P82" t="s">
        <v>1965</v>
      </c>
      <c r="Q82" s="408" t="s">
        <v>3</v>
      </c>
      <c r="R82" s="408"/>
      <c r="S82" s="408"/>
      <c r="AC82" t="s">
        <v>9</v>
      </c>
      <c r="AP82" t="s">
        <v>1966</v>
      </c>
      <c r="BC82" t="s">
        <v>5</v>
      </c>
      <c r="BF82" s="28"/>
      <c r="BG82" s="28"/>
      <c r="BH82" s="28"/>
      <c r="BI82" s="28"/>
      <c r="BJ82" s="28"/>
    </row>
    <row r="83" spans="1:62" x14ac:dyDescent="0.3">
      <c r="C83" t="s">
        <v>751</v>
      </c>
      <c r="P83" t="s">
        <v>1967</v>
      </c>
      <c r="AC83" t="s">
        <v>11</v>
      </c>
      <c r="AO83" t="s">
        <v>12</v>
      </c>
      <c r="BC83" t="s">
        <v>1968</v>
      </c>
      <c r="BF83" s="28"/>
      <c r="BG83" s="28"/>
      <c r="BH83" s="28"/>
      <c r="BI83" s="28"/>
      <c r="BJ83" s="28"/>
    </row>
    <row r="84" spans="1:62" x14ac:dyDescent="0.3">
      <c r="B84" s="408" t="s">
        <v>1969</v>
      </c>
      <c r="C84" s="408"/>
      <c r="D84" s="408"/>
      <c r="E84" s="408"/>
      <c r="F84" s="408"/>
      <c r="P84" s="408" t="s">
        <v>1970</v>
      </c>
      <c r="Q84" s="408"/>
      <c r="R84" s="408"/>
      <c r="S84" s="408"/>
      <c r="AC84" s="408" t="s">
        <v>1971</v>
      </c>
      <c r="AD84" s="408"/>
      <c r="AE84" s="408"/>
      <c r="AF84" s="408"/>
      <c r="AP84" s="408" t="s">
        <v>1971</v>
      </c>
      <c r="AQ84" s="408"/>
      <c r="AR84" s="408"/>
      <c r="BB84" t="s">
        <v>13</v>
      </c>
      <c r="BF84" s="28"/>
      <c r="BG84" s="28"/>
      <c r="BH84" s="28"/>
      <c r="BI84" s="28"/>
      <c r="BJ84" s="28"/>
    </row>
    <row r="85" spans="1:62" ht="15" thickBot="1" x14ac:dyDescent="0.35">
      <c r="I85" s="194" t="s">
        <v>949</v>
      </c>
      <c r="V85" t="s">
        <v>15</v>
      </c>
      <c r="AI85" s="28" t="s">
        <v>25</v>
      </c>
      <c r="AU85" s="194" t="s">
        <v>951</v>
      </c>
      <c r="BC85" s="345" t="s">
        <v>1972</v>
      </c>
      <c r="BD85" s="345"/>
      <c r="BE85" s="345"/>
      <c r="BF85" s="28"/>
      <c r="BG85" s="28"/>
      <c r="BH85" s="238" t="s">
        <v>950</v>
      </c>
      <c r="BI85" s="28"/>
      <c r="BJ85" s="28"/>
    </row>
    <row r="86" spans="1:62" x14ac:dyDescent="0.3">
      <c r="A86" s="134" t="s">
        <v>17</v>
      </c>
      <c r="B86" s="134" t="s">
        <v>18</v>
      </c>
      <c r="C86" s="136"/>
      <c r="D86" s="135" t="s">
        <v>19</v>
      </c>
      <c r="E86" s="135"/>
      <c r="F86" s="135"/>
      <c r="G86" s="195"/>
      <c r="H86" s="135" t="s">
        <v>21</v>
      </c>
      <c r="I86" s="135"/>
      <c r="J86" s="136"/>
      <c r="M86" s="134" t="s">
        <v>17</v>
      </c>
      <c r="N86" s="135" t="s">
        <v>22</v>
      </c>
      <c r="O86" s="135"/>
      <c r="P86" s="135" t="s">
        <v>23</v>
      </c>
      <c r="Q86" s="135"/>
      <c r="R86" s="135"/>
      <c r="S86" s="135" t="s">
        <v>24</v>
      </c>
      <c r="T86" s="135"/>
      <c r="U86" s="135" t="s">
        <v>21</v>
      </c>
      <c r="V86" s="136"/>
      <c r="Y86" s="134" t="s">
        <v>34</v>
      </c>
      <c r="Z86" s="134" t="s">
        <v>35</v>
      </c>
      <c r="AA86" s="135"/>
      <c r="AB86" s="32" t="s">
        <v>1973</v>
      </c>
      <c r="AC86" s="135" t="s">
        <v>51</v>
      </c>
      <c r="AD86" s="135"/>
      <c r="AE86" s="134" t="s">
        <v>37</v>
      </c>
      <c r="AF86" s="136" t="s">
        <v>1288</v>
      </c>
      <c r="AG86" s="135" t="s">
        <v>30</v>
      </c>
      <c r="AH86" s="134" t="s">
        <v>38</v>
      </c>
      <c r="AI86" s="135"/>
      <c r="AJ86" s="136"/>
      <c r="AM86" s="134" t="s">
        <v>17</v>
      </c>
      <c r="AN86" s="134" t="s">
        <v>39</v>
      </c>
      <c r="AO86" s="136"/>
      <c r="AP86" s="134" t="s">
        <v>29</v>
      </c>
      <c r="AQ86" s="136" t="s">
        <v>30</v>
      </c>
      <c r="AR86" s="135" t="s">
        <v>40</v>
      </c>
      <c r="AS86" s="135"/>
      <c r="AT86" s="135"/>
      <c r="AU86" s="135"/>
      <c r="AV86" s="136"/>
      <c r="AY86" s="195" t="s">
        <v>17</v>
      </c>
      <c r="AZ86" s="134" t="s">
        <v>27</v>
      </c>
      <c r="BA86" s="135"/>
      <c r="BB86" s="134" t="s">
        <v>28</v>
      </c>
      <c r="BC86" s="135"/>
      <c r="BD86" s="136"/>
      <c r="BE86" s="134" t="s">
        <v>1974</v>
      </c>
      <c r="BF86" s="136"/>
      <c r="BG86" s="135" t="s">
        <v>31</v>
      </c>
      <c r="BH86" s="135"/>
      <c r="BI86" s="136"/>
      <c r="BJ86" s="28"/>
    </row>
    <row r="87" spans="1:62" ht="15" thickBot="1" x14ac:dyDescent="0.35">
      <c r="A87" s="138" t="s">
        <v>32</v>
      </c>
      <c r="B87" s="138"/>
      <c r="C87" s="141"/>
      <c r="D87" s="28"/>
      <c r="E87" s="28"/>
      <c r="F87" s="28"/>
      <c r="G87" s="196"/>
      <c r="H87" s="28" t="s">
        <v>33</v>
      </c>
      <c r="I87" s="28"/>
      <c r="J87" s="141"/>
      <c r="M87" s="138"/>
      <c r="N87" s="28"/>
      <c r="O87" s="28"/>
      <c r="P87" s="28"/>
      <c r="Q87" s="28"/>
      <c r="R87" s="28"/>
      <c r="S87" s="28"/>
      <c r="T87" s="28"/>
      <c r="U87" s="28" t="s">
        <v>33</v>
      </c>
      <c r="V87" s="141"/>
      <c r="Y87" s="138" t="s">
        <v>50</v>
      </c>
      <c r="Z87" s="138" t="s">
        <v>43</v>
      </c>
      <c r="AA87" s="28" t="s">
        <v>44</v>
      </c>
      <c r="AB87" s="46" t="s">
        <v>1458</v>
      </c>
      <c r="AC87" s="28" t="s">
        <v>46</v>
      </c>
      <c r="AD87" s="28" t="s">
        <v>52</v>
      </c>
      <c r="AE87" s="138" t="s">
        <v>43</v>
      </c>
      <c r="AF87" s="141" t="s">
        <v>44</v>
      </c>
      <c r="AG87" s="28" t="s">
        <v>43</v>
      </c>
      <c r="AH87" s="138" t="s">
        <v>53</v>
      </c>
      <c r="AI87" s="28"/>
      <c r="AJ87" s="141"/>
      <c r="AM87" s="138" t="s">
        <v>42</v>
      </c>
      <c r="AN87" s="138" t="s">
        <v>43</v>
      </c>
      <c r="AO87" s="141" t="s">
        <v>44</v>
      </c>
      <c r="AP87" s="138" t="s">
        <v>43</v>
      </c>
      <c r="AQ87" s="141" t="s">
        <v>44</v>
      </c>
      <c r="AR87" s="28"/>
      <c r="AS87" s="28"/>
      <c r="AT87" s="28"/>
      <c r="AU87" s="28"/>
      <c r="AV87" s="141"/>
      <c r="AY87" s="196"/>
      <c r="AZ87" s="138"/>
      <c r="BA87" s="28"/>
      <c r="BB87" s="138"/>
      <c r="BC87" s="28"/>
      <c r="BD87" s="141"/>
      <c r="BE87" s="138"/>
      <c r="BF87" s="141"/>
      <c r="BG87" s="28" t="s">
        <v>41</v>
      </c>
      <c r="BH87" s="28"/>
      <c r="BI87" s="141"/>
      <c r="BJ87" s="28"/>
    </row>
    <row r="88" spans="1:62" x14ac:dyDescent="0.3">
      <c r="A88" s="142" t="s">
        <v>42</v>
      </c>
      <c r="B88" s="142" t="s">
        <v>43</v>
      </c>
      <c r="C88" s="143" t="s">
        <v>44</v>
      </c>
      <c r="D88" s="197" t="s">
        <v>45</v>
      </c>
      <c r="E88" s="198" t="s">
        <v>46</v>
      </c>
      <c r="F88" s="198" t="s">
        <v>47</v>
      </c>
      <c r="G88" s="199" t="s">
        <v>1460</v>
      </c>
      <c r="H88" s="143" t="s">
        <v>49</v>
      </c>
      <c r="I88" s="143"/>
      <c r="J88" s="146"/>
      <c r="M88" s="142" t="s">
        <v>50</v>
      </c>
      <c r="N88" s="143" t="s">
        <v>43</v>
      </c>
      <c r="O88" s="143" t="s">
        <v>44</v>
      </c>
      <c r="P88" s="143" t="s">
        <v>43</v>
      </c>
      <c r="Q88" s="143" t="s">
        <v>51</v>
      </c>
      <c r="R88" s="143" t="s">
        <v>44</v>
      </c>
      <c r="S88" s="143" t="s">
        <v>43</v>
      </c>
      <c r="T88" s="143" t="s">
        <v>44</v>
      </c>
      <c r="U88" s="143" t="s">
        <v>49</v>
      </c>
      <c r="V88" s="146"/>
      <c r="Y88" s="33"/>
      <c r="Z88" s="33"/>
      <c r="AA88" s="35"/>
      <c r="AB88" s="34"/>
      <c r="AC88" s="34"/>
      <c r="AD88" s="34"/>
      <c r="AE88" s="33"/>
      <c r="AF88" s="35"/>
      <c r="AG88" s="32"/>
      <c r="AH88" s="33" t="s">
        <v>62</v>
      </c>
      <c r="AI88" s="34"/>
      <c r="AJ88" s="35"/>
      <c r="AM88" s="134"/>
      <c r="AN88" s="134"/>
      <c r="AO88" s="136"/>
      <c r="AP88" s="134"/>
      <c r="AQ88" s="136"/>
      <c r="AR88" s="135"/>
      <c r="AS88" s="135" t="s">
        <v>91</v>
      </c>
      <c r="AT88" s="135"/>
      <c r="AU88" s="135"/>
      <c r="AV88" s="136"/>
      <c r="AY88" s="199" t="s">
        <v>42</v>
      </c>
      <c r="AZ88" s="142" t="s">
        <v>43</v>
      </c>
      <c r="BA88" s="143" t="s">
        <v>44</v>
      </c>
      <c r="BB88" s="142" t="s">
        <v>45</v>
      </c>
      <c r="BC88" s="143" t="s">
        <v>46</v>
      </c>
      <c r="BD88" s="146" t="s">
        <v>52</v>
      </c>
      <c r="BE88" s="142" t="s">
        <v>43</v>
      </c>
      <c r="BF88" s="146" t="s">
        <v>44</v>
      </c>
      <c r="BG88" s="143" t="s">
        <v>54</v>
      </c>
      <c r="BH88" s="143"/>
      <c r="BI88" s="146"/>
      <c r="BJ88" s="28"/>
    </row>
    <row r="89" spans="1:62" x14ac:dyDescent="0.3">
      <c r="A89" s="134"/>
      <c r="B89" s="134"/>
      <c r="C89" s="135"/>
      <c r="D89" s="134"/>
      <c r="E89" s="135"/>
      <c r="F89" s="135"/>
      <c r="G89" s="195">
        <v>1</v>
      </c>
      <c r="H89" s="135" t="s">
        <v>396</v>
      </c>
      <c r="I89" s="135"/>
      <c r="J89" s="136"/>
      <c r="M89" s="134"/>
      <c r="N89" s="134"/>
      <c r="O89" s="195"/>
      <c r="P89" s="134"/>
      <c r="Q89" s="195"/>
      <c r="R89" s="136"/>
      <c r="S89" s="134"/>
      <c r="T89" s="195"/>
      <c r="U89" s="134" t="s">
        <v>396</v>
      </c>
      <c r="V89" s="136"/>
      <c r="Y89" s="42"/>
      <c r="Z89" s="42"/>
      <c r="AA89" s="40"/>
      <c r="AB89" s="28"/>
      <c r="AC89" s="28"/>
      <c r="AD89" s="28"/>
      <c r="AE89" s="42"/>
      <c r="AF89" s="40"/>
      <c r="AG89" s="41"/>
      <c r="AH89" s="42">
        <v>1</v>
      </c>
      <c r="AI89" s="28" t="s">
        <v>1290</v>
      </c>
      <c r="AJ89" s="40"/>
      <c r="AM89" s="138" t="s">
        <v>56</v>
      </c>
      <c r="AN89" s="138">
        <v>1200</v>
      </c>
      <c r="AO89" s="141">
        <v>1225</v>
      </c>
      <c r="AP89" s="138">
        <v>0</v>
      </c>
      <c r="AQ89" s="141">
        <v>0</v>
      </c>
      <c r="AR89" s="28"/>
      <c r="AS89" s="43">
        <v>59</v>
      </c>
      <c r="AT89" s="28" t="s">
        <v>1026</v>
      </c>
      <c r="AU89" s="28"/>
      <c r="AV89" s="141"/>
      <c r="AY89" s="195"/>
      <c r="AZ89" s="134"/>
      <c r="BA89" s="136"/>
      <c r="BB89" s="134">
        <v>0</v>
      </c>
      <c r="BC89" s="135">
        <v>0</v>
      </c>
      <c r="BD89" s="136">
        <v>0</v>
      </c>
      <c r="BE89" s="134">
        <v>0</v>
      </c>
      <c r="BF89" s="136">
        <v>0</v>
      </c>
      <c r="BG89" s="134" t="s">
        <v>58</v>
      </c>
      <c r="BH89" s="135"/>
      <c r="BI89" s="136"/>
    </row>
    <row r="90" spans="1:62" x14ac:dyDescent="0.3">
      <c r="A90" s="138" t="s">
        <v>59</v>
      </c>
      <c r="B90" s="138">
        <v>1037</v>
      </c>
      <c r="C90" s="28">
        <v>1081</v>
      </c>
      <c r="D90" s="138"/>
      <c r="E90" s="28" t="s">
        <v>1291</v>
      </c>
      <c r="F90" s="28"/>
      <c r="G90" s="196"/>
      <c r="H90" s="28">
        <v>4</v>
      </c>
      <c r="I90" s="28" t="s">
        <v>61</v>
      </c>
      <c r="J90" s="141"/>
      <c r="M90" s="138" t="s">
        <v>59</v>
      </c>
      <c r="N90" s="138">
        <v>4301</v>
      </c>
      <c r="O90" s="196">
        <v>11411</v>
      </c>
      <c r="P90" s="138">
        <v>0</v>
      </c>
      <c r="Q90" s="196">
        <v>0</v>
      </c>
      <c r="R90" s="141">
        <v>0</v>
      </c>
      <c r="S90" s="138">
        <v>0</v>
      </c>
      <c r="T90" s="196">
        <v>0</v>
      </c>
      <c r="U90" s="138"/>
      <c r="V90" s="141"/>
      <c r="Y90" s="42" t="s">
        <v>59</v>
      </c>
      <c r="Z90" s="42">
        <v>2317</v>
      </c>
      <c r="AA90" s="40">
        <v>2308</v>
      </c>
      <c r="AB90" s="28">
        <v>0</v>
      </c>
      <c r="AC90" s="43">
        <v>0</v>
      </c>
      <c r="AD90" s="43">
        <v>0</v>
      </c>
      <c r="AE90" s="42">
        <v>0</v>
      </c>
      <c r="AF90" s="40">
        <v>0</v>
      </c>
      <c r="AG90" s="41">
        <v>0</v>
      </c>
      <c r="AH90" s="42">
        <v>7</v>
      </c>
      <c r="AI90" s="28" t="s">
        <v>66</v>
      </c>
      <c r="AJ90" s="40"/>
      <c r="AM90" s="138"/>
      <c r="AN90" s="138"/>
      <c r="AO90" s="141"/>
      <c r="AP90" s="138"/>
      <c r="AQ90" s="141"/>
      <c r="AR90" s="28"/>
      <c r="AS90" s="43">
        <v>19</v>
      </c>
      <c r="AT90" s="28" t="s">
        <v>1292</v>
      </c>
      <c r="AU90" s="43"/>
      <c r="AV90" s="141"/>
      <c r="AY90" s="196" t="s">
        <v>56</v>
      </c>
      <c r="AZ90" s="138">
        <v>26</v>
      </c>
      <c r="BA90" s="141">
        <v>0</v>
      </c>
      <c r="BB90" s="138">
        <v>0</v>
      </c>
      <c r="BC90" s="43">
        <v>0</v>
      </c>
      <c r="BD90" s="209">
        <v>0</v>
      </c>
      <c r="BE90" s="138">
        <v>0</v>
      </c>
      <c r="BF90" s="141">
        <v>0</v>
      </c>
      <c r="BG90" s="212">
        <v>5</v>
      </c>
      <c r="BH90" s="28" t="s">
        <v>65</v>
      </c>
      <c r="BI90" s="141" t="s">
        <v>1342</v>
      </c>
    </row>
    <row r="91" spans="1:62" ht="15" thickBot="1" x14ac:dyDescent="0.35">
      <c r="A91" s="138" t="s">
        <v>6</v>
      </c>
      <c r="B91" s="138"/>
      <c r="C91" s="28"/>
      <c r="D91" s="138"/>
      <c r="E91" s="28"/>
      <c r="F91" s="28"/>
      <c r="G91" s="196"/>
      <c r="H91" s="28">
        <v>0</v>
      </c>
      <c r="I91" s="28" t="s">
        <v>528</v>
      </c>
      <c r="J91" s="141">
        <v>4</v>
      </c>
      <c r="M91" s="142"/>
      <c r="N91" s="142"/>
      <c r="O91" s="199"/>
      <c r="P91" s="142"/>
      <c r="Q91" s="199"/>
      <c r="R91" s="146"/>
      <c r="S91" s="142"/>
      <c r="T91" s="199"/>
      <c r="U91" s="142"/>
      <c r="V91" s="146"/>
      <c r="Y91" s="42"/>
      <c r="Z91" s="42"/>
      <c r="AA91" s="40"/>
      <c r="AB91" s="28"/>
      <c r="AC91" s="28"/>
      <c r="AD91" s="28"/>
      <c r="AE91" s="42"/>
      <c r="AF91" s="40"/>
      <c r="AG91" s="41"/>
      <c r="AH91" s="47"/>
      <c r="AI91" s="48"/>
      <c r="AJ91" s="49">
        <v>8</v>
      </c>
      <c r="AM91" s="142" t="s">
        <v>6</v>
      </c>
      <c r="AN91" s="142"/>
      <c r="AO91" s="146"/>
      <c r="AP91" s="142"/>
      <c r="AQ91" s="146"/>
      <c r="AR91" s="143"/>
      <c r="AS91" s="143"/>
      <c r="AT91" s="143"/>
      <c r="AU91" s="143"/>
      <c r="AV91" s="146">
        <v>78</v>
      </c>
      <c r="AY91" s="196" t="s">
        <v>64</v>
      </c>
      <c r="AZ91" s="138">
        <v>59</v>
      </c>
      <c r="BA91" s="141">
        <v>98</v>
      </c>
      <c r="BB91" s="138">
        <v>0</v>
      </c>
      <c r="BC91" s="43">
        <v>0</v>
      </c>
      <c r="BD91" s="209">
        <v>0</v>
      </c>
      <c r="BE91" s="138">
        <v>0</v>
      </c>
      <c r="BF91" s="141">
        <v>0</v>
      </c>
      <c r="BG91" s="138">
        <v>4</v>
      </c>
      <c r="BH91" s="28" t="s">
        <v>69</v>
      </c>
      <c r="BI91" s="141"/>
    </row>
    <row r="92" spans="1:62" x14ac:dyDescent="0.3">
      <c r="A92" s="134"/>
      <c r="B92" s="134"/>
      <c r="C92" s="135"/>
      <c r="D92" s="134"/>
      <c r="E92" s="135"/>
      <c r="F92" s="135"/>
      <c r="G92" s="195">
        <v>1</v>
      </c>
      <c r="H92" s="135" t="s">
        <v>70</v>
      </c>
      <c r="I92" s="135"/>
      <c r="J92" s="136"/>
      <c r="M92" s="134"/>
      <c r="N92" s="134"/>
      <c r="O92" s="195"/>
      <c r="P92" s="134"/>
      <c r="Q92" s="195"/>
      <c r="R92" s="136"/>
      <c r="S92" s="134"/>
      <c r="T92" s="195"/>
      <c r="U92" s="134"/>
      <c r="V92" s="136"/>
      <c r="Y92" s="32"/>
      <c r="Z92" s="33"/>
      <c r="AA92" s="35"/>
      <c r="AB92" s="33"/>
      <c r="AC92" s="34"/>
      <c r="AD92" s="35"/>
      <c r="AE92" s="33"/>
      <c r="AF92" s="35"/>
      <c r="AG92" s="32"/>
      <c r="AH92" s="33" t="s">
        <v>1975</v>
      </c>
      <c r="AI92" s="34"/>
      <c r="AJ92" s="35"/>
      <c r="AM92" s="134"/>
      <c r="AN92" s="134"/>
      <c r="AO92" s="136"/>
      <c r="AP92" s="134"/>
      <c r="AQ92" s="136"/>
      <c r="AR92" s="135"/>
      <c r="AS92" s="135"/>
      <c r="AT92" s="135"/>
      <c r="AU92" s="135"/>
      <c r="AV92" s="136"/>
      <c r="AY92" s="239" t="s">
        <v>84</v>
      </c>
      <c r="AZ92" s="142">
        <v>85</v>
      </c>
      <c r="BA92" s="146">
        <v>98</v>
      </c>
      <c r="BB92" s="142">
        <v>0</v>
      </c>
      <c r="BC92" s="143">
        <v>0</v>
      </c>
      <c r="BD92" s="146">
        <v>0</v>
      </c>
      <c r="BE92" s="142">
        <v>0</v>
      </c>
      <c r="BF92" s="146">
        <v>0</v>
      </c>
      <c r="BG92" s="142"/>
      <c r="BH92" s="143"/>
      <c r="BI92" s="146">
        <v>12</v>
      </c>
      <c r="BJ92" s="28"/>
    </row>
    <row r="93" spans="1:62" x14ac:dyDescent="0.3">
      <c r="A93" s="138" t="s">
        <v>74</v>
      </c>
      <c r="B93" s="138">
        <v>859</v>
      </c>
      <c r="C93" s="28">
        <v>2404</v>
      </c>
      <c r="D93" s="138"/>
      <c r="E93" s="28" t="s">
        <v>1291</v>
      </c>
      <c r="F93" s="28"/>
      <c r="G93" s="196"/>
      <c r="H93" s="28">
        <v>0</v>
      </c>
      <c r="I93" s="28" t="s">
        <v>75</v>
      </c>
      <c r="J93" s="141"/>
      <c r="M93" s="138"/>
      <c r="N93" s="138"/>
      <c r="O93" s="196"/>
      <c r="P93" s="138"/>
      <c r="Q93" s="196"/>
      <c r="R93" s="141"/>
      <c r="S93" s="138"/>
      <c r="T93" s="196"/>
      <c r="U93" s="138" t="s">
        <v>80</v>
      </c>
      <c r="V93" s="141"/>
      <c r="Y93" s="41" t="s">
        <v>107</v>
      </c>
      <c r="Z93" s="42">
        <v>88</v>
      </c>
      <c r="AA93" s="40">
        <v>0</v>
      </c>
      <c r="AB93" s="42"/>
      <c r="AC93" s="43">
        <v>0</v>
      </c>
      <c r="AD93" s="40">
        <v>0</v>
      </c>
      <c r="AE93" s="42">
        <v>0</v>
      </c>
      <c r="AF93" s="40">
        <v>0</v>
      </c>
      <c r="AG93" s="41">
        <v>0</v>
      </c>
      <c r="AH93" s="67">
        <v>1</v>
      </c>
      <c r="AI93" s="43" t="s">
        <v>1343</v>
      </c>
      <c r="AJ93" s="40"/>
      <c r="AM93" s="138"/>
      <c r="AN93" s="138"/>
      <c r="AO93" s="141"/>
      <c r="AP93" s="138"/>
      <c r="AQ93" s="141"/>
      <c r="AR93" s="28"/>
      <c r="AS93" s="28" t="s">
        <v>110</v>
      </c>
      <c r="AT93" s="28" t="s">
        <v>111</v>
      </c>
      <c r="AU93" s="28" t="s">
        <v>112</v>
      </c>
      <c r="AV93" s="141"/>
      <c r="AY93" s="195"/>
      <c r="AZ93" s="134"/>
      <c r="BA93" s="136"/>
      <c r="BB93" s="240"/>
      <c r="BC93" s="241"/>
      <c r="BD93" s="242"/>
      <c r="BE93" s="134"/>
      <c r="BF93" s="136"/>
      <c r="BG93" s="135"/>
      <c r="BH93" s="135" t="s">
        <v>92</v>
      </c>
      <c r="BI93" s="136"/>
    </row>
    <row r="94" spans="1:62" ht="15" thickBot="1" x14ac:dyDescent="0.35">
      <c r="A94" s="138"/>
      <c r="B94" s="138"/>
      <c r="C94" s="28"/>
      <c r="D94" s="138"/>
      <c r="E94" s="28"/>
      <c r="F94" s="28"/>
      <c r="G94" s="196"/>
      <c r="H94" s="43">
        <v>16</v>
      </c>
      <c r="I94" s="43" t="s">
        <v>436</v>
      </c>
      <c r="J94" s="141"/>
      <c r="M94" s="138" t="s">
        <v>74</v>
      </c>
      <c r="N94" s="138">
        <v>9738</v>
      </c>
      <c r="O94" s="196">
        <v>17</v>
      </c>
      <c r="P94" s="138">
        <v>0</v>
      </c>
      <c r="Q94" s="196">
        <v>0</v>
      </c>
      <c r="R94" s="141">
        <v>0</v>
      </c>
      <c r="S94" s="138">
        <v>0</v>
      </c>
      <c r="T94" s="196">
        <v>0</v>
      </c>
      <c r="U94" s="138"/>
      <c r="V94" s="141"/>
      <c r="Y94" s="46"/>
      <c r="Z94" s="47"/>
      <c r="AA94" s="49"/>
      <c r="AB94" s="47"/>
      <c r="AC94" s="48"/>
      <c r="AD94" s="73"/>
      <c r="AE94" s="72"/>
      <c r="AF94" s="73"/>
      <c r="AG94" s="62"/>
      <c r="AH94" s="72">
        <v>2</v>
      </c>
      <c r="AI94" s="51" t="s">
        <v>1344</v>
      </c>
      <c r="AJ94" s="49">
        <v>3</v>
      </c>
      <c r="AM94" s="138"/>
      <c r="AN94" s="138"/>
      <c r="AO94" s="141"/>
      <c r="AP94" s="138"/>
      <c r="AQ94" s="141"/>
      <c r="AR94" s="43"/>
      <c r="AS94" s="28"/>
      <c r="AT94" s="28"/>
      <c r="AU94" s="28"/>
      <c r="AV94" s="141"/>
      <c r="AY94" s="196"/>
      <c r="AZ94" s="138"/>
      <c r="BA94" s="141"/>
      <c r="BB94" s="138"/>
      <c r="BC94" s="43"/>
      <c r="BD94" s="141"/>
      <c r="BE94" s="138"/>
      <c r="BF94" s="141"/>
      <c r="BG94" s="43">
        <v>22</v>
      </c>
      <c r="BH94" s="28" t="s">
        <v>1297</v>
      </c>
      <c r="BI94" s="141"/>
    </row>
    <row r="95" spans="1:62" x14ac:dyDescent="0.3">
      <c r="A95" s="142"/>
      <c r="B95" s="142"/>
      <c r="C95" s="143"/>
      <c r="D95" s="142"/>
      <c r="E95" s="143"/>
      <c r="F95" s="143"/>
      <c r="G95" s="199"/>
      <c r="H95" s="143"/>
      <c r="I95" s="143"/>
      <c r="J95" s="146">
        <v>16</v>
      </c>
      <c r="M95" s="142"/>
      <c r="N95" s="142"/>
      <c r="O95" s="199"/>
      <c r="P95" s="142"/>
      <c r="Q95" s="199"/>
      <c r="R95" s="146"/>
      <c r="S95" s="142"/>
      <c r="T95" s="199"/>
      <c r="U95" s="142"/>
      <c r="V95" s="146"/>
      <c r="Y95" s="32"/>
      <c r="Z95" s="34"/>
      <c r="AA95" s="34"/>
      <c r="AB95" s="33"/>
      <c r="AC95" s="34"/>
      <c r="AD95" s="35"/>
      <c r="AE95" s="34"/>
      <c r="AF95" s="34"/>
      <c r="AG95" s="32"/>
      <c r="AH95" s="33" t="s">
        <v>1298</v>
      </c>
      <c r="AI95" s="34"/>
      <c r="AJ95" s="35"/>
      <c r="AM95" s="138" t="s">
        <v>56</v>
      </c>
      <c r="AN95" s="138">
        <v>26</v>
      </c>
      <c r="AO95" s="141">
        <v>26</v>
      </c>
      <c r="AP95" s="138">
        <v>0</v>
      </c>
      <c r="AQ95" s="141">
        <v>0</v>
      </c>
      <c r="AR95" s="28"/>
      <c r="AS95" s="43"/>
      <c r="AT95" s="28"/>
      <c r="AU95" s="28"/>
      <c r="AV95" s="141"/>
      <c r="AY95" s="211" t="s">
        <v>64</v>
      </c>
      <c r="AZ95" s="138">
        <v>0</v>
      </c>
      <c r="BA95" s="141">
        <v>0</v>
      </c>
      <c r="BB95" s="212">
        <v>0</v>
      </c>
      <c r="BC95" s="43">
        <v>0</v>
      </c>
      <c r="BD95" s="209">
        <v>0</v>
      </c>
      <c r="BE95" s="138">
        <v>0</v>
      </c>
      <c r="BF95" s="141">
        <v>0</v>
      </c>
      <c r="BG95" s="43"/>
      <c r="BH95" s="28"/>
      <c r="BI95" s="141"/>
      <c r="BJ95" s="28"/>
    </row>
    <row r="96" spans="1:62" x14ac:dyDescent="0.3">
      <c r="A96" s="134"/>
      <c r="B96" s="134"/>
      <c r="C96" s="135"/>
      <c r="D96" s="134"/>
      <c r="E96" s="135"/>
      <c r="F96" s="135"/>
      <c r="G96" s="195">
        <v>1</v>
      </c>
      <c r="H96" s="135" t="s">
        <v>87</v>
      </c>
      <c r="I96" s="135"/>
      <c r="J96" s="136"/>
      <c r="M96" s="134"/>
      <c r="N96" s="134"/>
      <c r="O96" s="195"/>
      <c r="P96" s="134"/>
      <c r="Q96" s="195"/>
      <c r="R96" s="136"/>
      <c r="S96" s="134"/>
      <c r="T96" s="195"/>
      <c r="U96" s="134" t="s">
        <v>6</v>
      </c>
      <c r="V96" s="136"/>
      <c r="Y96" s="41"/>
      <c r="AB96" s="42"/>
      <c r="AC96" s="28"/>
      <c r="AD96" s="40"/>
      <c r="AG96" s="41"/>
      <c r="AH96" s="42">
        <v>1</v>
      </c>
      <c r="AI96" s="43" t="s">
        <v>1299</v>
      </c>
      <c r="AJ96" s="40"/>
      <c r="AM96" s="138" t="s">
        <v>72</v>
      </c>
      <c r="AN96" s="138">
        <v>11</v>
      </c>
      <c r="AO96" s="141">
        <v>9</v>
      </c>
      <c r="AP96" s="138">
        <v>0</v>
      </c>
      <c r="AQ96" s="141">
        <v>0</v>
      </c>
      <c r="AR96" s="28"/>
      <c r="AS96" s="28"/>
      <c r="AT96" s="28"/>
      <c r="AU96" s="28"/>
      <c r="AV96" s="141"/>
      <c r="AY96" s="196" t="s">
        <v>1247</v>
      </c>
      <c r="AZ96" s="138">
        <v>0</v>
      </c>
      <c r="BA96" s="141">
        <v>0</v>
      </c>
      <c r="BB96" s="138">
        <v>0</v>
      </c>
      <c r="BC96" s="43">
        <v>0</v>
      </c>
      <c r="BD96" s="141">
        <v>0</v>
      </c>
      <c r="BE96" s="138">
        <v>3005</v>
      </c>
      <c r="BF96" s="141">
        <v>909</v>
      </c>
      <c r="BG96" s="43"/>
      <c r="BH96" s="28"/>
      <c r="BI96" s="141"/>
    </row>
    <row r="97" spans="1:62" ht="15" thickBot="1" x14ac:dyDescent="0.35">
      <c r="A97" s="138" t="s">
        <v>93</v>
      </c>
      <c r="B97" s="138">
        <v>3540</v>
      </c>
      <c r="C97" s="28">
        <v>4549</v>
      </c>
      <c r="D97" s="138"/>
      <c r="E97" s="28" t="s">
        <v>1291</v>
      </c>
      <c r="F97" s="28"/>
      <c r="G97" s="196"/>
      <c r="H97" s="43">
        <v>27</v>
      </c>
      <c r="I97" s="28" t="s">
        <v>101</v>
      </c>
      <c r="J97" s="141"/>
      <c r="M97" s="138"/>
      <c r="N97" s="138"/>
      <c r="O97" s="196"/>
      <c r="P97" s="138"/>
      <c r="Q97" s="196"/>
      <c r="R97" s="141"/>
      <c r="S97" s="138"/>
      <c r="T97" s="196"/>
      <c r="U97" s="138"/>
      <c r="V97" s="141"/>
      <c r="Y97" s="46" t="s">
        <v>1300</v>
      </c>
      <c r="Z97" s="48">
        <v>210</v>
      </c>
      <c r="AA97" s="48">
        <v>277</v>
      </c>
      <c r="AB97" s="47">
        <v>0</v>
      </c>
      <c r="AC97" s="48">
        <v>0</v>
      </c>
      <c r="AD97" s="49">
        <v>0</v>
      </c>
      <c r="AE97" s="48">
        <v>0</v>
      </c>
      <c r="AF97" s="48">
        <v>0</v>
      </c>
      <c r="AG97" s="46">
        <v>0</v>
      </c>
      <c r="AH97" s="47">
        <v>7</v>
      </c>
      <c r="AI97" s="48" t="s">
        <v>145</v>
      </c>
      <c r="AJ97" s="49">
        <v>8</v>
      </c>
      <c r="AM97" s="138" t="s">
        <v>78</v>
      </c>
      <c r="AN97" s="138">
        <v>2</v>
      </c>
      <c r="AO97" s="141">
        <v>37</v>
      </c>
      <c r="AP97" s="138">
        <v>0</v>
      </c>
      <c r="AQ97" s="141">
        <v>0</v>
      </c>
      <c r="AR97" s="28"/>
      <c r="AS97" s="43">
        <v>9</v>
      </c>
      <c r="AT97" s="28" t="s">
        <v>123</v>
      </c>
      <c r="AU97" s="28" t="s">
        <v>6</v>
      </c>
      <c r="AV97" s="141"/>
      <c r="AY97" s="211" t="s">
        <v>107</v>
      </c>
      <c r="AZ97" s="138">
        <v>0</v>
      </c>
      <c r="BA97" s="141">
        <v>0</v>
      </c>
      <c r="BB97" s="138">
        <v>0</v>
      </c>
      <c r="BC97" s="43">
        <v>0</v>
      </c>
      <c r="BD97" s="141">
        <v>0</v>
      </c>
      <c r="BE97" s="138">
        <v>0</v>
      </c>
      <c r="BF97" s="141">
        <v>0</v>
      </c>
      <c r="BG97" s="28"/>
      <c r="BH97" s="28"/>
      <c r="BI97" s="141"/>
      <c r="BJ97" s="28"/>
    </row>
    <row r="98" spans="1:62" x14ac:dyDescent="0.3">
      <c r="A98" s="138"/>
      <c r="B98" s="138"/>
      <c r="C98" s="28"/>
      <c r="D98" s="138"/>
      <c r="E98" s="28"/>
      <c r="F98" s="28"/>
      <c r="G98" s="196"/>
      <c r="H98" s="43">
        <v>1</v>
      </c>
      <c r="I98" s="28" t="s">
        <v>927</v>
      </c>
      <c r="J98" s="141">
        <v>28</v>
      </c>
      <c r="M98" s="138"/>
      <c r="N98" s="138"/>
      <c r="O98" s="196"/>
      <c r="P98" s="138"/>
      <c r="Q98" s="196"/>
      <c r="R98" s="141"/>
      <c r="S98" s="138"/>
      <c r="T98" s="196"/>
      <c r="U98" s="138"/>
      <c r="V98" s="141"/>
      <c r="Y98" s="42"/>
      <c r="Z98" s="42"/>
      <c r="AA98" s="40"/>
      <c r="AB98" s="33"/>
      <c r="AC98" s="34"/>
      <c r="AD98" s="35"/>
      <c r="AE98" s="33"/>
      <c r="AF98" s="35"/>
      <c r="AG98" s="43"/>
      <c r="AH98" s="33" t="s">
        <v>90</v>
      </c>
      <c r="AI98" s="34"/>
      <c r="AJ98" s="35"/>
      <c r="AM98" s="138" t="s">
        <v>67</v>
      </c>
      <c r="AN98" s="138">
        <v>76</v>
      </c>
      <c r="AO98" s="141">
        <v>56</v>
      </c>
      <c r="AP98" s="138">
        <v>0</v>
      </c>
      <c r="AQ98" s="141">
        <v>0</v>
      </c>
      <c r="AR98" s="28"/>
      <c r="AS98" s="43">
        <v>24</v>
      </c>
      <c r="AT98" s="28" t="s">
        <v>126</v>
      </c>
      <c r="AU98" s="28"/>
      <c r="AV98" s="141"/>
      <c r="AY98" s="211" t="s">
        <v>99</v>
      </c>
      <c r="AZ98" s="138">
        <v>0</v>
      </c>
      <c r="BA98" s="141">
        <v>0</v>
      </c>
      <c r="BB98" s="138">
        <v>0</v>
      </c>
      <c r="BC98" s="43">
        <v>0</v>
      </c>
      <c r="BD98" s="141">
        <v>0</v>
      </c>
      <c r="BE98" s="138">
        <v>59539</v>
      </c>
      <c r="BF98" s="209">
        <v>16362</v>
      </c>
      <c r="BG98" s="43"/>
      <c r="BH98" s="43"/>
      <c r="BI98" s="141"/>
      <c r="BJ98" s="28"/>
    </row>
    <row r="99" spans="1:62" x14ac:dyDescent="0.3">
      <c r="A99" s="134" t="s">
        <v>108</v>
      </c>
      <c r="B99" s="134">
        <v>0</v>
      </c>
      <c r="C99" s="136">
        <v>0</v>
      </c>
      <c r="D99" s="135"/>
      <c r="E99" s="243">
        <v>0</v>
      </c>
      <c r="F99" s="135"/>
      <c r="G99" s="195">
        <v>1</v>
      </c>
      <c r="H99" s="135" t="s">
        <v>104</v>
      </c>
      <c r="I99" s="135"/>
      <c r="J99" s="136"/>
      <c r="M99" s="142"/>
      <c r="N99" s="142"/>
      <c r="O99" s="199"/>
      <c r="P99" s="142"/>
      <c r="Q99" s="199"/>
      <c r="R99" s="146"/>
      <c r="S99" s="142"/>
      <c r="T99" s="199"/>
      <c r="U99" s="142"/>
      <c r="V99" s="146"/>
      <c r="Y99" s="42"/>
      <c r="Z99" s="42"/>
      <c r="AA99" s="40"/>
      <c r="AB99" s="42"/>
      <c r="AC99" s="43"/>
      <c r="AD99" s="40"/>
      <c r="AE99" s="42"/>
      <c r="AF99" s="40"/>
      <c r="AG99" s="43"/>
      <c r="AH99" s="67"/>
      <c r="AI99" s="28"/>
      <c r="AJ99" s="40"/>
      <c r="AM99" s="138" t="s">
        <v>128</v>
      </c>
      <c r="AN99" s="138">
        <v>2</v>
      </c>
      <c r="AO99" s="141">
        <v>4</v>
      </c>
      <c r="AP99" s="138">
        <v>0</v>
      </c>
      <c r="AQ99" s="141">
        <v>0</v>
      </c>
      <c r="AR99" s="28"/>
      <c r="AS99" s="43">
        <v>10</v>
      </c>
      <c r="AT99" s="28" t="s">
        <v>129</v>
      </c>
      <c r="AU99" s="28" t="s">
        <v>6</v>
      </c>
      <c r="AV99" s="141"/>
      <c r="AY99" s="211" t="s">
        <v>84</v>
      </c>
      <c r="AZ99" s="212">
        <v>0</v>
      </c>
      <c r="BA99" s="209">
        <v>0</v>
      </c>
      <c r="BB99" s="138">
        <v>0</v>
      </c>
      <c r="BC99" s="43">
        <v>0</v>
      </c>
      <c r="BD99" s="141"/>
      <c r="BE99" s="138">
        <v>62544</v>
      </c>
      <c r="BF99" s="209">
        <v>17271</v>
      </c>
      <c r="BG99" s="28"/>
      <c r="BH99" s="43"/>
      <c r="BI99" s="141">
        <v>22</v>
      </c>
      <c r="BJ99" s="28"/>
    </row>
    <row r="100" spans="1:62" x14ac:dyDescent="0.3">
      <c r="A100" s="138" t="s">
        <v>109</v>
      </c>
      <c r="B100" s="138">
        <v>1401</v>
      </c>
      <c r="C100" s="141">
        <v>1652</v>
      </c>
      <c r="D100" s="28"/>
      <c r="E100" s="343">
        <v>1156</v>
      </c>
      <c r="F100" s="43"/>
      <c r="G100" s="196"/>
      <c r="H100" s="43">
        <v>8</v>
      </c>
      <c r="I100" s="28" t="s">
        <v>114</v>
      </c>
      <c r="J100" s="141"/>
      <c r="M100" s="134"/>
      <c r="N100" s="134"/>
      <c r="O100" s="195"/>
      <c r="P100" s="134"/>
      <c r="Q100" s="195"/>
      <c r="R100" s="136"/>
      <c r="S100" s="134"/>
      <c r="T100" s="195"/>
      <c r="U100" s="134" t="s">
        <v>104</v>
      </c>
      <c r="V100" s="136"/>
      <c r="Y100" s="67" t="s">
        <v>89</v>
      </c>
      <c r="Z100" s="67">
        <v>41</v>
      </c>
      <c r="AA100" s="56">
        <v>37</v>
      </c>
      <c r="AB100" s="42">
        <v>0</v>
      </c>
      <c r="AC100" s="43">
        <v>0</v>
      </c>
      <c r="AD100" s="40">
        <v>0</v>
      </c>
      <c r="AE100" s="42">
        <v>0</v>
      </c>
      <c r="AF100" s="40">
        <v>0</v>
      </c>
      <c r="AG100" s="43">
        <v>0</v>
      </c>
      <c r="AH100" s="67">
        <v>1</v>
      </c>
      <c r="AI100" s="43" t="s">
        <v>98</v>
      </c>
      <c r="AJ100" s="40"/>
      <c r="AM100" s="138" t="s">
        <v>115</v>
      </c>
      <c r="AN100" s="138">
        <v>44</v>
      </c>
      <c r="AO100" s="141">
        <v>9</v>
      </c>
      <c r="AP100" s="138">
        <v>0</v>
      </c>
      <c r="AQ100" s="141">
        <v>0</v>
      </c>
      <c r="AR100" s="28"/>
      <c r="AS100" s="28"/>
      <c r="AT100" s="28"/>
      <c r="AU100" s="28"/>
      <c r="AV100" s="141"/>
      <c r="AY100" s="134" t="s">
        <v>137</v>
      </c>
      <c r="AZ100" s="134">
        <v>930</v>
      </c>
      <c r="BA100" s="136">
        <v>909</v>
      </c>
      <c r="BB100" s="134"/>
      <c r="BC100" s="135"/>
      <c r="BD100" s="136"/>
      <c r="BE100" s="134"/>
      <c r="BF100" s="135"/>
      <c r="BG100" s="134"/>
      <c r="BH100" s="135" t="s">
        <v>91</v>
      </c>
      <c r="BI100" s="136"/>
      <c r="BJ100" s="28"/>
    </row>
    <row r="101" spans="1:62" ht="15" thickBot="1" x14ac:dyDescent="0.35">
      <c r="A101" s="138" t="s">
        <v>84</v>
      </c>
      <c r="B101" s="138">
        <v>1401</v>
      </c>
      <c r="C101" s="141">
        <v>1652</v>
      </c>
      <c r="D101" s="28"/>
      <c r="E101" s="343">
        <v>0</v>
      </c>
      <c r="F101" s="43"/>
      <c r="G101" s="196"/>
      <c r="H101" s="28"/>
      <c r="I101" s="28"/>
      <c r="J101" s="141"/>
      <c r="M101" s="138" t="s">
        <v>109</v>
      </c>
      <c r="N101" s="138">
        <v>95</v>
      </c>
      <c r="O101" s="196">
        <v>0</v>
      </c>
      <c r="P101" s="138">
        <v>0</v>
      </c>
      <c r="Q101" s="196">
        <v>0</v>
      </c>
      <c r="R101" s="141">
        <v>0</v>
      </c>
      <c r="S101" s="138">
        <v>0</v>
      </c>
      <c r="T101" s="196">
        <v>0</v>
      </c>
      <c r="U101" s="138"/>
      <c r="V101" s="141"/>
      <c r="Y101" s="42" t="s">
        <v>84</v>
      </c>
      <c r="Z101" s="244">
        <v>41</v>
      </c>
      <c r="AA101" s="245">
        <v>37</v>
      </c>
      <c r="AB101" s="47">
        <v>0</v>
      </c>
      <c r="AC101" s="48">
        <v>0</v>
      </c>
      <c r="AD101" s="49">
        <v>0</v>
      </c>
      <c r="AE101" s="47">
        <v>0</v>
      </c>
      <c r="AF101" s="49">
        <v>0</v>
      </c>
      <c r="AG101" s="43">
        <v>0</v>
      </c>
      <c r="AH101" s="72"/>
      <c r="AI101" s="48"/>
      <c r="AJ101" s="49">
        <v>1</v>
      </c>
      <c r="AM101" s="138" t="s">
        <v>81</v>
      </c>
      <c r="AN101" s="138">
        <v>4</v>
      </c>
      <c r="AO101" s="141">
        <v>4</v>
      </c>
      <c r="AP101" s="138">
        <v>0</v>
      </c>
      <c r="AQ101" s="141">
        <v>0</v>
      </c>
      <c r="AR101" s="28"/>
      <c r="AS101" s="28"/>
      <c r="AT101" s="28"/>
      <c r="AU101" s="28"/>
      <c r="AV101" s="141" t="s">
        <v>6</v>
      </c>
      <c r="AY101" s="138" t="s">
        <v>88</v>
      </c>
      <c r="AZ101" s="138">
        <v>202</v>
      </c>
      <c r="BA101" s="141">
        <v>280</v>
      </c>
      <c r="BB101" s="138"/>
      <c r="BC101" s="43"/>
      <c r="BD101" s="141"/>
      <c r="BE101" s="138"/>
      <c r="BF101" s="43"/>
      <c r="BG101" s="212"/>
      <c r="BH101" s="43"/>
      <c r="BI101" s="141"/>
      <c r="BJ101" s="28"/>
    </row>
    <row r="102" spans="1:62" x14ac:dyDescent="0.3">
      <c r="A102" s="138"/>
      <c r="B102" s="138"/>
      <c r="C102" s="141"/>
      <c r="D102" s="28"/>
      <c r="E102" s="28"/>
      <c r="F102" s="28"/>
      <c r="G102" s="196"/>
      <c r="H102" s="28"/>
      <c r="I102" s="28"/>
      <c r="J102" s="141">
        <v>8</v>
      </c>
      <c r="M102" s="142"/>
      <c r="N102" s="142"/>
      <c r="O102" s="199"/>
      <c r="P102" s="142"/>
      <c r="Q102" s="199"/>
      <c r="R102" s="146"/>
      <c r="S102" s="142"/>
      <c r="T102" s="199"/>
      <c r="U102" s="142"/>
      <c r="V102" s="146"/>
      <c r="Y102" s="32"/>
      <c r="Z102" s="135"/>
      <c r="AA102" s="135"/>
      <c r="AB102" s="33">
        <v>0</v>
      </c>
      <c r="AC102" s="34">
        <v>0</v>
      </c>
      <c r="AD102" s="35">
        <v>0</v>
      </c>
      <c r="AE102" s="67">
        <v>0</v>
      </c>
      <c r="AF102" s="56">
        <v>0</v>
      </c>
      <c r="AG102" s="32">
        <v>0</v>
      </c>
      <c r="AH102" s="34"/>
      <c r="AI102" s="34"/>
      <c r="AJ102" s="35"/>
      <c r="AM102" s="138" t="s">
        <v>122</v>
      </c>
      <c r="AN102" s="138">
        <v>14</v>
      </c>
      <c r="AO102" s="141">
        <v>14</v>
      </c>
      <c r="AP102" s="138">
        <v>0</v>
      </c>
      <c r="AQ102" s="141">
        <v>0</v>
      </c>
      <c r="AR102" s="28"/>
      <c r="AS102" s="28"/>
      <c r="AT102" s="28"/>
      <c r="AU102" s="28"/>
      <c r="AV102" s="141"/>
      <c r="AY102" s="212" t="s">
        <v>636</v>
      </c>
      <c r="AZ102" s="212">
        <v>0</v>
      </c>
      <c r="BA102" s="209">
        <v>188</v>
      </c>
      <c r="BB102" s="138">
        <v>0</v>
      </c>
      <c r="BC102" s="43">
        <v>0</v>
      </c>
      <c r="BD102" s="141">
        <v>0</v>
      </c>
      <c r="BE102" s="138">
        <v>0</v>
      </c>
      <c r="BF102" s="43">
        <v>0</v>
      </c>
      <c r="BG102" s="138">
        <v>15</v>
      </c>
      <c r="BH102" s="43" t="s">
        <v>1134</v>
      </c>
      <c r="BI102" s="141"/>
      <c r="BJ102" s="28"/>
    </row>
    <row r="103" spans="1:62" x14ac:dyDescent="0.3">
      <c r="A103" s="134"/>
      <c r="B103" s="134"/>
      <c r="C103" s="242"/>
      <c r="D103" s="135"/>
      <c r="E103" s="135"/>
      <c r="F103" s="135"/>
      <c r="G103" s="195">
        <v>1</v>
      </c>
      <c r="H103" s="134" t="s">
        <v>118</v>
      </c>
      <c r="I103" s="135"/>
      <c r="J103" s="136"/>
      <c r="M103" s="134" t="s">
        <v>93</v>
      </c>
      <c r="N103" s="134">
        <v>0</v>
      </c>
      <c r="O103" s="195">
        <v>0</v>
      </c>
      <c r="P103" s="134">
        <v>0</v>
      </c>
      <c r="Q103" s="195">
        <v>0</v>
      </c>
      <c r="R103" s="136">
        <v>0</v>
      </c>
      <c r="S103" s="134">
        <v>0</v>
      </c>
      <c r="T103" s="195">
        <v>0</v>
      </c>
      <c r="U103" s="134" t="s">
        <v>116</v>
      </c>
      <c r="V103" s="136"/>
      <c r="Y103" s="41" t="s">
        <v>817</v>
      </c>
      <c r="Z103" s="43">
        <v>565</v>
      </c>
      <c r="AA103" s="43">
        <v>5371</v>
      </c>
      <c r="AB103" s="42">
        <v>0</v>
      </c>
      <c r="AC103" s="43">
        <v>0</v>
      </c>
      <c r="AD103" s="40">
        <v>0</v>
      </c>
      <c r="AE103" s="67">
        <v>0</v>
      </c>
      <c r="AF103" s="56">
        <v>0</v>
      </c>
      <c r="AG103" s="41">
        <v>0</v>
      </c>
      <c r="AH103" s="28" t="s">
        <v>1302</v>
      </c>
      <c r="AI103" s="28" t="s">
        <v>6</v>
      </c>
      <c r="AJ103" s="40"/>
      <c r="AM103" s="138" t="s">
        <v>230</v>
      </c>
      <c r="AN103" s="138">
        <v>5</v>
      </c>
      <c r="AO103" s="141">
        <v>5</v>
      </c>
      <c r="AP103" s="138">
        <v>0</v>
      </c>
      <c r="AQ103" s="141">
        <v>0</v>
      </c>
      <c r="AR103" s="28"/>
      <c r="AS103" s="28"/>
      <c r="AT103" s="28"/>
      <c r="AU103" s="28"/>
      <c r="AV103" s="141"/>
      <c r="AY103" s="138" t="s">
        <v>97</v>
      </c>
      <c r="AZ103" s="138">
        <v>1973</v>
      </c>
      <c r="BA103" s="141">
        <v>1865</v>
      </c>
      <c r="BB103" s="138">
        <v>0</v>
      </c>
      <c r="BC103" s="43">
        <v>0</v>
      </c>
      <c r="BD103" s="141">
        <v>0</v>
      </c>
      <c r="BE103" s="138">
        <v>0</v>
      </c>
      <c r="BF103" s="43">
        <v>0</v>
      </c>
      <c r="BG103" s="212">
        <v>53</v>
      </c>
      <c r="BH103" s="28" t="s">
        <v>1303</v>
      </c>
      <c r="BI103" s="141"/>
      <c r="BJ103" s="28"/>
    </row>
    <row r="104" spans="1:62" x14ac:dyDescent="0.3">
      <c r="A104" s="138" t="s">
        <v>785</v>
      </c>
      <c r="B104" s="138">
        <v>561</v>
      </c>
      <c r="C104" s="209">
        <v>559</v>
      </c>
      <c r="D104" s="28"/>
      <c r="E104" s="28"/>
      <c r="F104" s="28"/>
      <c r="G104" s="196"/>
      <c r="H104" s="138">
        <v>52</v>
      </c>
      <c r="I104" s="28" t="s">
        <v>101</v>
      </c>
      <c r="J104" s="141"/>
      <c r="M104" s="138" t="s">
        <v>99</v>
      </c>
      <c r="N104" s="138">
        <v>5381</v>
      </c>
      <c r="O104" s="196">
        <v>8412</v>
      </c>
      <c r="P104" s="138">
        <v>0</v>
      </c>
      <c r="Q104" s="196">
        <v>0</v>
      </c>
      <c r="R104" s="141">
        <v>0</v>
      </c>
      <c r="S104" s="138">
        <v>1861</v>
      </c>
      <c r="T104" s="196">
        <v>549</v>
      </c>
      <c r="U104" s="138"/>
      <c r="V104" s="141"/>
      <c r="Y104" s="41" t="s">
        <v>164</v>
      </c>
      <c r="Z104" s="43">
        <v>3</v>
      </c>
      <c r="AA104" s="43">
        <v>0</v>
      </c>
      <c r="AB104" s="42">
        <v>0</v>
      </c>
      <c r="AC104" s="43">
        <v>0</v>
      </c>
      <c r="AD104" s="40">
        <v>0</v>
      </c>
      <c r="AE104" s="67">
        <v>0</v>
      </c>
      <c r="AF104" s="56">
        <v>0</v>
      </c>
      <c r="AG104" s="41">
        <v>0</v>
      </c>
      <c r="AH104" s="43">
        <v>41</v>
      </c>
      <c r="AI104" s="43" t="s">
        <v>359</v>
      </c>
      <c r="AJ104" s="40"/>
      <c r="AM104" s="138" t="s">
        <v>63</v>
      </c>
      <c r="AN104" s="138">
        <v>181</v>
      </c>
      <c r="AO104" s="141">
        <v>160</v>
      </c>
      <c r="AP104" s="138">
        <v>0</v>
      </c>
      <c r="AQ104" s="141">
        <v>0</v>
      </c>
      <c r="AR104" s="28"/>
      <c r="AS104" s="28"/>
      <c r="AT104" s="28"/>
      <c r="AU104" s="28"/>
      <c r="AV104" s="141"/>
      <c r="AY104" s="212" t="s">
        <v>113</v>
      </c>
      <c r="AZ104" s="212">
        <v>538</v>
      </c>
      <c r="BA104" s="209">
        <v>540</v>
      </c>
      <c r="BB104" s="138">
        <v>0</v>
      </c>
      <c r="BC104" s="43">
        <v>0</v>
      </c>
      <c r="BD104" s="141">
        <v>0</v>
      </c>
      <c r="BE104" s="138">
        <v>0</v>
      </c>
      <c r="BF104" s="43">
        <v>0</v>
      </c>
      <c r="BG104" s="138">
        <v>1</v>
      </c>
      <c r="BH104" s="43" t="s">
        <v>1346</v>
      </c>
      <c r="BI104" s="141"/>
      <c r="BJ104" s="28"/>
    </row>
    <row r="105" spans="1:62" x14ac:dyDescent="0.3">
      <c r="A105" s="138" t="s">
        <v>93</v>
      </c>
      <c r="B105" s="212">
        <v>6009</v>
      </c>
      <c r="C105" s="209">
        <v>6351</v>
      </c>
      <c r="D105" s="28"/>
      <c r="E105" s="28" t="s">
        <v>1291</v>
      </c>
      <c r="F105" s="28"/>
      <c r="G105" s="211"/>
      <c r="H105" s="138">
        <v>26</v>
      </c>
      <c r="I105" s="28" t="s">
        <v>927</v>
      </c>
      <c r="J105" s="141"/>
      <c r="M105" s="138" t="s">
        <v>120</v>
      </c>
      <c r="N105" s="138">
        <v>2341</v>
      </c>
      <c r="O105" s="196">
        <v>7671</v>
      </c>
      <c r="P105" s="138">
        <v>0</v>
      </c>
      <c r="Q105" s="196">
        <v>0</v>
      </c>
      <c r="R105" s="141">
        <v>0</v>
      </c>
      <c r="S105" s="138">
        <v>3</v>
      </c>
      <c r="T105" s="196">
        <v>0</v>
      </c>
      <c r="U105" s="138"/>
      <c r="V105" s="141"/>
      <c r="Y105" s="41" t="s">
        <v>1347</v>
      </c>
      <c r="Z105" s="43">
        <v>12</v>
      </c>
      <c r="AA105" s="43">
        <v>282</v>
      </c>
      <c r="AB105" s="42">
        <v>0</v>
      </c>
      <c r="AC105" s="43">
        <v>0</v>
      </c>
      <c r="AD105" s="40">
        <v>0</v>
      </c>
      <c r="AE105" s="67">
        <v>0</v>
      </c>
      <c r="AF105" s="56">
        <v>0</v>
      </c>
      <c r="AG105" s="41">
        <v>0</v>
      </c>
      <c r="AH105" s="43"/>
      <c r="AI105" s="43"/>
      <c r="AJ105" s="40"/>
      <c r="AM105" s="142" t="s">
        <v>84</v>
      </c>
      <c r="AN105" s="142">
        <v>365</v>
      </c>
      <c r="AO105" s="146">
        <v>324</v>
      </c>
      <c r="AP105" s="142">
        <v>0</v>
      </c>
      <c r="AQ105" s="146">
        <v>0</v>
      </c>
      <c r="AR105" s="143"/>
      <c r="AS105" s="143"/>
      <c r="AT105" s="143"/>
      <c r="AU105" s="143"/>
      <c r="AV105" s="146">
        <v>43</v>
      </c>
      <c r="AY105" s="212" t="s">
        <v>817</v>
      </c>
      <c r="AZ105" s="212">
        <v>100</v>
      </c>
      <c r="BA105" s="209">
        <v>718</v>
      </c>
      <c r="BB105" s="138">
        <v>0</v>
      </c>
      <c r="BC105" s="43">
        <v>0</v>
      </c>
      <c r="BD105" s="141">
        <v>0</v>
      </c>
      <c r="BE105" s="138">
        <v>0</v>
      </c>
      <c r="BF105" s="43">
        <v>0</v>
      </c>
      <c r="BG105" s="138">
        <v>1</v>
      </c>
      <c r="BH105" s="43" t="s">
        <v>1305</v>
      </c>
      <c r="BI105" s="141"/>
      <c r="BJ105" s="28"/>
    </row>
    <row r="106" spans="1:62" ht="15" thickBot="1" x14ac:dyDescent="0.35">
      <c r="A106" s="138" t="s">
        <v>120</v>
      </c>
      <c r="B106" s="138">
        <v>4597</v>
      </c>
      <c r="C106" s="141">
        <v>4848</v>
      </c>
      <c r="D106" s="28"/>
      <c r="E106" s="28"/>
      <c r="F106" s="28"/>
      <c r="G106" s="196"/>
      <c r="H106" s="138">
        <v>31</v>
      </c>
      <c r="I106" s="28" t="s">
        <v>1306</v>
      </c>
      <c r="J106" s="141"/>
      <c r="M106" s="142" t="s">
        <v>84</v>
      </c>
      <c r="N106" s="142">
        <v>7722</v>
      </c>
      <c r="O106" s="199">
        <v>16083</v>
      </c>
      <c r="P106" s="142">
        <v>0</v>
      </c>
      <c r="Q106" s="199">
        <v>0</v>
      </c>
      <c r="R106" s="146">
        <v>0</v>
      </c>
      <c r="S106" s="142">
        <v>1864</v>
      </c>
      <c r="T106" s="199">
        <v>549</v>
      </c>
      <c r="U106" s="142"/>
      <c r="V106" s="146"/>
      <c r="Y106" s="46" t="s">
        <v>84</v>
      </c>
      <c r="Z106" s="43">
        <v>580</v>
      </c>
      <c r="AA106" s="43">
        <v>5653</v>
      </c>
      <c r="AB106" s="47">
        <v>0</v>
      </c>
      <c r="AC106" s="48">
        <v>0</v>
      </c>
      <c r="AD106" s="49">
        <v>0</v>
      </c>
      <c r="AE106" s="67">
        <v>0</v>
      </c>
      <c r="AF106" s="56">
        <v>0</v>
      </c>
      <c r="AG106" s="46">
        <v>0</v>
      </c>
      <c r="AH106" s="48"/>
      <c r="AI106" s="48"/>
      <c r="AJ106" s="49">
        <v>41</v>
      </c>
      <c r="AM106" s="134"/>
      <c r="AN106" s="134">
        <v>0</v>
      </c>
      <c r="AO106" s="136">
        <v>0</v>
      </c>
      <c r="AP106" s="134">
        <v>0</v>
      </c>
      <c r="AQ106" s="136">
        <v>0</v>
      </c>
      <c r="AR106" s="135"/>
      <c r="AS106" s="135"/>
      <c r="AT106" s="135"/>
      <c r="AU106" s="135"/>
      <c r="AV106" s="136"/>
      <c r="AY106" s="212" t="s">
        <v>429</v>
      </c>
      <c r="AZ106" s="212">
        <v>154</v>
      </c>
      <c r="BA106" s="209">
        <v>1</v>
      </c>
      <c r="BB106" s="138">
        <v>0</v>
      </c>
      <c r="BC106" s="43">
        <v>0</v>
      </c>
      <c r="BD106" s="141">
        <v>0</v>
      </c>
      <c r="BE106" s="138">
        <v>0</v>
      </c>
      <c r="BF106" s="43">
        <v>0</v>
      </c>
      <c r="BG106" s="138">
        <v>1</v>
      </c>
      <c r="BH106" s="43" t="s">
        <v>1026</v>
      </c>
      <c r="BI106" s="141"/>
      <c r="BJ106" s="28"/>
    </row>
    <row r="107" spans="1:62" x14ac:dyDescent="0.3">
      <c r="A107" s="212" t="s">
        <v>429</v>
      </c>
      <c r="B107" s="212">
        <v>1630</v>
      </c>
      <c r="C107" s="209">
        <v>1718</v>
      </c>
      <c r="D107" s="28"/>
      <c r="E107" s="28"/>
      <c r="F107" s="28"/>
      <c r="G107" s="196"/>
      <c r="H107" s="138"/>
      <c r="I107" s="28"/>
      <c r="J107" s="141"/>
      <c r="M107" s="134"/>
      <c r="N107" s="134"/>
      <c r="O107" s="195"/>
      <c r="P107" s="134"/>
      <c r="Q107" s="195"/>
      <c r="R107" s="136"/>
      <c r="S107" s="134"/>
      <c r="T107" s="195"/>
      <c r="U107" s="134"/>
      <c r="V107" s="136"/>
      <c r="Y107" s="42"/>
      <c r="Z107" s="33"/>
      <c r="AA107" s="35"/>
      <c r="AB107" s="34"/>
      <c r="AC107" s="34"/>
      <c r="AD107" s="34"/>
      <c r="AE107" s="33"/>
      <c r="AF107" s="35"/>
      <c r="AG107" s="32"/>
      <c r="AH107" s="34"/>
      <c r="AI107" s="34" t="s">
        <v>117</v>
      </c>
      <c r="AJ107" s="35"/>
      <c r="AM107" s="138" t="s">
        <v>56</v>
      </c>
      <c r="AN107" s="138">
        <v>0</v>
      </c>
      <c r="AO107" s="141">
        <v>0</v>
      </c>
      <c r="AP107" s="138">
        <v>0</v>
      </c>
      <c r="AQ107" s="141">
        <v>0</v>
      </c>
      <c r="AR107" s="28"/>
      <c r="AS107" s="28" t="s">
        <v>173</v>
      </c>
      <c r="AT107" s="28"/>
      <c r="AU107" s="28"/>
      <c r="AV107" s="141"/>
      <c r="AY107" s="212" t="s">
        <v>99</v>
      </c>
      <c r="AZ107" s="212">
        <v>0</v>
      </c>
      <c r="BA107" s="209">
        <v>0</v>
      </c>
      <c r="BB107" s="212">
        <v>0</v>
      </c>
      <c r="BC107" s="43">
        <v>0</v>
      </c>
      <c r="BD107" s="209">
        <v>0</v>
      </c>
      <c r="BE107" s="212">
        <v>0</v>
      </c>
      <c r="BF107" s="43">
        <v>0</v>
      </c>
      <c r="BG107" s="138"/>
      <c r="BH107" s="28"/>
      <c r="BI107" s="141"/>
      <c r="BJ107" s="28"/>
    </row>
    <row r="108" spans="1:62" ht="15" thickBot="1" x14ac:dyDescent="0.35">
      <c r="A108" s="142" t="s">
        <v>84</v>
      </c>
      <c r="B108" s="142">
        <v>12797</v>
      </c>
      <c r="C108" s="146">
        <v>13476</v>
      </c>
      <c r="D108" s="143"/>
      <c r="E108" s="143"/>
      <c r="F108" s="143"/>
      <c r="G108" s="199"/>
      <c r="H108" s="142"/>
      <c r="I108" s="143"/>
      <c r="J108" s="146">
        <v>109</v>
      </c>
      <c r="M108" s="138" t="s">
        <v>105</v>
      </c>
      <c r="N108" s="138">
        <v>2644</v>
      </c>
      <c r="O108" s="196">
        <v>0</v>
      </c>
      <c r="P108" s="138">
        <v>0</v>
      </c>
      <c r="Q108" s="196">
        <v>0</v>
      </c>
      <c r="R108" s="141">
        <v>0</v>
      </c>
      <c r="S108" s="138">
        <v>1</v>
      </c>
      <c r="T108" s="196">
        <v>0</v>
      </c>
      <c r="U108" s="138"/>
      <c r="V108" s="141"/>
      <c r="Y108" s="47"/>
      <c r="Z108" s="47"/>
      <c r="AA108" s="49"/>
      <c r="AB108" s="48"/>
      <c r="AC108" s="48"/>
      <c r="AD108" s="48"/>
      <c r="AE108" s="47"/>
      <c r="AF108" s="49"/>
      <c r="AG108" s="46"/>
      <c r="AH108" s="48"/>
      <c r="AI108" s="48" t="s">
        <v>124</v>
      </c>
      <c r="AJ108" s="49"/>
      <c r="AM108" s="138" t="s">
        <v>67</v>
      </c>
      <c r="AN108" s="138">
        <v>0</v>
      </c>
      <c r="AO108" s="141">
        <v>0</v>
      </c>
      <c r="AP108" s="138">
        <v>0</v>
      </c>
      <c r="AQ108" s="141">
        <v>0</v>
      </c>
      <c r="AR108" s="28"/>
      <c r="AS108" s="28"/>
      <c r="AT108" s="28"/>
      <c r="AU108" s="28"/>
      <c r="AV108" s="141"/>
      <c r="AY108" s="212" t="s">
        <v>158</v>
      </c>
      <c r="AZ108" s="212">
        <v>0</v>
      </c>
      <c r="BA108" s="209">
        <v>0</v>
      </c>
      <c r="BB108" s="138">
        <v>0</v>
      </c>
      <c r="BC108" s="43">
        <v>0</v>
      </c>
      <c r="BD108" s="141">
        <v>0</v>
      </c>
      <c r="BE108" s="138">
        <v>0</v>
      </c>
      <c r="BF108" s="28">
        <v>0</v>
      </c>
      <c r="BG108" s="138"/>
      <c r="BH108" s="28"/>
      <c r="BI108" s="141"/>
      <c r="BJ108" s="28"/>
    </row>
    <row r="109" spans="1:62" x14ac:dyDescent="0.3">
      <c r="A109" s="138" t="s">
        <v>93</v>
      </c>
      <c r="B109" s="138">
        <v>7043</v>
      </c>
      <c r="C109" s="209">
        <v>7339</v>
      </c>
      <c r="D109" s="138"/>
      <c r="E109" s="28" t="s">
        <v>1291</v>
      </c>
      <c r="F109" s="28"/>
      <c r="G109" s="196">
        <v>1</v>
      </c>
      <c r="H109" s="28" t="s">
        <v>116</v>
      </c>
      <c r="I109" s="28"/>
      <c r="J109" s="141"/>
      <c r="M109" s="138" t="s">
        <v>99</v>
      </c>
      <c r="N109" s="138">
        <v>0</v>
      </c>
      <c r="O109" s="196">
        <v>0</v>
      </c>
      <c r="P109" s="138">
        <v>0</v>
      </c>
      <c r="Q109" s="196">
        <v>0</v>
      </c>
      <c r="R109" s="141">
        <v>0</v>
      </c>
      <c r="S109" s="138">
        <v>0</v>
      </c>
      <c r="T109" s="196"/>
      <c r="U109" s="138" t="s">
        <v>135</v>
      </c>
      <c r="V109" s="141"/>
      <c r="Y109" s="33" t="s">
        <v>137</v>
      </c>
      <c r="Z109" s="33">
        <v>345</v>
      </c>
      <c r="AA109" s="35">
        <v>311</v>
      </c>
      <c r="AB109" s="34">
        <v>0</v>
      </c>
      <c r="AC109" s="34">
        <v>0</v>
      </c>
      <c r="AD109" s="34">
        <v>0</v>
      </c>
      <c r="AE109" s="33">
        <v>0</v>
      </c>
      <c r="AF109" s="35">
        <v>0</v>
      </c>
      <c r="AG109" s="32">
        <v>0</v>
      </c>
      <c r="AH109" s="34"/>
      <c r="AI109" s="34"/>
      <c r="AJ109" s="35"/>
      <c r="AM109" s="138" t="s">
        <v>78</v>
      </c>
      <c r="AN109" s="138">
        <v>0</v>
      </c>
      <c r="AO109" s="141">
        <v>0</v>
      </c>
      <c r="AP109" s="138">
        <v>0</v>
      </c>
      <c r="AQ109" s="141">
        <v>0</v>
      </c>
      <c r="AR109" s="28"/>
      <c r="AS109" s="28">
        <v>0</v>
      </c>
      <c r="AT109" s="28" t="s">
        <v>183</v>
      </c>
      <c r="AU109" s="28"/>
      <c r="AV109" s="141"/>
      <c r="AY109" s="212" t="s">
        <v>1245</v>
      </c>
      <c r="AZ109" s="138">
        <v>0</v>
      </c>
      <c r="BA109" s="141">
        <v>0</v>
      </c>
      <c r="BB109" s="138">
        <v>0</v>
      </c>
      <c r="BC109" s="43">
        <v>0</v>
      </c>
      <c r="BD109" s="141">
        <v>0</v>
      </c>
      <c r="BE109" s="138">
        <v>0</v>
      </c>
      <c r="BF109" s="28">
        <v>0</v>
      </c>
      <c r="BG109" s="138"/>
      <c r="BH109" s="43"/>
      <c r="BI109" s="141"/>
      <c r="BJ109" s="28"/>
    </row>
    <row r="110" spans="1:62" x14ac:dyDescent="0.3">
      <c r="A110" s="138" t="s">
        <v>99</v>
      </c>
      <c r="B110" s="138">
        <v>7953</v>
      </c>
      <c r="C110" s="209">
        <v>8325</v>
      </c>
      <c r="D110" s="138"/>
      <c r="E110" s="28" t="s">
        <v>1291</v>
      </c>
      <c r="F110" s="28"/>
      <c r="G110" s="196"/>
      <c r="H110" s="43">
        <v>14</v>
      </c>
      <c r="I110" s="28" t="s">
        <v>188</v>
      </c>
      <c r="J110" s="141"/>
      <c r="M110" s="138"/>
      <c r="N110" s="138"/>
      <c r="O110" s="196"/>
      <c r="P110" s="138"/>
      <c r="Q110" s="196"/>
      <c r="R110" s="141"/>
      <c r="S110" s="138"/>
      <c r="T110" s="196">
        <v>0</v>
      </c>
      <c r="U110" s="138"/>
      <c r="V110" s="141"/>
      <c r="Y110" s="42" t="s">
        <v>97</v>
      </c>
      <c r="Z110" s="42">
        <v>260</v>
      </c>
      <c r="AA110" s="40">
        <v>267</v>
      </c>
      <c r="AB110" s="43">
        <v>0</v>
      </c>
      <c r="AC110" s="43">
        <v>0</v>
      </c>
      <c r="AD110" s="43">
        <v>0</v>
      </c>
      <c r="AE110" s="42">
        <v>0</v>
      </c>
      <c r="AF110" s="40">
        <v>0</v>
      </c>
      <c r="AG110" s="41">
        <v>0</v>
      </c>
      <c r="AH110" s="28" t="s">
        <v>953</v>
      </c>
      <c r="AI110" s="28"/>
      <c r="AJ110" s="40"/>
      <c r="AM110" s="142" t="s">
        <v>84</v>
      </c>
      <c r="AN110" s="142">
        <v>0</v>
      </c>
      <c r="AO110" s="146">
        <v>0</v>
      </c>
      <c r="AP110" s="142">
        <v>0</v>
      </c>
      <c r="AQ110" s="146">
        <v>0</v>
      </c>
      <c r="AR110" s="143"/>
      <c r="AS110" s="143"/>
      <c r="AT110" s="143"/>
      <c r="AU110" s="143"/>
      <c r="AV110" s="146"/>
      <c r="AY110" s="212" t="s">
        <v>1120</v>
      </c>
      <c r="AZ110" s="138">
        <v>3</v>
      </c>
      <c r="BA110" s="141">
        <v>424</v>
      </c>
      <c r="BB110" s="138">
        <v>0</v>
      </c>
      <c r="BC110" s="43">
        <v>0</v>
      </c>
      <c r="BD110" s="141">
        <v>0</v>
      </c>
      <c r="BE110" s="138">
        <v>0</v>
      </c>
      <c r="BF110" s="28">
        <v>0</v>
      </c>
      <c r="BG110" s="138"/>
      <c r="BH110" s="28"/>
      <c r="BI110" s="141"/>
      <c r="BJ110" s="28"/>
    </row>
    <row r="111" spans="1:62" x14ac:dyDescent="0.3">
      <c r="A111" s="138" t="s">
        <v>120</v>
      </c>
      <c r="B111" s="138">
        <v>3503</v>
      </c>
      <c r="C111" s="209">
        <v>3741</v>
      </c>
      <c r="D111" s="138"/>
      <c r="E111" s="28" t="s">
        <v>1291</v>
      </c>
      <c r="F111" s="28"/>
      <c r="G111" s="196"/>
      <c r="H111" s="43">
        <v>136</v>
      </c>
      <c r="I111" s="28" t="s">
        <v>148</v>
      </c>
      <c r="J111" s="141"/>
      <c r="M111" s="142" t="s">
        <v>84</v>
      </c>
      <c r="N111" s="142">
        <v>2644</v>
      </c>
      <c r="O111" s="199">
        <v>0</v>
      </c>
      <c r="P111" s="142">
        <v>0</v>
      </c>
      <c r="Q111" s="199">
        <v>0</v>
      </c>
      <c r="R111" s="146">
        <v>0</v>
      </c>
      <c r="S111" s="142">
        <v>0</v>
      </c>
      <c r="T111" s="199">
        <v>0</v>
      </c>
      <c r="U111" s="142"/>
      <c r="V111" s="146"/>
      <c r="Y111" s="42" t="s">
        <v>89</v>
      </c>
      <c r="Z111" s="42">
        <v>368</v>
      </c>
      <c r="AA111" s="40">
        <v>380</v>
      </c>
      <c r="AB111" s="43">
        <v>0</v>
      </c>
      <c r="AC111" s="43">
        <v>0</v>
      </c>
      <c r="AD111" s="43">
        <v>0</v>
      </c>
      <c r="AE111" s="42">
        <v>0</v>
      </c>
      <c r="AF111" s="40">
        <v>0</v>
      </c>
      <c r="AG111" s="41">
        <v>0</v>
      </c>
      <c r="AH111" s="43">
        <v>3</v>
      </c>
      <c r="AI111" s="28" t="s">
        <v>884</v>
      </c>
      <c r="AJ111" s="40"/>
      <c r="AM111" s="134"/>
      <c r="AN111" s="134"/>
      <c r="AO111" s="136"/>
      <c r="AP111" s="134">
        <v>0</v>
      </c>
      <c r="AQ111" s="136">
        <v>0</v>
      </c>
      <c r="AR111" s="134"/>
      <c r="AS111" s="135" t="s">
        <v>140</v>
      </c>
      <c r="AT111" s="135"/>
      <c r="AU111" s="135"/>
      <c r="AV111" s="136"/>
      <c r="AY111" s="212" t="s">
        <v>89</v>
      </c>
      <c r="AZ111" s="138">
        <v>1360</v>
      </c>
      <c r="BA111" s="141">
        <v>1270</v>
      </c>
      <c r="BB111" s="138">
        <v>0</v>
      </c>
      <c r="BC111" s="28">
        <v>0</v>
      </c>
      <c r="BD111" s="141">
        <v>0</v>
      </c>
      <c r="BE111" s="138">
        <v>0</v>
      </c>
      <c r="BF111" s="28">
        <v>0</v>
      </c>
      <c r="BG111" s="138"/>
      <c r="BH111" s="28"/>
      <c r="BI111" s="141"/>
      <c r="BJ111" s="28"/>
    </row>
    <row r="112" spans="1:62" x14ac:dyDescent="0.3">
      <c r="A112" s="138" t="s">
        <v>84</v>
      </c>
      <c r="B112" s="138">
        <v>18499</v>
      </c>
      <c r="C112" s="28">
        <v>19405</v>
      </c>
      <c r="D112" s="138"/>
      <c r="E112" s="28" t="s">
        <v>1291</v>
      </c>
      <c r="F112" s="28"/>
      <c r="G112" s="196"/>
      <c r="H112" s="43">
        <v>2</v>
      </c>
      <c r="I112" s="28" t="s">
        <v>1349</v>
      </c>
      <c r="J112" s="141"/>
      <c r="M112" s="138"/>
      <c r="N112" s="138"/>
      <c r="O112" s="196"/>
      <c r="P112" s="138"/>
      <c r="Q112" s="196"/>
      <c r="R112" s="141"/>
      <c r="S112" s="138"/>
      <c r="T112" s="196"/>
      <c r="U112" s="138"/>
      <c r="V112" s="141"/>
      <c r="Y112" s="42" t="s">
        <v>84</v>
      </c>
      <c r="Z112" s="42">
        <v>973</v>
      </c>
      <c r="AA112" s="40">
        <v>958</v>
      </c>
      <c r="AB112" s="43">
        <v>0</v>
      </c>
      <c r="AC112" s="43">
        <v>0</v>
      </c>
      <c r="AD112" s="43">
        <v>0</v>
      </c>
      <c r="AE112" s="42">
        <v>0</v>
      </c>
      <c r="AF112" s="40">
        <v>0</v>
      </c>
      <c r="AG112" s="41">
        <v>0</v>
      </c>
      <c r="AH112" s="43">
        <v>17</v>
      </c>
      <c r="AI112" s="28" t="s">
        <v>141</v>
      </c>
      <c r="AJ112" s="40">
        <v>20</v>
      </c>
      <c r="AM112" s="138" t="s">
        <v>56</v>
      </c>
      <c r="AN112" s="138">
        <v>58</v>
      </c>
      <c r="AO112" s="141">
        <v>69</v>
      </c>
      <c r="AP112" s="138">
        <v>0</v>
      </c>
      <c r="AQ112" s="141">
        <v>0</v>
      </c>
      <c r="AR112" s="138"/>
      <c r="AS112" s="43" t="s">
        <v>873</v>
      </c>
      <c r="AT112" s="28" t="s">
        <v>1001</v>
      </c>
      <c r="AU112" s="28"/>
      <c r="AV112" s="141"/>
      <c r="AY112" s="212" t="s">
        <v>108</v>
      </c>
      <c r="AZ112" s="212">
        <v>0</v>
      </c>
      <c r="BA112" s="209">
        <v>0</v>
      </c>
      <c r="BB112" s="138">
        <v>0</v>
      </c>
      <c r="BC112" s="43">
        <v>0</v>
      </c>
      <c r="BD112" s="141">
        <v>0</v>
      </c>
      <c r="BE112" s="138">
        <v>0</v>
      </c>
      <c r="BF112" s="28">
        <v>0</v>
      </c>
      <c r="BG112" s="138"/>
      <c r="BH112" s="28"/>
      <c r="BI112" s="141"/>
      <c r="BJ112" s="28"/>
    </row>
    <row r="113" spans="1:62" ht="15" thickBot="1" x14ac:dyDescent="0.35">
      <c r="A113" s="142"/>
      <c r="B113" s="142"/>
      <c r="C113" s="143"/>
      <c r="D113" s="142"/>
      <c r="E113" s="143"/>
      <c r="F113" s="143"/>
      <c r="G113" s="199"/>
      <c r="H113" s="143">
        <v>0</v>
      </c>
      <c r="I113" s="143" t="s">
        <v>958</v>
      </c>
      <c r="J113" s="146">
        <v>152</v>
      </c>
      <c r="M113" s="138"/>
      <c r="N113" s="138"/>
      <c r="O113" s="196"/>
      <c r="P113" s="138"/>
      <c r="Q113" s="196"/>
      <c r="R113" s="141"/>
      <c r="S113" s="138"/>
      <c r="T113" s="196"/>
      <c r="U113" s="138"/>
      <c r="V113" s="141"/>
      <c r="Y113" s="47"/>
      <c r="Z113" s="47"/>
      <c r="AA113" s="49"/>
      <c r="AB113" s="48"/>
      <c r="AC113" s="48"/>
      <c r="AD113" s="48"/>
      <c r="AE113" s="47"/>
      <c r="AF113" s="49"/>
      <c r="AG113" s="46"/>
      <c r="AH113" s="48"/>
      <c r="AI113" s="48"/>
      <c r="AJ113" s="49"/>
      <c r="AM113" s="138" t="s">
        <v>72</v>
      </c>
      <c r="AN113" s="138">
        <v>41</v>
      </c>
      <c r="AO113" s="141">
        <v>20</v>
      </c>
      <c r="AP113" s="138">
        <v>0</v>
      </c>
      <c r="AQ113" s="141">
        <v>0</v>
      </c>
      <c r="AR113" s="138"/>
      <c r="AS113" s="43" t="s">
        <v>1351</v>
      </c>
      <c r="AT113" s="28"/>
      <c r="AU113" s="43"/>
      <c r="AV113" s="141"/>
      <c r="AY113" s="212" t="s">
        <v>1348</v>
      </c>
      <c r="AZ113" s="138">
        <v>77</v>
      </c>
      <c r="BA113" s="141">
        <v>1051</v>
      </c>
      <c r="BB113" s="138">
        <v>0</v>
      </c>
      <c r="BC113" s="28">
        <v>0</v>
      </c>
      <c r="BD113" s="141">
        <v>0</v>
      </c>
      <c r="BE113" s="138">
        <v>0</v>
      </c>
      <c r="BF113" s="28">
        <v>0</v>
      </c>
      <c r="BG113" s="138"/>
      <c r="BH113" s="28"/>
      <c r="BI113" s="141"/>
      <c r="BJ113" s="28"/>
    </row>
    <row r="114" spans="1:62" x14ac:dyDescent="0.3">
      <c r="A114" s="134" t="s">
        <v>105</v>
      </c>
      <c r="B114" s="134">
        <v>1004</v>
      </c>
      <c r="C114" s="135">
        <v>1015</v>
      </c>
      <c r="D114" s="134"/>
      <c r="E114" s="243">
        <v>951</v>
      </c>
      <c r="F114" s="135"/>
      <c r="G114" s="195">
        <v>1</v>
      </c>
      <c r="H114" s="135" t="s">
        <v>162</v>
      </c>
      <c r="I114" s="135"/>
      <c r="J114" s="136"/>
      <c r="M114" s="138"/>
      <c r="N114" s="138"/>
      <c r="O114" s="196"/>
      <c r="P114" s="138"/>
      <c r="Q114" s="196"/>
      <c r="R114" s="141"/>
      <c r="S114" s="138"/>
      <c r="T114" s="196"/>
      <c r="U114" s="138"/>
      <c r="V114" s="141"/>
      <c r="Y114" s="32" t="s">
        <v>817</v>
      </c>
      <c r="Z114" s="33">
        <v>0</v>
      </c>
      <c r="AA114" s="35">
        <v>0</v>
      </c>
      <c r="AB114" s="53">
        <v>0</v>
      </c>
      <c r="AC114" s="123">
        <v>0</v>
      </c>
      <c r="AD114" s="97">
        <v>0</v>
      </c>
      <c r="AE114" s="33">
        <v>16548</v>
      </c>
      <c r="AF114" s="35">
        <v>2500</v>
      </c>
      <c r="AG114" s="32">
        <v>0</v>
      </c>
      <c r="AH114" s="33" t="s">
        <v>149</v>
      </c>
      <c r="AI114" s="34"/>
      <c r="AJ114" s="35"/>
      <c r="AM114" s="138" t="s">
        <v>78</v>
      </c>
      <c r="AN114" s="138">
        <v>97</v>
      </c>
      <c r="AO114" s="141">
        <v>63</v>
      </c>
      <c r="AP114" s="138">
        <v>0</v>
      </c>
      <c r="AQ114" s="141">
        <v>0</v>
      </c>
      <c r="AR114" s="138"/>
      <c r="AS114" s="43" t="s">
        <v>1352</v>
      </c>
      <c r="AT114" s="43"/>
      <c r="AU114" s="28"/>
      <c r="AV114" s="141"/>
      <c r="AY114" s="212" t="s">
        <v>1350</v>
      </c>
      <c r="AZ114" s="212">
        <v>0</v>
      </c>
      <c r="BA114" s="209">
        <v>0</v>
      </c>
      <c r="BB114" s="212">
        <v>0</v>
      </c>
      <c r="BC114" s="43">
        <v>0</v>
      </c>
      <c r="BD114" s="209">
        <v>0</v>
      </c>
      <c r="BE114" s="212">
        <v>0</v>
      </c>
      <c r="BF114" s="43">
        <v>0</v>
      </c>
      <c r="BG114" s="142"/>
      <c r="BH114" s="143"/>
      <c r="BI114" s="251">
        <v>71</v>
      </c>
      <c r="BJ114" s="28"/>
    </row>
    <row r="115" spans="1:62" x14ac:dyDescent="0.3">
      <c r="A115" s="138" t="s">
        <v>99</v>
      </c>
      <c r="B115" s="138">
        <v>371</v>
      </c>
      <c r="C115" s="43">
        <v>397</v>
      </c>
      <c r="D115" s="138"/>
      <c r="E115" s="343">
        <v>992</v>
      </c>
      <c r="F115" s="28"/>
      <c r="G115" s="196"/>
      <c r="H115" s="28"/>
      <c r="I115" s="28"/>
      <c r="J115" s="141"/>
      <c r="M115" s="138"/>
      <c r="N115" s="138"/>
      <c r="O115" s="196"/>
      <c r="P115" s="138"/>
      <c r="Q115" s="196"/>
      <c r="R115" s="141"/>
      <c r="S115" s="138"/>
      <c r="T115" s="196"/>
      <c r="U115" s="138"/>
      <c r="V115" s="141"/>
      <c r="Y115" s="41" t="s">
        <v>99</v>
      </c>
      <c r="Z115" s="42">
        <v>0</v>
      </c>
      <c r="AA115" s="40">
        <v>0</v>
      </c>
      <c r="AB115" s="67">
        <v>0</v>
      </c>
      <c r="AC115" s="43">
        <v>0</v>
      </c>
      <c r="AD115" s="56">
        <v>0</v>
      </c>
      <c r="AE115" s="42">
        <v>15957</v>
      </c>
      <c r="AF115" s="40">
        <v>1006</v>
      </c>
      <c r="AG115" s="41">
        <v>0</v>
      </c>
      <c r="AH115" s="67">
        <v>3</v>
      </c>
      <c r="AI115" s="28" t="s">
        <v>153</v>
      </c>
      <c r="AJ115" s="40"/>
      <c r="AM115" s="138" t="s">
        <v>67</v>
      </c>
      <c r="AN115" s="138">
        <v>8</v>
      </c>
      <c r="AO115" s="141">
        <v>17</v>
      </c>
      <c r="AP115" s="138">
        <v>0</v>
      </c>
      <c r="AQ115" s="141">
        <v>0</v>
      </c>
      <c r="AR115" s="138"/>
      <c r="AS115" s="43" t="s">
        <v>1353</v>
      </c>
      <c r="AT115" s="43"/>
      <c r="AU115" s="43"/>
      <c r="AV115" s="141"/>
      <c r="AY115" s="247" t="s">
        <v>84</v>
      </c>
      <c r="AZ115" s="247">
        <v>5337</v>
      </c>
      <c r="BA115" s="248">
        <v>7246</v>
      </c>
      <c r="BB115" s="197">
        <v>0</v>
      </c>
      <c r="BC115" s="198">
        <v>0</v>
      </c>
      <c r="BD115" s="249">
        <v>0</v>
      </c>
      <c r="BE115" s="197">
        <v>0</v>
      </c>
      <c r="BF115" s="249">
        <v>0</v>
      </c>
      <c r="BG115" s="142"/>
      <c r="BH115" s="143"/>
      <c r="BI115" s="146"/>
      <c r="BJ115" s="28"/>
    </row>
    <row r="116" spans="1:62" ht="15" thickBot="1" x14ac:dyDescent="0.35">
      <c r="A116" s="138"/>
      <c r="B116" s="138"/>
      <c r="C116" s="28"/>
      <c r="D116" s="138"/>
      <c r="E116" s="343"/>
      <c r="F116" s="28"/>
      <c r="G116" s="196"/>
      <c r="H116" s="43">
        <v>36</v>
      </c>
      <c r="I116" s="28" t="s">
        <v>101</v>
      </c>
      <c r="J116" s="141"/>
      <c r="M116" s="138"/>
      <c r="N116" s="138"/>
      <c r="O116" s="196"/>
      <c r="P116" s="138"/>
      <c r="Q116" s="196"/>
      <c r="R116" s="141"/>
      <c r="S116" s="138"/>
      <c r="T116" s="196"/>
      <c r="U116" s="138"/>
      <c r="V116" s="141"/>
      <c r="Y116" s="41" t="s">
        <v>174</v>
      </c>
      <c r="Z116" s="42">
        <v>0</v>
      </c>
      <c r="AA116" s="40">
        <v>0</v>
      </c>
      <c r="AB116" s="67">
        <v>0</v>
      </c>
      <c r="AC116" s="43">
        <v>0</v>
      </c>
      <c r="AD116" s="56">
        <v>0</v>
      </c>
      <c r="AE116" s="42">
        <v>1436</v>
      </c>
      <c r="AF116" s="40">
        <v>2671</v>
      </c>
      <c r="AG116" s="41">
        <v>0</v>
      </c>
      <c r="AH116" s="67"/>
      <c r="AI116" s="43"/>
      <c r="AJ116" s="40"/>
      <c r="AM116" s="138" t="s">
        <v>1354</v>
      </c>
      <c r="AN116" s="138">
        <v>0</v>
      </c>
      <c r="AO116" s="141">
        <v>0</v>
      </c>
      <c r="AP116" s="138">
        <v>0</v>
      </c>
      <c r="AQ116" s="141">
        <v>0</v>
      </c>
      <c r="AR116" s="138"/>
      <c r="AS116" s="43" t="s">
        <v>1355</v>
      </c>
      <c r="AT116" s="43"/>
      <c r="AU116" s="43"/>
      <c r="AV116" s="141"/>
      <c r="AY116" s="134"/>
      <c r="AZ116" s="134"/>
      <c r="BA116" s="136"/>
      <c r="BB116" s="135"/>
      <c r="BC116" s="135"/>
      <c r="BD116" s="135"/>
      <c r="BE116" s="138"/>
      <c r="BF116" s="141"/>
      <c r="BG116" s="28" t="s">
        <v>1025</v>
      </c>
      <c r="BH116" s="28"/>
      <c r="BI116" s="141"/>
      <c r="BJ116" s="28"/>
    </row>
    <row r="117" spans="1:62" ht="15" thickBot="1" x14ac:dyDescent="0.35">
      <c r="A117" s="138" t="s">
        <v>84</v>
      </c>
      <c r="B117" s="142">
        <v>1375</v>
      </c>
      <c r="C117" s="143">
        <v>1412</v>
      </c>
      <c r="D117" s="142"/>
      <c r="E117" s="345">
        <v>1943</v>
      </c>
      <c r="F117" s="143"/>
      <c r="G117" s="199"/>
      <c r="H117" s="143"/>
      <c r="I117" s="143"/>
      <c r="J117" s="146">
        <v>36</v>
      </c>
      <c r="M117" s="171" t="s">
        <v>84</v>
      </c>
      <c r="N117" s="210">
        <v>24500</v>
      </c>
      <c r="O117" s="206">
        <v>27511</v>
      </c>
      <c r="P117" s="210"/>
      <c r="Q117" s="206"/>
      <c r="R117" s="170"/>
      <c r="S117" s="210">
        <v>1864</v>
      </c>
      <c r="T117" s="206">
        <v>549</v>
      </c>
      <c r="U117" s="210"/>
      <c r="V117" s="172"/>
      <c r="Y117" s="62" t="s">
        <v>84</v>
      </c>
      <c r="Z117" s="47">
        <v>0</v>
      </c>
      <c r="AA117" s="49">
        <v>0</v>
      </c>
      <c r="AB117" s="47">
        <v>0</v>
      </c>
      <c r="AC117" s="48">
        <v>0</v>
      </c>
      <c r="AD117" s="49">
        <v>0</v>
      </c>
      <c r="AE117" s="47">
        <v>33941</v>
      </c>
      <c r="AF117" s="49">
        <v>6177</v>
      </c>
      <c r="AG117" s="46"/>
      <c r="AH117" s="47"/>
      <c r="AI117" s="48"/>
      <c r="AJ117" s="49">
        <v>3</v>
      </c>
      <c r="AM117" s="138" t="s">
        <v>115</v>
      </c>
      <c r="AN117" s="138">
        <v>26</v>
      </c>
      <c r="AO117" s="141">
        <v>26</v>
      </c>
      <c r="AP117" s="138">
        <v>0</v>
      </c>
      <c r="AQ117" s="141">
        <v>0</v>
      </c>
      <c r="AR117" s="138"/>
      <c r="AS117" s="43" t="s">
        <v>333</v>
      </c>
      <c r="AT117" s="43"/>
      <c r="AU117" s="43"/>
      <c r="AV117" s="141"/>
      <c r="AY117" s="142" t="s">
        <v>64</v>
      </c>
      <c r="AZ117" s="142">
        <v>64</v>
      </c>
      <c r="BA117" s="146">
        <v>77</v>
      </c>
      <c r="BB117" s="28">
        <v>0</v>
      </c>
      <c r="BC117" s="43">
        <v>0</v>
      </c>
      <c r="BD117" s="43">
        <v>0</v>
      </c>
      <c r="BE117" s="142">
        <v>0</v>
      </c>
      <c r="BF117" s="146">
        <v>0</v>
      </c>
      <c r="BG117" s="143">
        <v>9</v>
      </c>
      <c r="BH117" s="143" t="s">
        <v>1026</v>
      </c>
      <c r="BI117" s="146">
        <v>9</v>
      </c>
      <c r="BJ117" s="28"/>
    </row>
    <row r="118" spans="1:62" x14ac:dyDescent="0.3">
      <c r="A118" s="195" t="s">
        <v>181</v>
      </c>
      <c r="B118" s="135">
        <v>3907</v>
      </c>
      <c r="C118" s="135">
        <v>3833</v>
      </c>
      <c r="D118" s="134"/>
      <c r="E118" s="135" t="s">
        <v>1291</v>
      </c>
      <c r="F118" s="136"/>
      <c r="G118" s="195">
        <v>1</v>
      </c>
      <c r="H118" s="134" t="s">
        <v>182</v>
      </c>
      <c r="I118" s="135"/>
      <c r="J118" s="136"/>
      <c r="Y118" s="32" t="s">
        <v>88</v>
      </c>
      <c r="Z118" s="33">
        <v>0</v>
      </c>
      <c r="AA118" s="34">
        <v>0</v>
      </c>
      <c r="AB118" s="33">
        <v>0</v>
      </c>
      <c r="AC118" s="34">
        <v>0</v>
      </c>
      <c r="AD118" s="35">
        <v>0</v>
      </c>
      <c r="AE118" s="33">
        <v>10714</v>
      </c>
      <c r="AF118" s="35">
        <v>0</v>
      </c>
      <c r="AG118" s="35">
        <v>0</v>
      </c>
      <c r="AH118" s="33" t="s">
        <v>157</v>
      </c>
      <c r="AI118" s="34"/>
      <c r="AJ118" s="35"/>
      <c r="AM118" s="138" t="s">
        <v>230</v>
      </c>
      <c r="AN118" s="138">
        <v>0</v>
      </c>
      <c r="AO118" s="141">
        <v>1</v>
      </c>
      <c r="AP118" s="138">
        <v>0</v>
      </c>
      <c r="AQ118" s="141">
        <v>0</v>
      </c>
      <c r="AR118" s="138"/>
      <c r="AS118" s="43" t="s">
        <v>1356</v>
      </c>
      <c r="AT118" s="43"/>
      <c r="AU118" s="43"/>
      <c r="AV118" s="141"/>
      <c r="AY118" s="138" t="s">
        <v>158</v>
      </c>
      <c r="AZ118" s="134">
        <v>0</v>
      </c>
      <c r="BA118" s="136">
        <v>0</v>
      </c>
      <c r="BB118" s="134">
        <v>0</v>
      </c>
      <c r="BC118" s="135">
        <v>0</v>
      </c>
      <c r="BD118" s="136">
        <v>0</v>
      </c>
      <c r="BE118" s="138">
        <v>0</v>
      </c>
      <c r="BF118" s="141">
        <v>0</v>
      </c>
      <c r="BG118" s="28" t="s">
        <v>994</v>
      </c>
      <c r="BH118" s="28"/>
      <c r="BI118" s="141"/>
      <c r="BJ118" s="28"/>
    </row>
    <row r="119" spans="1:62" x14ac:dyDescent="0.3">
      <c r="A119" s="196"/>
      <c r="B119" s="28"/>
      <c r="C119" s="28"/>
      <c r="D119" s="138"/>
      <c r="E119" s="28" t="s">
        <v>1291</v>
      </c>
      <c r="F119" s="141"/>
      <c r="G119" s="196"/>
      <c r="H119" s="138">
        <v>13</v>
      </c>
      <c r="I119" s="28" t="s">
        <v>436</v>
      </c>
      <c r="J119" s="141"/>
      <c r="Y119" s="41" t="s">
        <v>99</v>
      </c>
      <c r="Z119" s="42">
        <v>0</v>
      </c>
      <c r="AA119" s="28">
        <v>0</v>
      </c>
      <c r="AB119" s="67">
        <v>0</v>
      </c>
      <c r="AC119" s="43">
        <v>0</v>
      </c>
      <c r="AD119" s="56">
        <v>0</v>
      </c>
      <c r="AE119" s="42">
        <v>167726</v>
      </c>
      <c r="AF119" s="40">
        <v>34253</v>
      </c>
      <c r="AG119" s="40">
        <v>0</v>
      </c>
      <c r="AH119" s="67">
        <v>5</v>
      </c>
      <c r="AI119" s="28" t="s">
        <v>153</v>
      </c>
      <c r="AJ119" s="40"/>
      <c r="AM119" s="138" t="s">
        <v>81</v>
      </c>
      <c r="AN119" s="138">
        <v>19</v>
      </c>
      <c r="AO119" s="141">
        <v>25</v>
      </c>
      <c r="AP119" s="138">
        <v>0</v>
      </c>
      <c r="AQ119" s="141">
        <v>0</v>
      </c>
      <c r="AR119" s="138"/>
      <c r="AS119" s="43" t="s">
        <v>320</v>
      </c>
      <c r="AT119" s="43"/>
      <c r="AU119" s="43"/>
      <c r="AV119" s="141"/>
      <c r="AY119" s="138" t="s">
        <v>113</v>
      </c>
      <c r="AZ119" s="138">
        <v>474</v>
      </c>
      <c r="BA119" s="141">
        <v>438</v>
      </c>
      <c r="BB119" s="138">
        <v>0</v>
      </c>
      <c r="BC119" s="43">
        <v>0</v>
      </c>
      <c r="BD119" s="209">
        <v>0</v>
      </c>
      <c r="BE119" s="138">
        <v>0</v>
      </c>
      <c r="BF119" s="141">
        <v>0</v>
      </c>
      <c r="BG119" s="43">
        <v>17</v>
      </c>
      <c r="BH119" s="28" t="s">
        <v>100</v>
      </c>
      <c r="BI119" s="141"/>
      <c r="BJ119" s="28"/>
    </row>
    <row r="120" spans="1:62" ht="15" thickBot="1" x14ac:dyDescent="0.35">
      <c r="A120" s="196" t="s">
        <v>84</v>
      </c>
      <c r="B120" s="28">
        <v>3907</v>
      </c>
      <c r="C120" s="43">
        <v>3833</v>
      </c>
      <c r="D120" s="138"/>
      <c r="E120" s="28" t="s">
        <v>1291</v>
      </c>
      <c r="F120" s="141"/>
      <c r="G120" s="196"/>
      <c r="H120" s="138">
        <v>15</v>
      </c>
      <c r="I120" s="28" t="s">
        <v>101</v>
      </c>
      <c r="J120" s="141"/>
      <c r="Y120" s="41" t="s">
        <v>1118</v>
      </c>
      <c r="Z120" s="42">
        <v>0</v>
      </c>
      <c r="AA120" s="28">
        <v>0</v>
      </c>
      <c r="AB120" s="67">
        <v>0</v>
      </c>
      <c r="AC120" s="43">
        <v>0</v>
      </c>
      <c r="AD120" s="56">
        <v>0</v>
      </c>
      <c r="AE120" s="42">
        <v>0</v>
      </c>
      <c r="AF120" s="40">
        <v>6119</v>
      </c>
      <c r="AG120" s="40">
        <v>0</v>
      </c>
      <c r="AH120" s="42">
        <v>1</v>
      </c>
      <c r="AI120" s="28" t="s">
        <v>1317</v>
      </c>
      <c r="AJ120" s="40"/>
      <c r="AM120" s="138" t="s">
        <v>122</v>
      </c>
      <c r="AN120" s="138">
        <v>21</v>
      </c>
      <c r="AO120" s="141">
        <v>8</v>
      </c>
      <c r="AP120" s="138">
        <v>0</v>
      </c>
      <c r="AQ120" s="141">
        <v>0</v>
      </c>
      <c r="AR120" s="138"/>
      <c r="AS120" s="43" t="s">
        <v>1358</v>
      </c>
      <c r="AT120" s="43"/>
      <c r="AU120" s="28"/>
      <c r="AV120" s="141"/>
      <c r="AY120" s="142" t="s">
        <v>84</v>
      </c>
      <c r="AZ120" s="142">
        <v>474</v>
      </c>
      <c r="BA120" s="146">
        <v>438</v>
      </c>
      <c r="BB120" s="138">
        <v>0</v>
      </c>
      <c r="BC120" s="43">
        <v>0</v>
      </c>
      <c r="BD120" s="209">
        <v>0</v>
      </c>
      <c r="BE120" s="142">
        <v>0</v>
      </c>
      <c r="BF120" s="146">
        <v>0</v>
      </c>
      <c r="BG120" s="43">
        <v>24</v>
      </c>
      <c r="BH120" s="43" t="s">
        <v>1292</v>
      </c>
      <c r="BI120" s="146">
        <v>41</v>
      </c>
      <c r="BJ120" s="28"/>
    </row>
    <row r="121" spans="1:62" ht="15" thickBot="1" x14ac:dyDescent="0.35">
      <c r="A121" s="196"/>
      <c r="B121" s="28"/>
      <c r="C121" s="28"/>
      <c r="D121" s="142"/>
      <c r="E121" s="143"/>
      <c r="F121" s="146"/>
      <c r="G121" s="196"/>
      <c r="H121" s="138"/>
      <c r="I121" s="43" t="s">
        <v>94</v>
      </c>
      <c r="J121" s="141">
        <v>28</v>
      </c>
      <c r="Y121" s="68" t="s">
        <v>1359</v>
      </c>
      <c r="Z121" s="42">
        <v>0</v>
      </c>
      <c r="AA121" s="28">
        <v>0</v>
      </c>
      <c r="AB121" s="42">
        <v>0</v>
      </c>
      <c r="AC121" s="43">
        <v>0</v>
      </c>
      <c r="AD121" s="40">
        <v>0</v>
      </c>
      <c r="AE121" s="42">
        <v>0</v>
      </c>
      <c r="AF121" s="40">
        <v>0</v>
      </c>
      <c r="AG121" s="40">
        <v>0</v>
      </c>
      <c r="AH121" s="42">
        <v>5</v>
      </c>
      <c r="AI121" s="43" t="s">
        <v>1318</v>
      </c>
      <c r="AJ121" s="40"/>
      <c r="AM121" s="138" t="s">
        <v>63</v>
      </c>
      <c r="AN121" s="138">
        <v>73</v>
      </c>
      <c r="AO121" s="141">
        <v>68</v>
      </c>
      <c r="AP121" s="138">
        <v>0</v>
      </c>
      <c r="AQ121" s="141">
        <v>0</v>
      </c>
      <c r="AR121" s="138"/>
      <c r="AS121" s="43" t="s">
        <v>1360</v>
      </c>
      <c r="AT121" s="43"/>
      <c r="AU121" s="28"/>
      <c r="AV121" s="141"/>
      <c r="AY121" s="195" t="s">
        <v>133</v>
      </c>
      <c r="AZ121" s="134">
        <v>9</v>
      </c>
      <c r="BA121" s="135">
        <v>9</v>
      </c>
      <c r="BB121" s="32" t="s">
        <v>17</v>
      </c>
      <c r="BC121" s="346" t="s">
        <v>1357</v>
      </c>
      <c r="BD121" s="347"/>
      <c r="BE121" s="135">
        <v>0</v>
      </c>
      <c r="BF121" s="136">
        <v>0</v>
      </c>
      <c r="BG121" s="134" t="s">
        <v>140</v>
      </c>
      <c r="BH121" s="135"/>
      <c r="BI121" s="136"/>
      <c r="BJ121" s="28"/>
    </row>
    <row r="122" spans="1:62" ht="15" thickBot="1" x14ac:dyDescent="0.35">
      <c r="A122" s="254" t="s">
        <v>84</v>
      </c>
      <c r="B122" s="275">
        <v>43415</v>
      </c>
      <c r="C122" s="253">
        <v>47812</v>
      </c>
      <c r="D122" s="253"/>
      <c r="E122" s="253">
        <v>3099</v>
      </c>
      <c r="F122" s="253"/>
      <c r="G122" s="254">
        <v>8</v>
      </c>
      <c r="H122" s="171"/>
      <c r="I122" s="170"/>
      <c r="J122" s="172">
        <v>381</v>
      </c>
      <c r="Y122" s="68" t="s">
        <v>105</v>
      </c>
      <c r="Z122" s="42">
        <v>0</v>
      </c>
      <c r="AA122" s="28">
        <v>0</v>
      </c>
      <c r="AB122" s="67">
        <v>0</v>
      </c>
      <c r="AC122" s="43">
        <v>0</v>
      </c>
      <c r="AD122" s="56">
        <v>0</v>
      </c>
      <c r="AE122" s="42">
        <v>0</v>
      </c>
      <c r="AF122" s="40">
        <v>619</v>
      </c>
      <c r="AG122" s="40">
        <v>0</v>
      </c>
      <c r="AH122" s="67"/>
      <c r="AI122" s="28"/>
      <c r="AJ122" s="40"/>
      <c r="AM122" s="138" t="s">
        <v>84</v>
      </c>
      <c r="AN122" s="138">
        <v>343</v>
      </c>
      <c r="AO122" s="141">
        <v>297</v>
      </c>
      <c r="AP122" s="138">
        <v>0</v>
      </c>
      <c r="AQ122" s="141">
        <v>0</v>
      </c>
      <c r="AR122" s="142"/>
      <c r="AS122" s="224" t="s">
        <v>1364</v>
      </c>
      <c r="AT122" s="224"/>
      <c r="AU122" s="143"/>
      <c r="AV122" s="146">
        <v>200</v>
      </c>
      <c r="AY122" s="196" t="s">
        <v>230</v>
      </c>
      <c r="AZ122" s="138">
        <v>0</v>
      </c>
      <c r="BA122" s="43">
        <v>0</v>
      </c>
      <c r="BB122" s="41"/>
      <c r="BC122" s="67"/>
      <c r="BD122" s="40"/>
      <c r="BE122" s="43">
        <v>0</v>
      </c>
      <c r="BF122" s="141">
        <v>0</v>
      </c>
      <c r="BG122" s="138"/>
      <c r="BH122" s="28"/>
      <c r="BI122" s="141"/>
      <c r="BJ122" s="28"/>
    </row>
    <row r="123" spans="1:62" ht="15" thickBot="1" x14ac:dyDescent="0.35">
      <c r="Y123" s="68" t="s">
        <v>108</v>
      </c>
      <c r="Z123" s="67">
        <v>0</v>
      </c>
      <c r="AA123" s="43">
        <v>0</v>
      </c>
      <c r="AB123" s="42">
        <v>0</v>
      </c>
      <c r="AC123" s="43">
        <v>0</v>
      </c>
      <c r="AD123" s="40">
        <v>0</v>
      </c>
      <c r="AE123" s="42">
        <v>0</v>
      </c>
      <c r="AF123" s="40">
        <v>11482</v>
      </c>
      <c r="AG123" s="40">
        <v>0</v>
      </c>
      <c r="AH123" s="42"/>
      <c r="AI123" s="28"/>
      <c r="AJ123" s="40"/>
      <c r="AM123" s="171" t="s">
        <v>84</v>
      </c>
      <c r="AN123" s="171">
        <v>1908</v>
      </c>
      <c r="AO123" s="172">
        <v>1846</v>
      </c>
      <c r="AP123" s="170">
        <v>0</v>
      </c>
      <c r="AQ123" s="172">
        <v>0</v>
      </c>
      <c r="AR123" s="48"/>
      <c r="AS123" s="48"/>
      <c r="AT123" s="48"/>
      <c r="AU123" s="48"/>
      <c r="AV123" s="49">
        <v>321</v>
      </c>
      <c r="AY123" s="196" t="s">
        <v>218</v>
      </c>
      <c r="AZ123" s="138">
        <v>18</v>
      </c>
      <c r="BA123" s="43">
        <v>14</v>
      </c>
      <c r="BB123" s="46" t="s">
        <v>1361</v>
      </c>
      <c r="BC123" s="72" t="s">
        <v>1362</v>
      </c>
      <c r="BD123" s="49" t="s">
        <v>1363</v>
      </c>
      <c r="BE123" s="43">
        <v>0</v>
      </c>
      <c r="BF123" s="141">
        <v>0</v>
      </c>
      <c r="BG123" s="138"/>
      <c r="BH123" s="28"/>
      <c r="BI123" s="141"/>
      <c r="BJ123" s="28"/>
    </row>
    <row r="124" spans="1:62" x14ac:dyDescent="0.3">
      <c r="Y124" s="68" t="s">
        <v>445</v>
      </c>
      <c r="Z124" s="67">
        <v>0</v>
      </c>
      <c r="AA124" s="43">
        <v>0</v>
      </c>
      <c r="AB124" s="67">
        <v>0</v>
      </c>
      <c r="AC124" s="43">
        <v>0</v>
      </c>
      <c r="AD124" s="56">
        <v>0</v>
      </c>
      <c r="AE124" s="42">
        <v>4630</v>
      </c>
      <c r="AF124" s="40">
        <v>0</v>
      </c>
      <c r="AG124" s="40">
        <v>0</v>
      </c>
      <c r="AH124" s="67"/>
      <c r="AI124" s="28"/>
      <c r="AJ124" s="40"/>
      <c r="AY124" s="196" t="s">
        <v>211</v>
      </c>
      <c r="AZ124" s="138">
        <v>15</v>
      </c>
      <c r="BA124" s="141">
        <v>0</v>
      </c>
      <c r="BB124" s="268" t="s">
        <v>564</v>
      </c>
      <c r="BC124" s="43">
        <v>3</v>
      </c>
      <c r="BD124" s="141">
        <v>3</v>
      </c>
      <c r="BE124" s="43">
        <v>0</v>
      </c>
      <c r="BF124" s="141">
        <v>0</v>
      </c>
      <c r="BG124" s="138" t="s">
        <v>142</v>
      </c>
      <c r="BH124" s="43"/>
      <c r="BI124" s="141" t="s">
        <v>1365</v>
      </c>
      <c r="BJ124" s="28"/>
    </row>
    <row r="125" spans="1:62" ht="15" thickBot="1" x14ac:dyDescent="0.35">
      <c r="Y125" s="68" t="s">
        <v>84</v>
      </c>
      <c r="Z125" s="28">
        <v>0</v>
      </c>
      <c r="AA125" s="28">
        <v>0</v>
      </c>
      <c r="AB125" s="47">
        <v>0</v>
      </c>
      <c r="AC125" s="48">
        <v>0</v>
      </c>
      <c r="AD125" s="49">
        <v>0</v>
      </c>
      <c r="AE125" s="47">
        <v>183070</v>
      </c>
      <c r="AF125" s="49">
        <v>52473</v>
      </c>
      <c r="AG125" s="49">
        <v>0</v>
      </c>
      <c r="AH125" s="47"/>
      <c r="AI125" s="48"/>
      <c r="AJ125" s="49">
        <v>11</v>
      </c>
      <c r="AY125" s="196" t="s">
        <v>214</v>
      </c>
      <c r="AZ125" s="138">
        <v>0</v>
      </c>
      <c r="BA125" s="141">
        <v>0</v>
      </c>
      <c r="BB125" s="268" t="s">
        <v>526</v>
      </c>
      <c r="BC125" s="255">
        <v>3</v>
      </c>
      <c r="BD125" s="141">
        <v>3</v>
      </c>
      <c r="BE125" s="43">
        <v>0</v>
      </c>
      <c r="BF125" s="141">
        <v>0</v>
      </c>
      <c r="BG125" s="138" t="s">
        <v>146</v>
      </c>
      <c r="BH125" s="28"/>
      <c r="BI125" s="256" t="s">
        <v>1366</v>
      </c>
      <c r="BJ125" s="28"/>
    </row>
    <row r="126" spans="1:62" x14ac:dyDescent="0.3">
      <c r="Y126" s="32" t="s">
        <v>102</v>
      </c>
      <c r="Z126" s="33">
        <v>194</v>
      </c>
      <c r="AA126" s="35">
        <v>47</v>
      </c>
      <c r="AB126" s="33">
        <v>0</v>
      </c>
      <c r="AC126" s="123">
        <v>0</v>
      </c>
      <c r="AD126" s="35">
        <v>0</v>
      </c>
      <c r="AE126" s="33">
        <v>0</v>
      </c>
      <c r="AF126" s="35">
        <v>0</v>
      </c>
      <c r="AG126" s="32">
        <v>0</v>
      </c>
      <c r="AH126" s="33" t="s">
        <v>1326</v>
      </c>
      <c r="AI126" s="34"/>
      <c r="AJ126" s="35"/>
      <c r="AY126" s="196" t="s">
        <v>1367</v>
      </c>
      <c r="AZ126" s="138">
        <v>6</v>
      </c>
      <c r="BA126" s="141">
        <v>0</v>
      </c>
      <c r="BB126" s="268" t="s">
        <v>64</v>
      </c>
      <c r="BC126" s="43">
        <v>0</v>
      </c>
      <c r="BD126" s="141">
        <v>6</v>
      </c>
      <c r="BE126" s="43">
        <v>0</v>
      </c>
      <c r="BF126" s="141">
        <v>0</v>
      </c>
      <c r="BG126" s="138"/>
      <c r="BH126" s="28"/>
      <c r="BI126" s="141" t="s">
        <v>1368</v>
      </c>
      <c r="BJ126" s="28"/>
    </row>
    <row r="127" spans="1:62" x14ac:dyDescent="0.3">
      <c r="Y127" s="41" t="s">
        <v>88</v>
      </c>
      <c r="Z127" s="42">
        <v>0</v>
      </c>
      <c r="AA127" s="40">
        <v>0</v>
      </c>
      <c r="AB127" s="67">
        <v>0</v>
      </c>
      <c r="AC127" s="43">
        <v>0</v>
      </c>
      <c r="AD127" s="56">
        <v>0</v>
      </c>
      <c r="AE127" s="42">
        <v>0</v>
      </c>
      <c r="AF127" s="40">
        <v>0</v>
      </c>
      <c r="AG127" s="41">
        <v>0</v>
      </c>
      <c r="AH127" s="67">
        <v>7</v>
      </c>
      <c r="AI127" s="28" t="s">
        <v>436</v>
      </c>
      <c r="AJ127" s="40"/>
      <c r="AY127" s="196" t="s">
        <v>1118</v>
      </c>
      <c r="AZ127" s="138">
        <v>4</v>
      </c>
      <c r="BA127" s="141">
        <v>0</v>
      </c>
      <c r="BB127" s="268" t="s">
        <v>93</v>
      </c>
      <c r="BC127" s="43">
        <v>0</v>
      </c>
      <c r="BD127" s="141">
        <v>2</v>
      </c>
      <c r="BE127" s="43">
        <v>0</v>
      </c>
      <c r="BF127" s="141">
        <v>0</v>
      </c>
      <c r="BG127" s="138" t="s">
        <v>151</v>
      </c>
      <c r="BH127" s="28" t="s">
        <v>333</v>
      </c>
      <c r="BI127" s="141"/>
      <c r="BJ127" s="28"/>
    </row>
    <row r="128" spans="1:62" ht="15" thickBot="1" x14ac:dyDescent="0.35">
      <c r="Y128" s="46" t="s">
        <v>84</v>
      </c>
      <c r="Z128" s="47">
        <v>194</v>
      </c>
      <c r="AA128" s="49">
        <v>47</v>
      </c>
      <c r="AB128" s="47">
        <v>0</v>
      </c>
      <c r="AC128" s="48">
        <v>0</v>
      </c>
      <c r="AD128" s="49">
        <v>0</v>
      </c>
      <c r="AE128" s="47">
        <v>0</v>
      </c>
      <c r="AF128" s="49">
        <v>0</v>
      </c>
      <c r="AG128" s="46">
        <v>0</v>
      </c>
      <c r="AH128" s="47">
        <v>1</v>
      </c>
      <c r="AI128" s="48" t="s">
        <v>141</v>
      </c>
      <c r="AJ128" s="49">
        <v>8</v>
      </c>
      <c r="AY128" s="196" t="s">
        <v>113</v>
      </c>
      <c r="AZ128" s="138">
        <v>92</v>
      </c>
      <c r="BA128" s="141">
        <v>68</v>
      </c>
      <c r="BB128" s="268" t="s">
        <v>74</v>
      </c>
      <c r="BC128" s="43">
        <v>0</v>
      </c>
      <c r="BD128" s="141">
        <v>0</v>
      </c>
      <c r="BE128" s="43">
        <v>0</v>
      </c>
      <c r="BF128" s="141">
        <v>0</v>
      </c>
      <c r="BG128" s="269" t="s">
        <v>873</v>
      </c>
      <c r="BH128" s="257" t="s">
        <v>1369</v>
      </c>
      <c r="BI128" s="141" t="s">
        <v>1370</v>
      </c>
      <c r="BJ128" s="28"/>
    </row>
    <row r="129" spans="22:62" ht="15" thickBot="1" x14ac:dyDescent="0.35">
      <c r="Y129" s="254" t="s">
        <v>84</v>
      </c>
      <c r="Z129" s="171">
        <v>4403</v>
      </c>
      <c r="AA129" s="172">
        <v>9280</v>
      </c>
      <c r="AB129" s="171"/>
      <c r="AC129" s="170">
        <v>0</v>
      </c>
      <c r="AD129" s="172">
        <v>0</v>
      </c>
      <c r="AE129" s="47">
        <v>217011</v>
      </c>
      <c r="AF129" s="49">
        <v>58650</v>
      </c>
      <c r="AG129" s="46">
        <v>0</v>
      </c>
      <c r="AH129" s="170" t="s">
        <v>199</v>
      </c>
      <c r="AI129" s="170"/>
      <c r="AJ129" s="172">
        <v>103</v>
      </c>
      <c r="AY129" s="196" t="s">
        <v>85</v>
      </c>
      <c r="AZ129" s="138">
        <v>0</v>
      </c>
      <c r="BA129" s="141">
        <v>0</v>
      </c>
      <c r="BB129" s="268" t="s">
        <v>169</v>
      </c>
      <c r="BC129" s="43">
        <v>0</v>
      </c>
      <c r="BD129" s="141">
        <v>3</v>
      </c>
      <c r="BE129" s="43">
        <v>0</v>
      </c>
      <c r="BF129" s="141">
        <v>0</v>
      </c>
      <c r="BG129" s="212" t="s">
        <v>507</v>
      </c>
      <c r="BH129" s="28" t="s">
        <v>1371</v>
      </c>
      <c r="BI129" s="141" t="s">
        <v>1372</v>
      </c>
      <c r="BJ129" s="28"/>
    </row>
    <row r="130" spans="22:62" x14ac:dyDescent="0.3">
      <c r="AY130" s="196" t="s">
        <v>196</v>
      </c>
      <c r="AZ130" s="138">
        <v>3</v>
      </c>
      <c r="BA130" s="141">
        <v>0</v>
      </c>
      <c r="BB130" s="268" t="s">
        <v>1374</v>
      </c>
      <c r="BC130" s="43">
        <v>5</v>
      </c>
      <c r="BD130" s="141">
        <v>0</v>
      </c>
      <c r="BE130" s="43">
        <v>0</v>
      </c>
      <c r="BF130" s="141">
        <v>0</v>
      </c>
      <c r="BG130" s="212" t="s">
        <v>768</v>
      </c>
      <c r="BH130" s="43" t="s">
        <v>842</v>
      </c>
      <c r="BI130" s="141" t="s">
        <v>1375</v>
      </c>
      <c r="BJ130" s="28"/>
    </row>
    <row r="131" spans="22:62" x14ac:dyDescent="0.3">
      <c r="AY131" s="196" t="s">
        <v>1041</v>
      </c>
      <c r="AZ131" s="138">
        <v>0</v>
      </c>
      <c r="BA131" s="141">
        <v>0</v>
      </c>
      <c r="BB131" s="268" t="s">
        <v>1376</v>
      </c>
      <c r="BC131" s="270">
        <v>0</v>
      </c>
      <c r="BD131" s="141">
        <v>1</v>
      </c>
      <c r="BE131" s="43">
        <v>0</v>
      </c>
      <c r="BF131" s="141">
        <v>0</v>
      </c>
      <c r="BG131" s="138" t="s">
        <v>1377</v>
      </c>
      <c r="BH131" s="43" t="s">
        <v>627</v>
      </c>
      <c r="BI131" s="141"/>
      <c r="BJ131" s="28"/>
    </row>
    <row r="132" spans="22:62" x14ac:dyDescent="0.3">
      <c r="AY132" s="196" t="s">
        <v>760</v>
      </c>
      <c r="AZ132" s="138">
        <v>7</v>
      </c>
      <c r="BA132" s="141">
        <v>5</v>
      </c>
      <c r="BB132" s="268" t="s">
        <v>108</v>
      </c>
      <c r="BC132" s="43">
        <v>0</v>
      </c>
      <c r="BD132" s="141">
        <v>0</v>
      </c>
      <c r="BE132" s="43">
        <v>0</v>
      </c>
      <c r="BF132" s="141">
        <v>0</v>
      </c>
      <c r="BG132" s="138" t="s">
        <v>1378</v>
      </c>
      <c r="BH132" s="43" t="s">
        <v>1379</v>
      </c>
      <c r="BI132" s="141"/>
      <c r="BJ132" s="28"/>
    </row>
    <row r="133" spans="22:62" x14ac:dyDescent="0.3">
      <c r="AY133" s="196" t="s">
        <v>200</v>
      </c>
      <c r="AZ133" s="138">
        <v>12</v>
      </c>
      <c r="BA133" s="141">
        <v>13</v>
      </c>
      <c r="BB133" s="268" t="s">
        <v>89</v>
      </c>
      <c r="BC133" s="43">
        <v>1</v>
      </c>
      <c r="BD133" s="141">
        <v>1</v>
      </c>
      <c r="BE133" s="43">
        <v>0</v>
      </c>
      <c r="BF133" s="141">
        <v>0</v>
      </c>
      <c r="BG133" s="212" t="s">
        <v>292</v>
      </c>
      <c r="BH133" s="43" t="s">
        <v>515</v>
      </c>
      <c r="BI133" s="141"/>
      <c r="BJ133" s="28"/>
    </row>
    <row r="134" spans="22:62" x14ac:dyDescent="0.3">
      <c r="AY134" s="196" t="s">
        <v>596</v>
      </c>
      <c r="AZ134" s="138">
        <v>0</v>
      </c>
      <c r="BA134" s="141">
        <v>0</v>
      </c>
      <c r="BB134" s="268"/>
      <c r="BC134" s="270"/>
      <c r="BD134" s="141"/>
      <c r="BE134" s="43">
        <v>0</v>
      </c>
      <c r="BF134" s="141">
        <v>0</v>
      </c>
      <c r="BG134" s="138" t="s">
        <v>938</v>
      </c>
      <c r="BH134" s="43" t="s">
        <v>1381</v>
      </c>
      <c r="BI134" s="209"/>
      <c r="BJ134" s="28"/>
    </row>
    <row r="135" spans="22:62" ht="15.6" x14ac:dyDescent="0.3">
      <c r="Y135" s="28"/>
      <c r="Z135" s="28"/>
      <c r="AA135" s="28"/>
      <c r="AB135" s="28"/>
      <c r="AC135" s="43"/>
      <c r="AD135" s="28"/>
      <c r="AE135" s="28"/>
      <c r="AF135" s="28"/>
      <c r="AG135" s="28"/>
      <c r="AH135" s="28"/>
      <c r="AI135" s="28"/>
      <c r="AJ135" s="28"/>
      <c r="AY135" s="196" t="s">
        <v>657</v>
      </c>
      <c r="AZ135" s="138">
        <v>0</v>
      </c>
      <c r="BA135" s="141">
        <v>3</v>
      </c>
      <c r="BB135" s="252"/>
      <c r="BC135" s="38"/>
      <c r="BD135" s="141"/>
      <c r="BE135" s="43">
        <v>0</v>
      </c>
      <c r="BF135" s="141">
        <v>0</v>
      </c>
      <c r="BG135" s="138" t="s">
        <v>513</v>
      </c>
      <c r="BH135" s="258" t="s">
        <v>1382</v>
      </c>
      <c r="BI135" s="209"/>
      <c r="BJ135" s="28"/>
    </row>
    <row r="136" spans="22:62" x14ac:dyDescent="0.3">
      <c r="Y136" s="28"/>
      <c r="Z136" s="28"/>
      <c r="AA136" s="28"/>
      <c r="AB136" s="43"/>
      <c r="AC136" s="43"/>
      <c r="AD136" s="43"/>
      <c r="AE136" s="28"/>
      <c r="AF136" s="28"/>
      <c r="AG136" s="28"/>
      <c r="AH136" s="43"/>
      <c r="AI136" s="28"/>
      <c r="AJ136" s="28"/>
      <c r="AY136" s="196" t="s">
        <v>99</v>
      </c>
      <c r="AZ136" s="138">
        <v>0</v>
      </c>
      <c r="BA136" s="141">
        <v>3</v>
      </c>
      <c r="BB136" s="252"/>
      <c r="BC136" s="43"/>
      <c r="BD136" s="141"/>
      <c r="BE136" s="43">
        <v>0</v>
      </c>
      <c r="BF136" s="141">
        <v>0</v>
      </c>
      <c r="BG136" s="138" t="s">
        <v>544</v>
      </c>
      <c r="BH136" s="43" t="s">
        <v>304</v>
      </c>
      <c r="BI136" s="141"/>
      <c r="BJ136" s="28"/>
    </row>
    <row r="137" spans="22:62" ht="15.6" x14ac:dyDescent="0.3">
      <c r="V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Y137" s="259" t="s">
        <v>502</v>
      </c>
      <c r="AZ137" s="138">
        <v>0</v>
      </c>
      <c r="BA137" s="141">
        <v>0</v>
      </c>
      <c r="BB137" s="252"/>
      <c r="BC137" s="43"/>
      <c r="BD137" s="141"/>
      <c r="BE137" s="43">
        <v>0</v>
      </c>
      <c r="BF137" s="141">
        <v>0</v>
      </c>
      <c r="BG137" s="138" t="s">
        <v>490</v>
      </c>
      <c r="BH137" s="258" t="s">
        <v>1383</v>
      </c>
      <c r="BI137" s="260"/>
      <c r="BJ137" s="28"/>
    </row>
    <row r="138" spans="22:62" ht="15.6" x14ac:dyDescent="0.3"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Y138" s="196" t="s">
        <v>174</v>
      </c>
      <c r="AZ138" s="138">
        <v>0</v>
      </c>
      <c r="BA138" s="141">
        <v>0</v>
      </c>
      <c r="BB138" s="252"/>
      <c r="BC138" s="43"/>
      <c r="BD138" s="141"/>
      <c r="BE138" s="43">
        <v>0</v>
      </c>
      <c r="BF138" s="141">
        <v>0</v>
      </c>
      <c r="BG138" s="138" t="s">
        <v>1384</v>
      </c>
      <c r="BH138" s="258" t="s">
        <v>1336</v>
      </c>
      <c r="BI138" s="141"/>
      <c r="BJ138" s="28"/>
    </row>
    <row r="139" spans="22:62" ht="15.6" x14ac:dyDescent="0.3"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Y139" s="196" t="s">
        <v>1385</v>
      </c>
      <c r="AZ139" s="138">
        <v>0</v>
      </c>
      <c r="BA139" s="141">
        <v>5</v>
      </c>
      <c r="BB139" s="252"/>
      <c r="BC139" s="43"/>
      <c r="BD139" s="141"/>
      <c r="BE139" s="43">
        <v>0</v>
      </c>
      <c r="BF139" s="141">
        <v>0</v>
      </c>
      <c r="BG139" s="138" t="s">
        <v>273</v>
      </c>
      <c r="BH139" s="258" t="s">
        <v>1386</v>
      </c>
      <c r="BI139" s="141"/>
      <c r="BJ139" s="28"/>
    </row>
    <row r="140" spans="22:62" ht="15.6" x14ac:dyDescent="0.3"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Y140" s="196" t="s">
        <v>574</v>
      </c>
      <c r="AZ140" s="138">
        <v>5</v>
      </c>
      <c r="BA140" s="141">
        <v>0</v>
      </c>
      <c r="BB140" s="252"/>
      <c r="BC140" s="43"/>
      <c r="BD140" s="141"/>
      <c r="BE140" s="43">
        <v>0</v>
      </c>
      <c r="BF140" s="141">
        <v>0</v>
      </c>
      <c r="BG140" s="138" t="s">
        <v>180</v>
      </c>
      <c r="BH140" s="258" t="s">
        <v>1387</v>
      </c>
      <c r="BI140" s="141"/>
      <c r="BJ140" s="28"/>
    </row>
    <row r="141" spans="22:62" ht="16.2" thickBot="1" x14ac:dyDescent="0.35">
      <c r="Y141" s="28"/>
      <c r="Z141" s="28"/>
      <c r="AA141" s="28"/>
      <c r="AB141" s="28"/>
      <c r="AC141" s="43"/>
      <c r="AD141" s="28"/>
      <c r="AE141" s="28"/>
      <c r="AF141" s="28"/>
      <c r="AG141" s="28"/>
      <c r="AH141" s="28"/>
      <c r="AI141" s="28"/>
      <c r="AJ141" s="28"/>
      <c r="AY141" s="196" t="s">
        <v>139</v>
      </c>
      <c r="AZ141" s="138">
        <v>2</v>
      </c>
      <c r="BA141" s="141">
        <v>2</v>
      </c>
      <c r="BB141" s="252"/>
      <c r="BC141" s="43"/>
      <c r="BD141" s="141"/>
      <c r="BE141" s="43">
        <v>0</v>
      </c>
      <c r="BF141" s="141">
        <v>0</v>
      </c>
      <c r="BG141" s="138" t="s">
        <v>1098</v>
      </c>
      <c r="BH141" s="258" t="s">
        <v>1388</v>
      </c>
      <c r="BI141" s="141">
        <v>95</v>
      </c>
      <c r="BJ141" s="28"/>
    </row>
    <row r="142" spans="22:62" ht="15" thickBot="1" x14ac:dyDescent="0.35"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Y142" s="271" t="s">
        <v>84</v>
      </c>
      <c r="AZ142" s="271">
        <v>173</v>
      </c>
      <c r="BA142" s="272">
        <v>122</v>
      </c>
      <c r="BB142" s="34" t="s">
        <v>1976</v>
      </c>
      <c r="BC142" s="34">
        <v>12</v>
      </c>
      <c r="BD142" s="34">
        <v>19</v>
      </c>
      <c r="BE142" s="33">
        <v>62544</v>
      </c>
      <c r="BF142" s="35">
        <v>17271</v>
      </c>
      <c r="BG142" s="294"/>
      <c r="BH142" s="170"/>
      <c r="BI142" s="172">
        <v>250</v>
      </c>
      <c r="BJ142" s="28"/>
    </row>
    <row r="143" spans="22:62" ht="15" thickBot="1" x14ac:dyDescent="0.35">
      <c r="Y143" s="28"/>
      <c r="Z143" s="28"/>
      <c r="AA143" s="28"/>
      <c r="AB143" s="43"/>
      <c r="AC143" s="43"/>
      <c r="AD143" s="43"/>
      <c r="AE143" s="28"/>
      <c r="AF143" s="28"/>
      <c r="AG143" s="28"/>
      <c r="AH143" s="43"/>
      <c r="AI143" s="28"/>
      <c r="AJ143" s="28"/>
      <c r="AY143" s="171" t="s">
        <v>223</v>
      </c>
      <c r="AZ143" s="358">
        <v>6145</v>
      </c>
      <c r="BA143" s="358">
        <v>8000</v>
      </c>
      <c r="BB143" s="297"/>
      <c r="BC143" s="34"/>
      <c r="BD143" s="34"/>
      <c r="BE143" s="34"/>
      <c r="BF143" s="34"/>
      <c r="BG143" s="35"/>
      <c r="BH143" s="33"/>
      <c r="BI143" s="35"/>
      <c r="BJ143" s="28"/>
    </row>
    <row r="144" spans="22:62" x14ac:dyDescent="0.3">
      <c r="Y144" s="28"/>
      <c r="Z144" s="28"/>
      <c r="AA144" s="28"/>
      <c r="AB144" s="43"/>
      <c r="AC144" s="43"/>
      <c r="AD144" s="43"/>
      <c r="AE144" s="28"/>
      <c r="AF144" s="28"/>
      <c r="AG144" s="28"/>
      <c r="AH144" s="28"/>
      <c r="AI144" s="28"/>
      <c r="AJ144" s="28"/>
      <c r="AY144" s="33" t="s">
        <v>1340</v>
      </c>
      <c r="AZ144" s="34"/>
      <c r="BA144" s="295">
        <v>95</v>
      </c>
      <c r="BB144" s="42"/>
      <c r="BC144" s="28" t="s">
        <v>1959</v>
      </c>
      <c r="BD144" s="28"/>
      <c r="BE144" s="28"/>
      <c r="BF144" s="140">
        <v>734</v>
      </c>
      <c r="BG144" s="40"/>
      <c r="BH144" s="42"/>
      <c r="BI144" s="40"/>
      <c r="BJ144" s="28"/>
    </row>
    <row r="145" spans="1:62" ht="15" thickBot="1" x14ac:dyDescent="0.35">
      <c r="Y145" s="43"/>
      <c r="Z145" s="28"/>
      <c r="AA145" s="28"/>
      <c r="AB145" s="28"/>
      <c r="AC145" s="43"/>
      <c r="AD145" s="28"/>
      <c r="AE145" s="28"/>
      <c r="AF145" s="28"/>
      <c r="AG145" s="28"/>
      <c r="AH145" s="28"/>
      <c r="AI145" s="43"/>
      <c r="AJ145" s="28"/>
      <c r="AY145" s="47" t="s">
        <v>229</v>
      </c>
      <c r="AZ145" s="48"/>
      <c r="BA145" s="312">
        <v>2</v>
      </c>
      <c r="BB145" s="47"/>
      <c r="BC145" s="48" t="s">
        <v>1960</v>
      </c>
      <c r="BD145" s="48"/>
      <c r="BE145" s="48"/>
      <c r="BF145" s="300">
        <v>321</v>
      </c>
      <c r="BG145" s="301">
        <v>1055</v>
      </c>
      <c r="BH145" s="47"/>
      <c r="BI145" s="49"/>
      <c r="BJ145" s="28"/>
    </row>
    <row r="146" spans="1:62" x14ac:dyDescent="0.3">
      <c r="Y146" s="43"/>
      <c r="Z146" s="28"/>
      <c r="AA146" s="28"/>
      <c r="AB146" s="43"/>
      <c r="AC146" s="43"/>
      <c r="AD146" s="43"/>
      <c r="AE146" s="28"/>
      <c r="AF146" s="28"/>
      <c r="AG146" s="28"/>
      <c r="AH146" s="43"/>
      <c r="AI146" s="28"/>
      <c r="AJ146" s="28"/>
      <c r="AY146" s="33" t="s">
        <v>232</v>
      </c>
      <c r="AZ146" s="34"/>
      <c r="BA146" s="303" t="s">
        <v>233</v>
      </c>
      <c r="BB146" s="34"/>
      <c r="BC146" s="298">
        <v>1908</v>
      </c>
      <c r="BD146" s="35"/>
      <c r="BE146" s="33" t="s">
        <v>234</v>
      </c>
      <c r="BF146" s="34"/>
      <c r="BG146" s="34" t="s">
        <v>233</v>
      </c>
      <c r="BH146" s="34"/>
      <c r="BI146" s="304">
        <v>6145</v>
      </c>
      <c r="BJ146" s="28"/>
    </row>
    <row r="147" spans="1:62" ht="15" thickBot="1" x14ac:dyDescent="0.35">
      <c r="Y147" s="43"/>
      <c r="Z147" s="43"/>
      <c r="AA147" s="43"/>
      <c r="AB147" s="28"/>
      <c r="AC147" s="43"/>
      <c r="AD147" s="28"/>
      <c r="AE147" s="28"/>
      <c r="AF147" s="28"/>
      <c r="AG147" s="28"/>
      <c r="AH147" s="28"/>
      <c r="AI147" s="28"/>
      <c r="AJ147" s="28"/>
      <c r="AY147" s="47"/>
      <c r="AZ147" s="48"/>
      <c r="BA147" s="48" t="s">
        <v>236</v>
      </c>
      <c r="BB147" s="48"/>
      <c r="BC147" s="300">
        <v>1846</v>
      </c>
      <c r="BD147" s="49"/>
      <c r="BE147" s="47"/>
      <c r="BF147" s="48"/>
      <c r="BG147" s="48" t="s">
        <v>236</v>
      </c>
      <c r="BH147" s="48"/>
      <c r="BI147" s="301">
        <v>8000</v>
      </c>
      <c r="BJ147" s="28"/>
    </row>
    <row r="148" spans="1:62" ht="15" thickBot="1" x14ac:dyDescent="0.35">
      <c r="Y148" s="43"/>
      <c r="Z148" s="43"/>
      <c r="AA148" s="43"/>
      <c r="AB148" s="43"/>
      <c r="AC148" s="43"/>
      <c r="AD148" s="43"/>
      <c r="AE148" s="28"/>
      <c r="AF148" s="28"/>
      <c r="AG148" s="28"/>
      <c r="AH148" s="43"/>
      <c r="AI148" s="28"/>
      <c r="AJ148" s="28"/>
      <c r="AY148" s="33" t="s">
        <v>238</v>
      </c>
      <c r="AZ148" s="34" t="s">
        <v>239</v>
      </c>
      <c r="BA148" s="35"/>
      <c r="BB148" s="33" t="s">
        <v>240</v>
      </c>
      <c r="BC148" s="34" t="s">
        <v>241</v>
      </c>
      <c r="BD148" s="35"/>
      <c r="BE148" s="33"/>
      <c r="BF148" s="34" t="s">
        <v>242</v>
      </c>
      <c r="BG148" s="83" t="s">
        <v>243</v>
      </c>
      <c r="BH148" s="34"/>
      <c r="BI148" s="35"/>
      <c r="BJ148" s="28"/>
    </row>
    <row r="149" spans="1:62" x14ac:dyDescent="0.3">
      <c r="Y149" s="43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Y149" s="42" t="s">
        <v>233</v>
      </c>
      <c r="AZ149" s="28"/>
      <c r="BA149" s="174">
        <v>43415</v>
      </c>
      <c r="BB149" s="306" t="s">
        <v>233</v>
      </c>
      <c r="BC149" s="28"/>
      <c r="BD149" s="174">
        <v>4403</v>
      </c>
      <c r="BE149" s="33" t="s">
        <v>233</v>
      </c>
      <c r="BF149" s="34"/>
      <c r="BG149" s="304">
        <v>10548</v>
      </c>
      <c r="BH149" s="33" t="s">
        <v>245</v>
      </c>
      <c r="BI149" s="304">
        <v>53963</v>
      </c>
      <c r="BJ149" s="28"/>
    </row>
    <row r="150" spans="1:62" ht="15" thickBot="1" x14ac:dyDescent="0.35">
      <c r="Y150" s="28"/>
      <c r="Z150" s="28"/>
      <c r="AA150" s="28"/>
      <c r="AB150" s="28"/>
      <c r="AC150" s="43"/>
      <c r="AD150" s="28"/>
      <c r="AE150" s="28"/>
      <c r="AF150" s="28"/>
      <c r="AG150" s="28"/>
      <c r="AH150" s="28"/>
      <c r="AI150" s="28"/>
      <c r="AJ150" s="28"/>
      <c r="AY150" s="47" t="s">
        <v>236</v>
      </c>
      <c r="AZ150" s="48"/>
      <c r="BA150" s="301">
        <v>47812</v>
      </c>
      <c r="BB150" s="307" t="s">
        <v>236</v>
      </c>
      <c r="BC150" s="48"/>
      <c r="BD150" s="301">
        <v>9280</v>
      </c>
      <c r="BE150" s="47" t="s">
        <v>236</v>
      </c>
      <c r="BF150" s="48"/>
      <c r="BG150" s="301">
        <v>17280</v>
      </c>
      <c r="BH150" s="47"/>
      <c r="BI150" s="301">
        <v>65092</v>
      </c>
      <c r="BJ150" s="140">
        <v>119055</v>
      </c>
    </row>
    <row r="151" spans="1:62" ht="15" thickBot="1" x14ac:dyDescent="0.35">
      <c r="Y151" s="28"/>
      <c r="Z151" s="28"/>
      <c r="AA151" s="28"/>
      <c r="AB151" s="43"/>
      <c r="AC151" s="43"/>
      <c r="AD151" s="43"/>
      <c r="AE151" s="28"/>
      <c r="AF151" s="28"/>
      <c r="AG151" s="28"/>
      <c r="AH151" s="43"/>
      <c r="AI151" s="28"/>
      <c r="AJ151" s="28"/>
      <c r="AY151" s="171" t="s">
        <v>1961</v>
      </c>
      <c r="AZ151" s="170"/>
      <c r="BA151" s="172"/>
      <c r="BB151" s="359" t="s">
        <v>1506</v>
      </c>
      <c r="BC151" s="170"/>
      <c r="BD151" s="172"/>
      <c r="BE151" s="171"/>
      <c r="BF151" s="170"/>
      <c r="BG151" s="170" t="s">
        <v>51</v>
      </c>
      <c r="BH151" s="170"/>
      <c r="BI151" s="172"/>
    </row>
    <row r="152" spans="1:62" ht="15.6" x14ac:dyDescent="0.3"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Y152" s="67" t="s">
        <v>43</v>
      </c>
      <c r="AZ152" s="28" t="s">
        <v>44</v>
      </c>
      <c r="BA152" s="40"/>
      <c r="BB152" s="360" t="s">
        <v>43</v>
      </c>
      <c r="BC152" s="43" t="s">
        <v>44</v>
      </c>
      <c r="BD152" s="40"/>
      <c r="BE152" s="67"/>
      <c r="BF152" s="28"/>
      <c r="BG152" s="140">
        <v>3099</v>
      </c>
      <c r="BH152" s="258"/>
      <c r="BI152" s="40"/>
      <c r="BJ152" s="28"/>
    </row>
    <row r="153" spans="1:62" ht="15" thickBot="1" x14ac:dyDescent="0.35"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Y153" s="356">
        <v>241511</v>
      </c>
      <c r="AZ153" s="312">
        <v>86161</v>
      </c>
      <c r="BA153" s="357"/>
      <c r="BB153" s="310">
        <v>64408</v>
      </c>
      <c r="BC153" s="300">
        <v>17820</v>
      </c>
      <c r="BD153" s="49"/>
      <c r="BE153" s="47"/>
      <c r="BF153" s="48"/>
      <c r="BG153" s="48"/>
      <c r="BH153" s="48"/>
      <c r="BI153" s="49"/>
      <c r="BJ153" s="28"/>
    </row>
    <row r="154" spans="1:62" ht="21" x14ac:dyDescent="0.4">
      <c r="B154" s="261"/>
      <c r="C154" s="184"/>
      <c r="E154" s="329" t="s">
        <v>1873</v>
      </c>
      <c r="O154" s="261"/>
      <c r="P154" s="184"/>
      <c r="R154" s="329" t="s">
        <v>1873</v>
      </c>
      <c r="AB154" s="261"/>
      <c r="AC154" s="184"/>
      <c r="AE154" s="329" t="s">
        <v>1873</v>
      </c>
      <c r="AN154" s="261"/>
      <c r="AO154" s="184"/>
      <c r="AQ154" s="329" t="s">
        <v>1873</v>
      </c>
      <c r="AY154" s="28"/>
      <c r="AZ154" s="43"/>
      <c r="BA154" s="186"/>
      <c r="BB154" s="361"/>
      <c r="BC154" s="28"/>
      <c r="BD154" s="28"/>
      <c r="BE154" s="28"/>
      <c r="BF154" s="28"/>
      <c r="BG154" s="28"/>
      <c r="BH154" s="28"/>
      <c r="BI154" s="28"/>
      <c r="BJ154" s="28"/>
    </row>
    <row r="155" spans="1:62" ht="21" x14ac:dyDescent="0.4">
      <c r="C155" t="s">
        <v>1977</v>
      </c>
      <c r="Q155" t="s">
        <v>1</v>
      </c>
      <c r="AC155" t="s">
        <v>1978</v>
      </c>
      <c r="AP155" t="s">
        <v>4</v>
      </c>
      <c r="AY155" s="28"/>
      <c r="AZ155" s="28"/>
      <c r="BA155" s="261"/>
      <c r="BB155" s="184"/>
      <c r="BD155" s="329" t="s">
        <v>1873</v>
      </c>
      <c r="BH155" s="28"/>
      <c r="BI155" s="28"/>
      <c r="BJ155" s="28"/>
    </row>
    <row r="156" spans="1:62" x14ac:dyDescent="0.3">
      <c r="D156" t="s">
        <v>1979</v>
      </c>
      <c r="Q156" s="408" t="s">
        <v>1286</v>
      </c>
      <c r="R156" s="408"/>
      <c r="S156" s="408"/>
      <c r="AC156" t="s">
        <v>9</v>
      </c>
      <c r="AP156" t="s">
        <v>1966</v>
      </c>
      <c r="BC156" t="s">
        <v>5</v>
      </c>
      <c r="BF156" s="28"/>
      <c r="BG156" s="28"/>
      <c r="BH156" s="28"/>
      <c r="BI156" s="28"/>
      <c r="BJ156" s="28"/>
    </row>
    <row r="157" spans="1:62" x14ac:dyDescent="0.3">
      <c r="C157" t="s">
        <v>1446</v>
      </c>
      <c r="P157" t="s">
        <v>8</v>
      </c>
      <c r="AC157" t="s">
        <v>11</v>
      </c>
      <c r="AO157" t="s">
        <v>12</v>
      </c>
      <c r="BC157" t="s">
        <v>1968</v>
      </c>
      <c r="BF157" s="28"/>
      <c r="BG157" s="28"/>
      <c r="BH157" s="28"/>
      <c r="BI157" s="28"/>
      <c r="BJ157" s="28"/>
    </row>
    <row r="158" spans="1:62" x14ac:dyDescent="0.3">
      <c r="B158" s="408" t="s">
        <v>1980</v>
      </c>
      <c r="C158" s="408"/>
      <c r="D158" s="408"/>
      <c r="E158" s="408"/>
      <c r="F158" s="408"/>
      <c r="P158" s="408" t="s">
        <v>1981</v>
      </c>
      <c r="Q158" s="408"/>
      <c r="R158" s="408"/>
      <c r="S158" s="408"/>
      <c r="AC158" s="408" t="s">
        <v>1392</v>
      </c>
      <c r="AD158" s="408"/>
      <c r="AE158" s="408"/>
      <c r="AF158" s="408"/>
      <c r="AP158" s="408" t="s">
        <v>1982</v>
      </c>
      <c r="AQ158" s="408"/>
      <c r="AR158" s="408"/>
      <c r="BB158" t="s">
        <v>13</v>
      </c>
      <c r="BF158" s="28"/>
      <c r="BG158" s="28"/>
      <c r="BH158" s="28"/>
      <c r="BI158" s="28"/>
      <c r="BJ158" s="28"/>
    </row>
    <row r="159" spans="1:62" x14ac:dyDescent="0.3">
      <c r="I159" s="194" t="s">
        <v>949</v>
      </c>
      <c r="V159" t="s">
        <v>15</v>
      </c>
      <c r="AI159" s="28" t="s">
        <v>25</v>
      </c>
      <c r="AU159" s="194" t="s">
        <v>951</v>
      </c>
      <c r="BC159" s="345" t="s">
        <v>1983</v>
      </c>
      <c r="BD159" s="345"/>
      <c r="BE159" s="345"/>
      <c r="BF159" s="28"/>
      <c r="BG159" s="28"/>
      <c r="BH159" s="238" t="s">
        <v>950</v>
      </c>
      <c r="BI159" s="28"/>
      <c r="BJ159" s="28"/>
    </row>
    <row r="160" spans="1:62" ht="15" thickBot="1" x14ac:dyDescent="0.35">
      <c r="A160" s="134" t="s">
        <v>17</v>
      </c>
      <c r="B160" s="134" t="s">
        <v>18</v>
      </c>
      <c r="C160" s="136"/>
      <c r="D160" s="135" t="s">
        <v>19</v>
      </c>
      <c r="E160" s="135"/>
      <c r="F160" s="135"/>
      <c r="G160" s="195"/>
      <c r="H160" s="135" t="s">
        <v>21</v>
      </c>
      <c r="I160" s="135"/>
      <c r="J160" s="136"/>
      <c r="M160" s="134" t="s">
        <v>17</v>
      </c>
      <c r="N160" s="135" t="s">
        <v>22</v>
      </c>
      <c r="O160" s="135"/>
      <c r="P160" s="135" t="s">
        <v>23</v>
      </c>
      <c r="Q160" s="135"/>
      <c r="R160" s="135"/>
      <c r="S160" s="135" t="s">
        <v>24</v>
      </c>
      <c r="T160" s="135"/>
      <c r="U160" s="135" t="s">
        <v>21</v>
      </c>
      <c r="V160" s="136"/>
      <c r="Y160" s="134" t="s">
        <v>34</v>
      </c>
      <c r="Z160" s="134" t="s">
        <v>35</v>
      </c>
      <c r="AA160" s="136"/>
      <c r="AB160" s="135" t="s">
        <v>1454</v>
      </c>
      <c r="AC160" s="135" t="s">
        <v>51</v>
      </c>
      <c r="AD160" s="135"/>
      <c r="AE160" s="134" t="s">
        <v>37</v>
      </c>
      <c r="AF160" s="136" t="s">
        <v>1288</v>
      </c>
      <c r="AG160" s="135" t="s">
        <v>30</v>
      </c>
      <c r="AH160" s="134" t="s">
        <v>38</v>
      </c>
      <c r="AI160" s="135"/>
      <c r="AJ160" s="136"/>
      <c r="AM160" s="134" t="s">
        <v>17</v>
      </c>
      <c r="AN160" s="134" t="s">
        <v>39</v>
      </c>
      <c r="AO160" s="136"/>
      <c r="AP160" s="134" t="s">
        <v>29</v>
      </c>
      <c r="AQ160" s="136" t="s">
        <v>30</v>
      </c>
      <c r="AR160" s="135" t="s">
        <v>40</v>
      </c>
      <c r="AS160" s="135"/>
      <c r="AT160" s="135"/>
      <c r="AU160" s="135"/>
      <c r="AV160" s="136"/>
      <c r="AY160" s="195" t="s">
        <v>17</v>
      </c>
      <c r="AZ160" s="134" t="s">
        <v>27</v>
      </c>
      <c r="BA160" s="135"/>
      <c r="BB160" s="134" t="s">
        <v>28</v>
      </c>
      <c r="BC160" s="135"/>
      <c r="BD160" s="136"/>
      <c r="BE160" s="134" t="s">
        <v>1984</v>
      </c>
      <c r="BF160" s="136"/>
      <c r="BG160" s="135" t="s">
        <v>31</v>
      </c>
      <c r="BH160" s="135"/>
      <c r="BI160" s="136"/>
      <c r="BJ160" s="28"/>
    </row>
    <row r="161" spans="1:62" ht="15" thickBot="1" x14ac:dyDescent="0.35">
      <c r="A161" s="138" t="s">
        <v>32</v>
      </c>
      <c r="B161" s="138"/>
      <c r="C161" s="141"/>
      <c r="D161" s="28"/>
      <c r="E161" s="28"/>
      <c r="F161" s="28"/>
      <c r="G161" s="196"/>
      <c r="H161" s="28" t="s">
        <v>33</v>
      </c>
      <c r="I161" s="28"/>
      <c r="J161" s="141"/>
      <c r="M161" s="138"/>
      <c r="N161" s="28"/>
      <c r="O161" s="28"/>
      <c r="P161" s="28"/>
      <c r="Q161" s="28"/>
      <c r="R161" s="28"/>
      <c r="S161" s="28"/>
      <c r="T161" s="28"/>
      <c r="U161" s="28" t="s">
        <v>33</v>
      </c>
      <c r="V161" s="141"/>
      <c r="Y161" s="138" t="s">
        <v>50</v>
      </c>
      <c r="Z161" s="138" t="s">
        <v>43</v>
      </c>
      <c r="AA161" s="28" t="s">
        <v>44</v>
      </c>
      <c r="AB161" s="276" t="s">
        <v>1458</v>
      </c>
      <c r="AC161" s="28" t="s">
        <v>46</v>
      </c>
      <c r="AD161" s="28" t="s">
        <v>52</v>
      </c>
      <c r="AE161" s="138" t="s">
        <v>43</v>
      </c>
      <c r="AF161" s="141" t="s">
        <v>44</v>
      </c>
      <c r="AG161" s="28" t="s">
        <v>43</v>
      </c>
      <c r="AH161" s="138" t="s">
        <v>53</v>
      </c>
      <c r="AI161" s="28"/>
      <c r="AJ161" s="141"/>
      <c r="AM161" s="138" t="s">
        <v>42</v>
      </c>
      <c r="AN161" s="138" t="s">
        <v>43</v>
      </c>
      <c r="AO161" s="141" t="s">
        <v>44</v>
      </c>
      <c r="AP161" s="138" t="s">
        <v>43</v>
      </c>
      <c r="AQ161" s="141" t="s">
        <v>44</v>
      </c>
      <c r="AR161" s="28"/>
      <c r="AS161" s="28"/>
      <c r="AT161" s="28"/>
      <c r="AU161" s="28"/>
      <c r="AV161" s="141"/>
      <c r="AY161" s="196"/>
      <c r="AZ161" s="138"/>
      <c r="BA161" s="28"/>
      <c r="BB161" s="138"/>
      <c r="BC161" s="28"/>
      <c r="BD161" s="141"/>
      <c r="BE161" s="138"/>
      <c r="BF161" s="141"/>
      <c r="BG161" s="28" t="s">
        <v>41</v>
      </c>
      <c r="BH161" s="28"/>
      <c r="BI161" s="141"/>
      <c r="BJ161" s="28"/>
    </row>
    <row r="162" spans="1:62" ht="15" thickBot="1" x14ac:dyDescent="0.35">
      <c r="A162" s="142" t="s">
        <v>42</v>
      </c>
      <c r="B162" s="142" t="s">
        <v>43</v>
      </c>
      <c r="C162" s="143" t="s">
        <v>44</v>
      </c>
      <c r="D162" s="197" t="s">
        <v>45</v>
      </c>
      <c r="E162" s="198" t="s">
        <v>46</v>
      </c>
      <c r="F162" s="198" t="s">
        <v>47</v>
      </c>
      <c r="G162" s="254" t="s">
        <v>1460</v>
      </c>
      <c r="H162" s="143" t="s">
        <v>49</v>
      </c>
      <c r="I162" s="143"/>
      <c r="J162" s="146"/>
      <c r="M162" s="142" t="s">
        <v>50</v>
      </c>
      <c r="N162" s="143" t="s">
        <v>43</v>
      </c>
      <c r="O162" s="143" t="s">
        <v>44</v>
      </c>
      <c r="P162" s="143" t="s">
        <v>43</v>
      </c>
      <c r="Q162" s="143" t="s">
        <v>51</v>
      </c>
      <c r="R162" s="143" t="s">
        <v>44</v>
      </c>
      <c r="S162" s="143" t="s">
        <v>43</v>
      </c>
      <c r="T162" s="143" t="s">
        <v>44</v>
      </c>
      <c r="U162" s="143" t="s">
        <v>49</v>
      </c>
      <c r="V162" s="146"/>
      <c r="Y162" s="33"/>
      <c r="Z162" s="33"/>
      <c r="AA162" s="35"/>
      <c r="AB162" s="34"/>
      <c r="AC162" s="34"/>
      <c r="AD162" s="34"/>
      <c r="AE162" s="33"/>
      <c r="AF162" s="35"/>
      <c r="AG162" s="32"/>
      <c r="AH162" s="33" t="s">
        <v>62</v>
      </c>
      <c r="AI162" s="34"/>
      <c r="AJ162" s="35"/>
      <c r="AM162" s="134"/>
      <c r="AN162" s="134"/>
      <c r="AO162" s="136"/>
      <c r="AP162" s="134"/>
      <c r="AQ162" s="136"/>
      <c r="AR162" s="135"/>
      <c r="AS162" s="135" t="s">
        <v>91</v>
      </c>
      <c r="AT162" s="135"/>
      <c r="AU162" s="135"/>
      <c r="AV162" s="136"/>
      <c r="AY162" s="199" t="s">
        <v>42</v>
      </c>
      <c r="AZ162" s="142" t="s">
        <v>43</v>
      </c>
      <c r="BA162" s="143" t="s">
        <v>44</v>
      </c>
      <c r="BB162" s="142" t="s">
        <v>45</v>
      </c>
      <c r="BC162" s="143" t="s">
        <v>46</v>
      </c>
      <c r="BD162" s="146" t="s">
        <v>52</v>
      </c>
      <c r="BE162" s="142" t="s">
        <v>43</v>
      </c>
      <c r="BF162" s="146" t="s">
        <v>44</v>
      </c>
      <c r="BG162" s="143" t="s">
        <v>54</v>
      </c>
      <c r="BH162" s="143"/>
      <c r="BI162" s="146"/>
      <c r="BJ162" s="28"/>
    </row>
    <row r="163" spans="1:62" x14ac:dyDescent="0.3">
      <c r="A163" s="134"/>
      <c r="B163" s="134"/>
      <c r="C163" s="135"/>
      <c r="D163" s="134"/>
      <c r="E163" s="135"/>
      <c r="F163" s="135"/>
      <c r="G163" s="196">
        <v>1</v>
      </c>
      <c r="H163" s="135" t="s">
        <v>396</v>
      </c>
      <c r="I163" s="135"/>
      <c r="J163" s="136"/>
      <c r="M163" s="134"/>
      <c r="N163" s="134"/>
      <c r="O163" s="195"/>
      <c r="P163" s="134"/>
      <c r="Q163" s="195"/>
      <c r="R163" s="136"/>
      <c r="S163" s="134"/>
      <c r="T163" s="195"/>
      <c r="U163" s="134" t="s">
        <v>396</v>
      </c>
      <c r="V163" s="136"/>
      <c r="Y163" s="42"/>
      <c r="Z163" s="42"/>
      <c r="AA163" s="40"/>
      <c r="AB163" s="28"/>
      <c r="AC163" s="28"/>
      <c r="AD163" s="28"/>
      <c r="AE163" s="42"/>
      <c r="AF163" s="40"/>
      <c r="AG163" s="41"/>
      <c r="AH163" s="42">
        <v>1</v>
      </c>
      <c r="AI163" s="28" t="s">
        <v>1290</v>
      </c>
      <c r="AJ163" s="40"/>
      <c r="AM163" s="138" t="s">
        <v>56</v>
      </c>
      <c r="AN163" s="138">
        <v>1615</v>
      </c>
      <c r="AO163" s="141">
        <v>1599</v>
      </c>
      <c r="AP163" s="138">
        <v>0</v>
      </c>
      <c r="AQ163" s="141">
        <v>0</v>
      </c>
      <c r="AR163" s="28"/>
      <c r="AS163" s="43">
        <v>100</v>
      </c>
      <c r="AT163" s="28" t="s">
        <v>1026</v>
      </c>
      <c r="AU163" s="28"/>
      <c r="AV163" s="141"/>
      <c r="AY163" s="195"/>
      <c r="AZ163" s="134"/>
      <c r="BA163" s="136"/>
      <c r="BB163" s="134">
        <v>0</v>
      </c>
      <c r="BC163" s="135">
        <v>0</v>
      </c>
      <c r="BD163" s="136">
        <v>0</v>
      </c>
      <c r="BE163" s="134">
        <v>0</v>
      </c>
      <c r="BF163" s="136">
        <v>0</v>
      </c>
      <c r="BG163" s="134" t="s">
        <v>58</v>
      </c>
      <c r="BH163" s="135"/>
      <c r="BI163" s="136"/>
    </row>
    <row r="164" spans="1:62" x14ac:dyDescent="0.3">
      <c r="A164" s="138" t="s">
        <v>59</v>
      </c>
      <c r="B164" s="138">
        <v>812</v>
      </c>
      <c r="C164" s="28">
        <v>1114</v>
      </c>
      <c r="D164" s="138"/>
      <c r="E164" s="28" t="s">
        <v>1291</v>
      </c>
      <c r="F164" s="28"/>
      <c r="G164" s="196"/>
      <c r="H164" s="28">
        <v>4</v>
      </c>
      <c r="I164" s="28" t="s">
        <v>61</v>
      </c>
      <c r="J164" s="141"/>
      <c r="M164" s="138" t="s">
        <v>59</v>
      </c>
      <c r="N164" s="138">
        <v>12891</v>
      </c>
      <c r="O164" s="196">
        <v>22055</v>
      </c>
      <c r="P164" s="138">
        <v>0</v>
      </c>
      <c r="Q164" s="196">
        <v>0</v>
      </c>
      <c r="R164" s="141">
        <v>0</v>
      </c>
      <c r="S164" s="138">
        <v>0</v>
      </c>
      <c r="T164" s="196">
        <v>0</v>
      </c>
      <c r="U164" s="138"/>
      <c r="V164" s="141"/>
      <c r="Y164" s="42" t="s">
        <v>59</v>
      </c>
      <c r="Z164" s="42">
        <v>2256</v>
      </c>
      <c r="AA164" s="40">
        <v>2477</v>
      </c>
      <c r="AB164" s="28">
        <v>0</v>
      </c>
      <c r="AC164" s="43">
        <v>0</v>
      </c>
      <c r="AD164" s="43">
        <v>0</v>
      </c>
      <c r="AE164" s="42">
        <v>0</v>
      </c>
      <c r="AF164" s="40">
        <v>0</v>
      </c>
      <c r="AG164" s="41">
        <v>0</v>
      </c>
      <c r="AH164" s="42">
        <v>7</v>
      </c>
      <c r="AI164" s="28" t="s">
        <v>66</v>
      </c>
      <c r="AJ164" s="40"/>
      <c r="AM164" s="138"/>
      <c r="AN164" s="138"/>
      <c r="AO164" s="141"/>
      <c r="AP164" s="138"/>
      <c r="AQ164" s="141"/>
      <c r="AR164" s="28"/>
      <c r="AS164" s="43">
        <v>1</v>
      </c>
      <c r="AT164" s="28" t="s">
        <v>1294</v>
      </c>
      <c r="AU164" s="43"/>
      <c r="AV164" s="141"/>
      <c r="AY164" s="196" t="s">
        <v>56</v>
      </c>
      <c r="AZ164" s="138">
        <v>35</v>
      </c>
      <c r="BA164" s="141">
        <v>0</v>
      </c>
      <c r="BB164" s="138">
        <v>0</v>
      </c>
      <c r="BC164" s="43">
        <v>0</v>
      </c>
      <c r="BD164" s="209">
        <v>0</v>
      </c>
      <c r="BE164" s="138">
        <v>0</v>
      </c>
      <c r="BF164" s="141">
        <v>0</v>
      </c>
      <c r="BG164" s="212">
        <v>9</v>
      </c>
      <c r="BH164" s="28" t="s">
        <v>65</v>
      </c>
      <c r="BI164" s="141"/>
    </row>
    <row r="165" spans="1:62" ht="15" thickBot="1" x14ac:dyDescent="0.35">
      <c r="A165" s="138" t="s">
        <v>6</v>
      </c>
      <c r="B165" s="138"/>
      <c r="C165" s="28"/>
      <c r="D165" s="138"/>
      <c r="E165" s="28"/>
      <c r="F165" s="28"/>
      <c r="G165" s="196"/>
      <c r="H165" s="28"/>
      <c r="I165" s="28"/>
      <c r="J165" s="141">
        <v>4</v>
      </c>
      <c r="M165" s="142"/>
      <c r="N165" s="142"/>
      <c r="O165" s="199"/>
      <c r="P165" s="142"/>
      <c r="Q165" s="199"/>
      <c r="R165" s="146"/>
      <c r="S165" s="142"/>
      <c r="T165" s="199"/>
      <c r="U165" s="142"/>
      <c r="V165" s="146"/>
      <c r="Y165" s="42"/>
      <c r="Z165" s="42"/>
      <c r="AA165" s="40"/>
      <c r="AB165" s="28"/>
      <c r="AC165" s="28"/>
      <c r="AD165" s="28"/>
      <c r="AE165" s="42"/>
      <c r="AF165" s="40"/>
      <c r="AG165" s="41"/>
      <c r="AH165" s="47"/>
      <c r="AI165" s="48"/>
      <c r="AJ165" s="49">
        <v>8</v>
      </c>
      <c r="AM165" s="142" t="s">
        <v>6</v>
      </c>
      <c r="AN165" s="142"/>
      <c r="AO165" s="146"/>
      <c r="AP165" s="142"/>
      <c r="AQ165" s="146"/>
      <c r="AR165" s="143"/>
      <c r="AS165" s="143"/>
      <c r="AT165" s="143"/>
      <c r="AU165" s="143"/>
      <c r="AV165" s="146">
        <v>101</v>
      </c>
      <c r="AY165" s="196" t="s">
        <v>64</v>
      </c>
      <c r="AZ165" s="138">
        <v>75</v>
      </c>
      <c r="BA165" s="141">
        <v>97</v>
      </c>
      <c r="BB165" s="138">
        <v>0</v>
      </c>
      <c r="BC165" s="43">
        <v>0</v>
      </c>
      <c r="BD165" s="209">
        <v>0</v>
      </c>
      <c r="BE165" s="138">
        <v>0</v>
      </c>
      <c r="BF165" s="141">
        <v>0</v>
      </c>
      <c r="BG165" s="138">
        <v>5</v>
      </c>
      <c r="BH165" s="28" t="s">
        <v>69</v>
      </c>
      <c r="BI165" s="141"/>
    </row>
    <row r="166" spans="1:62" x14ac:dyDescent="0.3">
      <c r="A166" s="134"/>
      <c r="B166" s="134"/>
      <c r="C166" s="135"/>
      <c r="D166" s="134"/>
      <c r="E166" s="135"/>
      <c r="F166" s="135"/>
      <c r="G166" s="195">
        <v>1</v>
      </c>
      <c r="H166" s="135" t="s">
        <v>1985</v>
      </c>
      <c r="I166" s="135"/>
      <c r="J166" s="136"/>
      <c r="M166" s="134"/>
      <c r="N166" s="134"/>
      <c r="O166" s="195"/>
      <c r="P166" s="134"/>
      <c r="Q166" s="195"/>
      <c r="R166" s="136"/>
      <c r="S166" s="134"/>
      <c r="T166" s="195"/>
      <c r="U166" s="134"/>
      <c r="V166" s="136"/>
      <c r="Y166" s="32" t="s">
        <v>211</v>
      </c>
      <c r="Z166" s="33">
        <v>95</v>
      </c>
      <c r="AA166" s="35"/>
      <c r="AB166" s="33"/>
      <c r="AC166" s="34"/>
      <c r="AD166" s="35"/>
      <c r="AE166" s="33"/>
      <c r="AF166" s="35"/>
      <c r="AG166" s="32"/>
      <c r="AH166" s="33" t="s">
        <v>1986</v>
      </c>
      <c r="AI166" s="34"/>
      <c r="AJ166" s="35"/>
      <c r="AM166" s="134"/>
      <c r="AN166" s="134"/>
      <c r="AO166" s="136"/>
      <c r="AP166" s="134"/>
      <c r="AQ166" s="136"/>
      <c r="AR166" s="135"/>
      <c r="AS166" s="135"/>
      <c r="AT166" s="135"/>
      <c r="AU166" s="135"/>
      <c r="AV166" s="136"/>
      <c r="AY166" s="239" t="s">
        <v>84</v>
      </c>
      <c r="AZ166" s="142">
        <v>110</v>
      </c>
      <c r="BA166" s="146">
        <v>97</v>
      </c>
      <c r="BB166" s="142">
        <v>0</v>
      </c>
      <c r="BC166" s="143">
        <v>0</v>
      </c>
      <c r="BD166" s="146">
        <v>0</v>
      </c>
      <c r="BE166" s="142">
        <v>0</v>
      </c>
      <c r="BF166" s="146">
        <v>0</v>
      </c>
      <c r="BG166" s="142"/>
      <c r="BH166" s="143"/>
      <c r="BI166" s="146">
        <v>14</v>
      </c>
      <c r="BJ166" s="28"/>
    </row>
    <row r="167" spans="1:62" x14ac:dyDescent="0.3">
      <c r="A167" s="138" t="s">
        <v>74</v>
      </c>
      <c r="B167" s="138">
        <v>1035</v>
      </c>
      <c r="C167" s="28">
        <v>2609</v>
      </c>
      <c r="D167" s="138"/>
      <c r="E167" s="28" t="s">
        <v>1291</v>
      </c>
      <c r="F167" s="28"/>
      <c r="G167" s="196"/>
      <c r="H167" s="28"/>
      <c r="I167" s="28"/>
      <c r="J167" s="141"/>
      <c r="M167" s="138"/>
      <c r="N167" s="138"/>
      <c r="O167" s="196"/>
      <c r="P167" s="138"/>
      <c r="Q167" s="196"/>
      <c r="R167" s="141"/>
      <c r="S167" s="138"/>
      <c r="T167" s="196"/>
      <c r="U167" s="138" t="s">
        <v>80</v>
      </c>
      <c r="V167" s="141"/>
      <c r="Y167" s="41" t="s">
        <v>1095</v>
      </c>
      <c r="Z167" s="67">
        <v>228</v>
      </c>
      <c r="AA167" s="40">
        <v>0</v>
      </c>
      <c r="AB167" s="67"/>
      <c r="AC167" s="43">
        <v>0</v>
      </c>
      <c r="AD167" s="40">
        <v>0</v>
      </c>
      <c r="AE167" s="42">
        <v>0</v>
      </c>
      <c r="AF167" s="40">
        <v>0</v>
      </c>
      <c r="AG167" s="41">
        <v>0</v>
      </c>
      <c r="AH167" s="67">
        <v>3</v>
      </c>
      <c r="AI167" s="43" t="s">
        <v>1343</v>
      </c>
      <c r="AJ167" s="40"/>
      <c r="AM167" s="138"/>
      <c r="AN167" s="138"/>
      <c r="AO167" s="141"/>
      <c r="AP167" s="138"/>
      <c r="AQ167" s="141"/>
      <c r="AR167" s="28"/>
      <c r="AS167" s="28" t="s">
        <v>110</v>
      </c>
      <c r="AT167" s="28" t="s">
        <v>111</v>
      </c>
      <c r="AU167" s="28" t="s">
        <v>112</v>
      </c>
      <c r="AV167" s="141"/>
      <c r="AY167" s="195"/>
      <c r="AZ167" s="134"/>
      <c r="BA167" s="136"/>
      <c r="BB167" s="240"/>
      <c r="BC167" s="241"/>
      <c r="BD167" s="242"/>
      <c r="BE167" s="134"/>
      <c r="BF167" s="136"/>
      <c r="BG167" s="135"/>
      <c r="BH167" s="135" t="s">
        <v>92</v>
      </c>
      <c r="BI167" s="136"/>
    </row>
    <row r="168" spans="1:62" ht="15" thickBot="1" x14ac:dyDescent="0.35">
      <c r="A168" s="138"/>
      <c r="B168" s="138"/>
      <c r="C168" s="28"/>
      <c r="D168" s="138"/>
      <c r="E168" s="28"/>
      <c r="F168" s="28"/>
      <c r="G168" s="196"/>
      <c r="H168" s="43">
        <v>18</v>
      </c>
      <c r="I168" s="43" t="s">
        <v>436</v>
      </c>
      <c r="J168" s="141"/>
      <c r="M168" s="138" t="s">
        <v>74</v>
      </c>
      <c r="N168" s="138">
        <v>8753</v>
      </c>
      <c r="O168" s="196">
        <v>50</v>
      </c>
      <c r="P168" s="138">
        <v>0</v>
      </c>
      <c r="Q168" s="196">
        <v>0</v>
      </c>
      <c r="R168" s="141">
        <v>0</v>
      </c>
      <c r="S168" s="138">
        <v>0</v>
      </c>
      <c r="T168" s="196">
        <v>0</v>
      </c>
      <c r="U168" s="138"/>
      <c r="V168" s="141"/>
      <c r="Y168" s="46" t="s">
        <v>84</v>
      </c>
      <c r="Z168" s="282">
        <v>323</v>
      </c>
      <c r="AA168" s="49"/>
      <c r="AB168" s="282"/>
      <c r="AC168" s="48"/>
      <c r="AD168" s="73"/>
      <c r="AE168" s="72"/>
      <c r="AF168" s="73"/>
      <c r="AG168" s="62"/>
      <c r="AH168" s="72">
        <v>1</v>
      </c>
      <c r="AI168" s="51" t="s">
        <v>1393</v>
      </c>
      <c r="AJ168" s="49">
        <v>4</v>
      </c>
      <c r="AM168" s="138" t="s">
        <v>63</v>
      </c>
      <c r="AN168" s="138">
        <v>64</v>
      </c>
      <c r="AO168" s="141">
        <v>75</v>
      </c>
      <c r="AP168" s="138"/>
      <c r="AQ168" s="141"/>
      <c r="AR168" s="43"/>
      <c r="AS168" s="28"/>
      <c r="AT168" s="28"/>
      <c r="AU168" s="28"/>
      <c r="AV168" s="141"/>
      <c r="AY168" s="196"/>
      <c r="AZ168" s="138"/>
      <c r="BA168" s="141"/>
      <c r="BB168" s="138"/>
      <c r="BC168" s="43"/>
      <c r="BD168" s="141"/>
      <c r="BE168" s="138"/>
      <c r="BF168" s="141"/>
      <c r="BG168" s="43"/>
      <c r="BH168" s="43" t="s">
        <v>1394</v>
      </c>
      <c r="BI168" s="141"/>
    </row>
    <row r="169" spans="1:62" x14ac:dyDescent="0.3">
      <c r="A169" s="142"/>
      <c r="B169" s="142"/>
      <c r="C169" s="143"/>
      <c r="D169" s="142"/>
      <c r="E169" s="143"/>
      <c r="F169" s="143"/>
      <c r="G169" s="199"/>
      <c r="H169" s="143"/>
      <c r="I169" s="143"/>
      <c r="J169" s="146">
        <v>18</v>
      </c>
      <c r="M169" s="142"/>
      <c r="N169" s="142"/>
      <c r="O169" s="199"/>
      <c r="P169" s="142"/>
      <c r="Q169" s="199"/>
      <c r="R169" s="146"/>
      <c r="S169" s="142"/>
      <c r="T169" s="199"/>
      <c r="U169" s="142"/>
      <c r="V169" s="146"/>
      <c r="Y169" s="32"/>
      <c r="Z169" s="34"/>
      <c r="AA169" s="34"/>
      <c r="AB169" s="33"/>
      <c r="AC169" s="34"/>
      <c r="AD169" s="35"/>
      <c r="AE169" s="34"/>
      <c r="AF169" s="34"/>
      <c r="AG169" s="32"/>
      <c r="AH169" s="33" t="s">
        <v>1298</v>
      </c>
      <c r="AI169" s="34"/>
      <c r="AJ169" s="35"/>
      <c r="AM169" s="138" t="s">
        <v>56</v>
      </c>
      <c r="AN169" s="138">
        <v>0</v>
      </c>
      <c r="AO169" s="141">
        <v>8</v>
      </c>
      <c r="AP169" s="138">
        <v>0</v>
      </c>
      <c r="AQ169" s="141">
        <v>0</v>
      </c>
      <c r="AR169" s="28"/>
      <c r="AS169" s="43"/>
      <c r="AT169" s="28"/>
      <c r="AU169" s="28"/>
      <c r="AV169" s="141"/>
      <c r="AY169" s="211"/>
      <c r="AZ169" s="138"/>
      <c r="BA169" s="141"/>
      <c r="BB169" s="212"/>
      <c r="BC169" s="43"/>
      <c r="BD169" s="209"/>
      <c r="BE169" s="138"/>
      <c r="BF169" s="141"/>
      <c r="BG169" s="43"/>
      <c r="BH169" s="43"/>
      <c r="BI169" s="141"/>
      <c r="BJ169" s="28"/>
    </row>
    <row r="170" spans="1:62" x14ac:dyDescent="0.3">
      <c r="A170" s="134"/>
      <c r="B170" s="134"/>
      <c r="C170" s="135"/>
      <c r="D170" s="134"/>
      <c r="E170" s="135"/>
      <c r="F170" s="135"/>
      <c r="G170" s="195">
        <v>1</v>
      </c>
      <c r="H170" s="135" t="s">
        <v>87</v>
      </c>
      <c r="I170" s="135"/>
      <c r="J170" s="136"/>
      <c r="M170" s="134"/>
      <c r="N170" s="134"/>
      <c r="O170" s="195"/>
      <c r="P170" s="134"/>
      <c r="Q170" s="195"/>
      <c r="R170" s="136"/>
      <c r="S170" s="134"/>
      <c r="T170" s="195"/>
      <c r="U170" s="134" t="s">
        <v>6</v>
      </c>
      <c r="V170" s="136"/>
      <c r="Y170" s="41"/>
      <c r="AB170" s="42"/>
      <c r="AC170" s="28"/>
      <c r="AD170" s="40"/>
      <c r="AG170" s="41"/>
      <c r="AH170" s="42">
        <v>1</v>
      </c>
      <c r="AI170" s="43" t="s">
        <v>1299</v>
      </c>
      <c r="AJ170" s="40" t="s">
        <v>1395</v>
      </c>
      <c r="AM170" s="138" t="s">
        <v>72</v>
      </c>
      <c r="AN170" s="138">
        <v>5</v>
      </c>
      <c r="AO170" s="141">
        <v>0</v>
      </c>
      <c r="AP170" s="138">
        <v>0</v>
      </c>
      <c r="AQ170" s="141">
        <v>0</v>
      </c>
      <c r="AR170" s="28"/>
      <c r="AS170" s="28"/>
      <c r="AT170" s="28"/>
      <c r="AU170" s="28"/>
      <c r="AV170" s="141"/>
      <c r="AY170" s="196"/>
      <c r="AZ170" s="138"/>
      <c r="BA170" s="141"/>
      <c r="BB170" s="138"/>
      <c r="BC170" s="43"/>
      <c r="BD170" s="141"/>
      <c r="BE170" s="138"/>
      <c r="BF170" s="141"/>
      <c r="BG170" s="43"/>
      <c r="BH170" s="28"/>
      <c r="BI170" s="141"/>
    </row>
    <row r="171" spans="1:62" ht="15" thickBot="1" x14ac:dyDescent="0.35">
      <c r="A171" s="138" t="s">
        <v>93</v>
      </c>
      <c r="B171" s="138">
        <v>4514</v>
      </c>
      <c r="C171" s="28">
        <v>4999</v>
      </c>
      <c r="D171" s="138"/>
      <c r="E171" s="28" t="s">
        <v>1291</v>
      </c>
      <c r="F171" s="28"/>
      <c r="G171" s="196"/>
      <c r="H171" s="43">
        <v>30</v>
      </c>
      <c r="I171" s="28" t="s">
        <v>101</v>
      </c>
      <c r="J171" s="141"/>
      <c r="M171" s="138"/>
      <c r="N171" s="138"/>
      <c r="O171" s="196"/>
      <c r="P171" s="138"/>
      <c r="Q171" s="196"/>
      <c r="R171" s="141"/>
      <c r="S171" s="138"/>
      <c r="T171" s="196"/>
      <c r="U171" s="138"/>
      <c r="V171" s="141"/>
      <c r="Y171" s="46" t="s">
        <v>1300</v>
      </c>
      <c r="Z171" s="48">
        <v>283</v>
      </c>
      <c r="AA171" s="48">
        <v>287</v>
      </c>
      <c r="AB171" s="47">
        <v>0</v>
      </c>
      <c r="AC171" s="48">
        <v>0</v>
      </c>
      <c r="AD171" s="49">
        <v>0</v>
      </c>
      <c r="AE171" s="48">
        <v>0</v>
      </c>
      <c r="AF171" s="48">
        <v>0</v>
      </c>
      <c r="AG171" s="46">
        <v>0</v>
      </c>
      <c r="AH171" s="47">
        <v>6</v>
      </c>
      <c r="AI171" s="48" t="s">
        <v>145</v>
      </c>
      <c r="AJ171" s="49">
        <v>9</v>
      </c>
      <c r="AM171" s="138" t="s">
        <v>78</v>
      </c>
      <c r="AN171" s="138">
        <v>25</v>
      </c>
      <c r="AO171" s="141">
        <v>4</v>
      </c>
      <c r="AP171" s="138">
        <v>0</v>
      </c>
      <c r="AQ171" s="141">
        <v>0</v>
      </c>
      <c r="AR171" s="28"/>
      <c r="AS171" s="43">
        <v>25</v>
      </c>
      <c r="AT171" s="28" t="s">
        <v>123</v>
      </c>
      <c r="AU171" s="28" t="s">
        <v>6</v>
      </c>
      <c r="AV171" s="141"/>
      <c r="AY171" s="211" t="s">
        <v>99</v>
      </c>
      <c r="AZ171" s="138">
        <v>0</v>
      </c>
      <c r="BA171" s="141">
        <v>0</v>
      </c>
      <c r="BB171" s="138">
        <v>0</v>
      </c>
      <c r="BC171" s="43">
        <v>0</v>
      </c>
      <c r="BD171" s="141">
        <v>0</v>
      </c>
      <c r="BE171" s="138">
        <v>69989</v>
      </c>
      <c r="BF171" s="141">
        <v>20907</v>
      </c>
      <c r="BG171" s="28"/>
      <c r="BH171" s="28"/>
      <c r="BI171" s="141"/>
      <c r="BJ171" s="28"/>
    </row>
    <row r="172" spans="1:62" x14ac:dyDescent="0.3">
      <c r="A172" s="138"/>
      <c r="B172" s="138"/>
      <c r="C172" s="28"/>
      <c r="D172" s="138"/>
      <c r="E172" s="28"/>
      <c r="F172" s="28"/>
      <c r="G172" s="196"/>
      <c r="H172" s="43">
        <v>1</v>
      </c>
      <c r="I172" s="28" t="s">
        <v>927</v>
      </c>
      <c r="J172" s="141">
        <v>31</v>
      </c>
      <c r="M172" s="138"/>
      <c r="N172" s="138"/>
      <c r="O172" s="196"/>
      <c r="P172" s="138"/>
      <c r="Q172" s="196"/>
      <c r="R172" s="141"/>
      <c r="S172" s="138"/>
      <c r="T172" s="196"/>
      <c r="U172" s="138"/>
      <c r="V172" s="141"/>
      <c r="Y172" s="42"/>
      <c r="Z172" s="42"/>
      <c r="AA172" s="40"/>
      <c r="AB172" s="33"/>
      <c r="AC172" s="34"/>
      <c r="AD172" s="35"/>
      <c r="AE172" s="33"/>
      <c r="AF172" s="35"/>
      <c r="AG172" s="43"/>
      <c r="AH172" s="33" t="s">
        <v>90</v>
      </c>
      <c r="AI172" s="34"/>
      <c r="AJ172" s="35"/>
      <c r="AM172" s="138" t="s">
        <v>67</v>
      </c>
      <c r="AN172" s="138">
        <v>83</v>
      </c>
      <c r="AO172" s="141">
        <v>54</v>
      </c>
      <c r="AP172" s="138">
        <v>0</v>
      </c>
      <c r="AQ172" s="141">
        <v>0</v>
      </c>
      <c r="AR172" s="28"/>
      <c r="AS172" s="43">
        <v>35</v>
      </c>
      <c r="AT172" s="28" t="s">
        <v>126</v>
      </c>
      <c r="AU172" s="28"/>
      <c r="AV172" s="141"/>
      <c r="AY172" s="211" t="s">
        <v>64</v>
      </c>
      <c r="AZ172" s="138">
        <v>0</v>
      </c>
      <c r="BA172" s="141">
        <v>0</v>
      </c>
      <c r="BB172" s="138">
        <v>0</v>
      </c>
      <c r="BC172" s="43">
        <v>0</v>
      </c>
      <c r="BD172" s="141">
        <v>0</v>
      </c>
      <c r="BE172" s="138">
        <v>7726</v>
      </c>
      <c r="BF172" s="209">
        <v>1818</v>
      </c>
      <c r="BG172" s="43"/>
      <c r="BH172" s="43"/>
      <c r="BI172" s="141"/>
      <c r="BJ172" s="28"/>
    </row>
    <row r="173" spans="1:62" x14ac:dyDescent="0.3">
      <c r="A173" s="134" t="s">
        <v>108</v>
      </c>
      <c r="B173" s="134">
        <v>0</v>
      </c>
      <c r="C173" s="136">
        <v>181</v>
      </c>
      <c r="D173" s="135"/>
      <c r="E173" s="243">
        <v>0</v>
      </c>
      <c r="F173" s="135"/>
      <c r="G173" s="195">
        <v>1</v>
      </c>
      <c r="H173" s="135" t="s">
        <v>104</v>
      </c>
      <c r="I173" s="135"/>
      <c r="J173" s="136"/>
      <c r="M173" s="142"/>
      <c r="N173" s="142"/>
      <c r="O173" s="199"/>
      <c r="P173" s="142"/>
      <c r="Q173" s="199"/>
      <c r="R173" s="146"/>
      <c r="S173" s="142"/>
      <c r="T173" s="199"/>
      <c r="U173" s="142"/>
      <c r="V173" s="146"/>
      <c r="Y173" s="42"/>
      <c r="Z173" s="42"/>
      <c r="AA173" s="40"/>
      <c r="AB173" s="42"/>
      <c r="AC173" s="43"/>
      <c r="AD173" s="40"/>
      <c r="AE173" s="42"/>
      <c r="AF173" s="40"/>
      <c r="AG173" s="43"/>
      <c r="AH173" s="67"/>
      <c r="AI173" s="28"/>
      <c r="AJ173" s="40"/>
      <c r="AM173" s="138" t="s">
        <v>1354</v>
      </c>
      <c r="AN173" s="138">
        <v>5</v>
      </c>
      <c r="AO173" s="141">
        <v>2</v>
      </c>
      <c r="AP173" s="138">
        <v>0</v>
      </c>
      <c r="AQ173" s="141">
        <v>0</v>
      </c>
      <c r="AR173" s="28"/>
      <c r="AS173" s="43">
        <v>27</v>
      </c>
      <c r="AT173" s="28" t="s">
        <v>129</v>
      </c>
      <c r="AU173" s="28" t="s">
        <v>6</v>
      </c>
      <c r="AV173" s="141"/>
      <c r="AY173" s="211" t="s">
        <v>84</v>
      </c>
      <c r="AZ173" s="212">
        <v>0</v>
      </c>
      <c r="BA173" s="209">
        <v>0</v>
      </c>
      <c r="BB173" s="138">
        <v>0</v>
      </c>
      <c r="BC173" s="43">
        <v>0</v>
      </c>
      <c r="BD173" s="141"/>
      <c r="BE173" s="138">
        <v>77715</v>
      </c>
      <c r="BF173" s="209">
        <v>22725</v>
      </c>
      <c r="BG173" s="28"/>
      <c r="BH173" s="43"/>
      <c r="BI173" s="141">
        <v>26</v>
      </c>
      <c r="BJ173" s="28"/>
    </row>
    <row r="174" spans="1:62" x14ac:dyDescent="0.3">
      <c r="A174" s="138" t="s">
        <v>109</v>
      </c>
      <c r="B174" s="138">
        <v>1476</v>
      </c>
      <c r="C174" s="141">
        <v>1682</v>
      </c>
      <c r="D174" s="28"/>
      <c r="E174" s="343">
        <v>710</v>
      </c>
      <c r="F174" s="43"/>
      <c r="G174" s="196"/>
      <c r="H174" s="43">
        <v>8</v>
      </c>
      <c r="I174" s="28" t="s">
        <v>114</v>
      </c>
      <c r="J174" s="141"/>
      <c r="M174" s="134"/>
      <c r="N174" s="134"/>
      <c r="O174" s="195"/>
      <c r="P174" s="134"/>
      <c r="Q174" s="195"/>
      <c r="R174" s="136"/>
      <c r="S174" s="134"/>
      <c r="T174" s="195"/>
      <c r="U174" s="134" t="s">
        <v>104</v>
      </c>
      <c r="V174" s="136"/>
      <c r="Y174" s="67" t="s">
        <v>89</v>
      </c>
      <c r="Z174" s="67">
        <v>42</v>
      </c>
      <c r="AA174" s="56">
        <v>40</v>
      </c>
      <c r="AB174" s="42">
        <v>0</v>
      </c>
      <c r="AC174" s="43">
        <v>0</v>
      </c>
      <c r="AD174" s="40">
        <v>0</v>
      </c>
      <c r="AE174" s="42">
        <v>0</v>
      </c>
      <c r="AF174" s="40">
        <v>0</v>
      </c>
      <c r="AG174" s="43">
        <v>0</v>
      </c>
      <c r="AH174" s="67">
        <v>1</v>
      </c>
      <c r="AI174" s="43" t="s">
        <v>98</v>
      </c>
      <c r="AJ174" s="40"/>
      <c r="AM174" s="138" t="s">
        <v>536</v>
      </c>
      <c r="AN174" s="138">
        <v>0</v>
      </c>
      <c r="AO174" s="141">
        <v>3</v>
      </c>
      <c r="AP174" s="138">
        <v>0</v>
      </c>
      <c r="AQ174" s="141">
        <v>0</v>
      </c>
      <c r="AR174" s="28"/>
      <c r="AS174" s="28"/>
      <c r="AT174" s="28"/>
      <c r="AU174" s="28"/>
      <c r="AV174" s="141"/>
      <c r="AY174" s="134"/>
      <c r="AZ174" s="134"/>
      <c r="BA174" s="136"/>
      <c r="BB174" s="134">
        <v>0</v>
      </c>
      <c r="BC174" s="135">
        <v>0</v>
      </c>
      <c r="BD174" s="136">
        <v>0</v>
      </c>
      <c r="BE174" s="134">
        <v>0</v>
      </c>
      <c r="BF174" s="135">
        <v>0</v>
      </c>
      <c r="BG174" s="134"/>
      <c r="BH174" s="135" t="s">
        <v>91</v>
      </c>
      <c r="BI174" s="136"/>
      <c r="BJ174" s="28"/>
    </row>
    <row r="175" spans="1:62" ht="15" thickBot="1" x14ac:dyDescent="0.35">
      <c r="A175" s="138" t="s">
        <v>84</v>
      </c>
      <c r="B175" s="138">
        <v>1476</v>
      </c>
      <c r="C175" s="141">
        <v>1863</v>
      </c>
      <c r="D175" s="28"/>
      <c r="E175" s="343">
        <v>0</v>
      </c>
      <c r="F175" s="43"/>
      <c r="G175" s="196"/>
      <c r="H175" s="28"/>
      <c r="I175" s="28"/>
      <c r="J175" s="141">
        <v>8</v>
      </c>
      <c r="M175" s="138" t="s">
        <v>109</v>
      </c>
      <c r="N175" s="138">
        <v>0</v>
      </c>
      <c r="O175" s="196">
        <v>0</v>
      </c>
      <c r="P175" s="138">
        <v>0</v>
      </c>
      <c r="Q175" s="196">
        <v>0</v>
      </c>
      <c r="R175" s="141">
        <v>0</v>
      </c>
      <c r="S175" s="138">
        <v>0</v>
      </c>
      <c r="T175" s="196">
        <v>0</v>
      </c>
      <c r="U175" s="138"/>
      <c r="V175" s="141"/>
      <c r="Y175" s="42" t="s">
        <v>84</v>
      </c>
      <c r="Z175" s="244">
        <v>42</v>
      </c>
      <c r="AA175" s="245">
        <v>40</v>
      </c>
      <c r="AB175" s="47">
        <v>0</v>
      </c>
      <c r="AC175" s="48">
        <v>0</v>
      </c>
      <c r="AD175" s="49">
        <v>0</v>
      </c>
      <c r="AE175" s="47">
        <v>0</v>
      </c>
      <c r="AF175" s="49">
        <v>0</v>
      </c>
      <c r="AG175" s="43">
        <v>0</v>
      </c>
      <c r="AH175" s="72"/>
      <c r="AI175" s="48"/>
      <c r="AJ175" s="49">
        <v>1</v>
      </c>
      <c r="AM175" s="138" t="s">
        <v>115</v>
      </c>
      <c r="AN175" s="138">
        <v>34</v>
      </c>
      <c r="AO175" s="141">
        <v>24</v>
      </c>
      <c r="AP175" s="138">
        <v>0</v>
      </c>
      <c r="AQ175" s="141">
        <v>0</v>
      </c>
      <c r="AR175" s="28"/>
      <c r="AS175" s="28"/>
      <c r="AT175" s="28"/>
      <c r="AU175" s="28"/>
      <c r="AV175" s="141" t="s">
        <v>6</v>
      </c>
      <c r="AY175" s="138"/>
      <c r="AZ175" s="138"/>
      <c r="BA175" s="141"/>
      <c r="BB175" s="138">
        <v>0</v>
      </c>
      <c r="BC175" s="43">
        <v>0</v>
      </c>
      <c r="BD175" s="141">
        <v>0</v>
      </c>
      <c r="BE175" s="138">
        <v>0</v>
      </c>
      <c r="BF175" s="43">
        <v>0</v>
      </c>
      <c r="BG175" s="212"/>
      <c r="BH175" s="43"/>
      <c r="BI175" s="141"/>
      <c r="BJ175" s="28"/>
    </row>
    <row r="176" spans="1:62" x14ac:dyDescent="0.3">
      <c r="A176" s="138"/>
      <c r="B176" s="138"/>
      <c r="C176" s="141"/>
      <c r="D176" s="28"/>
      <c r="E176" s="28"/>
      <c r="F176" s="28"/>
      <c r="G176" s="196"/>
      <c r="H176" s="28"/>
      <c r="I176" s="28"/>
      <c r="J176" s="141"/>
      <c r="M176" s="142"/>
      <c r="N176" s="142"/>
      <c r="O176" s="199"/>
      <c r="P176" s="142"/>
      <c r="Q176" s="199"/>
      <c r="R176" s="146"/>
      <c r="S176" s="142"/>
      <c r="T176" s="199"/>
      <c r="U176" s="142"/>
      <c r="V176" s="146"/>
      <c r="Y176" s="32"/>
      <c r="Z176" s="135"/>
      <c r="AA176" s="135"/>
      <c r="AB176" s="33">
        <v>0</v>
      </c>
      <c r="AC176" s="34">
        <v>0</v>
      </c>
      <c r="AD176" s="35">
        <v>0</v>
      </c>
      <c r="AE176" s="67">
        <v>0</v>
      </c>
      <c r="AF176" s="56">
        <v>0</v>
      </c>
      <c r="AG176" s="32">
        <v>0</v>
      </c>
      <c r="AH176" s="34"/>
      <c r="AI176" s="34"/>
      <c r="AJ176" s="35"/>
      <c r="AM176" s="138" t="s">
        <v>1396</v>
      </c>
      <c r="AN176" s="138">
        <v>33</v>
      </c>
      <c r="AO176" s="141">
        <v>37</v>
      </c>
      <c r="AP176" s="138">
        <v>0</v>
      </c>
      <c r="AQ176" s="141">
        <v>0</v>
      </c>
      <c r="AR176" s="28"/>
      <c r="AS176" s="28"/>
      <c r="AT176" s="28"/>
      <c r="AU176" s="28"/>
      <c r="AV176" s="141"/>
      <c r="AY176" s="212" t="s">
        <v>137</v>
      </c>
      <c r="AZ176" s="212">
        <v>929</v>
      </c>
      <c r="BA176" s="209">
        <v>989</v>
      </c>
      <c r="BB176" s="138">
        <v>0</v>
      </c>
      <c r="BC176" s="43">
        <v>0</v>
      </c>
      <c r="BD176" s="141">
        <v>0</v>
      </c>
      <c r="BE176" s="138">
        <v>0</v>
      </c>
      <c r="BF176" s="43">
        <v>0</v>
      </c>
      <c r="BG176" s="138">
        <v>31</v>
      </c>
      <c r="BH176" s="43" t="s">
        <v>1134</v>
      </c>
      <c r="BI176" s="141"/>
      <c r="BJ176" s="28"/>
    </row>
    <row r="177" spans="1:62" x14ac:dyDescent="0.3">
      <c r="A177" s="134"/>
      <c r="B177" s="134"/>
      <c r="C177" s="242"/>
      <c r="D177" s="135"/>
      <c r="E177" s="135"/>
      <c r="F177" s="135"/>
      <c r="G177" s="195">
        <v>1</v>
      </c>
      <c r="H177" s="134" t="s">
        <v>118</v>
      </c>
      <c r="I177" s="135"/>
      <c r="J177" s="136"/>
      <c r="M177" s="134" t="s">
        <v>93</v>
      </c>
      <c r="N177" s="134">
        <v>107</v>
      </c>
      <c r="O177" s="195">
        <v>0</v>
      </c>
      <c r="P177" s="134">
        <v>0</v>
      </c>
      <c r="Q177" s="195">
        <v>0</v>
      </c>
      <c r="R177" s="136">
        <v>0</v>
      </c>
      <c r="S177" s="134">
        <v>0</v>
      </c>
      <c r="T177" s="195">
        <v>0</v>
      </c>
      <c r="U177" s="134" t="s">
        <v>116</v>
      </c>
      <c r="V177" s="136"/>
      <c r="Y177" s="41" t="s">
        <v>817</v>
      </c>
      <c r="Z177" s="43">
        <v>351</v>
      </c>
      <c r="AA177" s="43">
        <v>432</v>
      </c>
      <c r="AB177" s="42">
        <v>0</v>
      </c>
      <c r="AC177" s="43">
        <v>0</v>
      </c>
      <c r="AD177" s="40">
        <v>0</v>
      </c>
      <c r="AE177" s="67">
        <v>0</v>
      </c>
      <c r="AF177" s="56">
        <v>0</v>
      </c>
      <c r="AG177" s="41">
        <v>0</v>
      </c>
      <c r="AH177" s="28" t="s">
        <v>1302</v>
      </c>
      <c r="AI177" s="28" t="s">
        <v>6</v>
      </c>
      <c r="AJ177" s="40"/>
      <c r="AM177" s="138" t="s">
        <v>122</v>
      </c>
      <c r="AN177" s="138">
        <v>37</v>
      </c>
      <c r="AO177" s="141">
        <v>56</v>
      </c>
      <c r="AP177" s="138">
        <v>0</v>
      </c>
      <c r="AQ177" s="141">
        <v>0</v>
      </c>
      <c r="AR177" s="28"/>
      <c r="AS177" s="28"/>
      <c r="AT177" s="28"/>
      <c r="AU177" s="28"/>
      <c r="AV177" s="141"/>
      <c r="AY177" s="138" t="s">
        <v>88</v>
      </c>
      <c r="AZ177" s="138">
        <v>329</v>
      </c>
      <c r="BA177" s="141">
        <v>371</v>
      </c>
      <c r="BB177" s="138">
        <v>0</v>
      </c>
      <c r="BC177" s="43">
        <v>0</v>
      </c>
      <c r="BD177" s="141">
        <v>0</v>
      </c>
      <c r="BE177" s="138">
        <v>0</v>
      </c>
      <c r="BF177" s="43">
        <v>0</v>
      </c>
      <c r="BG177" s="212">
        <v>15</v>
      </c>
      <c r="BH177" s="28" t="s">
        <v>1303</v>
      </c>
      <c r="BI177" s="141"/>
      <c r="BJ177" s="28"/>
    </row>
    <row r="178" spans="1:62" x14ac:dyDescent="0.3">
      <c r="A178" s="138" t="s">
        <v>785</v>
      </c>
      <c r="B178" s="138">
        <v>836</v>
      </c>
      <c r="C178" s="209">
        <v>868</v>
      </c>
      <c r="D178" s="28"/>
      <c r="E178" s="28"/>
      <c r="F178" s="28"/>
      <c r="G178" s="196"/>
      <c r="H178" s="138">
        <v>75</v>
      </c>
      <c r="I178" s="28" t="s">
        <v>101</v>
      </c>
      <c r="J178" s="141"/>
      <c r="M178" s="138" t="s">
        <v>99</v>
      </c>
      <c r="N178" s="138">
        <v>7459</v>
      </c>
      <c r="O178" s="196">
        <v>12023</v>
      </c>
      <c r="P178" s="138">
        <v>0</v>
      </c>
      <c r="Q178" s="196">
        <v>0</v>
      </c>
      <c r="R178" s="141">
        <v>0</v>
      </c>
      <c r="S178" s="138">
        <v>1927</v>
      </c>
      <c r="T178" s="196">
        <v>2326</v>
      </c>
      <c r="U178" s="138"/>
      <c r="V178" s="141"/>
      <c r="Y178" s="41" t="s">
        <v>164</v>
      </c>
      <c r="Z178" s="43">
        <v>0</v>
      </c>
      <c r="AA178" s="43">
        <v>0</v>
      </c>
      <c r="AB178" s="42">
        <v>0</v>
      </c>
      <c r="AC178" s="43">
        <v>0</v>
      </c>
      <c r="AD178" s="40">
        <v>0</v>
      </c>
      <c r="AE178" s="67">
        <v>0</v>
      </c>
      <c r="AF178" s="56">
        <v>0</v>
      </c>
      <c r="AG178" s="41">
        <v>0</v>
      </c>
      <c r="AH178" s="43">
        <v>5</v>
      </c>
      <c r="AI178" s="43" t="s">
        <v>359</v>
      </c>
      <c r="AJ178" s="40"/>
      <c r="AM178" s="138" t="s">
        <v>230</v>
      </c>
      <c r="AN178" s="138">
        <v>0</v>
      </c>
      <c r="AO178" s="141">
        <v>0</v>
      </c>
      <c r="AP178" s="138">
        <v>0</v>
      </c>
      <c r="AQ178" s="141">
        <v>0</v>
      </c>
      <c r="AR178" s="28"/>
      <c r="AS178" s="28"/>
      <c r="AT178" s="28"/>
      <c r="AU178" s="28"/>
      <c r="AV178" s="141"/>
      <c r="AY178" s="212" t="s">
        <v>93</v>
      </c>
      <c r="AZ178" s="212">
        <v>0</v>
      </c>
      <c r="BA178" s="209">
        <v>0</v>
      </c>
      <c r="BB178" s="138">
        <v>0</v>
      </c>
      <c r="BC178" s="43">
        <v>0</v>
      </c>
      <c r="BD178" s="141">
        <v>0</v>
      </c>
      <c r="BE178" s="138">
        <v>0</v>
      </c>
      <c r="BF178" s="43">
        <v>0</v>
      </c>
      <c r="BG178" s="138">
        <v>15</v>
      </c>
      <c r="BH178" s="43" t="s">
        <v>1346</v>
      </c>
      <c r="BI178" s="141"/>
      <c r="BJ178" s="28"/>
    </row>
    <row r="179" spans="1:62" x14ac:dyDescent="0.3">
      <c r="A179" s="138" t="s">
        <v>93</v>
      </c>
      <c r="B179" s="212">
        <v>8041</v>
      </c>
      <c r="C179" s="209">
        <v>8041</v>
      </c>
      <c r="D179" s="28"/>
      <c r="E179" s="28" t="s">
        <v>1291</v>
      </c>
      <c r="F179" s="28"/>
      <c r="G179" s="211"/>
      <c r="H179" s="138">
        <v>26</v>
      </c>
      <c r="I179" s="28" t="s">
        <v>927</v>
      </c>
      <c r="J179" s="141"/>
      <c r="M179" s="138" t="s">
        <v>120</v>
      </c>
      <c r="N179" s="138">
        <v>212</v>
      </c>
      <c r="O179" s="196">
        <v>10402</v>
      </c>
      <c r="P179" s="138">
        <v>0</v>
      </c>
      <c r="Q179" s="196">
        <v>0</v>
      </c>
      <c r="R179" s="141">
        <v>0</v>
      </c>
      <c r="S179" s="138">
        <v>0</v>
      </c>
      <c r="T179" s="196">
        <v>0</v>
      </c>
      <c r="U179" s="138"/>
      <c r="V179" s="141"/>
      <c r="Y179" s="41" t="s">
        <v>1347</v>
      </c>
      <c r="Z179" s="43">
        <v>0</v>
      </c>
      <c r="AA179" s="43">
        <v>139</v>
      </c>
      <c r="AB179" s="42">
        <v>0</v>
      </c>
      <c r="AC179" s="43">
        <v>0</v>
      </c>
      <c r="AD179" s="40">
        <v>0</v>
      </c>
      <c r="AE179" s="67">
        <v>0</v>
      </c>
      <c r="AF179" s="56">
        <v>0</v>
      </c>
      <c r="AG179" s="41">
        <v>0</v>
      </c>
      <c r="AH179" s="43"/>
      <c r="AI179" s="43"/>
      <c r="AJ179" s="40"/>
      <c r="AM179" s="142" t="s">
        <v>84</v>
      </c>
      <c r="AN179" s="142">
        <v>286</v>
      </c>
      <c r="AO179" s="146">
        <v>263</v>
      </c>
      <c r="AP179" s="142">
        <v>0</v>
      </c>
      <c r="AQ179" s="146">
        <v>0</v>
      </c>
      <c r="AR179" s="143"/>
      <c r="AS179" s="143"/>
      <c r="AT179" s="143"/>
      <c r="AU179" s="143"/>
      <c r="AV179" s="146">
        <v>87</v>
      </c>
      <c r="AY179" s="212" t="s">
        <v>97</v>
      </c>
      <c r="AZ179" s="212">
        <v>2582</v>
      </c>
      <c r="BA179" s="209">
        <v>2302</v>
      </c>
      <c r="BB179" s="138">
        <v>0</v>
      </c>
      <c r="BC179" s="43">
        <v>0</v>
      </c>
      <c r="BD179" s="141">
        <v>0</v>
      </c>
      <c r="BE179" s="138">
        <v>0</v>
      </c>
      <c r="BF179" s="43">
        <v>0</v>
      </c>
      <c r="BG179" s="138">
        <v>56</v>
      </c>
      <c r="BH179" s="43" t="s">
        <v>1305</v>
      </c>
      <c r="BI179" s="141"/>
      <c r="BJ179" s="28"/>
    </row>
    <row r="180" spans="1:62" ht="15" thickBot="1" x14ac:dyDescent="0.35">
      <c r="A180" s="138" t="s">
        <v>120</v>
      </c>
      <c r="B180" s="138">
        <v>4821</v>
      </c>
      <c r="C180" s="141">
        <v>5160</v>
      </c>
      <c r="D180" s="28"/>
      <c r="E180" s="28"/>
      <c r="F180" s="28"/>
      <c r="G180" s="196"/>
      <c r="H180" s="138">
        <v>29</v>
      </c>
      <c r="I180" s="28" t="s">
        <v>1306</v>
      </c>
      <c r="J180" s="141"/>
      <c r="M180" s="142" t="s">
        <v>84</v>
      </c>
      <c r="N180" s="142">
        <v>7778</v>
      </c>
      <c r="O180" s="199">
        <v>22425</v>
      </c>
      <c r="P180" s="142">
        <v>0</v>
      </c>
      <c r="Q180" s="199">
        <v>0</v>
      </c>
      <c r="R180" s="146">
        <v>0</v>
      </c>
      <c r="S180" s="142">
        <v>1927</v>
      </c>
      <c r="T180" s="199">
        <v>2326</v>
      </c>
      <c r="U180" s="142"/>
      <c r="V180" s="146"/>
      <c r="Y180" s="46" t="s">
        <v>84</v>
      </c>
      <c r="Z180" s="43">
        <v>351</v>
      </c>
      <c r="AA180" s="43">
        <v>571</v>
      </c>
      <c r="AB180" s="47">
        <v>0</v>
      </c>
      <c r="AC180" s="48">
        <v>0</v>
      </c>
      <c r="AD180" s="49">
        <v>0</v>
      </c>
      <c r="AE180" s="67">
        <v>0</v>
      </c>
      <c r="AF180" s="56">
        <v>0</v>
      </c>
      <c r="AG180" s="46">
        <v>0</v>
      </c>
      <c r="AH180" s="48"/>
      <c r="AI180" s="48"/>
      <c r="AJ180" s="49">
        <v>5</v>
      </c>
      <c r="AM180" s="134"/>
      <c r="AN180" s="134">
        <v>0</v>
      </c>
      <c r="AO180" s="136">
        <v>0</v>
      </c>
      <c r="AP180" s="134">
        <v>0</v>
      </c>
      <c r="AQ180" s="136">
        <v>0</v>
      </c>
      <c r="AR180" s="135"/>
      <c r="AS180" s="135"/>
      <c r="AT180" s="135"/>
      <c r="AU180" s="135"/>
      <c r="AV180" s="136"/>
      <c r="AY180" s="212" t="s">
        <v>113</v>
      </c>
      <c r="AZ180" s="212">
        <v>613</v>
      </c>
      <c r="BA180" s="209">
        <v>719</v>
      </c>
      <c r="BB180" s="138">
        <v>0</v>
      </c>
      <c r="BC180" s="43">
        <v>0</v>
      </c>
      <c r="BD180" s="141">
        <v>0</v>
      </c>
      <c r="BE180" s="138">
        <v>0</v>
      </c>
      <c r="BF180" s="43">
        <v>0</v>
      </c>
      <c r="BG180" s="138">
        <v>1</v>
      </c>
      <c r="BH180" s="43" t="s">
        <v>1294</v>
      </c>
      <c r="BI180" s="141"/>
      <c r="BJ180" s="28"/>
    </row>
    <row r="181" spans="1:62" x14ac:dyDescent="0.3">
      <c r="A181" s="212" t="s">
        <v>429</v>
      </c>
      <c r="B181" s="212">
        <v>2547</v>
      </c>
      <c r="C181" s="209">
        <v>2237</v>
      </c>
      <c r="D181" s="28"/>
      <c r="E181" s="28"/>
      <c r="F181" s="28"/>
      <c r="G181" s="196"/>
      <c r="H181" s="138"/>
      <c r="I181" s="28"/>
      <c r="J181" s="141"/>
      <c r="M181" s="134"/>
      <c r="N181" s="134"/>
      <c r="O181" s="195"/>
      <c r="P181" s="134"/>
      <c r="Q181" s="195"/>
      <c r="R181" s="136"/>
      <c r="S181" s="134"/>
      <c r="T181" s="195"/>
      <c r="U181" s="134"/>
      <c r="V181" s="136"/>
      <c r="Y181" s="42"/>
      <c r="Z181" s="33"/>
      <c r="AA181" s="35"/>
      <c r="AB181" s="34"/>
      <c r="AC181" s="34"/>
      <c r="AD181" s="34"/>
      <c r="AE181" s="33"/>
      <c r="AF181" s="35"/>
      <c r="AG181" s="32"/>
      <c r="AH181" s="34"/>
      <c r="AI181" s="34"/>
      <c r="AJ181" s="35"/>
      <c r="AM181" s="138" t="s">
        <v>56</v>
      </c>
      <c r="AN181" s="138">
        <v>0</v>
      </c>
      <c r="AO181" s="141">
        <v>0</v>
      </c>
      <c r="AP181" s="138">
        <v>0</v>
      </c>
      <c r="AQ181" s="141">
        <v>0</v>
      </c>
      <c r="AR181" s="28"/>
      <c r="AS181" s="28" t="s">
        <v>173</v>
      </c>
      <c r="AT181" s="28"/>
      <c r="AU181" s="28"/>
      <c r="AV181" s="141"/>
      <c r="AY181" s="212" t="s">
        <v>817</v>
      </c>
      <c r="AZ181" s="212">
        <v>0</v>
      </c>
      <c r="BA181" s="209">
        <v>0</v>
      </c>
      <c r="BB181" s="212">
        <v>0</v>
      </c>
      <c r="BC181" s="43">
        <v>0</v>
      </c>
      <c r="BD181" s="209">
        <v>0</v>
      </c>
      <c r="BE181" s="212">
        <v>0</v>
      </c>
      <c r="BF181" s="43">
        <v>0</v>
      </c>
      <c r="BG181" s="138"/>
      <c r="BH181" s="28"/>
      <c r="BI181" s="141"/>
      <c r="BJ181" s="28"/>
    </row>
    <row r="182" spans="1:62" ht="15" thickBot="1" x14ac:dyDescent="0.35">
      <c r="A182" s="142" t="s">
        <v>84</v>
      </c>
      <c r="B182" s="142">
        <v>16245</v>
      </c>
      <c r="C182" s="146">
        <v>16306</v>
      </c>
      <c r="D182" s="143"/>
      <c r="E182" s="143"/>
      <c r="F182" s="143"/>
      <c r="G182" s="199"/>
      <c r="H182" s="142"/>
      <c r="I182" s="143"/>
      <c r="J182" s="146">
        <v>130</v>
      </c>
      <c r="M182" s="138" t="s">
        <v>105</v>
      </c>
      <c r="N182" s="138">
        <v>1568</v>
      </c>
      <c r="O182" s="196">
        <v>1</v>
      </c>
      <c r="P182" s="138">
        <v>0</v>
      </c>
      <c r="Q182" s="196">
        <v>0</v>
      </c>
      <c r="R182" s="141">
        <v>0</v>
      </c>
      <c r="S182" s="138">
        <v>17</v>
      </c>
      <c r="T182" s="196">
        <v>0</v>
      </c>
      <c r="U182" s="138"/>
      <c r="V182" s="141"/>
      <c r="Y182" s="47"/>
      <c r="Z182" s="47"/>
      <c r="AA182" s="49"/>
      <c r="AB182" s="48"/>
      <c r="AC182" s="48"/>
      <c r="AD182" s="48"/>
      <c r="AE182" s="47"/>
      <c r="AF182" s="49"/>
      <c r="AG182" s="46"/>
      <c r="AH182" s="48"/>
      <c r="AI182" s="48"/>
      <c r="AJ182" s="49"/>
      <c r="AM182" s="138" t="s">
        <v>67</v>
      </c>
      <c r="AN182" s="138">
        <v>0</v>
      </c>
      <c r="AO182" s="141">
        <v>0</v>
      </c>
      <c r="AP182" s="138">
        <v>0</v>
      </c>
      <c r="AQ182" s="141">
        <v>0</v>
      </c>
      <c r="AR182" s="28"/>
      <c r="AS182" s="28"/>
      <c r="AT182" s="28"/>
      <c r="AU182" s="28"/>
      <c r="AV182" s="141"/>
      <c r="AY182" s="212" t="s">
        <v>99</v>
      </c>
      <c r="AZ182" s="212">
        <v>0</v>
      </c>
      <c r="BA182" s="209">
        <v>0</v>
      </c>
      <c r="BB182" s="138">
        <v>0</v>
      </c>
      <c r="BC182" s="43">
        <v>0</v>
      </c>
      <c r="BD182" s="141">
        <v>0</v>
      </c>
      <c r="BE182" s="138">
        <v>0</v>
      </c>
      <c r="BF182" s="28">
        <v>0</v>
      </c>
      <c r="BG182" s="138"/>
      <c r="BH182" s="28"/>
      <c r="BI182" s="141"/>
      <c r="BJ182" s="28"/>
    </row>
    <row r="183" spans="1:62" x14ac:dyDescent="0.3">
      <c r="A183" s="138" t="s">
        <v>93</v>
      </c>
      <c r="B183" s="138">
        <v>8571</v>
      </c>
      <c r="C183" s="209">
        <v>8394</v>
      </c>
      <c r="D183" s="138"/>
      <c r="E183" s="28" t="s">
        <v>1291</v>
      </c>
      <c r="F183" s="28"/>
      <c r="G183" s="196">
        <v>1</v>
      </c>
      <c r="H183" s="28" t="s">
        <v>116</v>
      </c>
      <c r="I183" s="28"/>
      <c r="J183" s="141"/>
      <c r="M183" s="138" t="s">
        <v>99</v>
      </c>
      <c r="N183" s="138">
        <v>0</v>
      </c>
      <c r="O183" s="196">
        <v>0</v>
      </c>
      <c r="P183" s="138">
        <v>0</v>
      </c>
      <c r="Q183" s="196">
        <v>0</v>
      </c>
      <c r="R183" s="141">
        <v>0</v>
      </c>
      <c r="S183" s="138">
        <v>0</v>
      </c>
      <c r="T183" s="196">
        <v>0</v>
      </c>
      <c r="U183" s="138" t="s">
        <v>135</v>
      </c>
      <c r="V183" s="141"/>
      <c r="Y183" s="33" t="s">
        <v>137</v>
      </c>
      <c r="Z183" s="33">
        <v>325</v>
      </c>
      <c r="AA183" s="35">
        <v>325</v>
      </c>
      <c r="AB183" s="34">
        <v>0</v>
      </c>
      <c r="AC183" s="34">
        <v>0</v>
      </c>
      <c r="AD183" s="34">
        <v>0</v>
      </c>
      <c r="AE183" s="33">
        <v>0</v>
      </c>
      <c r="AF183" s="35">
        <v>0</v>
      </c>
      <c r="AG183" s="32">
        <v>0</v>
      </c>
      <c r="AH183" s="34"/>
      <c r="AI183" s="34"/>
      <c r="AJ183" s="35"/>
      <c r="AM183" s="138" t="s">
        <v>78</v>
      </c>
      <c r="AN183" s="138">
        <v>0</v>
      </c>
      <c r="AO183" s="141">
        <v>0</v>
      </c>
      <c r="AP183" s="138">
        <v>0</v>
      </c>
      <c r="AQ183" s="141">
        <v>0</v>
      </c>
      <c r="AR183" s="28"/>
      <c r="AS183" s="28">
        <v>0</v>
      </c>
      <c r="AT183" s="28" t="s">
        <v>183</v>
      </c>
      <c r="AU183" s="28"/>
      <c r="AV183" s="141"/>
      <c r="AY183" s="212" t="s">
        <v>1398</v>
      </c>
      <c r="AZ183" s="138">
        <v>0</v>
      </c>
      <c r="BA183" s="141">
        <v>141</v>
      </c>
      <c r="BB183" s="138">
        <v>0</v>
      </c>
      <c r="BC183" s="43">
        <v>0</v>
      </c>
      <c r="BD183" s="141">
        <v>0</v>
      </c>
      <c r="BE183" s="138">
        <v>0</v>
      </c>
      <c r="BF183" s="28">
        <v>0</v>
      </c>
      <c r="BG183" s="138"/>
      <c r="BH183" s="43"/>
      <c r="BI183" s="141"/>
      <c r="BJ183" s="28"/>
    </row>
    <row r="184" spans="1:62" ht="15" thickBot="1" x14ac:dyDescent="0.35">
      <c r="A184" s="138" t="s">
        <v>99</v>
      </c>
      <c r="B184" s="138">
        <v>10490</v>
      </c>
      <c r="C184" s="209">
        <v>10557</v>
      </c>
      <c r="D184" s="138"/>
      <c r="E184" s="28" t="s">
        <v>1291</v>
      </c>
      <c r="F184" s="28"/>
      <c r="G184" s="196"/>
      <c r="H184" s="43">
        <v>184</v>
      </c>
      <c r="I184" s="28" t="s">
        <v>188</v>
      </c>
      <c r="J184" s="141"/>
      <c r="M184" s="138"/>
      <c r="N184" s="138"/>
      <c r="O184" s="196"/>
      <c r="P184" s="138"/>
      <c r="Q184" s="196"/>
      <c r="R184" s="141"/>
      <c r="S184" s="138">
        <v>0</v>
      </c>
      <c r="T184" s="196"/>
      <c r="U184" s="138"/>
      <c r="V184" s="141"/>
      <c r="Y184" s="42" t="s">
        <v>97</v>
      </c>
      <c r="Z184" s="42">
        <v>173</v>
      </c>
      <c r="AA184" s="40">
        <v>190</v>
      </c>
      <c r="AB184" s="43">
        <v>0</v>
      </c>
      <c r="AC184" s="43">
        <v>0</v>
      </c>
      <c r="AD184" s="43">
        <v>0</v>
      </c>
      <c r="AE184" s="42">
        <v>0</v>
      </c>
      <c r="AF184" s="40">
        <v>0</v>
      </c>
      <c r="AG184" s="41">
        <v>0</v>
      </c>
      <c r="AH184" s="28" t="s">
        <v>953</v>
      </c>
      <c r="AI184" s="28"/>
      <c r="AJ184" s="40"/>
      <c r="AM184" s="142" t="s">
        <v>84</v>
      </c>
      <c r="AN184" s="142">
        <v>0</v>
      </c>
      <c r="AO184" s="146">
        <v>0</v>
      </c>
      <c r="AP184" s="142">
        <v>0</v>
      </c>
      <c r="AQ184" s="146">
        <v>0</v>
      </c>
      <c r="AR184" s="28"/>
      <c r="AS184" s="28"/>
      <c r="AT184" s="28"/>
      <c r="AU184" s="28"/>
      <c r="AV184" s="141"/>
      <c r="AY184" s="212" t="s">
        <v>445</v>
      </c>
      <c r="AZ184" s="138">
        <v>0</v>
      </c>
      <c r="BA184" s="141">
        <v>19</v>
      </c>
      <c r="BB184" s="138">
        <v>0</v>
      </c>
      <c r="BC184" s="43">
        <v>0</v>
      </c>
      <c r="BD184" s="141">
        <v>0</v>
      </c>
      <c r="BE184" s="138">
        <v>0</v>
      </c>
      <c r="BF184" s="28">
        <v>0</v>
      </c>
      <c r="BG184" s="138"/>
      <c r="BH184" s="28"/>
      <c r="BI184" s="141"/>
      <c r="BJ184" s="28"/>
    </row>
    <row r="185" spans="1:62" x14ac:dyDescent="0.3">
      <c r="A185" s="138" t="s">
        <v>120</v>
      </c>
      <c r="B185" s="138">
        <v>4007</v>
      </c>
      <c r="C185" s="209">
        <v>4076</v>
      </c>
      <c r="D185" s="138"/>
      <c r="E185" s="28" t="s">
        <v>1291</v>
      </c>
      <c r="F185" s="28"/>
      <c r="G185" s="196"/>
      <c r="H185" s="43">
        <v>1</v>
      </c>
      <c r="I185" s="28" t="s">
        <v>1399</v>
      </c>
      <c r="J185" s="141"/>
      <c r="M185" s="142" t="s">
        <v>84</v>
      </c>
      <c r="N185" s="142">
        <v>1568</v>
      </c>
      <c r="O185" s="199">
        <v>1</v>
      </c>
      <c r="P185" s="142">
        <v>0</v>
      </c>
      <c r="Q185" s="199">
        <v>0</v>
      </c>
      <c r="R185" s="146">
        <v>0</v>
      </c>
      <c r="S185" s="142">
        <v>17</v>
      </c>
      <c r="T185" s="199">
        <v>0</v>
      </c>
      <c r="U185" s="142"/>
      <c r="V185" s="146"/>
      <c r="Y185" s="42" t="s">
        <v>89</v>
      </c>
      <c r="Z185" s="42">
        <v>499</v>
      </c>
      <c r="AA185" s="40">
        <v>501</v>
      </c>
      <c r="AB185" s="43">
        <v>0</v>
      </c>
      <c r="AC185" s="43">
        <v>0</v>
      </c>
      <c r="AD185" s="43">
        <v>0</v>
      </c>
      <c r="AE185" s="42">
        <v>0</v>
      </c>
      <c r="AF185" s="40">
        <v>0</v>
      </c>
      <c r="AG185" s="41">
        <v>0</v>
      </c>
      <c r="AH185" s="43"/>
      <c r="AI185" s="28"/>
      <c r="AJ185" s="40"/>
      <c r="AM185" s="134"/>
      <c r="AN185" s="134"/>
      <c r="AO185" s="136"/>
      <c r="AP185" s="134">
        <v>0</v>
      </c>
      <c r="AQ185" s="135">
        <v>0</v>
      </c>
      <c r="AR185" s="33"/>
      <c r="AS185" s="34" t="s">
        <v>140</v>
      </c>
      <c r="AT185" s="34"/>
      <c r="AU185" s="35"/>
      <c r="AV185" s="32"/>
      <c r="AY185" s="212" t="s">
        <v>1400</v>
      </c>
      <c r="AZ185" s="138">
        <v>0</v>
      </c>
      <c r="BA185" s="141">
        <v>0</v>
      </c>
      <c r="BB185" s="138">
        <v>0</v>
      </c>
      <c r="BC185" s="28">
        <v>0</v>
      </c>
      <c r="BD185" s="141">
        <v>0</v>
      </c>
      <c r="BE185" s="138">
        <v>0</v>
      </c>
      <c r="BF185" s="28">
        <v>0</v>
      </c>
      <c r="BG185" s="138"/>
      <c r="BH185" s="28"/>
      <c r="BI185" s="141"/>
      <c r="BJ185" s="28"/>
    </row>
    <row r="186" spans="1:62" ht="15" thickBot="1" x14ac:dyDescent="0.35">
      <c r="A186" s="138" t="s">
        <v>84</v>
      </c>
      <c r="B186" s="138">
        <v>23068</v>
      </c>
      <c r="C186" s="28">
        <v>23027</v>
      </c>
      <c r="D186" s="138"/>
      <c r="E186" s="28" t="s">
        <v>1291</v>
      </c>
      <c r="F186" s="28"/>
      <c r="G186" s="196"/>
      <c r="H186" s="43"/>
      <c r="I186" s="28"/>
      <c r="J186" s="141">
        <v>185</v>
      </c>
      <c r="M186" s="138"/>
      <c r="N186" s="138"/>
      <c r="O186" s="196"/>
      <c r="P186" s="138"/>
      <c r="Q186" s="196"/>
      <c r="R186" s="141"/>
      <c r="S186" s="138"/>
      <c r="T186" s="196"/>
      <c r="U186" s="138"/>
      <c r="V186" s="141"/>
      <c r="Y186" s="42" t="s">
        <v>84</v>
      </c>
      <c r="Z186" s="42">
        <v>997</v>
      </c>
      <c r="AA186" s="40">
        <v>1016</v>
      </c>
      <c r="AB186" s="43">
        <v>0</v>
      </c>
      <c r="AC186" s="43">
        <v>0</v>
      </c>
      <c r="AD186" s="43">
        <v>0</v>
      </c>
      <c r="AE186" s="42">
        <v>0</v>
      </c>
      <c r="AF186" s="40">
        <v>0</v>
      </c>
      <c r="AG186" s="41">
        <v>0</v>
      </c>
      <c r="AH186" s="43">
        <v>19</v>
      </c>
      <c r="AI186" s="28" t="s">
        <v>141</v>
      </c>
      <c r="AJ186" s="40"/>
      <c r="AM186" s="138" t="s">
        <v>56</v>
      </c>
      <c r="AN186" s="138">
        <v>22</v>
      </c>
      <c r="AO186" s="141">
        <v>18</v>
      </c>
      <c r="AP186" s="138">
        <v>0</v>
      </c>
      <c r="AQ186" s="28">
        <v>0</v>
      </c>
      <c r="AR186" s="47"/>
      <c r="AS186" s="51" t="s">
        <v>1987</v>
      </c>
      <c r="AT186" s="48"/>
      <c r="AU186" s="49"/>
      <c r="AV186" s="46" t="s">
        <v>1988</v>
      </c>
      <c r="AY186" s="212" t="s">
        <v>1120</v>
      </c>
      <c r="AZ186" s="212">
        <v>737</v>
      </c>
      <c r="BA186" s="209">
        <v>3233</v>
      </c>
      <c r="BB186" s="138">
        <v>0</v>
      </c>
      <c r="BC186" s="43">
        <v>0</v>
      </c>
      <c r="BD186" s="141">
        <v>0</v>
      </c>
      <c r="BE186" s="138">
        <v>0</v>
      </c>
      <c r="BF186" s="28">
        <v>0</v>
      </c>
      <c r="BG186" s="138"/>
      <c r="BH186" s="28"/>
      <c r="BI186" s="141"/>
      <c r="BJ186" s="28"/>
    </row>
    <row r="187" spans="1:62" ht="15" thickBot="1" x14ac:dyDescent="0.35">
      <c r="A187" s="142"/>
      <c r="B187" s="142"/>
      <c r="C187" s="143"/>
      <c r="D187" s="142"/>
      <c r="E187" s="143"/>
      <c r="F187" s="143"/>
      <c r="G187" s="199"/>
      <c r="H187" s="143"/>
      <c r="I187" s="143"/>
      <c r="J187" s="146"/>
      <c r="M187" s="138"/>
      <c r="N187" s="138"/>
      <c r="O187" s="196"/>
      <c r="P187" s="138"/>
      <c r="Q187" s="196"/>
      <c r="R187" s="141"/>
      <c r="S187" s="138"/>
      <c r="T187" s="196"/>
      <c r="U187" s="138"/>
      <c r="V187" s="141"/>
      <c r="Y187" s="47"/>
      <c r="Z187" s="47"/>
      <c r="AA187" s="49"/>
      <c r="AB187" s="48"/>
      <c r="AC187" s="48"/>
      <c r="AD187" s="48"/>
      <c r="AE187" s="47"/>
      <c r="AF187" s="49"/>
      <c r="AG187" s="46"/>
      <c r="AH187" s="48"/>
      <c r="AI187" s="48"/>
      <c r="AJ187" s="49">
        <v>19</v>
      </c>
      <c r="AM187" s="138" t="s">
        <v>72</v>
      </c>
      <c r="AN187" s="138">
        <v>49</v>
      </c>
      <c r="AO187" s="141">
        <v>43</v>
      </c>
      <c r="AP187" s="138">
        <v>0</v>
      </c>
      <c r="AQ187" s="141">
        <v>0</v>
      </c>
      <c r="AR187" s="138"/>
      <c r="AS187" s="43" t="s">
        <v>213</v>
      </c>
      <c r="AT187" s="28"/>
      <c r="AU187" s="43" t="s">
        <v>1989</v>
      </c>
      <c r="AV187" s="141"/>
      <c r="AY187" s="212" t="s">
        <v>89</v>
      </c>
      <c r="AZ187" s="138">
        <v>1407</v>
      </c>
      <c r="BA187" s="141">
        <v>1418</v>
      </c>
      <c r="BB187" s="138">
        <v>0</v>
      </c>
      <c r="BC187" s="28">
        <v>0</v>
      </c>
      <c r="BD187" s="141">
        <v>0</v>
      </c>
      <c r="BE187" s="138">
        <v>0</v>
      </c>
      <c r="BF187" s="28">
        <v>0</v>
      </c>
      <c r="BG187" s="138"/>
      <c r="BH187" s="28"/>
      <c r="BI187" s="141"/>
      <c r="BJ187" s="28"/>
    </row>
    <row r="188" spans="1:62" x14ac:dyDescent="0.3">
      <c r="A188" s="134" t="s">
        <v>105</v>
      </c>
      <c r="B188" s="134">
        <v>1196</v>
      </c>
      <c r="C188" s="135">
        <v>1045</v>
      </c>
      <c r="D188" s="134"/>
      <c r="E188" s="243">
        <v>1148</v>
      </c>
      <c r="F188" s="135"/>
      <c r="G188" s="195">
        <v>1</v>
      </c>
      <c r="H188" s="135" t="s">
        <v>162</v>
      </c>
      <c r="I188" s="135"/>
      <c r="J188" s="136"/>
      <c r="M188" s="138"/>
      <c r="N188" s="138"/>
      <c r="O188" s="196"/>
      <c r="P188" s="138"/>
      <c r="Q188" s="196"/>
      <c r="R188" s="141"/>
      <c r="S188" s="138"/>
      <c r="T188" s="196"/>
      <c r="U188" s="138"/>
      <c r="V188" s="141"/>
      <c r="Y188" s="32"/>
      <c r="Z188" s="33"/>
      <c r="AA188" s="35"/>
      <c r="AB188" s="53"/>
      <c r="AC188" s="123"/>
      <c r="AD188" s="97"/>
      <c r="AE188" s="33"/>
      <c r="AF188" s="35"/>
      <c r="AG188" s="32"/>
      <c r="AH188" s="33" t="s">
        <v>149</v>
      </c>
      <c r="AI188" s="34"/>
      <c r="AJ188" s="35"/>
      <c r="AM188" s="138" t="s">
        <v>78</v>
      </c>
      <c r="AN188" s="138">
        <v>54</v>
      </c>
      <c r="AO188" s="141">
        <v>75</v>
      </c>
      <c r="AP188" s="138">
        <v>0</v>
      </c>
      <c r="AQ188" s="141">
        <v>0</v>
      </c>
      <c r="AR188" s="138"/>
      <c r="AS188" s="43" t="s">
        <v>1990</v>
      </c>
      <c r="AT188" s="43"/>
      <c r="AU188" s="28" t="s">
        <v>126</v>
      </c>
      <c r="AV188" s="141"/>
      <c r="AY188" s="212" t="s">
        <v>133</v>
      </c>
      <c r="AZ188" s="212">
        <v>0</v>
      </c>
      <c r="BA188" s="209">
        <v>0</v>
      </c>
      <c r="BB188" s="212">
        <v>0</v>
      </c>
      <c r="BC188" s="43">
        <v>0</v>
      </c>
      <c r="BD188" s="209">
        <v>0</v>
      </c>
      <c r="BE188" s="212">
        <v>0</v>
      </c>
      <c r="BF188" s="43">
        <v>0</v>
      </c>
      <c r="BG188" s="142"/>
      <c r="BH188" s="143"/>
      <c r="BI188" s="251">
        <v>118</v>
      </c>
      <c r="BJ188" s="28"/>
    </row>
    <row r="189" spans="1:62" x14ac:dyDescent="0.3">
      <c r="A189" s="138" t="s">
        <v>99</v>
      </c>
      <c r="B189" s="138">
        <v>643</v>
      </c>
      <c r="C189" s="43">
        <v>445</v>
      </c>
      <c r="D189" s="138"/>
      <c r="E189" s="343">
        <v>1133</v>
      </c>
      <c r="F189" s="28"/>
      <c r="G189" s="196"/>
      <c r="H189" s="28"/>
      <c r="I189" s="28"/>
      <c r="J189" s="141"/>
      <c r="M189" s="138"/>
      <c r="N189" s="138"/>
      <c r="O189" s="196"/>
      <c r="P189" s="138"/>
      <c r="Q189" s="196"/>
      <c r="R189" s="141"/>
      <c r="S189" s="138"/>
      <c r="T189" s="196"/>
      <c r="U189" s="138"/>
      <c r="V189" s="141"/>
      <c r="Y189" s="41" t="s">
        <v>99</v>
      </c>
      <c r="Z189" s="42">
        <v>0</v>
      </c>
      <c r="AA189" s="40">
        <v>0</v>
      </c>
      <c r="AB189" s="67">
        <v>0</v>
      </c>
      <c r="AC189" s="43">
        <v>0</v>
      </c>
      <c r="AD189" s="56">
        <v>0</v>
      </c>
      <c r="AE189" s="42">
        <v>30058</v>
      </c>
      <c r="AF189" s="40">
        <v>6632</v>
      </c>
      <c r="AG189" s="41">
        <v>0</v>
      </c>
      <c r="AH189" s="67">
        <v>3</v>
      </c>
      <c r="AI189" s="28" t="s">
        <v>153</v>
      </c>
      <c r="AJ189" s="40"/>
      <c r="AM189" s="138" t="s">
        <v>67</v>
      </c>
      <c r="AN189" s="138">
        <v>52</v>
      </c>
      <c r="AO189" s="141">
        <v>48</v>
      </c>
      <c r="AP189" s="138">
        <v>0</v>
      </c>
      <c r="AQ189" s="141">
        <v>0</v>
      </c>
      <c r="AR189" s="138"/>
      <c r="AS189" s="43" t="s">
        <v>1991</v>
      </c>
      <c r="AT189" s="43"/>
      <c r="AU189" s="43"/>
      <c r="AV189" s="141"/>
      <c r="AY189" s="247" t="s">
        <v>84</v>
      </c>
      <c r="AZ189" s="247">
        <v>6597</v>
      </c>
      <c r="BA189" s="248">
        <v>9192</v>
      </c>
      <c r="BB189" s="197">
        <v>0</v>
      </c>
      <c r="BC189" s="198">
        <v>0</v>
      </c>
      <c r="BD189" s="249">
        <v>0</v>
      </c>
      <c r="BE189" s="197">
        <v>0</v>
      </c>
      <c r="BF189" s="249">
        <v>0</v>
      </c>
      <c r="BG189" s="142"/>
      <c r="BH189" s="143"/>
      <c r="BI189" s="146"/>
      <c r="BJ189" s="28"/>
    </row>
    <row r="190" spans="1:62" x14ac:dyDescent="0.3">
      <c r="A190" s="138"/>
      <c r="B190" s="138"/>
      <c r="C190" s="28"/>
      <c r="D190" s="138"/>
      <c r="E190" s="343"/>
      <c r="F190" s="28"/>
      <c r="G190" s="196"/>
      <c r="H190" s="43">
        <v>43</v>
      </c>
      <c r="I190" s="28" t="s">
        <v>101</v>
      </c>
      <c r="J190" s="141"/>
      <c r="M190" s="138"/>
      <c r="N190" s="138"/>
      <c r="O190" s="196"/>
      <c r="P190" s="138"/>
      <c r="Q190" s="196"/>
      <c r="R190" s="141"/>
      <c r="S190" s="138"/>
      <c r="T190" s="196"/>
      <c r="U190" s="138"/>
      <c r="V190" s="141"/>
      <c r="Y190" s="41" t="s">
        <v>174</v>
      </c>
      <c r="Z190" s="42">
        <v>0</v>
      </c>
      <c r="AA190" s="40">
        <v>0</v>
      </c>
      <c r="AB190" s="67">
        <v>0</v>
      </c>
      <c r="AC190" s="43">
        <v>0</v>
      </c>
      <c r="AD190" s="56">
        <v>0</v>
      </c>
      <c r="AE190" s="42">
        <v>13252</v>
      </c>
      <c r="AF190" s="40">
        <v>1166</v>
      </c>
      <c r="AG190" s="41">
        <v>0</v>
      </c>
      <c r="AH190" s="67"/>
      <c r="AI190" s="43"/>
      <c r="AJ190" s="40"/>
      <c r="AM190" s="138" t="s">
        <v>115</v>
      </c>
      <c r="AN190" s="138">
        <v>39</v>
      </c>
      <c r="AO190" s="141">
        <v>35</v>
      </c>
      <c r="AP190" s="138">
        <v>0</v>
      </c>
      <c r="AQ190" s="141">
        <v>0</v>
      </c>
      <c r="AR190" s="138"/>
      <c r="AS190" s="43" t="s">
        <v>682</v>
      </c>
      <c r="AT190" s="43"/>
      <c r="AU190" s="43"/>
      <c r="AV190" s="141"/>
      <c r="AY190" s="134"/>
      <c r="AZ190" s="134"/>
      <c r="BA190" s="136"/>
      <c r="BB190" s="135"/>
      <c r="BC190" s="135"/>
      <c r="BD190" s="135"/>
      <c r="BE190" s="138"/>
      <c r="BF190" s="141"/>
      <c r="BG190" s="28" t="s">
        <v>1025</v>
      </c>
      <c r="BH190" s="28"/>
      <c r="BI190" s="141"/>
      <c r="BJ190" s="28"/>
    </row>
    <row r="191" spans="1:62" ht="15" thickBot="1" x14ac:dyDescent="0.35">
      <c r="A191" s="138" t="s">
        <v>84</v>
      </c>
      <c r="B191" s="142">
        <v>1839</v>
      </c>
      <c r="C191" s="143">
        <v>1490</v>
      </c>
      <c r="D191" s="142"/>
      <c r="E191" s="345">
        <v>2281</v>
      </c>
      <c r="F191" s="143"/>
      <c r="G191" s="199"/>
      <c r="H191" s="143"/>
      <c r="I191" s="143"/>
      <c r="J191" s="146">
        <v>43</v>
      </c>
      <c r="M191" s="142" t="s">
        <v>84</v>
      </c>
      <c r="N191" s="142">
        <v>30990</v>
      </c>
      <c r="O191" s="199">
        <v>44531</v>
      </c>
      <c r="P191" s="142">
        <v>0</v>
      </c>
      <c r="Q191" s="199">
        <v>0</v>
      </c>
      <c r="R191" s="143">
        <v>0</v>
      </c>
      <c r="S191" s="142">
        <v>1944</v>
      </c>
      <c r="T191" s="199">
        <v>2326</v>
      </c>
      <c r="U191" s="142"/>
      <c r="V191" s="146"/>
      <c r="Y191" s="62" t="s">
        <v>84</v>
      </c>
      <c r="Z191" s="47">
        <v>0</v>
      </c>
      <c r="AA191" s="49">
        <v>0</v>
      </c>
      <c r="AB191" s="47">
        <v>0</v>
      </c>
      <c r="AC191" s="48">
        <v>0</v>
      </c>
      <c r="AD191" s="49">
        <v>0</v>
      </c>
      <c r="AE191" s="47">
        <v>43310</v>
      </c>
      <c r="AF191" s="49">
        <v>7798</v>
      </c>
      <c r="AG191" s="46">
        <v>0</v>
      </c>
      <c r="AH191" s="47"/>
      <c r="AI191" s="48"/>
      <c r="AJ191" s="49">
        <v>3</v>
      </c>
      <c r="AM191" s="138" t="s">
        <v>81</v>
      </c>
      <c r="AN191" s="138">
        <v>14</v>
      </c>
      <c r="AO191" s="141">
        <v>20</v>
      </c>
      <c r="AP191" s="138">
        <v>0</v>
      </c>
      <c r="AQ191" s="141">
        <v>0</v>
      </c>
      <c r="AR191" s="138"/>
      <c r="AS191" s="43" t="s">
        <v>1406</v>
      </c>
      <c r="AT191" s="43"/>
      <c r="AU191" s="43"/>
      <c r="AV191" s="141"/>
      <c r="AY191" s="142" t="s">
        <v>64</v>
      </c>
      <c r="AZ191" s="142">
        <v>61</v>
      </c>
      <c r="BA191" s="146">
        <v>51</v>
      </c>
      <c r="BB191" s="28">
        <v>0</v>
      </c>
      <c r="BC191" s="43">
        <v>0</v>
      </c>
      <c r="BD191" s="43">
        <v>0</v>
      </c>
      <c r="BE191" s="142">
        <v>0</v>
      </c>
      <c r="BF191" s="146">
        <v>0</v>
      </c>
      <c r="BG191" s="143" t="s">
        <v>1407</v>
      </c>
      <c r="BH191" s="143" t="s">
        <v>1408</v>
      </c>
      <c r="BI191" s="146">
        <v>8</v>
      </c>
      <c r="BJ191" s="28"/>
    </row>
    <row r="192" spans="1:62" x14ac:dyDescent="0.3">
      <c r="A192" s="195" t="s">
        <v>181</v>
      </c>
      <c r="B192" s="135">
        <v>4342</v>
      </c>
      <c r="C192" s="135">
        <v>4339</v>
      </c>
      <c r="D192" s="134"/>
      <c r="E192" s="135" t="s">
        <v>1291</v>
      </c>
      <c r="F192" s="136"/>
      <c r="G192" s="195">
        <v>1</v>
      </c>
      <c r="H192" s="134" t="s">
        <v>182</v>
      </c>
      <c r="I192" s="135"/>
      <c r="J192" s="136"/>
      <c r="Y192" s="32" t="s">
        <v>88</v>
      </c>
      <c r="Z192" s="33">
        <v>0</v>
      </c>
      <c r="AA192" s="34"/>
      <c r="AB192" s="33">
        <v>0</v>
      </c>
      <c r="AC192" s="34">
        <v>0</v>
      </c>
      <c r="AD192" s="35">
        <v>0</v>
      </c>
      <c r="AE192" s="33">
        <v>11362</v>
      </c>
      <c r="AF192" s="35">
        <v>0</v>
      </c>
      <c r="AG192" s="35">
        <v>0</v>
      </c>
      <c r="AH192" s="33" t="s">
        <v>157</v>
      </c>
      <c r="AI192" s="34"/>
      <c r="AJ192" s="35"/>
      <c r="AM192" s="138" t="s">
        <v>230</v>
      </c>
      <c r="AN192" s="138">
        <v>8</v>
      </c>
      <c r="AO192" s="141">
        <v>4</v>
      </c>
      <c r="AP192" s="138">
        <v>0</v>
      </c>
      <c r="AQ192" s="141">
        <v>0</v>
      </c>
      <c r="AR192" s="138"/>
      <c r="AS192" s="43" t="s">
        <v>1992</v>
      </c>
      <c r="AT192" s="43"/>
      <c r="AU192" s="43"/>
      <c r="AV192" s="141"/>
      <c r="AY192" s="138" t="s">
        <v>102</v>
      </c>
      <c r="AZ192" s="134">
        <v>31</v>
      </c>
      <c r="BA192" s="136">
        <v>27</v>
      </c>
      <c r="BB192" s="134">
        <v>0</v>
      </c>
      <c r="BC192" s="135">
        <v>0</v>
      </c>
      <c r="BD192" s="136">
        <v>0</v>
      </c>
      <c r="BE192" s="138">
        <v>0</v>
      </c>
      <c r="BF192" s="141">
        <v>0</v>
      </c>
      <c r="BG192" s="28" t="s">
        <v>994</v>
      </c>
      <c r="BH192" s="28"/>
      <c r="BI192" s="141"/>
      <c r="BJ192" s="28"/>
    </row>
    <row r="193" spans="1:62" x14ac:dyDescent="0.3">
      <c r="A193" s="196"/>
      <c r="B193" s="28"/>
      <c r="C193" s="28"/>
      <c r="D193" s="138"/>
      <c r="E193" s="28" t="s">
        <v>1291</v>
      </c>
      <c r="F193" s="141"/>
      <c r="G193" s="196"/>
      <c r="H193" s="138">
        <v>1</v>
      </c>
      <c r="I193" s="28" t="s">
        <v>1410</v>
      </c>
      <c r="J193" s="141"/>
      <c r="Y193" s="41" t="s">
        <v>99</v>
      </c>
      <c r="Z193" s="42">
        <v>0</v>
      </c>
      <c r="AA193" s="28">
        <v>0</v>
      </c>
      <c r="AB193" s="67">
        <v>0</v>
      </c>
      <c r="AC193" s="43">
        <v>0</v>
      </c>
      <c r="AD193" s="56">
        <v>0</v>
      </c>
      <c r="AE193" s="42">
        <v>103706</v>
      </c>
      <c r="AF193" s="40">
        <v>2848</v>
      </c>
      <c r="AG193" s="40">
        <v>0</v>
      </c>
      <c r="AH193" s="67">
        <v>3</v>
      </c>
      <c r="AI193" s="28" t="s">
        <v>153</v>
      </c>
      <c r="AJ193" s="40"/>
      <c r="AM193" s="138" t="s">
        <v>63</v>
      </c>
      <c r="AN193" s="138">
        <v>30</v>
      </c>
      <c r="AO193" s="141">
        <v>18</v>
      </c>
      <c r="AP193" s="138">
        <v>0</v>
      </c>
      <c r="AQ193" s="141">
        <v>0</v>
      </c>
      <c r="AR193" s="138"/>
      <c r="AS193" s="43" t="s">
        <v>216</v>
      </c>
      <c r="AT193" s="43"/>
      <c r="AU193" s="43"/>
      <c r="AV193" s="141"/>
      <c r="AY193" s="138" t="s">
        <v>113</v>
      </c>
      <c r="AZ193" s="138">
        <v>482</v>
      </c>
      <c r="BA193" s="141">
        <v>542</v>
      </c>
      <c r="BB193" s="138">
        <v>0</v>
      </c>
      <c r="BC193" s="43">
        <v>0</v>
      </c>
      <c r="BD193" s="209">
        <v>0</v>
      </c>
      <c r="BE193" s="138">
        <v>0</v>
      </c>
      <c r="BF193" s="141">
        <v>0</v>
      </c>
      <c r="BG193" s="43">
        <v>27</v>
      </c>
      <c r="BH193" s="28" t="s">
        <v>100</v>
      </c>
      <c r="BI193" s="141"/>
      <c r="BJ193" s="28"/>
    </row>
    <row r="194" spans="1:62" ht="15" thickBot="1" x14ac:dyDescent="0.35">
      <c r="A194" s="196" t="s">
        <v>84</v>
      </c>
      <c r="B194" s="28">
        <v>4342</v>
      </c>
      <c r="C194" s="43">
        <v>4339</v>
      </c>
      <c r="D194" s="138"/>
      <c r="E194" s="28" t="s">
        <v>1291</v>
      </c>
      <c r="F194" s="141"/>
      <c r="G194" s="196"/>
      <c r="H194" s="138">
        <v>30</v>
      </c>
      <c r="I194" s="28" t="s">
        <v>101</v>
      </c>
      <c r="J194" s="141">
        <v>31</v>
      </c>
      <c r="Y194" s="41" t="s">
        <v>1411</v>
      </c>
      <c r="Z194" s="42">
        <v>0</v>
      </c>
      <c r="AA194" s="28">
        <v>0</v>
      </c>
      <c r="AB194" s="67">
        <v>0</v>
      </c>
      <c r="AC194" s="43">
        <v>0</v>
      </c>
      <c r="AD194" s="56">
        <v>0</v>
      </c>
      <c r="AE194" s="42">
        <v>0</v>
      </c>
      <c r="AF194" s="40">
        <v>12788</v>
      </c>
      <c r="AG194" s="40">
        <v>0</v>
      </c>
      <c r="AH194" s="42">
        <v>1</v>
      </c>
      <c r="AI194" s="28" t="s">
        <v>1317</v>
      </c>
      <c r="AJ194" s="40"/>
      <c r="AM194" s="138" t="s">
        <v>122</v>
      </c>
      <c r="AN194" s="138">
        <v>11</v>
      </c>
      <c r="AO194" s="141">
        <v>3</v>
      </c>
      <c r="AP194" s="138">
        <v>0</v>
      </c>
      <c r="AQ194" s="141">
        <v>0</v>
      </c>
      <c r="AR194" s="138"/>
      <c r="AS194" s="43" t="s">
        <v>1993</v>
      </c>
      <c r="AT194" s="43"/>
      <c r="AU194" s="28"/>
      <c r="AV194" s="141"/>
      <c r="AY194" s="142" t="s">
        <v>84</v>
      </c>
      <c r="AZ194" s="142">
        <v>513</v>
      </c>
      <c r="BA194" s="146">
        <v>569</v>
      </c>
      <c r="BB194" s="138">
        <v>0</v>
      </c>
      <c r="BC194" s="43">
        <v>0</v>
      </c>
      <c r="BD194" s="209">
        <v>0</v>
      </c>
      <c r="BE194" s="142">
        <v>0</v>
      </c>
      <c r="BF194" s="146">
        <v>0</v>
      </c>
      <c r="BG194" s="43">
        <v>18</v>
      </c>
      <c r="BH194" s="43" t="s">
        <v>1292</v>
      </c>
      <c r="BI194" s="141">
        <v>45</v>
      </c>
      <c r="BJ194" s="28"/>
    </row>
    <row r="195" spans="1:62" ht="15" thickBot="1" x14ac:dyDescent="0.35">
      <c r="A195" s="196"/>
      <c r="B195" s="28"/>
      <c r="C195" s="28"/>
      <c r="D195" s="142"/>
      <c r="E195" s="143"/>
      <c r="F195" s="146"/>
      <c r="G195" s="196"/>
      <c r="H195" s="138"/>
      <c r="I195" s="43"/>
      <c r="J195" s="141"/>
      <c r="Y195" s="68" t="s">
        <v>1359</v>
      </c>
      <c r="Z195" s="42">
        <v>0</v>
      </c>
      <c r="AA195" s="28">
        <v>0</v>
      </c>
      <c r="AB195" s="42">
        <v>0</v>
      </c>
      <c r="AC195" s="43">
        <v>0</v>
      </c>
      <c r="AD195" s="40">
        <v>0</v>
      </c>
      <c r="AE195" s="42">
        <v>0</v>
      </c>
      <c r="AF195" s="40">
        <v>4867</v>
      </c>
      <c r="AG195" s="40">
        <v>0</v>
      </c>
      <c r="AH195" s="42">
        <v>6</v>
      </c>
      <c r="AI195" s="43" t="s">
        <v>1318</v>
      </c>
      <c r="AJ195" s="40"/>
      <c r="AM195" s="138" t="s">
        <v>1319</v>
      </c>
      <c r="AN195" s="138">
        <v>0</v>
      </c>
      <c r="AO195" s="141">
        <v>0</v>
      </c>
      <c r="AP195" s="138">
        <v>0</v>
      </c>
      <c r="AQ195" s="141">
        <v>0</v>
      </c>
      <c r="AR195" s="138"/>
      <c r="AS195" s="220" t="s">
        <v>1994</v>
      </c>
      <c r="AT195" s="220"/>
      <c r="AU195" s="28"/>
      <c r="AV195" s="141"/>
      <c r="AY195" s="195" t="s">
        <v>133</v>
      </c>
      <c r="AZ195" s="134">
        <v>11</v>
      </c>
      <c r="BA195" s="135">
        <v>31</v>
      </c>
      <c r="BB195" s="32" t="s">
        <v>17</v>
      </c>
      <c r="BC195" s="346" t="s">
        <v>1357</v>
      </c>
      <c r="BD195" s="347"/>
      <c r="BE195" s="135">
        <v>0</v>
      </c>
      <c r="BF195" s="135">
        <v>0</v>
      </c>
      <c r="BG195" s="33" t="s">
        <v>140</v>
      </c>
      <c r="BH195" s="34"/>
      <c r="BI195" s="35"/>
      <c r="BJ195" s="28"/>
    </row>
    <row r="196" spans="1:62" ht="15" thickBot="1" x14ac:dyDescent="0.35">
      <c r="A196" s="254" t="s">
        <v>84</v>
      </c>
      <c r="B196" s="274">
        <v>53331</v>
      </c>
      <c r="C196" s="172">
        <v>55747</v>
      </c>
      <c r="D196" s="275"/>
      <c r="E196" s="253">
        <v>2991</v>
      </c>
      <c r="F196" s="253"/>
      <c r="G196" s="254">
        <v>8</v>
      </c>
      <c r="H196" s="171"/>
      <c r="I196" s="170"/>
      <c r="J196" s="172">
        <v>450</v>
      </c>
      <c r="Y196" s="68" t="s">
        <v>105</v>
      </c>
      <c r="Z196" s="42">
        <v>0</v>
      </c>
      <c r="AA196" s="28">
        <v>0</v>
      </c>
      <c r="AB196" s="67">
        <v>0</v>
      </c>
      <c r="AC196" s="43">
        <v>0</v>
      </c>
      <c r="AD196" s="56">
        <v>0</v>
      </c>
      <c r="AE196" s="42">
        <v>0</v>
      </c>
      <c r="AF196" s="40">
        <v>8679</v>
      </c>
      <c r="AG196" s="40">
        <v>0</v>
      </c>
      <c r="AH196" s="67"/>
      <c r="AI196" s="28"/>
      <c r="AJ196" s="40"/>
      <c r="AM196" s="138" t="s">
        <v>84</v>
      </c>
      <c r="AN196" s="138">
        <v>279</v>
      </c>
      <c r="AO196" s="141">
        <v>264</v>
      </c>
      <c r="AP196" s="138">
        <v>0</v>
      </c>
      <c r="AQ196" s="141">
        <v>0</v>
      </c>
      <c r="AR196" s="142"/>
      <c r="AS196" s="224" t="s">
        <v>1995</v>
      </c>
      <c r="AT196" s="224"/>
      <c r="AU196" s="143"/>
      <c r="AV196" s="146">
        <v>201</v>
      </c>
      <c r="AY196" s="196" t="s">
        <v>113</v>
      </c>
      <c r="AZ196" s="138">
        <v>33</v>
      </c>
      <c r="BA196" s="43">
        <v>35</v>
      </c>
      <c r="BB196" s="41"/>
      <c r="BC196" s="67"/>
      <c r="BD196" s="40"/>
      <c r="BE196" s="43">
        <v>0</v>
      </c>
      <c r="BF196" s="28">
        <v>0</v>
      </c>
      <c r="BG196" s="47" t="s">
        <v>1987</v>
      </c>
      <c r="BH196" s="48"/>
      <c r="BI196" s="49"/>
      <c r="BJ196" s="28"/>
    </row>
    <row r="197" spans="1:62" ht="15" thickBot="1" x14ac:dyDescent="0.35">
      <c r="Y197" s="68" t="s">
        <v>108</v>
      </c>
      <c r="Z197" s="67">
        <v>0</v>
      </c>
      <c r="AA197" s="43">
        <v>0</v>
      </c>
      <c r="AB197" s="42">
        <v>0</v>
      </c>
      <c r="AC197" s="43">
        <v>0</v>
      </c>
      <c r="AD197" s="40">
        <v>0</v>
      </c>
      <c r="AE197" s="42">
        <v>0</v>
      </c>
      <c r="AF197" s="40">
        <v>30407</v>
      </c>
      <c r="AG197" s="40">
        <v>0</v>
      </c>
      <c r="AH197" s="42"/>
      <c r="AI197" s="28"/>
      <c r="AJ197" s="40"/>
      <c r="AM197" s="171" t="s">
        <v>84</v>
      </c>
      <c r="AN197" s="171">
        <v>2180</v>
      </c>
      <c r="AO197" s="172">
        <v>2126</v>
      </c>
      <c r="AP197" s="170">
        <v>0</v>
      </c>
      <c r="AQ197" s="172">
        <v>0</v>
      </c>
      <c r="AR197" s="48"/>
      <c r="AS197" s="48"/>
      <c r="AT197" s="48"/>
      <c r="AU197" s="48"/>
      <c r="AV197" s="49">
        <v>389</v>
      </c>
      <c r="AY197" s="196" t="s">
        <v>200</v>
      </c>
      <c r="AZ197" s="138">
        <v>13</v>
      </c>
      <c r="BA197" s="43">
        <v>11</v>
      </c>
      <c r="BB197" s="46" t="s">
        <v>1361</v>
      </c>
      <c r="BC197" s="72" t="s">
        <v>1362</v>
      </c>
      <c r="BD197" s="49" t="s">
        <v>1363</v>
      </c>
      <c r="BE197" s="43">
        <v>0</v>
      </c>
      <c r="BF197" s="141">
        <v>0</v>
      </c>
      <c r="BG197" s="138"/>
      <c r="BH197" s="28"/>
      <c r="BI197" s="141"/>
      <c r="BJ197" s="28"/>
    </row>
    <row r="198" spans="1:62" x14ac:dyDescent="0.3">
      <c r="Y198" s="68" t="s">
        <v>174</v>
      </c>
      <c r="Z198" s="67">
        <v>0</v>
      </c>
      <c r="AA198" s="43">
        <v>0</v>
      </c>
      <c r="AB198" s="67">
        <v>0</v>
      </c>
      <c r="AC198" s="43">
        <v>0</v>
      </c>
      <c r="AD198" s="56">
        <v>0</v>
      </c>
      <c r="AE198" s="42">
        <v>29775</v>
      </c>
      <c r="AF198" s="40">
        <v>8303</v>
      </c>
      <c r="AG198" s="40">
        <v>0</v>
      </c>
      <c r="AH198" s="67"/>
      <c r="AI198" s="28"/>
      <c r="AJ198" s="40"/>
      <c r="AY198" s="196" t="s">
        <v>169</v>
      </c>
      <c r="AZ198" s="138">
        <v>4</v>
      </c>
      <c r="BA198" s="141">
        <v>13</v>
      </c>
      <c r="BB198" s="268" t="s">
        <v>74</v>
      </c>
      <c r="BC198" s="43">
        <v>6</v>
      </c>
      <c r="BD198" s="141">
        <v>0</v>
      </c>
      <c r="BE198" s="43">
        <v>0</v>
      </c>
      <c r="BF198" s="141">
        <v>0</v>
      </c>
      <c r="BG198" s="138" t="s">
        <v>142</v>
      </c>
      <c r="BH198" s="43"/>
      <c r="BI198" s="141" t="s">
        <v>1996</v>
      </c>
      <c r="BJ198" s="28"/>
    </row>
    <row r="199" spans="1:62" ht="15" thickBot="1" x14ac:dyDescent="0.35">
      <c r="Y199" s="68" t="s">
        <v>84</v>
      </c>
      <c r="Z199" s="28">
        <v>0</v>
      </c>
      <c r="AA199" s="28">
        <v>0</v>
      </c>
      <c r="AB199" s="47">
        <v>0</v>
      </c>
      <c r="AC199" s="48">
        <v>0</v>
      </c>
      <c r="AD199" s="49">
        <v>0</v>
      </c>
      <c r="AE199" s="47">
        <v>144843</v>
      </c>
      <c r="AF199" s="49">
        <v>67892</v>
      </c>
      <c r="AG199" s="49">
        <v>0</v>
      </c>
      <c r="AH199" s="47"/>
      <c r="AI199" s="48"/>
      <c r="AJ199" s="49">
        <v>10</v>
      </c>
      <c r="AY199" s="196" t="s">
        <v>85</v>
      </c>
      <c r="AZ199" s="138">
        <v>9</v>
      </c>
      <c r="BA199" s="141">
        <v>8</v>
      </c>
      <c r="BB199" s="268" t="s">
        <v>445</v>
      </c>
      <c r="BC199" s="255">
        <v>3</v>
      </c>
      <c r="BD199" s="141">
        <v>0</v>
      </c>
      <c r="BE199" s="43">
        <v>0</v>
      </c>
      <c r="BF199" s="141">
        <v>0</v>
      </c>
      <c r="BG199" s="138" t="s">
        <v>146</v>
      </c>
      <c r="BH199" s="28"/>
      <c r="BI199" s="256" t="s">
        <v>1997</v>
      </c>
      <c r="BJ199" s="28"/>
    </row>
    <row r="200" spans="1:62" x14ac:dyDescent="0.3">
      <c r="Y200" s="32" t="s">
        <v>102</v>
      </c>
      <c r="Z200" s="33">
        <v>201</v>
      </c>
      <c r="AA200" s="35">
        <v>197</v>
      </c>
      <c r="AB200" s="33">
        <v>0</v>
      </c>
      <c r="AC200" s="123">
        <v>0</v>
      </c>
      <c r="AD200" s="35">
        <v>0</v>
      </c>
      <c r="AE200" s="33">
        <v>0</v>
      </c>
      <c r="AF200" s="35">
        <v>0</v>
      </c>
      <c r="AG200" s="32">
        <v>0</v>
      </c>
      <c r="AH200" s="33" t="s">
        <v>1326</v>
      </c>
      <c r="AI200" s="34"/>
      <c r="AJ200" s="35"/>
      <c r="AY200" s="196" t="s">
        <v>108</v>
      </c>
      <c r="AZ200" s="138">
        <v>11</v>
      </c>
      <c r="BA200" s="141">
        <v>19</v>
      </c>
      <c r="BB200" s="268" t="s">
        <v>337</v>
      </c>
      <c r="BC200" s="43">
        <v>0</v>
      </c>
      <c r="BD200" s="141">
        <v>5</v>
      </c>
      <c r="BE200" s="43">
        <v>0</v>
      </c>
      <c r="BF200" s="141">
        <v>0</v>
      </c>
      <c r="BG200" s="138"/>
      <c r="BH200" s="28"/>
      <c r="BI200" s="141" t="s">
        <v>1998</v>
      </c>
      <c r="BJ200" s="28"/>
    </row>
    <row r="201" spans="1:62" x14ac:dyDescent="0.3">
      <c r="Y201" s="41" t="s">
        <v>88</v>
      </c>
      <c r="Z201" s="42">
        <v>31</v>
      </c>
      <c r="AA201" s="40">
        <v>0</v>
      </c>
      <c r="AB201" s="67">
        <v>0</v>
      </c>
      <c r="AC201" s="43">
        <v>0</v>
      </c>
      <c r="AD201" s="56">
        <v>0</v>
      </c>
      <c r="AE201" s="42">
        <v>0</v>
      </c>
      <c r="AF201" s="40">
        <v>0</v>
      </c>
      <c r="AG201" s="41">
        <v>0</v>
      </c>
      <c r="AH201" s="67" t="s">
        <v>847</v>
      </c>
      <c r="AI201" s="28" t="s">
        <v>1417</v>
      </c>
      <c r="AJ201" s="40" t="s">
        <v>1418</v>
      </c>
      <c r="AY201" s="196" t="s">
        <v>1118</v>
      </c>
      <c r="AZ201" s="138">
        <v>0</v>
      </c>
      <c r="BA201" s="141">
        <v>1</v>
      </c>
      <c r="BB201" s="268" t="s">
        <v>1255</v>
      </c>
      <c r="BC201" s="43">
        <v>1</v>
      </c>
      <c r="BD201" s="141">
        <v>0</v>
      </c>
      <c r="BE201" s="43">
        <v>0</v>
      </c>
      <c r="BF201" s="141">
        <v>0</v>
      </c>
      <c r="BG201" s="138" t="s">
        <v>151</v>
      </c>
      <c r="BH201" s="28"/>
      <c r="BI201" s="141"/>
      <c r="BJ201" s="28"/>
    </row>
    <row r="202" spans="1:62" ht="15" thickBot="1" x14ac:dyDescent="0.35">
      <c r="Y202" s="46" t="s">
        <v>84</v>
      </c>
      <c r="Z202" s="47">
        <v>232</v>
      </c>
      <c r="AA202" s="49">
        <v>197</v>
      </c>
      <c r="AB202" s="47">
        <v>0</v>
      </c>
      <c r="AC202" s="48">
        <v>0</v>
      </c>
      <c r="AD202" s="49">
        <v>0</v>
      </c>
      <c r="AE202" s="47">
        <v>0</v>
      </c>
      <c r="AF202" s="49">
        <v>0</v>
      </c>
      <c r="AG202" s="46">
        <v>0</v>
      </c>
      <c r="AH202" s="47" t="s">
        <v>861</v>
      </c>
      <c r="AI202" s="48"/>
      <c r="AJ202" s="49">
        <v>8</v>
      </c>
      <c r="AY202" s="196" t="s">
        <v>214</v>
      </c>
      <c r="AZ202" s="138">
        <v>0</v>
      </c>
      <c r="BA202" s="141">
        <v>1</v>
      </c>
      <c r="BB202" s="268" t="s">
        <v>1129</v>
      </c>
      <c r="BC202" s="43">
        <v>4</v>
      </c>
      <c r="BD202" s="141">
        <v>0</v>
      </c>
      <c r="BE202" s="43">
        <v>0</v>
      </c>
      <c r="BF202" s="141">
        <v>0</v>
      </c>
      <c r="BG202" s="269" t="s">
        <v>1999</v>
      </c>
      <c r="BH202" s="257" t="s">
        <v>2000</v>
      </c>
      <c r="BI202" s="141" t="s">
        <v>2001</v>
      </c>
      <c r="BJ202" s="28"/>
    </row>
    <row r="203" spans="1:62" ht="15" thickBot="1" x14ac:dyDescent="0.35">
      <c r="Y203" s="254" t="s">
        <v>84</v>
      </c>
      <c r="Z203" s="171">
        <v>4484</v>
      </c>
      <c r="AA203" s="172">
        <v>4588</v>
      </c>
      <c r="AB203" s="171"/>
      <c r="AC203" s="170">
        <v>0</v>
      </c>
      <c r="AD203" s="172">
        <v>0</v>
      </c>
      <c r="AE203" s="47">
        <v>188153</v>
      </c>
      <c r="AF203" s="49">
        <v>75690</v>
      </c>
      <c r="AG203" s="46"/>
      <c r="AH203" s="291" t="s">
        <v>199</v>
      </c>
      <c r="AI203" s="170"/>
      <c r="AJ203" s="172">
        <v>67</v>
      </c>
      <c r="AY203" s="196" t="s">
        <v>564</v>
      </c>
      <c r="AZ203" s="138">
        <v>0</v>
      </c>
      <c r="BA203" s="141">
        <v>4</v>
      </c>
      <c r="BB203" s="268" t="s">
        <v>1421</v>
      </c>
      <c r="BC203" s="43">
        <v>8</v>
      </c>
      <c r="BD203" s="141">
        <v>0</v>
      </c>
      <c r="BE203" s="43">
        <v>0</v>
      </c>
      <c r="BF203" s="141">
        <v>0</v>
      </c>
      <c r="BG203" s="212" t="s">
        <v>1991</v>
      </c>
      <c r="BH203" s="28" t="s">
        <v>2002</v>
      </c>
      <c r="BI203" s="141" t="s">
        <v>2003</v>
      </c>
      <c r="BJ203" s="28"/>
    </row>
    <row r="204" spans="1:62" x14ac:dyDescent="0.3">
      <c r="AY204" s="196" t="s">
        <v>1423</v>
      </c>
      <c r="AZ204" s="138">
        <v>2</v>
      </c>
      <c r="BA204" s="141">
        <v>0</v>
      </c>
      <c r="BB204" s="268" t="s">
        <v>956</v>
      </c>
      <c r="BC204" s="43">
        <v>1</v>
      </c>
      <c r="BD204" s="141">
        <v>0</v>
      </c>
      <c r="BE204" s="43">
        <v>0</v>
      </c>
      <c r="BF204" s="141">
        <v>0</v>
      </c>
      <c r="BG204" s="212" t="s">
        <v>2004</v>
      </c>
      <c r="BH204" s="28" t="s">
        <v>2005</v>
      </c>
      <c r="BI204" s="141" t="s">
        <v>2006</v>
      </c>
      <c r="BJ204" s="28"/>
    </row>
    <row r="205" spans="1:62" x14ac:dyDescent="0.3">
      <c r="AY205" s="196" t="s">
        <v>596</v>
      </c>
      <c r="AZ205" s="138">
        <v>3</v>
      </c>
      <c r="BA205" s="141">
        <v>1</v>
      </c>
      <c r="BB205" s="268" t="s">
        <v>1425</v>
      </c>
      <c r="BC205" s="270">
        <v>6</v>
      </c>
      <c r="BD205" s="141">
        <v>0</v>
      </c>
      <c r="BE205" s="43">
        <v>0</v>
      </c>
      <c r="BF205" s="141">
        <v>0</v>
      </c>
      <c r="BG205" s="138" t="s">
        <v>2007</v>
      </c>
      <c r="BH205" s="43" t="s">
        <v>2008</v>
      </c>
      <c r="BI205" s="209" t="s">
        <v>2009</v>
      </c>
      <c r="BJ205" s="28"/>
    </row>
    <row r="206" spans="1:62" x14ac:dyDescent="0.3">
      <c r="AY206" s="196" t="s">
        <v>1588</v>
      </c>
      <c r="AZ206" s="138">
        <v>3</v>
      </c>
      <c r="BA206" s="141">
        <v>0</v>
      </c>
      <c r="BB206" s="268" t="s">
        <v>220</v>
      </c>
      <c r="BC206" s="43">
        <v>0</v>
      </c>
      <c r="BD206" s="141">
        <v>11</v>
      </c>
      <c r="BE206" s="43">
        <v>0</v>
      </c>
      <c r="BF206" s="141">
        <v>0</v>
      </c>
      <c r="BG206" s="138" t="s">
        <v>2010</v>
      </c>
      <c r="BH206" s="43" t="s">
        <v>216</v>
      </c>
      <c r="BI206" s="209" t="s">
        <v>2011</v>
      </c>
      <c r="BJ206" s="28"/>
    </row>
    <row r="207" spans="1:62" x14ac:dyDescent="0.3">
      <c r="AY207" s="196" t="s">
        <v>107</v>
      </c>
      <c r="AZ207" s="138">
        <v>2</v>
      </c>
      <c r="BA207" s="141">
        <v>2</v>
      </c>
      <c r="BB207" s="268" t="s">
        <v>1429</v>
      </c>
      <c r="BC207" s="43">
        <v>0</v>
      </c>
      <c r="BD207" s="141">
        <v>0</v>
      </c>
      <c r="BE207" s="43">
        <v>0</v>
      </c>
      <c r="BF207" s="141">
        <v>0</v>
      </c>
      <c r="BG207" s="212" t="s">
        <v>392</v>
      </c>
      <c r="BH207" s="43" t="s">
        <v>472</v>
      </c>
      <c r="BI207" s="141" t="s">
        <v>2012</v>
      </c>
      <c r="BJ207" s="28"/>
    </row>
    <row r="208" spans="1:62" x14ac:dyDescent="0.3">
      <c r="AY208" s="196" t="s">
        <v>99</v>
      </c>
      <c r="AZ208" s="138">
        <v>7</v>
      </c>
      <c r="BA208" s="141">
        <v>6</v>
      </c>
      <c r="BB208" s="268" t="s">
        <v>549</v>
      </c>
      <c r="BC208" s="270">
        <v>0</v>
      </c>
      <c r="BD208" s="141">
        <v>0</v>
      </c>
      <c r="BE208" s="43">
        <v>0</v>
      </c>
      <c r="BF208" s="141">
        <v>0</v>
      </c>
      <c r="BG208" s="138" t="s">
        <v>2013</v>
      </c>
      <c r="BH208" s="43" t="s">
        <v>353</v>
      </c>
      <c r="BI208" s="260" t="s">
        <v>2014</v>
      </c>
      <c r="BJ208" s="28"/>
    </row>
    <row r="209" spans="39:62" x14ac:dyDescent="0.3">
      <c r="AY209" s="196" t="s">
        <v>785</v>
      </c>
      <c r="AZ209" s="138">
        <v>0</v>
      </c>
      <c r="BA209" s="141">
        <v>1</v>
      </c>
      <c r="BB209" s="268" t="s">
        <v>1431</v>
      </c>
      <c r="BC209" s="270">
        <v>0</v>
      </c>
      <c r="BD209" s="141">
        <v>0</v>
      </c>
      <c r="BE209" s="43">
        <v>0</v>
      </c>
      <c r="BF209" s="141">
        <v>0</v>
      </c>
      <c r="BG209" s="138" t="s">
        <v>1990</v>
      </c>
      <c r="BH209" s="43" t="s">
        <v>554</v>
      </c>
      <c r="BI209" s="209"/>
      <c r="BJ209" s="28"/>
    </row>
    <row r="210" spans="39:62" x14ac:dyDescent="0.3">
      <c r="AY210" s="196" t="s">
        <v>977</v>
      </c>
      <c r="AZ210" s="138">
        <v>0</v>
      </c>
      <c r="BA210" s="141">
        <v>8</v>
      </c>
      <c r="BB210" s="268" t="s">
        <v>862</v>
      </c>
      <c r="BC210" s="270">
        <v>0</v>
      </c>
      <c r="BD210" s="141">
        <v>0</v>
      </c>
      <c r="BE210" s="43">
        <v>0</v>
      </c>
      <c r="BF210" s="141">
        <v>0</v>
      </c>
      <c r="BG210" s="138" t="s">
        <v>2015</v>
      </c>
      <c r="BH210" s="43" t="s">
        <v>2016</v>
      </c>
      <c r="BI210" s="141"/>
      <c r="BJ210" s="28"/>
    </row>
    <row r="211" spans="39:62" ht="15.6" x14ac:dyDescent="0.3">
      <c r="AY211" s="259" t="s">
        <v>93</v>
      </c>
      <c r="AZ211" s="138">
        <v>0</v>
      </c>
      <c r="BA211" s="141">
        <v>8</v>
      </c>
      <c r="BB211" s="268" t="s">
        <v>1434</v>
      </c>
      <c r="BC211" s="270">
        <v>0</v>
      </c>
      <c r="BD211" s="141">
        <v>0</v>
      </c>
      <c r="BE211" s="43">
        <v>0</v>
      </c>
      <c r="BF211" s="141">
        <v>0</v>
      </c>
      <c r="BG211" s="138" t="s">
        <v>2017</v>
      </c>
      <c r="BH211" s="258" t="s">
        <v>2018</v>
      </c>
      <c r="BI211" s="260"/>
      <c r="BJ211" s="28"/>
    </row>
    <row r="212" spans="39:62" ht="15.6" x14ac:dyDescent="0.3">
      <c r="AY212" s="196" t="s">
        <v>97</v>
      </c>
      <c r="AZ212" s="138">
        <v>0</v>
      </c>
      <c r="BA212" s="141">
        <v>2</v>
      </c>
      <c r="BB212" s="268" t="s">
        <v>1435</v>
      </c>
      <c r="BC212" s="270">
        <v>0</v>
      </c>
      <c r="BD212" s="141">
        <v>0</v>
      </c>
      <c r="BE212" s="43">
        <v>0</v>
      </c>
      <c r="BF212" s="141">
        <v>0</v>
      </c>
      <c r="BG212" s="138" t="s">
        <v>2019</v>
      </c>
      <c r="BH212" s="258" t="s">
        <v>2020</v>
      </c>
      <c r="BI212" s="141"/>
      <c r="BJ212" s="28"/>
    </row>
    <row r="213" spans="39:62" ht="15.6" x14ac:dyDescent="0.3">
      <c r="AY213" s="196" t="s">
        <v>523</v>
      </c>
      <c r="AZ213" s="138">
        <v>0</v>
      </c>
      <c r="BA213" s="141">
        <v>1</v>
      </c>
      <c r="BB213" s="268" t="s">
        <v>218</v>
      </c>
      <c r="BC213" s="270">
        <v>0</v>
      </c>
      <c r="BD213" s="141">
        <v>36</v>
      </c>
      <c r="BE213" s="43">
        <v>0</v>
      </c>
      <c r="BF213" s="141">
        <v>0</v>
      </c>
      <c r="BG213" s="138" t="s">
        <v>2021</v>
      </c>
      <c r="BH213" s="258" t="s">
        <v>2022</v>
      </c>
      <c r="BI213" s="141"/>
      <c r="BJ213" s="28"/>
    </row>
    <row r="214" spans="39:62" ht="15.6" x14ac:dyDescent="0.3">
      <c r="AY214" s="196" t="s">
        <v>574</v>
      </c>
      <c r="AZ214" s="138">
        <v>0</v>
      </c>
      <c r="BA214" s="141">
        <v>2</v>
      </c>
      <c r="BB214" s="268" t="s">
        <v>1437</v>
      </c>
      <c r="BC214" s="270">
        <v>0</v>
      </c>
      <c r="BD214" s="141">
        <v>0</v>
      </c>
      <c r="BE214" s="43">
        <v>0</v>
      </c>
      <c r="BF214" s="141">
        <v>0</v>
      </c>
      <c r="BG214" s="138" t="s">
        <v>2023</v>
      </c>
      <c r="BH214" s="258" t="s">
        <v>2024</v>
      </c>
      <c r="BI214" s="141"/>
      <c r="BJ214" s="28"/>
    </row>
    <row r="215" spans="39:62" ht="16.2" thickBot="1" x14ac:dyDescent="0.35">
      <c r="AY215" s="196" t="s">
        <v>139</v>
      </c>
      <c r="AZ215" s="138">
        <v>2</v>
      </c>
      <c r="BA215" s="141">
        <v>0</v>
      </c>
      <c r="BB215" s="268" t="s">
        <v>230</v>
      </c>
      <c r="BC215" s="270">
        <v>8</v>
      </c>
      <c r="BD215" s="141">
        <v>0</v>
      </c>
      <c r="BE215" s="43">
        <v>0</v>
      </c>
      <c r="BF215" s="141">
        <v>0</v>
      </c>
      <c r="BG215" s="138" t="s">
        <v>86</v>
      </c>
      <c r="BH215" s="258" t="s">
        <v>2025</v>
      </c>
      <c r="BI215" s="141">
        <v>95</v>
      </c>
      <c r="BJ215" s="28"/>
    </row>
    <row r="216" spans="39:62" ht="15" thickBot="1" x14ac:dyDescent="0.35">
      <c r="AY216" s="271" t="s">
        <v>84</v>
      </c>
      <c r="AZ216" s="271">
        <v>100</v>
      </c>
      <c r="BA216" s="272">
        <v>154</v>
      </c>
      <c r="BB216" s="170" t="s">
        <v>84</v>
      </c>
      <c r="BC216" s="170">
        <v>37</v>
      </c>
      <c r="BD216" s="170">
        <v>52</v>
      </c>
      <c r="BE216" s="171">
        <v>77715</v>
      </c>
      <c r="BF216" s="172">
        <v>22725</v>
      </c>
      <c r="BG216" s="351"/>
      <c r="BH216" s="170" t="s">
        <v>1988</v>
      </c>
      <c r="BI216" s="172">
        <v>306</v>
      </c>
      <c r="BJ216" s="28"/>
    </row>
    <row r="217" spans="39:62" x14ac:dyDescent="0.3">
      <c r="AY217" s="33" t="s">
        <v>223</v>
      </c>
      <c r="AZ217" s="295">
        <v>7418</v>
      </c>
      <c r="BA217" s="296">
        <v>10115</v>
      </c>
      <c r="BB217" s="297"/>
      <c r="BC217" s="34" t="s">
        <v>1503</v>
      </c>
      <c r="BD217" s="34"/>
      <c r="BE217" s="34"/>
      <c r="BF217" s="34"/>
      <c r="BG217" s="298">
        <v>823</v>
      </c>
      <c r="BH217" s="298"/>
      <c r="BI217" s="35"/>
      <c r="BJ217" s="28"/>
    </row>
    <row r="218" spans="39:62" ht="15" thickBot="1" x14ac:dyDescent="0.35">
      <c r="AY218" s="42" t="s">
        <v>1340</v>
      </c>
      <c r="AZ218" s="28"/>
      <c r="BA218" s="299">
        <v>95</v>
      </c>
      <c r="BB218" s="47"/>
      <c r="BC218" s="48" t="s">
        <v>1504</v>
      </c>
      <c r="BD218" s="48"/>
      <c r="BE218" s="48"/>
      <c r="BF218" s="48"/>
      <c r="BG218" s="300">
        <v>389</v>
      </c>
      <c r="BH218" s="300">
        <v>1212</v>
      </c>
      <c r="BI218" s="49"/>
      <c r="BJ218" s="28"/>
    </row>
    <row r="219" spans="39:62" ht="15" thickBot="1" x14ac:dyDescent="0.35">
      <c r="AY219" s="42" t="s">
        <v>229</v>
      </c>
      <c r="AZ219" s="28"/>
      <c r="BA219" s="299">
        <v>4</v>
      </c>
      <c r="BB219" s="171"/>
      <c r="BC219" s="170"/>
      <c r="BD219" s="170"/>
      <c r="BE219" s="170"/>
      <c r="BF219" s="170"/>
      <c r="BG219" s="170"/>
      <c r="BH219" s="170"/>
      <c r="BI219" s="172"/>
      <c r="BJ219" s="28"/>
    </row>
    <row r="220" spans="39:62" x14ac:dyDescent="0.3">
      <c r="AY220" s="33" t="s">
        <v>232</v>
      </c>
      <c r="AZ220" s="34"/>
      <c r="BA220" s="303" t="s">
        <v>233</v>
      </c>
      <c r="BB220" s="34"/>
      <c r="BC220" s="298">
        <v>2180</v>
      </c>
      <c r="BD220" s="35"/>
      <c r="BE220" s="34" t="s">
        <v>234</v>
      </c>
      <c r="BF220" s="34"/>
      <c r="BG220" s="34" t="s">
        <v>233</v>
      </c>
      <c r="BH220" s="34"/>
      <c r="BI220" s="304">
        <v>7418</v>
      </c>
      <c r="BJ220" s="28"/>
    </row>
    <row r="221" spans="39:62" ht="15" thickBot="1" x14ac:dyDescent="0.35">
      <c r="AY221" s="47"/>
      <c r="AZ221" s="48"/>
      <c r="BA221" s="48" t="s">
        <v>236</v>
      </c>
      <c r="BB221" s="48"/>
      <c r="BC221" s="300">
        <v>2126</v>
      </c>
      <c r="BD221" s="49"/>
      <c r="BE221" s="48"/>
      <c r="BF221" s="48"/>
      <c r="BG221" s="48" t="s">
        <v>236</v>
      </c>
      <c r="BH221" s="48"/>
      <c r="BI221" s="301">
        <v>10115</v>
      </c>
      <c r="BJ221" s="28"/>
    </row>
    <row r="222" spans="39:62" x14ac:dyDescent="0.3">
      <c r="AY222" s="33" t="s">
        <v>238</v>
      </c>
      <c r="AZ222" s="34" t="s">
        <v>239</v>
      </c>
      <c r="BA222" s="35"/>
      <c r="BB222" s="33" t="s">
        <v>240</v>
      </c>
      <c r="BC222" s="34" t="s">
        <v>241</v>
      </c>
      <c r="BD222" s="35"/>
      <c r="BE222" s="33"/>
      <c r="BF222" s="34" t="s">
        <v>242</v>
      </c>
      <c r="BG222" s="83" t="s">
        <v>243</v>
      </c>
      <c r="BH222" s="34"/>
      <c r="BI222" s="35"/>
      <c r="BJ222" s="28"/>
    </row>
    <row r="223" spans="39:62" x14ac:dyDescent="0.3"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Y223" s="42" t="s">
        <v>233</v>
      </c>
      <c r="AZ223" s="28"/>
      <c r="BA223" s="174">
        <v>53331</v>
      </c>
      <c r="BB223" s="306" t="s">
        <v>233</v>
      </c>
      <c r="BC223" s="28"/>
      <c r="BD223" s="174">
        <v>4484</v>
      </c>
      <c r="BE223" s="42" t="s">
        <v>233</v>
      </c>
      <c r="BF223" s="28"/>
      <c r="BG223" s="140">
        <v>11902</v>
      </c>
      <c r="BH223" s="28" t="s">
        <v>245</v>
      </c>
      <c r="BI223" s="174">
        <v>65233</v>
      </c>
      <c r="BJ223" s="28"/>
    </row>
    <row r="224" spans="39:62" ht="15" thickBot="1" x14ac:dyDescent="0.35"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Y224" s="47" t="s">
        <v>236</v>
      </c>
      <c r="AZ224" s="48"/>
      <c r="BA224" s="301">
        <v>55747</v>
      </c>
      <c r="BB224" s="307" t="s">
        <v>236</v>
      </c>
      <c r="BC224" s="48"/>
      <c r="BD224" s="301">
        <v>4588</v>
      </c>
      <c r="BE224" s="47" t="s">
        <v>236</v>
      </c>
      <c r="BF224" s="48"/>
      <c r="BG224" s="300">
        <v>14703</v>
      </c>
      <c r="BH224" s="48"/>
      <c r="BI224" s="301">
        <v>70450</v>
      </c>
      <c r="BJ224" s="140">
        <v>135683</v>
      </c>
    </row>
    <row r="225" spans="1:62" ht="15" thickBot="1" x14ac:dyDescent="0.35"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Y225" s="171" t="s">
        <v>1961</v>
      </c>
      <c r="AZ225" s="170"/>
      <c r="BA225" s="172"/>
      <c r="BB225" s="171" t="s">
        <v>1506</v>
      </c>
      <c r="BC225" s="170"/>
      <c r="BD225" s="172"/>
      <c r="BE225" s="170"/>
      <c r="BF225" s="170"/>
      <c r="BG225" s="170" t="s">
        <v>1507</v>
      </c>
      <c r="BH225" s="170"/>
      <c r="BI225" s="172"/>
    </row>
    <row r="226" spans="1:62" x14ac:dyDescent="0.3">
      <c r="AM226" s="28"/>
      <c r="AN226" s="28"/>
      <c r="AO226" s="28"/>
      <c r="AP226" s="407"/>
      <c r="AQ226" s="407"/>
      <c r="AR226" s="407"/>
      <c r="AS226" s="28"/>
      <c r="AT226" s="28"/>
      <c r="AU226" s="28"/>
      <c r="AV226" s="28"/>
      <c r="AY226" s="32" t="s">
        <v>43</v>
      </c>
      <c r="AZ226" s="32" t="s">
        <v>44</v>
      </c>
      <c r="BA226" s="40"/>
      <c r="BB226" s="362" t="s">
        <v>43</v>
      </c>
      <c r="BC226" s="363" t="s">
        <v>44</v>
      </c>
      <c r="BD226" s="40"/>
      <c r="BE226" s="43"/>
      <c r="BF226" s="28"/>
      <c r="BG226" s="140">
        <v>2991</v>
      </c>
      <c r="BH226" s="43"/>
      <c r="BI226" s="364"/>
      <c r="BJ226" s="28"/>
    </row>
    <row r="227" spans="1:62" ht="15" thickBot="1" x14ac:dyDescent="0.35">
      <c r="AM227" s="28"/>
      <c r="AN227" s="28"/>
      <c r="AO227" s="28"/>
      <c r="AP227" s="28"/>
      <c r="AQ227" s="28"/>
      <c r="AR227" s="28"/>
      <c r="AS227" s="28"/>
      <c r="AT227" s="28"/>
      <c r="AU227" s="322"/>
      <c r="AV227" s="28"/>
      <c r="AY227" s="365">
        <v>219143</v>
      </c>
      <c r="AZ227" s="365">
        <v>120221</v>
      </c>
      <c r="BA227" s="49"/>
      <c r="BB227" s="366">
        <v>79659</v>
      </c>
      <c r="BC227" s="367">
        <v>25051</v>
      </c>
      <c r="BD227" s="49"/>
      <c r="BE227" s="51"/>
      <c r="BF227" s="48"/>
      <c r="BG227" s="48"/>
      <c r="BH227" s="51"/>
      <c r="BI227" s="73"/>
      <c r="BJ227" s="28"/>
    </row>
    <row r="228" spans="1:62" x14ac:dyDescent="0.3"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Y228" s="28"/>
      <c r="AZ228" s="28"/>
      <c r="BA228" s="28"/>
      <c r="BB228" s="343"/>
      <c r="BC228" s="270"/>
      <c r="BD228" s="28"/>
      <c r="BE228" s="43"/>
      <c r="BF228" s="28"/>
      <c r="BG228" s="28"/>
      <c r="BH228" s="43"/>
      <c r="BI228" s="28"/>
      <c r="BJ228" s="28"/>
    </row>
    <row r="229" spans="1:62" ht="15.6" x14ac:dyDescent="0.3"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Y229" s="267"/>
      <c r="AZ229" s="28"/>
      <c r="BA229" s="28"/>
      <c r="BB229" s="343"/>
      <c r="BC229" s="270"/>
      <c r="BD229" s="28"/>
      <c r="BE229" s="43"/>
      <c r="BF229" s="28"/>
      <c r="BG229" s="28"/>
      <c r="BH229" s="258"/>
      <c r="BI229" s="246"/>
      <c r="BJ229" s="28"/>
    </row>
    <row r="230" spans="1:62" ht="15.6" x14ac:dyDescent="0.3"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Y230" s="28"/>
      <c r="AZ230" s="28"/>
      <c r="BA230" s="28"/>
      <c r="BB230" s="343"/>
      <c r="BC230" s="270"/>
      <c r="BD230" s="28"/>
      <c r="BE230" s="43"/>
      <c r="BF230" s="28"/>
      <c r="BG230" s="28"/>
      <c r="BH230" s="258"/>
      <c r="BI230" s="28"/>
      <c r="BJ230" s="28"/>
    </row>
    <row r="231" spans="1:62" ht="21" x14ac:dyDescent="0.4">
      <c r="B231" s="261"/>
      <c r="C231" s="184"/>
      <c r="E231" s="329" t="s">
        <v>1873</v>
      </c>
      <c r="O231" s="261"/>
      <c r="P231" s="184"/>
      <c r="R231" s="329" t="s">
        <v>1873</v>
      </c>
      <c r="AA231" s="261"/>
      <c r="AB231" s="184"/>
      <c r="AD231" s="329" t="s">
        <v>1873</v>
      </c>
      <c r="AM231" s="28"/>
      <c r="AN231" s="261"/>
      <c r="AO231" s="184"/>
      <c r="AQ231" s="329" t="s">
        <v>1873</v>
      </c>
      <c r="AU231" s="28"/>
      <c r="AV231" s="28"/>
      <c r="AY231" s="28"/>
      <c r="AZ231" s="28"/>
      <c r="BA231" s="28"/>
      <c r="BB231" s="343"/>
      <c r="BC231" s="270"/>
      <c r="BD231" s="28"/>
      <c r="BE231" s="43"/>
      <c r="BF231" s="28"/>
      <c r="BG231" s="28"/>
      <c r="BH231" s="258"/>
      <c r="BI231" s="28"/>
      <c r="BJ231" s="28"/>
    </row>
    <row r="232" spans="1:62" ht="21" x14ac:dyDescent="0.4">
      <c r="C232" t="s">
        <v>1443</v>
      </c>
      <c r="Q232" t="s">
        <v>1</v>
      </c>
      <c r="AC232" t="s">
        <v>1444</v>
      </c>
      <c r="AP232" t="s">
        <v>1445</v>
      </c>
      <c r="AY232" s="28"/>
      <c r="AZ232" s="28"/>
      <c r="BA232" s="261"/>
      <c r="BB232" s="184"/>
      <c r="BD232" s="329" t="s">
        <v>1873</v>
      </c>
      <c r="BH232" s="258"/>
      <c r="BI232" s="28"/>
      <c r="BJ232" s="28"/>
    </row>
    <row r="233" spans="1:62" x14ac:dyDescent="0.3">
      <c r="D233" t="s">
        <v>2</v>
      </c>
      <c r="Q233" s="408" t="s">
        <v>1286</v>
      </c>
      <c r="R233" s="408"/>
      <c r="S233" s="408"/>
      <c r="AC233" t="s">
        <v>9</v>
      </c>
      <c r="AQ233" t="s">
        <v>2</v>
      </c>
      <c r="BC233" t="s">
        <v>1445</v>
      </c>
      <c r="BF233" s="28"/>
      <c r="BG233" s="28"/>
      <c r="BH233" s="28"/>
      <c r="BI233" s="28"/>
      <c r="BJ233" s="28"/>
    </row>
    <row r="234" spans="1:62" x14ac:dyDescent="0.3">
      <c r="C234" t="s">
        <v>7</v>
      </c>
      <c r="P234" t="s">
        <v>1446</v>
      </c>
      <c r="AC234" t="s">
        <v>11</v>
      </c>
      <c r="AO234" t="s">
        <v>1447</v>
      </c>
      <c r="BD234" t="s">
        <v>2</v>
      </c>
      <c r="BF234" s="28"/>
      <c r="BG234" s="28"/>
      <c r="BH234" s="28"/>
      <c r="BI234" s="28"/>
      <c r="BJ234" s="28"/>
    </row>
    <row r="235" spans="1:62" x14ac:dyDescent="0.3">
      <c r="B235" s="408" t="s">
        <v>1448</v>
      </c>
      <c r="C235" s="408"/>
      <c r="D235" s="408"/>
      <c r="E235" s="408"/>
      <c r="F235" s="408"/>
      <c r="P235" s="408" t="s">
        <v>1448</v>
      </c>
      <c r="Q235" s="408"/>
      <c r="R235" s="408"/>
      <c r="S235" s="408"/>
      <c r="AC235" s="408" t="s">
        <v>1449</v>
      </c>
      <c r="AD235" s="408"/>
      <c r="AE235" s="408"/>
      <c r="AF235" s="408"/>
      <c r="AP235" s="408" t="s">
        <v>1450</v>
      </c>
      <c r="AQ235" s="408"/>
      <c r="AR235" s="408"/>
      <c r="BB235" t="s">
        <v>1451</v>
      </c>
      <c r="BF235" s="28"/>
      <c r="BG235" s="28"/>
      <c r="BH235" s="28"/>
      <c r="BI235" s="28"/>
      <c r="BJ235" s="28"/>
    </row>
    <row r="236" spans="1:62" ht="15" thickBot="1" x14ac:dyDescent="0.35">
      <c r="I236" s="194" t="s">
        <v>949</v>
      </c>
      <c r="V236" t="s">
        <v>15</v>
      </c>
      <c r="AI236" s="28" t="s">
        <v>25</v>
      </c>
      <c r="AU236" s="194" t="s">
        <v>951</v>
      </c>
      <c r="BC236" s="345" t="s">
        <v>1455</v>
      </c>
      <c r="BD236" s="345"/>
      <c r="BE236" s="345"/>
      <c r="BF236" s="28"/>
      <c r="BG236" s="28"/>
      <c r="BH236" s="238" t="s">
        <v>950</v>
      </c>
      <c r="BI236" s="28"/>
      <c r="BJ236" s="28"/>
    </row>
    <row r="237" spans="1:62" ht="15" thickBot="1" x14ac:dyDescent="0.35">
      <c r="A237" s="32" t="s">
        <v>17</v>
      </c>
      <c r="B237" s="34" t="s">
        <v>18</v>
      </c>
      <c r="C237" s="201"/>
      <c r="D237" s="34" t="s">
        <v>19</v>
      </c>
      <c r="E237" s="34"/>
      <c r="F237" s="34"/>
      <c r="G237" s="200"/>
      <c r="H237" s="33" t="s">
        <v>21</v>
      </c>
      <c r="I237" s="34"/>
      <c r="J237" s="35"/>
      <c r="M237" s="32" t="s">
        <v>17</v>
      </c>
      <c r="N237" s="33" t="s">
        <v>22</v>
      </c>
      <c r="O237" s="34"/>
      <c r="P237" s="34" t="s">
        <v>1452</v>
      </c>
      <c r="Q237" s="34" t="s">
        <v>1453</v>
      </c>
      <c r="R237" s="34"/>
      <c r="S237" s="34"/>
      <c r="T237" s="35"/>
      <c r="U237" s="33" t="s">
        <v>21</v>
      </c>
      <c r="V237" s="35"/>
      <c r="Y237" s="33" t="s">
        <v>34</v>
      </c>
      <c r="Z237" s="200" t="s">
        <v>35</v>
      </c>
      <c r="AA237" s="201"/>
      <c r="AB237" s="34" t="s">
        <v>1454</v>
      </c>
      <c r="AC237" s="34" t="s">
        <v>51</v>
      </c>
      <c r="AD237" s="34"/>
      <c r="AE237" s="200" t="s">
        <v>37</v>
      </c>
      <c r="AF237" s="201" t="s">
        <v>1288</v>
      </c>
      <c r="AG237" s="34" t="s">
        <v>30</v>
      </c>
      <c r="AH237" s="200" t="s">
        <v>38</v>
      </c>
      <c r="AI237" s="34"/>
      <c r="AJ237" s="35"/>
      <c r="AM237" s="134" t="s">
        <v>17</v>
      </c>
      <c r="AN237" s="134" t="s">
        <v>39</v>
      </c>
      <c r="AO237" s="136"/>
      <c r="AP237" s="134" t="s">
        <v>29</v>
      </c>
      <c r="AQ237" s="136" t="s">
        <v>30</v>
      </c>
      <c r="AR237" s="135" t="s">
        <v>40</v>
      </c>
      <c r="AS237" s="135"/>
      <c r="AT237" s="135"/>
      <c r="AU237" s="135"/>
      <c r="AV237" s="136"/>
      <c r="AY237" s="195" t="s">
        <v>17</v>
      </c>
      <c r="AZ237" s="134" t="s">
        <v>27</v>
      </c>
      <c r="BA237" s="135"/>
      <c r="BB237" s="134" t="s">
        <v>28</v>
      </c>
      <c r="BC237" s="135"/>
      <c r="BD237" s="136"/>
      <c r="BE237" s="134" t="s">
        <v>1459</v>
      </c>
      <c r="BF237" s="136"/>
      <c r="BG237" s="135" t="s">
        <v>31</v>
      </c>
      <c r="BH237" s="135"/>
      <c r="BI237" s="136"/>
      <c r="BJ237" s="28"/>
    </row>
    <row r="238" spans="1:62" ht="15" thickBot="1" x14ac:dyDescent="0.35">
      <c r="A238" s="41" t="s">
        <v>32</v>
      </c>
      <c r="B238" s="28"/>
      <c r="C238" s="141"/>
      <c r="D238" s="28"/>
      <c r="E238" s="28"/>
      <c r="F238" s="28"/>
      <c r="G238" s="138"/>
      <c r="H238" s="42" t="s">
        <v>33</v>
      </c>
      <c r="I238" s="28"/>
      <c r="J238" s="40"/>
      <c r="M238" s="41"/>
      <c r="N238" s="42" t="s">
        <v>1456</v>
      </c>
      <c r="O238" s="28"/>
      <c r="P238" s="28"/>
      <c r="Q238" s="28"/>
      <c r="R238" s="28"/>
      <c r="S238" s="28" t="s">
        <v>1457</v>
      </c>
      <c r="T238" s="40"/>
      <c r="U238" s="42" t="s">
        <v>33</v>
      </c>
      <c r="V238" s="40"/>
      <c r="Y238" s="47" t="s">
        <v>50</v>
      </c>
      <c r="Z238" s="202" t="s">
        <v>43</v>
      </c>
      <c r="AA238" s="48" t="s">
        <v>44</v>
      </c>
      <c r="AB238" s="276" t="s">
        <v>1458</v>
      </c>
      <c r="AC238" s="48" t="s">
        <v>46</v>
      </c>
      <c r="AD238" s="48" t="s">
        <v>52</v>
      </c>
      <c r="AE238" s="202" t="s">
        <v>43</v>
      </c>
      <c r="AF238" s="203" t="s">
        <v>44</v>
      </c>
      <c r="AG238" s="48" t="s">
        <v>43</v>
      </c>
      <c r="AH238" s="202" t="s">
        <v>53</v>
      </c>
      <c r="AI238" s="48"/>
      <c r="AJ238" s="49"/>
      <c r="AM238" s="138" t="s">
        <v>42</v>
      </c>
      <c r="AN238" s="138" t="s">
        <v>43</v>
      </c>
      <c r="AO238" s="141" t="s">
        <v>44</v>
      </c>
      <c r="AP238" s="138" t="s">
        <v>43</v>
      </c>
      <c r="AQ238" s="141" t="s">
        <v>44</v>
      </c>
      <c r="AR238" s="28"/>
      <c r="AS238" s="28"/>
      <c r="AT238" s="28"/>
      <c r="AU238" s="28"/>
      <c r="AV238" s="141"/>
      <c r="AY238" s="196"/>
      <c r="AZ238" s="138"/>
      <c r="BA238" s="28"/>
      <c r="BB238" s="138"/>
      <c r="BC238" s="28"/>
      <c r="BD238" s="141"/>
      <c r="BE238" s="138"/>
      <c r="BF238" s="141"/>
      <c r="BG238" s="28" t="s">
        <v>41</v>
      </c>
      <c r="BH238" s="28"/>
      <c r="BI238" s="141"/>
      <c r="BJ238" s="28"/>
    </row>
    <row r="239" spans="1:62" ht="15" thickBot="1" x14ac:dyDescent="0.35">
      <c r="A239" s="46" t="s">
        <v>42</v>
      </c>
      <c r="B239" s="170" t="s">
        <v>43</v>
      </c>
      <c r="C239" s="170" t="s">
        <v>44</v>
      </c>
      <c r="D239" s="210" t="s">
        <v>45</v>
      </c>
      <c r="E239" s="170" t="s">
        <v>46</v>
      </c>
      <c r="F239" s="170" t="s">
        <v>47</v>
      </c>
      <c r="G239" s="254" t="s">
        <v>1460</v>
      </c>
      <c r="H239" s="47" t="s">
        <v>49</v>
      </c>
      <c r="I239" s="48"/>
      <c r="J239" s="49"/>
      <c r="M239" s="46" t="s">
        <v>50</v>
      </c>
      <c r="N239" s="47" t="s">
        <v>43</v>
      </c>
      <c r="O239" s="48" t="s">
        <v>44</v>
      </c>
      <c r="P239" s="171" t="s">
        <v>51</v>
      </c>
      <c r="Q239" s="170" t="s">
        <v>43</v>
      </c>
      <c r="R239" s="172" t="s">
        <v>44</v>
      </c>
      <c r="S239" s="48" t="s">
        <v>43</v>
      </c>
      <c r="T239" s="49" t="s">
        <v>44</v>
      </c>
      <c r="U239" s="47" t="s">
        <v>49</v>
      </c>
      <c r="V239" s="49"/>
      <c r="Y239" s="33"/>
      <c r="Z239" s="33"/>
      <c r="AA239" s="35"/>
      <c r="AB239" s="34"/>
      <c r="AC239" s="34"/>
      <c r="AD239" s="34"/>
      <c r="AE239" s="33"/>
      <c r="AF239" s="35"/>
      <c r="AG239" s="32"/>
      <c r="AH239" s="33" t="s">
        <v>62</v>
      </c>
      <c r="AI239" s="34"/>
      <c r="AJ239" s="35"/>
      <c r="AM239" s="134" t="s">
        <v>63</v>
      </c>
      <c r="AN239" s="134">
        <v>0</v>
      </c>
      <c r="AO239" s="136">
        <v>0</v>
      </c>
      <c r="AP239" s="134"/>
      <c r="AQ239" s="136"/>
      <c r="AR239" s="135"/>
      <c r="AS239" s="135" t="s">
        <v>91</v>
      </c>
      <c r="AT239" s="135"/>
      <c r="AU239" s="135"/>
      <c r="AV239" s="136"/>
      <c r="AY239" s="199" t="s">
        <v>42</v>
      </c>
      <c r="AZ239" s="142" t="s">
        <v>43</v>
      </c>
      <c r="BA239" s="143" t="s">
        <v>44</v>
      </c>
      <c r="BB239" s="142" t="s">
        <v>45</v>
      </c>
      <c r="BC239" s="143" t="s">
        <v>46</v>
      </c>
      <c r="BD239" s="146" t="s">
        <v>52</v>
      </c>
      <c r="BE239" s="142" t="s">
        <v>43</v>
      </c>
      <c r="BF239" s="146" t="s">
        <v>44</v>
      </c>
      <c r="BG239" s="143" t="s">
        <v>54</v>
      </c>
      <c r="BH239" s="143"/>
      <c r="BI239" s="146"/>
      <c r="BJ239" s="28"/>
    </row>
    <row r="240" spans="1:62" x14ac:dyDescent="0.3">
      <c r="A240" s="42"/>
      <c r="B240" s="138"/>
      <c r="C240" s="28"/>
      <c r="D240" s="138"/>
      <c r="E240" s="28"/>
      <c r="F240" s="28"/>
      <c r="G240" s="138"/>
      <c r="H240" s="33" t="s">
        <v>396</v>
      </c>
      <c r="I240" s="34"/>
      <c r="J240" s="35"/>
      <c r="M240" s="42"/>
      <c r="N240" s="138"/>
      <c r="O240" s="196"/>
      <c r="P240" s="138"/>
      <c r="Q240" s="196"/>
      <c r="R240" s="141"/>
      <c r="S240" s="138"/>
      <c r="T240" s="138"/>
      <c r="U240" s="33" t="s">
        <v>396</v>
      </c>
      <c r="V240" s="35"/>
      <c r="Y240" s="42"/>
      <c r="Z240" s="42"/>
      <c r="AA240" s="40"/>
      <c r="AB240" s="28"/>
      <c r="AC240" s="28"/>
      <c r="AD240" s="28"/>
      <c r="AE240" s="42"/>
      <c r="AF240" s="40"/>
      <c r="AG240" s="41"/>
      <c r="AH240" s="42">
        <v>5</v>
      </c>
      <c r="AI240" s="28" t="s">
        <v>1290</v>
      </c>
      <c r="AJ240" s="40"/>
      <c r="AM240" s="138" t="s">
        <v>56</v>
      </c>
      <c r="AN240" s="138">
        <v>1580</v>
      </c>
      <c r="AO240" s="141">
        <v>1531</v>
      </c>
      <c r="AP240" s="138">
        <v>0</v>
      </c>
      <c r="AQ240" s="141">
        <v>0</v>
      </c>
      <c r="AR240" s="28"/>
      <c r="AS240" s="43">
        <v>74</v>
      </c>
      <c r="AT240" s="28" t="s">
        <v>1026</v>
      </c>
      <c r="AU240" s="43">
        <v>24</v>
      </c>
      <c r="AV240" s="141" t="s">
        <v>73</v>
      </c>
      <c r="AY240" s="195"/>
      <c r="AZ240" s="134"/>
      <c r="BA240" s="136"/>
      <c r="BB240" s="134">
        <v>0</v>
      </c>
      <c r="BC240" s="135">
        <v>0</v>
      </c>
      <c r="BD240" s="136">
        <v>0</v>
      </c>
      <c r="BE240" s="134">
        <v>0</v>
      </c>
      <c r="BF240" s="136">
        <v>0</v>
      </c>
      <c r="BG240" s="134" t="s">
        <v>58</v>
      </c>
      <c r="BH240" s="135"/>
      <c r="BI240" s="136"/>
    </row>
    <row r="241" spans="1:62" x14ac:dyDescent="0.3">
      <c r="A241" s="42" t="s">
        <v>59</v>
      </c>
      <c r="B241" s="277">
        <v>730</v>
      </c>
      <c r="C241" s="28">
        <v>1096</v>
      </c>
      <c r="D241" s="138">
        <v>0</v>
      </c>
      <c r="E241" s="43">
        <v>0</v>
      </c>
      <c r="F241" s="43">
        <v>0</v>
      </c>
      <c r="G241" s="138">
        <v>1</v>
      </c>
      <c r="H241" s="42">
        <v>4</v>
      </c>
      <c r="I241" s="28" t="s">
        <v>61</v>
      </c>
      <c r="J241" s="40"/>
      <c r="M241" s="42" t="s">
        <v>59</v>
      </c>
      <c r="N241" s="138">
        <v>5463</v>
      </c>
      <c r="O241" s="196">
        <v>30032</v>
      </c>
      <c r="P241" s="138">
        <v>0</v>
      </c>
      <c r="Q241" s="196">
        <v>0</v>
      </c>
      <c r="R241" s="141">
        <v>0</v>
      </c>
      <c r="S241" s="138"/>
      <c r="T241" s="138">
        <v>0</v>
      </c>
      <c r="U241" s="42"/>
      <c r="V241" s="40"/>
      <c r="Y241" s="42" t="s">
        <v>59</v>
      </c>
      <c r="Z241" s="42">
        <v>2140</v>
      </c>
      <c r="AA241" s="40">
        <v>2543</v>
      </c>
      <c r="AB241" s="28">
        <v>0</v>
      </c>
      <c r="AC241" s="43">
        <v>0</v>
      </c>
      <c r="AD241" s="43">
        <v>0</v>
      </c>
      <c r="AE241" s="42">
        <v>0</v>
      </c>
      <c r="AF241" s="40">
        <v>0</v>
      </c>
      <c r="AG241" s="41">
        <v>0</v>
      </c>
      <c r="AH241" s="42">
        <v>4</v>
      </c>
      <c r="AI241" s="28" t="s">
        <v>66</v>
      </c>
      <c r="AJ241" s="40"/>
      <c r="AM241" s="138" t="s">
        <v>67</v>
      </c>
      <c r="AN241" s="138">
        <v>3</v>
      </c>
      <c r="AO241" s="141">
        <v>0</v>
      </c>
      <c r="AP241" s="138">
        <v>0</v>
      </c>
      <c r="AQ241" s="141">
        <v>0</v>
      </c>
      <c r="AR241" s="28"/>
      <c r="AS241" s="43">
        <v>5</v>
      </c>
      <c r="AT241" s="28" t="s">
        <v>1294</v>
      </c>
      <c r="AU241" s="43"/>
      <c r="AV241" s="141"/>
      <c r="AY241" s="196" t="s">
        <v>107</v>
      </c>
      <c r="AZ241" s="138">
        <v>11</v>
      </c>
      <c r="BA241" s="141">
        <v>25</v>
      </c>
      <c r="BB241" s="138">
        <v>0</v>
      </c>
      <c r="BC241" s="43">
        <v>0</v>
      </c>
      <c r="BD241" s="209">
        <v>0</v>
      </c>
      <c r="BE241" s="138">
        <v>0</v>
      </c>
      <c r="BF241" s="141">
        <v>0</v>
      </c>
      <c r="BG241" s="212">
        <v>8</v>
      </c>
      <c r="BH241" s="28" t="s">
        <v>65</v>
      </c>
      <c r="BI241" s="141"/>
    </row>
    <row r="242" spans="1:62" ht="15" thickBot="1" x14ac:dyDescent="0.35">
      <c r="A242" s="42" t="s">
        <v>6</v>
      </c>
      <c r="B242" s="138"/>
      <c r="C242" s="28"/>
      <c r="D242" s="138"/>
      <c r="E242" s="28"/>
      <c r="F242" s="28"/>
      <c r="G242" s="138"/>
      <c r="H242" s="42"/>
      <c r="I242" s="28"/>
      <c r="J242" s="40">
        <v>4</v>
      </c>
      <c r="M242" s="244"/>
      <c r="N242" s="142"/>
      <c r="O242" s="199"/>
      <c r="P242" s="142"/>
      <c r="Q242" s="199"/>
      <c r="R242" s="146"/>
      <c r="S242" s="142"/>
      <c r="T242" s="142"/>
      <c r="U242" s="244"/>
      <c r="V242" s="245"/>
      <c r="Y242" s="42"/>
      <c r="Z242" s="42"/>
      <c r="AA242" s="40"/>
      <c r="AB242" s="28"/>
      <c r="AC242" s="28"/>
      <c r="AD242" s="28"/>
      <c r="AE242" s="42"/>
      <c r="AF242" s="40"/>
      <c r="AG242" s="41"/>
      <c r="AH242" s="47"/>
      <c r="AI242" s="48"/>
      <c r="AJ242" s="49">
        <v>9</v>
      </c>
      <c r="AM242" s="142" t="s">
        <v>84</v>
      </c>
      <c r="AN242" s="142">
        <v>1583</v>
      </c>
      <c r="AO242" s="146">
        <v>1531</v>
      </c>
      <c r="AP242" s="142"/>
      <c r="AQ242" s="146"/>
      <c r="AR242" s="143"/>
      <c r="AS242" s="143"/>
      <c r="AT242" s="143"/>
      <c r="AU242" s="143"/>
      <c r="AV242" s="146">
        <v>103</v>
      </c>
      <c r="AY242" s="196" t="s">
        <v>64</v>
      </c>
      <c r="AZ242" s="138">
        <v>128</v>
      </c>
      <c r="BA242" s="141">
        <v>120</v>
      </c>
      <c r="BB242" s="138">
        <v>0</v>
      </c>
      <c r="BC242" s="43">
        <v>0</v>
      </c>
      <c r="BD242" s="209">
        <v>0</v>
      </c>
      <c r="BE242" s="138">
        <v>0</v>
      </c>
      <c r="BF242" s="141">
        <v>0</v>
      </c>
      <c r="BG242" s="138">
        <v>5</v>
      </c>
      <c r="BH242" s="28" t="s">
        <v>69</v>
      </c>
      <c r="BI242" s="141"/>
    </row>
    <row r="243" spans="1:62" x14ac:dyDescent="0.3">
      <c r="A243" s="278"/>
      <c r="B243" s="134"/>
      <c r="C243" s="135"/>
      <c r="D243" s="134"/>
      <c r="E243" s="135"/>
      <c r="F243" s="135"/>
      <c r="G243" s="134"/>
      <c r="H243" s="278" t="s">
        <v>70</v>
      </c>
      <c r="I243" s="135"/>
      <c r="J243" s="279"/>
      <c r="M243" s="278"/>
      <c r="N243" s="134"/>
      <c r="O243" s="195"/>
      <c r="P243" s="134"/>
      <c r="Q243" s="195"/>
      <c r="R243" s="136"/>
      <c r="S243" s="134"/>
      <c r="T243" s="134"/>
      <c r="U243" s="278"/>
      <c r="V243" s="279"/>
      <c r="Y243" s="32" t="s">
        <v>977</v>
      </c>
      <c r="Z243" s="33">
        <v>44</v>
      </c>
      <c r="AA243" s="35">
        <v>0</v>
      </c>
      <c r="AB243" s="33"/>
      <c r="AC243" s="34"/>
      <c r="AD243" s="35"/>
      <c r="AE243" s="33"/>
      <c r="AF243" s="35"/>
      <c r="AG243" s="32"/>
      <c r="AH243" s="33" t="s">
        <v>1461</v>
      </c>
      <c r="AI243" s="34"/>
      <c r="AJ243" s="35"/>
      <c r="AM243" s="134"/>
      <c r="AN243" s="134"/>
      <c r="AO243" s="136"/>
      <c r="AP243" s="134"/>
      <c r="AQ243" s="136"/>
      <c r="AR243" s="135"/>
      <c r="AS243" s="135"/>
      <c r="AT243" s="135"/>
      <c r="AU243" s="135"/>
      <c r="AV243" s="136"/>
      <c r="AY243" s="211" t="s">
        <v>84</v>
      </c>
      <c r="AZ243" s="142">
        <v>139</v>
      </c>
      <c r="BA243" s="146">
        <v>145</v>
      </c>
      <c r="BB243" s="142">
        <v>0</v>
      </c>
      <c r="BC243" s="143">
        <v>0</v>
      </c>
      <c r="BD243" s="146">
        <v>0</v>
      </c>
      <c r="BE243" s="142">
        <v>0</v>
      </c>
      <c r="BF243" s="146">
        <v>0</v>
      </c>
      <c r="BG243" s="142"/>
      <c r="BH243" s="143"/>
      <c r="BI243" s="146">
        <v>13</v>
      </c>
      <c r="BJ243" s="28"/>
    </row>
    <row r="244" spans="1:62" x14ac:dyDescent="0.3">
      <c r="A244" s="42" t="s">
        <v>74</v>
      </c>
      <c r="B244" s="138">
        <v>928</v>
      </c>
      <c r="C244" s="28">
        <v>2301</v>
      </c>
      <c r="D244" s="138">
        <v>0</v>
      </c>
      <c r="E244" s="43">
        <v>0</v>
      </c>
      <c r="F244" s="43">
        <v>0</v>
      </c>
      <c r="G244" s="138">
        <v>1</v>
      </c>
      <c r="H244" s="42">
        <v>16</v>
      </c>
      <c r="I244" s="28" t="s">
        <v>436</v>
      </c>
      <c r="J244" s="40"/>
      <c r="M244" s="42"/>
      <c r="N244" s="138"/>
      <c r="O244" s="196"/>
      <c r="P244" s="138"/>
      <c r="Q244" s="196"/>
      <c r="R244" s="141"/>
      <c r="S244" s="138"/>
      <c r="T244" s="138"/>
      <c r="U244" s="42" t="s">
        <v>80</v>
      </c>
      <c r="V244" s="40"/>
      <c r="Y244" s="41" t="s">
        <v>1462</v>
      </c>
      <c r="Z244" s="281">
        <v>31</v>
      </c>
      <c r="AA244" s="40">
        <v>0</v>
      </c>
      <c r="AB244" s="281">
        <v>0</v>
      </c>
      <c r="AC244" s="43">
        <v>0</v>
      </c>
      <c r="AD244" s="40">
        <v>0</v>
      </c>
      <c r="AE244" s="42">
        <v>0</v>
      </c>
      <c r="AF244" s="40">
        <v>0</v>
      </c>
      <c r="AG244" s="41">
        <v>0</v>
      </c>
      <c r="AH244" s="67">
        <v>1</v>
      </c>
      <c r="AI244" s="43" t="s">
        <v>1343</v>
      </c>
      <c r="AJ244" s="40"/>
      <c r="AM244" s="138"/>
      <c r="AN244" s="138"/>
      <c r="AO244" s="141"/>
      <c r="AP244" s="138"/>
      <c r="AQ244" s="141"/>
      <c r="AR244" s="28"/>
      <c r="AS244" s="28" t="s">
        <v>110</v>
      </c>
      <c r="AT244" s="28" t="s">
        <v>111</v>
      </c>
      <c r="AU244" s="28" t="s">
        <v>112</v>
      </c>
      <c r="AV244" s="141"/>
      <c r="AY244" s="195"/>
      <c r="AZ244" s="135"/>
      <c r="BA244" s="136"/>
      <c r="BB244" s="240"/>
      <c r="BC244" s="241"/>
      <c r="BD244" s="242"/>
      <c r="BE244" s="134"/>
      <c r="BF244" s="136"/>
      <c r="BG244" s="135"/>
      <c r="BH244" s="135" t="s">
        <v>92</v>
      </c>
      <c r="BI244" s="136"/>
    </row>
    <row r="245" spans="1:62" ht="15" thickBot="1" x14ac:dyDescent="0.35">
      <c r="A245" s="42"/>
      <c r="B245" s="138"/>
      <c r="C245" s="28"/>
      <c r="D245" s="138"/>
      <c r="E245" s="28"/>
      <c r="F245" s="28"/>
      <c r="G245" s="138"/>
      <c r="H245" s="67"/>
      <c r="I245" s="43"/>
      <c r="J245" s="40"/>
      <c r="M245" s="42" t="s">
        <v>74</v>
      </c>
      <c r="N245" s="138">
        <v>8385</v>
      </c>
      <c r="O245" s="196">
        <v>680</v>
      </c>
      <c r="P245" s="138">
        <v>0</v>
      </c>
      <c r="Q245" s="196">
        <v>0</v>
      </c>
      <c r="R245" s="141">
        <v>0</v>
      </c>
      <c r="S245" s="138">
        <v>0</v>
      </c>
      <c r="T245" s="138">
        <v>0</v>
      </c>
      <c r="U245" s="42"/>
      <c r="V245" s="40"/>
      <c r="Y245" s="46" t="s">
        <v>84</v>
      </c>
      <c r="Z245" s="47">
        <v>75</v>
      </c>
      <c r="AA245" s="49">
        <v>0</v>
      </c>
      <c r="AB245" s="47"/>
      <c r="AC245" s="48"/>
      <c r="AD245" s="73"/>
      <c r="AE245" s="72"/>
      <c r="AF245" s="73"/>
      <c r="AG245" s="62"/>
      <c r="AH245" s="72">
        <v>2</v>
      </c>
      <c r="AI245" s="51" t="s">
        <v>145</v>
      </c>
      <c r="AJ245" s="49">
        <v>3</v>
      </c>
      <c r="AM245" s="138"/>
      <c r="AN245" s="138"/>
      <c r="AO245" s="141"/>
      <c r="AP245" s="138"/>
      <c r="AQ245" s="141"/>
      <c r="AR245" s="43"/>
      <c r="AS245" s="28"/>
      <c r="AT245" s="28"/>
      <c r="AU245" s="28"/>
      <c r="AV245" s="141"/>
      <c r="AY245" s="196"/>
      <c r="AZ245" s="28"/>
      <c r="BA245" s="141"/>
      <c r="BB245" s="138"/>
      <c r="BC245" s="43"/>
      <c r="BD245" s="141"/>
      <c r="BE245" s="138"/>
      <c r="BF245" s="141"/>
      <c r="BG245" s="43">
        <v>30</v>
      </c>
      <c r="BH245" s="43" t="s">
        <v>1297</v>
      </c>
      <c r="BI245" s="141"/>
    </row>
    <row r="246" spans="1:62" x14ac:dyDescent="0.3">
      <c r="A246" s="244"/>
      <c r="B246" s="142"/>
      <c r="C246" s="143"/>
      <c r="D246" s="142"/>
      <c r="E246" s="143"/>
      <c r="F246" s="143"/>
      <c r="G246" s="142"/>
      <c r="H246" s="244"/>
      <c r="I246" s="143"/>
      <c r="J246" s="245">
        <v>16</v>
      </c>
      <c r="M246" s="244"/>
      <c r="N246" s="142"/>
      <c r="O246" s="199"/>
      <c r="P246" s="142"/>
      <c r="Q246" s="199"/>
      <c r="R246" s="146"/>
      <c r="S246" s="142"/>
      <c r="T246" s="142"/>
      <c r="U246" s="244"/>
      <c r="V246" s="245"/>
      <c r="Y246" s="32"/>
      <c r="Z246" s="34"/>
      <c r="AA246" s="34"/>
      <c r="AB246" s="33"/>
      <c r="AC246" s="34"/>
      <c r="AD246" s="35"/>
      <c r="AE246" s="34"/>
      <c r="AF246" s="34"/>
      <c r="AG246" s="32"/>
      <c r="AH246" s="33" t="s">
        <v>1298</v>
      </c>
      <c r="AI246" s="34"/>
      <c r="AJ246" s="35"/>
      <c r="AM246" s="138" t="s">
        <v>132</v>
      </c>
      <c r="AN246" s="138">
        <v>4</v>
      </c>
      <c r="AO246" s="141">
        <v>2</v>
      </c>
      <c r="AP246" s="138">
        <v>0</v>
      </c>
      <c r="AQ246" s="141">
        <v>0</v>
      </c>
      <c r="AR246" s="28"/>
      <c r="AS246" s="43"/>
      <c r="AT246" s="28"/>
      <c r="AU246" s="28"/>
      <c r="AV246" s="141"/>
      <c r="AY246" s="196" t="s">
        <v>1247</v>
      </c>
      <c r="AZ246" s="28"/>
      <c r="BA246" s="141"/>
      <c r="BB246" s="212">
        <v>0</v>
      </c>
      <c r="BC246" s="43">
        <v>0</v>
      </c>
      <c r="BD246" s="209">
        <v>0</v>
      </c>
      <c r="BE246" s="28">
        <v>3024</v>
      </c>
      <c r="BF246" s="141">
        <v>909</v>
      </c>
      <c r="BG246" s="43"/>
      <c r="BH246" s="43"/>
      <c r="BI246" s="141"/>
      <c r="BJ246" s="28"/>
    </row>
    <row r="247" spans="1:62" x14ac:dyDescent="0.3">
      <c r="A247" s="278"/>
      <c r="B247" s="134"/>
      <c r="C247" s="135"/>
      <c r="D247" s="134"/>
      <c r="E247" s="135"/>
      <c r="F247" s="135"/>
      <c r="G247" s="134"/>
      <c r="H247" s="278" t="s">
        <v>87</v>
      </c>
      <c r="I247" s="135"/>
      <c r="J247" s="279"/>
      <c r="M247" s="278"/>
      <c r="N247" s="134"/>
      <c r="O247" s="195"/>
      <c r="P247" s="134"/>
      <c r="Q247" s="195"/>
      <c r="R247" s="136"/>
      <c r="S247" s="134"/>
      <c r="T247" s="134"/>
      <c r="U247" s="278" t="s">
        <v>6</v>
      </c>
      <c r="V247" s="279"/>
      <c r="Y247" s="41"/>
      <c r="AB247" s="42"/>
      <c r="AC247" s="28"/>
      <c r="AD247" s="40"/>
      <c r="AG247" s="41"/>
      <c r="AH247" s="42">
        <v>8</v>
      </c>
      <c r="AI247" s="43" t="s">
        <v>1463</v>
      </c>
      <c r="AJ247" s="40"/>
      <c r="AM247" s="138" t="s">
        <v>63</v>
      </c>
      <c r="AN247" s="138">
        <v>71</v>
      </c>
      <c r="AO247" s="141">
        <v>62</v>
      </c>
      <c r="AP247" s="138">
        <v>0</v>
      </c>
      <c r="AQ247" s="141">
        <v>0</v>
      </c>
      <c r="AR247" s="28"/>
      <c r="AS247" s="28"/>
      <c r="AT247" s="28"/>
      <c r="AU247" s="28"/>
      <c r="AV247" s="141"/>
      <c r="AY247" s="196" t="s">
        <v>99</v>
      </c>
      <c r="AZ247" s="43"/>
      <c r="BA247" s="141"/>
      <c r="BB247" s="138">
        <v>0</v>
      </c>
      <c r="BC247" s="43">
        <v>0</v>
      </c>
      <c r="BD247" s="141">
        <v>0</v>
      </c>
      <c r="BE247" s="43">
        <v>78970</v>
      </c>
      <c r="BF247" s="141">
        <v>20898</v>
      </c>
      <c r="BG247" s="43"/>
      <c r="BH247" s="28"/>
      <c r="BI247" s="141"/>
    </row>
    <row r="248" spans="1:62" ht="15" thickBot="1" x14ac:dyDescent="0.35">
      <c r="A248" s="42" t="s">
        <v>93</v>
      </c>
      <c r="B248" s="138">
        <v>3308</v>
      </c>
      <c r="C248" s="28">
        <v>5103</v>
      </c>
      <c r="D248" s="138">
        <v>0</v>
      </c>
      <c r="E248" s="43">
        <v>0</v>
      </c>
      <c r="F248" s="43">
        <v>0</v>
      </c>
      <c r="G248" s="138">
        <v>1</v>
      </c>
      <c r="H248" s="67">
        <v>30</v>
      </c>
      <c r="I248" s="28" t="s">
        <v>101</v>
      </c>
      <c r="J248" s="40"/>
      <c r="M248" s="42"/>
      <c r="N248" s="138"/>
      <c r="O248" s="196"/>
      <c r="P248" s="138"/>
      <c r="Q248" s="196"/>
      <c r="R248" s="141"/>
      <c r="S248" s="138"/>
      <c r="T248" s="138"/>
      <c r="U248" s="42"/>
      <c r="V248" s="40"/>
      <c r="Y248" s="46" t="s">
        <v>1300</v>
      </c>
      <c r="Z248" s="48">
        <v>284</v>
      </c>
      <c r="AA248" s="48">
        <v>243</v>
      </c>
      <c r="AB248" s="47">
        <v>0</v>
      </c>
      <c r="AC248" s="48">
        <v>0</v>
      </c>
      <c r="AD248" s="49">
        <v>0</v>
      </c>
      <c r="AE248" s="48">
        <v>0</v>
      </c>
      <c r="AF248" s="48">
        <v>0</v>
      </c>
      <c r="AG248" s="46">
        <v>0</v>
      </c>
      <c r="AH248" s="47"/>
      <c r="AI248" s="48"/>
      <c r="AJ248" s="49">
        <v>8</v>
      </c>
      <c r="AM248" s="138" t="s">
        <v>56</v>
      </c>
      <c r="AN248" s="138">
        <v>6</v>
      </c>
      <c r="AO248" s="141">
        <v>3</v>
      </c>
      <c r="AP248" s="138">
        <v>0</v>
      </c>
      <c r="AQ248" s="141">
        <v>0</v>
      </c>
      <c r="AR248" s="28"/>
      <c r="AS248" s="43">
        <v>24</v>
      </c>
      <c r="AT248" s="28" t="s">
        <v>123</v>
      </c>
      <c r="AU248" s="28" t="s">
        <v>6</v>
      </c>
      <c r="AV248" s="141"/>
      <c r="AY248" s="211" t="s">
        <v>174</v>
      </c>
      <c r="AZ248" s="28"/>
      <c r="BA248" s="141"/>
      <c r="BB248" s="138">
        <v>0</v>
      </c>
      <c r="BC248" s="43">
        <v>0</v>
      </c>
      <c r="BD248" s="141">
        <v>0</v>
      </c>
      <c r="BE248" s="28">
        <v>0</v>
      </c>
      <c r="BF248" s="141">
        <v>909</v>
      </c>
      <c r="BG248" s="28"/>
      <c r="BH248" s="28"/>
      <c r="BI248" s="141"/>
      <c r="BJ248" s="28"/>
    </row>
    <row r="249" spans="1:62" x14ac:dyDescent="0.3">
      <c r="A249" s="42"/>
      <c r="B249" s="138"/>
      <c r="C249" s="28"/>
      <c r="D249" s="138"/>
      <c r="E249" s="28"/>
      <c r="F249" s="28"/>
      <c r="G249" s="138"/>
      <c r="H249" s="67"/>
      <c r="I249" s="28" t="s">
        <v>927</v>
      </c>
      <c r="J249" s="40">
        <v>30</v>
      </c>
      <c r="M249" s="42"/>
      <c r="N249" s="138"/>
      <c r="O249" s="196"/>
      <c r="P249" s="138"/>
      <c r="Q249" s="196"/>
      <c r="R249" s="141"/>
      <c r="S249" s="138"/>
      <c r="T249" s="138"/>
      <c r="U249" s="42"/>
      <c r="V249" s="40"/>
      <c r="Y249" s="42"/>
      <c r="Z249" s="33"/>
      <c r="AA249" s="35"/>
      <c r="AB249" s="33"/>
      <c r="AC249" s="34"/>
      <c r="AD249" s="35"/>
      <c r="AE249" s="33"/>
      <c r="AF249" s="35"/>
      <c r="AG249" s="43"/>
      <c r="AH249" s="33" t="s">
        <v>90</v>
      </c>
      <c r="AI249" s="34"/>
      <c r="AJ249" s="35"/>
      <c r="AM249" s="138" t="s">
        <v>72</v>
      </c>
      <c r="AN249" s="138">
        <v>13</v>
      </c>
      <c r="AO249" s="141">
        <v>8</v>
      </c>
      <c r="AP249" s="138">
        <v>0</v>
      </c>
      <c r="AQ249" s="141">
        <v>0</v>
      </c>
      <c r="AR249" s="28"/>
      <c r="AS249" s="43">
        <v>39</v>
      </c>
      <c r="AT249" s="28" t="s">
        <v>126</v>
      </c>
      <c r="AU249" s="28"/>
      <c r="AV249" s="141"/>
      <c r="AY249" s="196" t="s">
        <v>64</v>
      </c>
      <c r="AZ249" s="43"/>
      <c r="BA249" s="141"/>
      <c r="BB249" s="138">
        <v>0</v>
      </c>
      <c r="BC249" s="43">
        <v>0</v>
      </c>
      <c r="BD249" s="141">
        <v>0</v>
      </c>
      <c r="BE249" s="43">
        <v>4405</v>
      </c>
      <c r="BF249" s="141">
        <v>1818</v>
      </c>
      <c r="BG249" s="43"/>
      <c r="BH249" s="43"/>
      <c r="BI249" s="141"/>
      <c r="BJ249" s="28"/>
    </row>
    <row r="250" spans="1:62" x14ac:dyDescent="0.3">
      <c r="A250" s="278" t="s">
        <v>108</v>
      </c>
      <c r="B250" s="134">
        <v>0</v>
      </c>
      <c r="C250" s="136">
        <v>0</v>
      </c>
      <c r="D250" s="135">
        <v>0</v>
      </c>
      <c r="E250" s="243">
        <v>1358</v>
      </c>
      <c r="F250" s="135">
        <v>0</v>
      </c>
      <c r="G250" s="134">
        <v>1</v>
      </c>
      <c r="H250" s="278" t="s">
        <v>104</v>
      </c>
      <c r="I250" s="135"/>
      <c r="J250" s="279"/>
      <c r="M250" s="244"/>
      <c r="N250" s="142"/>
      <c r="O250" s="199"/>
      <c r="P250" s="142"/>
      <c r="Q250" s="199"/>
      <c r="R250" s="146"/>
      <c r="S250" s="142"/>
      <c r="T250" s="142"/>
      <c r="U250" s="244"/>
      <c r="V250" s="245"/>
      <c r="Y250" s="42"/>
      <c r="Z250" s="42"/>
      <c r="AA250" s="40"/>
      <c r="AB250" s="42"/>
      <c r="AC250" s="43"/>
      <c r="AD250" s="40"/>
      <c r="AE250" s="42"/>
      <c r="AF250" s="40"/>
      <c r="AG250" s="43"/>
      <c r="AH250" s="67"/>
      <c r="AI250" s="28"/>
      <c r="AJ250" s="40"/>
      <c r="AM250" s="138" t="s">
        <v>78</v>
      </c>
      <c r="AN250" s="138">
        <v>41</v>
      </c>
      <c r="AO250" s="141">
        <v>40</v>
      </c>
      <c r="AP250" s="138">
        <v>0</v>
      </c>
      <c r="AQ250" s="141">
        <v>0</v>
      </c>
      <c r="AR250" s="28"/>
      <c r="AS250" s="43">
        <v>41</v>
      </c>
      <c r="AT250" s="28" t="s">
        <v>129</v>
      </c>
      <c r="AU250" s="28" t="s">
        <v>6</v>
      </c>
      <c r="AV250" s="141"/>
      <c r="AY250" s="211" t="s">
        <v>84</v>
      </c>
      <c r="AZ250" s="43"/>
      <c r="BA250" s="209"/>
      <c r="BB250" s="138">
        <v>0</v>
      </c>
      <c r="BC250" s="43">
        <v>0</v>
      </c>
      <c r="BD250" s="141">
        <v>0</v>
      </c>
      <c r="BE250" s="43">
        <v>86399</v>
      </c>
      <c r="BF250" s="209">
        <v>24534</v>
      </c>
      <c r="BG250" s="28"/>
      <c r="BH250" s="43"/>
      <c r="BI250" s="141">
        <v>30</v>
      </c>
      <c r="BJ250" s="28"/>
    </row>
    <row r="251" spans="1:62" x14ac:dyDescent="0.3">
      <c r="A251" s="42" t="s">
        <v>109</v>
      </c>
      <c r="B251" s="138">
        <v>1352</v>
      </c>
      <c r="C251" s="141">
        <v>1706</v>
      </c>
      <c r="D251" s="28">
        <v>0</v>
      </c>
      <c r="E251" s="343">
        <v>0</v>
      </c>
      <c r="F251" s="43">
        <v>0</v>
      </c>
      <c r="G251" s="138"/>
      <c r="H251" s="67">
        <v>9</v>
      </c>
      <c r="I251" s="28" t="s">
        <v>114</v>
      </c>
      <c r="J251" s="40"/>
      <c r="M251" s="278"/>
      <c r="N251" s="134"/>
      <c r="O251" s="195"/>
      <c r="P251" s="134"/>
      <c r="Q251" s="195"/>
      <c r="R251" s="136"/>
      <c r="S251" s="134"/>
      <c r="T251" s="134"/>
      <c r="U251" s="278" t="s">
        <v>104</v>
      </c>
      <c r="V251" s="279"/>
      <c r="Y251" s="67" t="s">
        <v>89</v>
      </c>
      <c r="Z251" s="67">
        <v>40</v>
      </c>
      <c r="AA251" s="56">
        <v>38</v>
      </c>
      <c r="AB251" s="42">
        <v>0</v>
      </c>
      <c r="AC251" s="43">
        <v>0</v>
      </c>
      <c r="AD251" s="40">
        <v>0</v>
      </c>
      <c r="AE251" s="42">
        <v>0</v>
      </c>
      <c r="AF251" s="40">
        <v>0</v>
      </c>
      <c r="AG251" s="43">
        <v>0</v>
      </c>
      <c r="AH251" s="67">
        <v>1</v>
      </c>
      <c r="AI251" s="43" t="s">
        <v>98</v>
      </c>
      <c r="AJ251" s="40"/>
      <c r="AM251" s="138" t="s">
        <v>67</v>
      </c>
      <c r="AN251" s="138">
        <v>102</v>
      </c>
      <c r="AO251" s="141">
        <v>91</v>
      </c>
      <c r="AP251" s="138">
        <v>0</v>
      </c>
      <c r="AQ251" s="141">
        <v>0</v>
      </c>
      <c r="AR251" s="28"/>
      <c r="AS251" s="28"/>
      <c r="AT251" s="28"/>
      <c r="AU251" s="28"/>
      <c r="AV251" s="141"/>
      <c r="AY251" s="233" t="s">
        <v>137</v>
      </c>
      <c r="AZ251" s="135">
        <v>957</v>
      </c>
      <c r="BA251" s="136">
        <v>1149</v>
      </c>
      <c r="BB251" s="134">
        <v>0</v>
      </c>
      <c r="BC251" s="135">
        <v>0</v>
      </c>
      <c r="BD251" s="136">
        <v>0</v>
      </c>
      <c r="BE251" s="134">
        <v>0</v>
      </c>
      <c r="BF251" s="135">
        <v>0</v>
      </c>
      <c r="BG251" s="134"/>
      <c r="BH251" s="135" t="s">
        <v>91</v>
      </c>
      <c r="BI251" s="136"/>
      <c r="BJ251" s="28"/>
    </row>
    <row r="252" spans="1:62" ht="15" thickBot="1" x14ac:dyDescent="0.35">
      <c r="A252" s="42" t="s">
        <v>84</v>
      </c>
      <c r="B252" s="138">
        <v>1352</v>
      </c>
      <c r="C252" s="141">
        <v>1706</v>
      </c>
      <c r="D252" s="28">
        <v>0</v>
      </c>
      <c r="E252" s="343">
        <v>1358</v>
      </c>
      <c r="F252" s="43">
        <v>0</v>
      </c>
      <c r="G252" s="138"/>
      <c r="H252" s="42"/>
      <c r="I252" s="28"/>
      <c r="J252" s="40"/>
      <c r="M252" s="42" t="s">
        <v>109</v>
      </c>
      <c r="N252" s="138">
        <v>65</v>
      </c>
      <c r="O252" s="196">
        <v>0</v>
      </c>
      <c r="P252" s="138">
        <v>0</v>
      </c>
      <c r="Q252" s="196">
        <v>0</v>
      </c>
      <c r="R252" s="141">
        <v>0</v>
      </c>
      <c r="S252" s="138">
        <v>0</v>
      </c>
      <c r="T252" s="138">
        <v>0</v>
      </c>
      <c r="U252" s="42"/>
      <c r="V252" s="40"/>
      <c r="Y252" s="42" t="s">
        <v>84</v>
      </c>
      <c r="Z252" s="47">
        <v>40</v>
      </c>
      <c r="AA252" s="49">
        <v>38</v>
      </c>
      <c r="AB252" s="47">
        <v>0</v>
      </c>
      <c r="AC252" s="48">
        <v>0</v>
      </c>
      <c r="AD252" s="49">
        <v>0</v>
      </c>
      <c r="AE252" s="47">
        <v>0</v>
      </c>
      <c r="AF252" s="49">
        <v>0</v>
      </c>
      <c r="AG252" s="43">
        <v>0</v>
      </c>
      <c r="AH252" s="72"/>
      <c r="AI252" s="48"/>
      <c r="AJ252" s="49">
        <v>1</v>
      </c>
      <c r="AM252" s="138" t="s">
        <v>115</v>
      </c>
      <c r="AN252" s="138">
        <v>35</v>
      </c>
      <c r="AO252" s="141">
        <v>41</v>
      </c>
      <c r="AP252" s="138">
        <v>0</v>
      </c>
      <c r="AQ252" s="141">
        <v>0</v>
      </c>
      <c r="AR252" s="28"/>
      <c r="AS252" s="28"/>
      <c r="AT252" s="28"/>
      <c r="AU252" s="28"/>
      <c r="AV252" s="141" t="s">
        <v>6</v>
      </c>
      <c r="AY252" s="196" t="s">
        <v>88</v>
      </c>
      <c r="AZ252" s="43">
        <v>229</v>
      </c>
      <c r="BA252" s="141">
        <v>289</v>
      </c>
      <c r="BB252" s="138">
        <v>0</v>
      </c>
      <c r="BC252" s="43">
        <v>0</v>
      </c>
      <c r="BD252" s="141">
        <v>0</v>
      </c>
      <c r="BE252" s="138">
        <v>0</v>
      </c>
      <c r="BF252" s="43">
        <v>0</v>
      </c>
      <c r="BG252" s="212"/>
      <c r="BH252" s="43"/>
      <c r="BI252" s="141"/>
      <c r="BJ252" s="28"/>
    </row>
    <row r="253" spans="1:62" x14ac:dyDescent="0.3">
      <c r="A253" s="42"/>
      <c r="B253" s="138"/>
      <c r="C253" s="141"/>
      <c r="D253" s="28"/>
      <c r="E253" s="28"/>
      <c r="F253" s="28"/>
      <c r="G253" s="138"/>
      <c r="H253" s="42"/>
      <c r="I253" s="28"/>
      <c r="J253" s="40">
        <v>9</v>
      </c>
      <c r="M253" s="244"/>
      <c r="N253" s="142"/>
      <c r="O253" s="199"/>
      <c r="P253" s="142"/>
      <c r="Q253" s="199"/>
      <c r="R253" s="146"/>
      <c r="S253" s="142"/>
      <c r="T253" s="142"/>
      <c r="U253" s="244"/>
      <c r="V253" s="245"/>
      <c r="Y253" s="32"/>
      <c r="Z253" s="28"/>
      <c r="AA253" s="28"/>
      <c r="AB253" s="33"/>
      <c r="AC253" s="34"/>
      <c r="AD253" s="35"/>
      <c r="AE253" s="67"/>
      <c r="AF253" s="56"/>
      <c r="AG253" s="32"/>
      <c r="AH253" s="34"/>
      <c r="AI253" s="34"/>
      <c r="AJ253" s="35"/>
      <c r="AM253" s="138" t="s">
        <v>81</v>
      </c>
      <c r="AN253" s="138">
        <v>23</v>
      </c>
      <c r="AO253" s="141">
        <v>11</v>
      </c>
      <c r="AP253" s="138">
        <v>0</v>
      </c>
      <c r="AQ253" s="141">
        <v>0</v>
      </c>
      <c r="AR253" s="28"/>
      <c r="AS253" s="28"/>
      <c r="AT253" s="28"/>
      <c r="AU253" s="28"/>
      <c r="AV253" s="141"/>
      <c r="AY253" s="211" t="s">
        <v>97</v>
      </c>
      <c r="AZ253" s="43">
        <v>2998</v>
      </c>
      <c r="BA253" s="209">
        <v>2855</v>
      </c>
      <c r="BB253" s="138">
        <v>0</v>
      </c>
      <c r="BC253" s="43">
        <v>0</v>
      </c>
      <c r="BD253" s="141">
        <v>0</v>
      </c>
      <c r="BE253" s="138">
        <v>0</v>
      </c>
      <c r="BF253" s="43">
        <v>0</v>
      </c>
      <c r="BG253" s="138"/>
      <c r="BH253" s="43"/>
      <c r="BI253" s="141"/>
      <c r="BJ253" s="28"/>
    </row>
    <row r="254" spans="1:62" x14ac:dyDescent="0.3">
      <c r="A254" s="278"/>
      <c r="B254" s="134"/>
      <c r="C254" s="242"/>
      <c r="D254" s="135"/>
      <c r="E254" s="135"/>
      <c r="F254" s="135"/>
      <c r="G254" s="134"/>
      <c r="H254" s="278" t="s">
        <v>118</v>
      </c>
      <c r="I254" s="135"/>
      <c r="J254" s="279"/>
      <c r="M254" s="278" t="s">
        <v>93</v>
      </c>
      <c r="N254" s="134">
        <v>0</v>
      </c>
      <c r="O254" s="195">
        <v>0</v>
      </c>
      <c r="P254" s="134"/>
      <c r="Q254" s="195">
        <v>0</v>
      </c>
      <c r="R254" s="136">
        <v>0</v>
      </c>
      <c r="S254" s="134">
        <v>0</v>
      </c>
      <c r="T254" s="134">
        <v>0</v>
      </c>
      <c r="U254" s="278" t="s">
        <v>116</v>
      </c>
      <c r="V254" s="279"/>
      <c r="Y254" s="41"/>
      <c r="Z254" s="43"/>
      <c r="AA254" s="43"/>
      <c r="AB254" s="42"/>
      <c r="AC254" s="43"/>
      <c r="AD254" s="40"/>
      <c r="AE254" s="67"/>
      <c r="AF254" s="56"/>
      <c r="AG254" s="41"/>
      <c r="AH254" s="28" t="s">
        <v>1302</v>
      </c>
      <c r="AI254" s="28" t="s">
        <v>6</v>
      </c>
      <c r="AJ254" s="40"/>
      <c r="AM254" s="138" t="s">
        <v>122</v>
      </c>
      <c r="AN254" s="138">
        <v>18</v>
      </c>
      <c r="AO254" s="141">
        <v>10</v>
      </c>
      <c r="AP254" s="138">
        <v>0</v>
      </c>
      <c r="AQ254" s="141">
        <v>0</v>
      </c>
      <c r="AR254" s="28"/>
      <c r="AS254" s="28"/>
      <c r="AT254" s="28"/>
      <c r="AU254" s="28"/>
      <c r="AV254" s="141"/>
      <c r="AY254" s="211" t="s">
        <v>113</v>
      </c>
      <c r="AZ254" s="43">
        <v>668</v>
      </c>
      <c r="BA254" s="141">
        <v>645</v>
      </c>
      <c r="BB254" s="138">
        <v>0</v>
      </c>
      <c r="BC254" s="43">
        <v>0</v>
      </c>
      <c r="BD254" s="141">
        <v>0</v>
      </c>
      <c r="BE254" s="138">
        <v>0</v>
      </c>
      <c r="BF254" s="43">
        <v>0</v>
      </c>
      <c r="BG254" s="212">
        <v>54</v>
      </c>
      <c r="BH254" s="28" t="s">
        <v>1464</v>
      </c>
      <c r="BI254" s="141"/>
      <c r="BJ254" s="28"/>
    </row>
    <row r="255" spans="1:62" x14ac:dyDescent="0.3">
      <c r="A255" s="42" t="s">
        <v>785</v>
      </c>
      <c r="B255" s="138">
        <v>937</v>
      </c>
      <c r="C255" s="209">
        <v>1114</v>
      </c>
      <c r="D255" s="28">
        <v>0</v>
      </c>
      <c r="E255" s="43">
        <v>0</v>
      </c>
      <c r="F255" s="43">
        <v>0</v>
      </c>
      <c r="G255" s="138">
        <v>1</v>
      </c>
      <c r="H255" s="42">
        <v>76</v>
      </c>
      <c r="I255" s="28" t="s">
        <v>101</v>
      </c>
      <c r="J255" s="40"/>
      <c r="M255" s="42" t="s">
        <v>99</v>
      </c>
      <c r="N255" s="138">
        <v>7037</v>
      </c>
      <c r="O255" s="196">
        <v>12540</v>
      </c>
      <c r="P255" s="138">
        <v>0</v>
      </c>
      <c r="Q255" s="196">
        <v>0</v>
      </c>
      <c r="R255" s="141">
        <v>0</v>
      </c>
      <c r="S255" s="138">
        <v>2171</v>
      </c>
      <c r="T255" s="138">
        <v>174</v>
      </c>
      <c r="U255" s="42"/>
      <c r="V255" s="40"/>
      <c r="Y255" s="41"/>
      <c r="Z255" s="43"/>
      <c r="AA255" s="43"/>
      <c r="AB255" s="42"/>
      <c r="AC255" s="43"/>
      <c r="AD255" s="40"/>
      <c r="AE255" s="67"/>
      <c r="AF255" s="56"/>
      <c r="AG255" s="41"/>
      <c r="AH255" s="43"/>
      <c r="AI255" s="43"/>
      <c r="AJ255" s="40"/>
      <c r="AM255" s="138" t="s">
        <v>128</v>
      </c>
      <c r="AN255" s="138">
        <v>2</v>
      </c>
      <c r="AO255" s="141">
        <v>3</v>
      </c>
      <c r="AP255" s="138">
        <v>0</v>
      </c>
      <c r="AQ255" s="141">
        <v>0</v>
      </c>
      <c r="AR255" s="28"/>
      <c r="AS255" s="28"/>
      <c r="AT255" s="28"/>
      <c r="AU255" s="28"/>
      <c r="AV255" s="141"/>
      <c r="AY255" s="211" t="s">
        <v>99</v>
      </c>
      <c r="AZ255" s="43">
        <v>0</v>
      </c>
      <c r="BA255" s="209">
        <v>0</v>
      </c>
      <c r="BB255" s="138">
        <v>0</v>
      </c>
      <c r="BC255" s="43">
        <v>0</v>
      </c>
      <c r="BD255" s="141">
        <v>0</v>
      </c>
      <c r="BE255" s="138">
        <v>0</v>
      </c>
      <c r="BF255" s="43">
        <v>0</v>
      </c>
      <c r="BG255" s="138">
        <v>1</v>
      </c>
      <c r="BH255" s="43" t="s">
        <v>1346</v>
      </c>
      <c r="BI255" s="141"/>
      <c r="BJ255" s="28"/>
    </row>
    <row r="256" spans="1:62" x14ac:dyDescent="0.3">
      <c r="A256" s="42" t="s">
        <v>93</v>
      </c>
      <c r="B256" s="212">
        <v>7332</v>
      </c>
      <c r="C256" s="209">
        <v>7815</v>
      </c>
      <c r="D256" s="28">
        <v>0</v>
      </c>
      <c r="E256" s="43">
        <v>0</v>
      </c>
      <c r="F256" s="43">
        <v>0</v>
      </c>
      <c r="G256" s="212"/>
      <c r="H256" s="42">
        <v>26</v>
      </c>
      <c r="I256" s="28" t="s">
        <v>927</v>
      </c>
      <c r="J256" s="40"/>
      <c r="M256" s="42" t="s">
        <v>120</v>
      </c>
      <c r="N256" s="138">
        <v>306</v>
      </c>
      <c r="O256" s="196">
        <v>15146</v>
      </c>
      <c r="P256" s="138">
        <v>0</v>
      </c>
      <c r="Q256" s="196">
        <v>0</v>
      </c>
      <c r="R256" s="141">
        <v>0</v>
      </c>
      <c r="S256" s="138">
        <v>0</v>
      </c>
      <c r="T256" s="138">
        <v>0</v>
      </c>
      <c r="U256" s="42"/>
      <c r="V256" s="40"/>
      <c r="Y256" s="41"/>
      <c r="Z256" s="43"/>
      <c r="AA256" s="43"/>
      <c r="AB256" s="42"/>
      <c r="AC256" s="43"/>
      <c r="AD256" s="40"/>
      <c r="AE256" s="67"/>
      <c r="AF256" s="56"/>
      <c r="AG256" s="41"/>
      <c r="AH256" s="43"/>
      <c r="AI256" s="43"/>
      <c r="AJ256" s="40"/>
      <c r="AM256" s="142" t="s">
        <v>84</v>
      </c>
      <c r="AN256" s="142">
        <v>315</v>
      </c>
      <c r="AO256" s="146">
        <v>271</v>
      </c>
      <c r="AP256" s="142">
        <v>0</v>
      </c>
      <c r="AQ256" s="146">
        <v>0</v>
      </c>
      <c r="AR256" s="143"/>
      <c r="AS256" s="143"/>
      <c r="AT256" s="143"/>
      <c r="AU256" s="143"/>
      <c r="AV256" s="146">
        <v>104</v>
      </c>
      <c r="AY256" s="211" t="s">
        <v>1120</v>
      </c>
      <c r="AZ256" s="43">
        <v>18</v>
      </c>
      <c r="BA256" s="209">
        <v>278</v>
      </c>
      <c r="BB256" s="138">
        <v>0</v>
      </c>
      <c r="BC256" s="43">
        <v>0</v>
      </c>
      <c r="BD256" s="141">
        <v>0</v>
      </c>
      <c r="BE256" s="138">
        <v>0</v>
      </c>
      <c r="BF256" s="43">
        <v>0</v>
      </c>
      <c r="BG256" s="138">
        <v>50</v>
      </c>
      <c r="BH256" s="43" t="s">
        <v>1305</v>
      </c>
      <c r="BI256" s="141"/>
      <c r="BJ256" s="28"/>
    </row>
    <row r="257" spans="1:62" ht="15" thickBot="1" x14ac:dyDescent="0.35">
      <c r="A257" s="42" t="s">
        <v>120</v>
      </c>
      <c r="B257" s="138">
        <v>4701</v>
      </c>
      <c r="C257" s="141">
        <v>5430</v>
      </c>
      <c r="D257" s="28">
        <v>0</v>
      </c>
      <c r="E257" s="43">
        <v>0</v>
      </c>
      <c r="F257" s="43">
        <v>0</v>
      </c>
      <c r="G257" s="138"/>
      <c r="H257" s="42">
        <v>25</v>
      </c>
      <c r="I257" s="28" t="s">
        <v>1306</v>
      </c>
      <c r="J257" s="40"/>
      <c r="M257" s="244" t="s">
        <v>84</v>
      </c>
      <c r="N257" s="142">
        <v>7343</v>
      </c>
      <c r="O257" s="199">
        <v>27686</v>
      </c>
      <c r="P257" s="142">
        <v>0</v>
      </c>
      <c r="Q257" s="199">
        <v>0</v>
      </c>
      <c r="R257" s="146">
        <v>0</v>
      </c>
      <c r="S257" s="142">
        <v>2171</v>
      </c>
      <c r="T257" s="142">
        <v>174</v>
      </c>
      <c r="U257" s="244"/>
      <c r="V257" s="245"/>
      <c r="Y257" s="46"/>
      <c r="Z257" s="43"/>
      <c r="AA257" s="43"/>
      <c r="AB257" s="47"/>
      <c r="AC257" s="48"/>
      <c r="AD257" s="49"/>
      <c r="AE257" s="67"/>
      <c r="AF257" s="56"/>
      <c r="AG257" s="46"/>
      <c r="AH257" s="48"/>
      <c r="AI257" s="48"/>
      <c r="AJ257" s="49"/>
      <c r="AM257" s="134"/>
      <c r="AN257" s="134"/>
      <c r="AO257" s="136"/>
      <c r="AP257" s="134"/>
      <c r="AQ257" s="136"/>
      <c r="AR257" s="135"/>
      <c r="AS257" s="135"/>
      <c r="AT257" s="135"/>
      <c r="AU257" s="135"/>
      <c r="AV257" s="136"/>
      <c r="AY257" s="211" t="s">
        <v>89</v>
      </c>
      <c r="AZ257" s="43">
        <v>2010</v>
      </c>
      <c r="BA257" s="209">
        <v>1427</v>
      </c>
      <c r="BB257" s="138">
        <v>0</v>
      </c>
      <c r="BC257" s="43">
        <v>0</v>
      </c>
      <c r="BD257" s="141">
        <v>0</v>
      </c>
      <c r="BE257" s="138">
        <v>0</v>
      </c>
      <c r="BF257" s="43">
        <v>0</v>
      </c>
      <c r="BG257" s="138">
        <v>3</v>
      </c>
      <c r="BH257" s="43" t="s">
        <v>1294</v>
      </c>
      <c r="BI257" s="141"/>
      <c r="BJ257" s="28"/>
    </row>
    <row r="258" spans="1:62" x14ac:dyDescent="0.3">
      <c r="A258" s="67" t="s">
        <v>429</v>
      </c>
      <c r="B258" s="212">
        <v>1753</v>
      </c>
      <c r="C258" s="209">
        <v>2318</v>
      </c>
      <c r="D258" s="43">
        <v>0</v>
      </c>
      <c r="E258" s="43">
        <v>0</v>
      </c>
      <c r="F258" s="43">
        <v>0</v>
      </c>
      <c r="G258" s="138"/>
      <c r="H258" s="42"/>
      <c r="I258" s="28"/>
      <c r="J258" s="40"/>
      <c r="M258" s="278"/>
      <c r="N258" s="134"/>
      <c r="O258" s="195"/>
      <c r="P258" s="134"/>
      <c r="Q258" s="195"/>
      <c r="R258" s="136"/>
      <c r="S258" s="134"/>
      <c r="T258" s="134"/>
      <c r="U258" s="278"/>
      <c r="V258" s="279"/>
      <c r="Y258" s="42"/>
      <c r="Z258" s="33"/>
      <c r="AA258" s="35"/>
      <c r="AB258" s="34"/>
      <c r="AC258" s="34"/>
      <c r="AD258" s="34"/>
      <c r="AE258" s="33"/>
      <c r="AF258" s="35"/>
      <c r="AG258" s="32"/>
      <c r="AH258" s="34"/>
      <c r="AI258" s="34"/>
      <c r="AJ258" s="35"/>
      <c r="AM258" s="138"/>
      <c r="AN258" s="138"/>
      <c r="AO258" s="141"/>
      <c r="AP258" s="138"/>
      <c r="AQ258" s="141"/>
      <c r="AR258" s="28"/>
      <c r="AS258" s="28"/>
      <c r="AT258" s="28"/>
      <c r="AU258" s="28"/>
      <c r="AV258" s="141"/>
      <c r="AY258" s="211" t="s">
        <v>108</v>
      </c>
      <c r="AZ258" s="43">
        <v>0</v>
      </c>
      <c r="BA258" s="209">
        <v>2</v>
      </c>
      <c r="BB258" s="212">
        <v>0</v>
      </c>
      <c r="BC258" s="43">
        <v>0</v>
      </c>
      <c r="BD258" s="209">
        <v>0</v>
      </c>
      <c r="BE258" s="212">
        <v>0</v>
      </c>
      <c r="BF258" s="43">
        <v>0</v>
      </c>
      <c r="BG258" s="138">
        <v>1</v>
      </c>
      <c r="BH258" s="43" t="s">
        <v>1026</v>
      </c>
      <c r="BI258" s="141">
        <v>109</v>
      </c>
      <c r="BJ258" s="28"/>
    </row>
    <row r="259" spans="1:62" ht="15" thickBot="1" x14ac:dyDescent="0.35">
      <c r="A259" s="244" t="s">
        <v>84</v>
      </c>
      <c r="B259" s="142">
        <v>14723</v>
      </c>
      <c r="C259" s="146">
        <v>16677</v>
      </c>
      <c r="D259" s="143">
        <v>0</v>
      </c>
      <c r="E259" s="143">
        <v>0</v>
      </c>
      <c r="F259" s="143">
        <v>0</v>
      </c>
      <c r="G259" s="142"/>
      <c r="H259" s="244"/>
      <c r="I259" s="143"/>
      <c r="J259" s="245">
        <v>127</v>
      </c>
      <c r="M259" s="42" t="s">
        <v>105</v>
      </c>
      <c r="N259" s="138">
        <v>767</v>
      </c>
      <c r="O259" s="196">
        <v>0</v>
      </c>
      <c r="P259" s="138">
        <v>0</v>
      </c>
      <c r="Q259" s="196">
        <v>0</v>
      </c>
      <c r="R259" s="141">
        <v>0</v>
      </c>
      <c r="S259" s="138">
        <v>0</v>
      </c>
      <c r="T259" s="138">
        <v>0</v>
      </c>
      <c r="U259" s="42"/>
      <c r="V259" s="40"/>
      <c r="Y259" s="47"/>
      <c r="Z259" s="47"/>
      <c r="AA259" s="49"/>
      <c r="AB259" s="48"/>
      <c r="AC259" s="48"/>
      <c r="AD259" s="48"/>
      <c r="AE259" s="47"/>
      <c r="AF259" s="49"/>
      <c r="AG259" s="46"/>
      <c r="AH259" s="48"/>
      <c r="AI259" s="48"/>
      <c r="AJ259" s="49"/>
      <c r="AM259" s="138"/>
      <c r="AN259" s="138"/>
      <c r="AO259" s="141"/>
      <c r="AP259" s="138"/>
      <c r="AQ259" s="141"/>
      <c r="AR259" s="28"/>
      <c r="AS259" s="28"/>
      <c r="AT259" s="28"/>
      <c r="AU259" s="28"/>
      <c r="AV259" s="141"/>
      <c r="AY259" s="247" t="s">
        <v>84</v>
      </c>
      <c r="AZ259" s="247">
        <v>6880</v>
      </c>
      <c r="BA259" s="248">
        <v>6645</v>
      </c>
      <c r="BB259" s="197">
        <v>0</v>
      </c>
      <c r="BC259" s="198">
        <v>0</v>
      </c>
      <c r="BD259" s="249">
        <v>0</v>
      </c>
      <c r="BE259" s="197">
        <v>0</v>
      </c>
      <c r="BF259" s="249">
        <v>0</v>
      </c>
      <c r="BG259" s="197"/>
      <c r="BH259" s="198"/>
      <c r="BI259" s="249"/>
      <c r="BJ259" s="28"/>
    </row>
    <row r="260" spans="1:62" x14ac:dyDescent="0.3">
      <c r="A260" s="42" t="s">
        <v>93</v>
      </c>
      <c r="B260" s="138">
        <v>7249</v>
      </c>
      <c r="C260" s="209">
        <v>7114</v>
      </c>
      <c r="D260" s="138">
        <v>0</v>
      </c>
      <c r="E260" s="43">
        <v>0</v>
      </c>
      <c r="F260" s="43">
        <v>0</v>
      </c>
      <c r="G260" s="138">
        <v>1</v>
      </c>
      <c r="H260" s="42" t="s">
        <v>116</v>
      </c>
      <c r="I260" s="28"/>
      <c r="J260" s="40"/>
      <c r="M260" s="42" t="s">
        <v>99</v>
      </c>
      <c r="N260" s="138">
        <v>0</v>
      </c>
      <c r="O260" s="196">
        <v>0</v>
      </c>
      <c r="P260" s="138">
        <v>0</v>
      </c>
      <c r="Q260" s="196">
        <v>0</v>
      </c>
      <c r="R260" s="141">
        <v>0</v>
      </c>
      <c r="S260" s="138">
        <v>0</v>
      </c>
      <c r="T260" s="138">
        <v>0</v>
      </c>
      <c r="U260" s="42" t="s">
        <v>135</v>
      </c>
      <c r="V260" s="40"/>
      <c r="Y260" s="33" t="s">
        <v>137</v>
      </c>
      <c r="Z260" s="33">
        <v>292</v>
      </c>
      <c r="AA260" s="35">
        <v>197</v>
      </c>
      <c r="AB260" s="34">
        <v>0</v>
      </c>
      <c r="AC260" s="34">
        <v>0</v>
      </c>
      <c r="AD260" s="34">
        <v>0</v>
      </c>
      <c r="AE260" s="33">
        <v>0</v>
      </c>
      <c r="AF260" s="35">
        <v>0</v>
      </c>
      <c r="AG260" s="32">
        <v>0</v>
      </c>
      <c r="AH260" s="34"/>
      <c r="AI260" s="34"/>
      <c r="AJ260" s="35"/>
      <c r="AM260" s="138"/>
      <c r="AN260" s="138"/>
      <c r="AO260" s="141"/>
      <c r="AP260" s="138"/>
      <c r="AQ260" s="141"/>
      <c r="AR260" s="28"/>
      <c r="AS260" s="28"/>
      <c r="AT260" s="28"/>
      <c r="AU260" s="28"/>
      <c r="AV260" s="141"/>
      <c r="AY260" s="195" t="s">
        <v>56</v>
      </c>
      <c r="AZ260" s="134" t="s">
        <v>1465</v>
      </c>
      <c r="BA260" s="136">
        <v>5</v>
      </c>
      <c r="BB260" s="134"/>
      <c r="BC260" s="135"/>
      <c r="BD260" s="136"/>
      <c r="BE260" s="134"/>
      <c r="BF260" s="136"/>
      <c r="BG260" s="134" t="s">
        <v>1025</v>
      </c>
      <c r="BH260" s="135"/>
      <c r="BI260" s="136"/>
      <c r="BJ260" s="28"/>
    </row>
    <row r="261" spans="1:62" x14ac:dyDescent="0.3">
      <c r="A261" s="42" t="s">
        <v>99</v>
      </c>
      <c r="B261" s="138">
        <v>9354</v>
      </c>
      <c r="C261" s="209">
        <v>12189</v>
      </c>
      <c r="D261" s="138">
        <v>0</v>
      </c>
      <c r="E261" s="43">
        <v>0</v>
      </c>
      <c r="F261" s="43">
        <v>0</v>
      </c>
      <c r="G261" s="138"/>
      <c r="H261" s="67">
        <v>152</v>
      </c>
      <c r="I261" s="28" t="s">
        <v>188</v>
      </c>
      <c r="J261" s="40"/>
      <c r="M261" s="42"/>
      <c r="N261" s="138"/>
      <c r="O261" s="196"/>
      <c r="P261" s="138"/>
      <c r="Q261" s="196"/>
      <c r="R261" s="141"/>
      <c r="S261" s="138"/>
      <c r="T261" s="138"/>
      <c r="U261" s="42"/>
      <c r="V261" s="40"/>
      <c r="Y261" s="42" t="s">
        <v>97</v>
      </c>
      <c r="Z261" s="42">
        <v>214</v>
      </c>
      <c r="AA261" s="40">
        <v>249</v>
      </c>
      <c r="AB261" s="43">
        <v>0</v>
      </c>
      <c r="AC261" s="43">
        <v>0</v>
      </c>
      <c r="AD261" s="43">
        <v>0</v>
      </c>
      <c r="AE261" s="42">
        <v>0</v>
      </c>
      <c r="AF261" s="40">
        <v>0</v>
      </c>
      <c r="AG261" s="41">
        <v>0</v>
      </c>
      <c r="AH261" s="28" t="s">
        <v>953</v>
      </c>
      <c r="AI261" s="28"/>
      <c r="AJ261" s="40"/>
      <c r="AM261" s="142"/>
      <c r="AN261" s="142"/>
      <c r="AO261" s="146"/>
      <c r="AP261" s="142"/>
      <c r="AQ261" s="146"/>
      <c r="AR261" s="143"/>
      <c r="AS261" s="143"/>
      <c r="AT261" s="143"/>
      <c r="AU261" s="143"/>
      <c r="AV261" s="146"/>
      <c r="AY261" s="196" t="s">
        <v>64</v>
      </c>
      <c r="AZ261" s="138">
        <v>103</v>
      </c>
      <c r="BA261" s="141">
        <v>78</v>
      </c>
      <c r="BB261" s="138">
        <v>0</v>
      </c>
      <c r="BC261" s="43">
        <v>0</v>
      </c>
      <c r="BD261" s="209">
        <v>0</v>
      </c>
      <c r="BE261" s="138">
        <v>0</v>
      </c>
      <c r="BF261" s="141">
        <v>0</v>
      </c>
      <c r="BG261" s="138" t="s">
        <v>1466</v>
      </c>
      <c r="BH261" s="28"/>
      <c r="BI261" s="141"/>
      <c r="BJ261" s="28"/>
    </row>
    <row r="262" spans="1:62" x14ac:dyDescent="0.3">
      <c r="A262" s="42" t="s">
        <v>120</v>
      </c>
      <c r="B262" s="138">
        <v>3854</v>
      </c>
      <c r="C262" s="209">
        <v>4843</v>
      </c>
      <c r="D262" s="138">
        <v>0</v>
      </c>
      <c r="E262" s="43">
        <v>0</v>
      </c>
      <c r="F262" s="43">
        <v>0</v>
      </c>
      <c r="G262" s="138"/>
      <c r="H262" s="67">
        <v>28</v>
      </c>
      <c r="I262" s="28" t="s">
        <v>1399</v>
      </c>
      <c r="J262" s="40"/>
      <c r="M262" s="244" t="s">
        <v>84</v>
      </c>
      <c r="N262" s="142">
        <v>767</v>
      </c>
      <c r="O262" s="199">
        <v>0</v>
      </c>
      <c r="P262" s="142">
        <v>0</v>
      </c>
      <c r="Q262" s="199">
        <v>0</v>
      </c>
      <c r="R262" s="146">
        <v>0</v>
      </c>
      <c r="S262" s="142">
        <v>0</v>
      </c>
      <c r="T262" s="142">
        <v>0</v>
      </c>
      <c r="U262" s="244"/>
      <c r="V262" s="245"/>
      <c r="Y262" s="42" t="s">
        <v>89</v>
      </c>
      <c r="Z262" s="42">
        <v>438</v>
      </c>
      <c r="AA262" s="40">
        <v>393</v>
      </c>
      <c r="AB262" s="43">
        <v>0</v>
      </c>
      <c r="AC262" s="43">
        <v>0</v>
      </c>
      <c r="AD262" s="43">
        <v>0</v>
      </c>
      <c r="AE262" s="42">
        <v>0</v>
      </c>
      <c r="AF262" s="40">
        <v>0</v>
      </c>
      <c r="AG262" s="41">
        <v>0</v>
      </c>
      <c r="AH262" s="43">
        <v>9</v>
      </c>
      <c r="AI262" s="28" t="s">
        <v>141</v>
      </c>
      <c r="AJ262" s="40"/>
      <c r="AM262" s="134"/>
      <c r="AN262" s="134"/>
      <c r="AO262" s="136"/>
      <c r="AP262" s="134"/>
      <c r="AQ262" s="136"/>
      <c r="AR262" s="134"/>
      <c r="AS262" s="135" t="s">
        <v>140</v>
      </c>
      <c r="AT262" s="135"/>
      <c r="AU262" s="135"/>
      <c r="AV262" s="136"/>
      <c r="AY262" s="239" t="s">
        <v>84</v>
      </c>
      <c r="AZ262" s="142">
        <v>103</v>
      </c>
      <c r="BA262" s="146">
        <v>83</v>
      </c>
      <c r="BB262" s="142"/>
      <c r="BC262" s="143"/>
      <c r="BD262" s="146"/>
      <c r="BE262" s="142"/>
      <c r="BF262" s="146"/>
      <c r="BG262" s="142"/>
      <c r="BH262" s="143"/>
      <c r="BI262" s="146">
        <v>9</v>
      </c>
      <c r="BJ262" s="28"/>
    </row>
    <row r="263" spans="1:62" x14ac:dyDescent="0.3">
      <c r="A263" s="42" t="s">
        <v>84</v>
      </c>
      <c r="B263" s="138">
        <v>20457</v>
      </c>
      <c r="C263" s="28">
        <v>24146</v>
      </c>
      <c r="D263" s="138">
        <v>0</v>
      </c>
      <c r="E263" s="28">
        <v>0</v>
      </c>
      <c r="F263" s="43">
        <v>0</v>
      </c>
      <c r="G263" s="138"/>
      <c r="H263" s="67"/>
      <c r="I263" s="28"/>
      <c r="J263" s="40"/>
      <c r="M263" s="42"/>
      <c r="N263" s="138"/>
      <c r="O263" s="196"/>
      <c r="P263" s="138"/>
      <c r="Q263" s="196"/>
      <c r="R263" s="141"/>
      <c r="S263" s="138"/>
      <c r="T263" s="138"/>
      <c r="U263" s="42"/>
      <c r="V263" s="40"/>
      <c r="Y263" s="42" t="s">
        <v>1467</v>
      </c>
      <c r="Z263" s="42">
        <v>0</v>
      </c>
      <c r="AA263" s="40">
        <v>0</v>
      </c>
      <c r="AB263" s="43">
        <v>47</v>
      </c>
      <c r="AC263" s="43">
        <v>0</v>
      </c>
      <c r="AD263" s="43">
        <v>0</v>
      </c>
      <c r="AE263" s="42">
        <v>0</v>
      </c>
      <c r="AF263" s="40">
        <v>0</v>
      </c>
      <c r="AG263" s="41">
        <v>0</v>
      </c>
      <c r="AH263" s="43">
        <v>10</v>
      </c>
      <c r="AI263" s="43" t="s">
        <v>1468</v>
      </c>
      <c r="AJ263" s="40"/>
      <c r="AM263" s="138" t="s">
        <v>56</v>
      </c>
      <c r="AN263" s="138">
        <v>32</v>
      </c>
      <c r="AO263" s="141">
        <v>30</v>
      </c>
      <c r="AP263" s="138">
        <v>0</v>
      </c>
      <c r="AQ263" s="141">
        <v>0</v>
      </c>
      <c r="AR263" s="138"/>
      <c r="AS263" s="43">
        <v>37</v>
      </c>
      <c r="AT263" s="28" t="s">
        <v>213</v>
      </c>
      <c r="AU263" s="28" t="s">
        <v>1469</v>
      </c>
      <c r="AV263" s="141"/>
      <c r="AY263" s="138"/>
      <c r="AZ263" s="134"/>
      <c r="BA263" s="136"/>
      <c r="BB263" s="134"/>
      <c r="BC263" s="135"/>
      <c r="BD263" s="136"/>
      <c r="BE263" s="138"/>
      <c r="BF263" s="141"/>
      <c r="BG263" s="28" t="s">
        <v>994</v>
      </c>
      <c r="BH263" s="28"/>
      <c r="BI263" s="141"/>
      <c r="BJ263" s="28"/>
    </row>
    <row r="264" spans="1:62" ht="15" thickBot="1" x14ac:dyDescent="0.35">
      <c r="A264" s="244"/>
      <c r="B264" s="142"/>
      <c r="C264" s="143"/>
      <c r="D264" s="142"/>
      <c r="E264" s="143"/>
      <c r="F264" s="143"/>
      <c r="G264" s="142"/>
      <c r="H264" s="244"/>
      <c r="I264" s="143"/>
      <c r="J264" s="245">
        <v>180</v>
      </c>
      <c r="M264" s="42"/>
      <c r="N264" s="138"/>
      <c r="O264" s="196"/>
      <c r="P264" s="138"/>
      <c r="Q264" s="196"/>
      <c r="R264" s="141"/>
      <c r="S264" s="138"/>
      <c r="T264" s="138"/>
      <c r="U264" s="42"/>
      <c r="V264" s="40"/>
      <c r="Y264" s="47" t="s">
        <v>84</v>
      </c>
      <c r="Z264" s="47">
        <v>944</v>
      </c>
      <c r="AA264" s="49">
        <v>839</v>
      </c>
      <c r="AB264" s="283">
        <v>47</v>
      </c>
      <c r="AC264" s="48">
        <v>0</v>
      </c>
      <c r="AD264" s="48">
        <v>0</v>
      </c>
      <c r="AE264" s="47">
        <v>0</v>
      </c>
      <c r="AF264" s="49">
        <v>0</v>
      </c>
      <c r="AG264" s="46">
        <v>0</v>
      </c>
      <c r="AH264" s="48"/>
      <c r="AI264" s="48"/>
      <c r="AJ264" s="49">
        <v>19</v>
      </c>
      <c r="AM264" s="138" t="s">
        <v>72</v>
      </c>
      <c r="AN264" s="138">
        <v>46</v>
      </c>
      <c r="AO264" s="141">
        <v>51</v>
      </c>
      <c r="AP264" s="138">
        <v>0</v>
      </c>
      <c r="AQ264" s="141">
        <v>0</v>
      </c>
      <c r="AR264" s="138"/>
      <c r="AS264" s="43">
        <v>7</v>
      </c>
      <c r="AT264" s="28" t="s">
        <v>1038</v>
      </c>
      <c r="AU264" s="43"/>
      <c r="AV264" s="141"/>
      <c r="AY264" s="138" t="s">
        <v>113</v>
      </c>
      <c r="AZ264" s="138">
        <v>576</v>
      </c>
      <c r="BA264" s="141">
        <v>537</v>
      </c>
      <c r="BB264" s="138">
        <v>0</v>
      </c>
      <c r="BC264" s="43">
        <v>0</v>
      </c>
      <c r="BD264" s="209">
        <v>0</v>
      </c>
      <c r="BE264" s="138">
        <v>0</v>
      </c>
      <c r="BF264" s="141">
        <v>0</v>
      </c>
      <c r="BG264" s="43">
        <v>23</v>
      </c>
      <c r="BH264" s="28" t="s">
        <v>1297</v>
      </c>
      <c r="BI264" s="141" t="s">
        <v>330</v>
      </c>
      <c r="BJ264" s="28"/>
    </row>
    <row r="265" spans="1:62" ht="15" thickBot="1" x14ac:dyDescent="0.35">
      <c r="A265" s="278" t="s">
        <v>105</v>
      </c>
      <c r="B265" s="134">
        <v>1048</v>
      </c>
      <c r="C265" s="135">
        <v>1227</v>
      </c>
      <c r="D265" s="134">
        <v>0</v>
      </c>
      <c r="E265" s="243">
        <v>1417</v>
      </c>
      <c r="F265" s="135">
        <v>0</v>
      </c>
      <c r="G265" s="134">
        <v>1</v>
      </c>
      <c r="H265" s="278" t="s">
        <v>162</v>
      </c>
      <c r="I265" s="135"/>
      <c r="J265" s="279"/>
      <c r="M265" s="42"/>
      <c r="N265" s="138"/>
      <c r="O265" s="196"/>
      <c r="P265" s="138"/>
      <c r="Q265" s="196"/>
      <c r="R265" s="141"/>
      <c r="S265" s="138"/>
      <c r="T265" s="138"/>
      <c r="U265" s="42"/>
      <c r="V265" s="40"/>
      <c r="Y265" s="32"/>
      <c r="Z265" s="33"/>
      <c r="AA265" s="35"/>
      <c r="AB265" s="53"/>
      <c r="AC265" s="123"/>
      <c r="AD265" s="97"/>
      <c r="AE265" s="33"/>
      <c r="AF265" s="35"/>
      <c r="AG265" s="32"/>
      <c r="AH265" s="33" t="s">
        <v>149</v>
      </c>
      <c r="AI265" s="34"/>
      <c r="AJ265" s="35"/>
      <c r="AM265" s="138" t="s">
        <v>78</v>
      </c>
      <c r="AN265" s="138">
        <v>38</v>
      </c>
      <c r="AO265" s="141">
        <v>49</v>
      </c>
      <c r="AP265" s="138">
        <v>0</v>
      </c>
      <c r="AQ265" s="141">
        <v>0</v>
      </c>
      <c r="AR265" s="138"/>
      <c r="AS265" s="43">
        <v>2</v>
      </c>
      <c r="AT265" s="43" t="s">
        <v>246</v>
      </c>
      <c r="AU265" s="28" t="s">
        <v>1470</v>
      </c>
      <c r="AV265" s="141"/>
      <c r="AY265" s="142" t="s">
        <v>84</v>
      </c>
      <c r="AZ265" s="142">
        <v>576</v>
      </c>
      <c r="BA265" s="146">
        <v>537</v>
      </c>
      <c r="BB265" s="138">
        <v>0</v>
      </c>
      <c r="BC265" s="43">
        <v>0</v>
      </c>
      <c r="BD265" s="209">
        <v>0</v>
      </c>
      <c r="BE265" s="142">
        <v>0</v>
      </c>
      <c r="BF265" s="146">
        <v>0</v>
      </c>
      <c r="BG265" s="43">
        <v>23</v>
      </c>
      <c r="BH265" s="43" t="s">
        <v>1292</v>
      </c>
      <c r="BI265" s="146">
        <v>46</v>
      </c>
      <c r="BJ265" s="28"/>
    </row>
    <row r="266" spans="1:62" x14ac:dyDescent="0.3">
      <c r="A266" s="42" t="s">
        <v>99</v>
      </c>
      <c r="B266" s="138">
        <v>265</v>
      </c>
      <c r="C266" s="43">
        <v>456</v>
      </c>
      <c r="D266" s="138">
        <v>0</v>
      </c>
      <c r="E266" s="343">
        <v>1380</v>
      </c>
      <c r="F266" s="43">
        <v>0</v>
      </c>
      <c r="G266" s="138"/>
      <c r="H266" s="42"/>
      <c r="I266" s="28"/>
      <c r="J266" s="40"/>
      <c r="M266" s="42"/>
      <c r="N266" s="138"/>
      <c r="O266" s="196"/>
      <c r="P266" s="138"/>
      <c r="Q266" s="196"/>
      <c r="R266" s="141"/>
      <c r="S266" s="138"/>
      <c r="T266" s="138"/>
      <c r="U266" s="42"/>
      <c r="V266" s="40"/>
      <c r="Y266" s="41" t="s">
        <v>99</v>
      </c>
      <c r="Z266" s="42">
        <v>0</v>
      </c>
      <c r="AA266" s="40">
        <v>0</v>
      </c>
      <c r="AB266" s="67">
        <v>0</v>
      </c>
      <c r="AC266" s="43">
        <v>0</v>
      </c>
      <c r="AD266" s="56">
        <v>0</v>
      </c>
      <c r="AE266" s="42">
        <v>25699</v>
      </c>
      <c r="AF266" s="40">
        <v>28711</v>
      </c>
      <c r="AG266" s="41">
        <v>0</v>
      </c>
      <c r="AH266" s="67">
        <v>3</v>
      </c>
      <c r="AI266" s="28" t="s">
        <v>153</v>
      </c>
      <c r="AJ266" s="40"/>
      <c r="AM266" s="138" t="s">
        <v>67</v>
      </c>
      <c r="AN266" s="138">
        <v>35</v>
      </c>
      <c r="AO266" s="141">
        <v>36</v>
      </c>
      <c r="AP266" s="138">
        <v>0</v>
      </c>
      <c r="AQ266" s="141">
        <v>0</v>
      </c>
      <c r="AR266" s="138"/>
      <c r="AS266" s="43">
        <v>3</v>
      </c>
      <c r="AT266" s="43" t="s">
        <v>682</v>
      </c>
      <c r="AU266" s="43" t="s">
        <v>1471</v>
      </c>
      <c r="AV266" s="141"/>
      <c r="AY266" s="195" t="s">
        <v>596</v>
      </c>
      <c r="AZ266" s="134">
        <v>3</v>
      </c>
      <c r="BA266" s="135">
        <v>2</v>
      </c>
      <c r="BB266" s="32" t="s">
        <v>1472</v>
      </c>
      <c r="BC266" s="346" t="s">
        <v>1357</v>
      </c>
      <c r="BD266" s="347"/>
      <c r="BE266" s="135"/>
      <c r="BF266" s="136"/>
      <c r="BG266" s="134" t="s">
        <v>140</v>
      </c>
      <c r="BH266" s="135"/>
      <c r="BI266" s="136"/>
      <c r="BJ266" s="28"/>
    </row>
    <row r="267" spans="1:62" ht="15" thickBot="1" x14ac:dyDescent="0.35">
      <c r="A267" s="42"/>
      <c r="B267" s="138"/>
      <c r="C267" s="28"/>
      <c r="D267" s="138"/>
      <c r="E267" s="343"/>
      <c r="F267" s="28"/>
      <c r="G267" s="138"/>
      <c r="H267" s="67">
        <v>42</v>
      </c>
      <c r="I267" s="28" t="s">
        <v>101</v>
      </c>
      <c r="J267" s="40"/>
      <c r="M267" s="42"/>
      <c r="N267" s="138"/>
      <c r="O267" s="196"/>
      <c r="P267" s="138"/>
      <c r="Q267" s="196"/>
      <c r="R267" s="141"/>
      <c r="S267" s="138"/>
      <c r="T267" s="138"/>
      <c r="U267" s="42"/>
      <c r="V267" s="40"/>
      <c r="Y267" s="41" t="s">
        <v>174</v>
      </c>
      <c r="Z267" s="42">
        <v>0</v>
      </c>
      <c r="AA267" s="40">
        <v>0</v>
      </c>
      <c r="AB267" s="67">
        <v>0</v>
      </c>
      <c r="AC267" s="43">
        <v>0</v>
      </c>
      <c r="AD267" s="56">
        <v>0</v>
      </c>
      <c r="AE267" s="42">
        <v>13672</v>
      </c>
      <c r="AF267" s="40">
        <v>0</v>
      </c>
      <c r="AG267" s="41">
        <v>0</v>
      </c>
      <c r="AH267" s="67"/>
      <c r="AI267" s="43"/>
      <c r="AJ267" s="40"/>
      <c r="AM267" s="138" t="s">
        <v>115</v>
      </c>
      <c r="AN267" s="138">
        <v>9</v>
      </c>
      <c r="AO267" s="141">
        <v>16</v>
      </c>
      <c r="AP267" s="138">
        <v>0</v>
      </c>
      <c r="AQ267" s="141">
        <v>0</v>
      </c>
      <c r="AR267" s="138"/>
      <c r="AS267" s="43">
        <v>22</v>
      </c>
      <c r="AT267" s="43" t="s">
        <v>903</v>
      </c>
      <c r="AU267" s="43"/>
      <c r="AV267" s="141"/>
      <c r="AY267" s="196" t="s">
        <v>169</v>
      </c>
      <c r="AZ267" s="138">
        <v>9</v>
      </c>
      <c r="BA267" s="43">
        <v>8</v>
      </c>
      <c r="BB267" s="46" t="s">
        <v>42</v>
      </c>
      <c r="BC267" s="72" t="s">
        <v>43</v>
      </c>
      <c r="BD267" s="49" t="s">
        <v>44</v>
      </c>
      <c r="BE267" s="43"/>
      <c r="BF267" s="141"/>
      <c r="BG267" s="138"/>
      <c r="BH267" s="28"/>
      <c r="BI267" s="141"/>
      <c r="BJ267" s="28"/>
    </row>
    <row r="268" spans="1:62" ht="15" thickBot="1" x14ac:dyDescent="0.35">
      <c r="A268" s="42" t="s">
        <v>84</v>
      </c>
      <c r="B268" s="142">
        <v>1313</v>
      </c>
      <c r="C268" s="143">
        <v>1683</v>
      </c>
      <c r="D268" s="142">
        <v>0</v>
      </c>
      <c r="E268" s="345">
        <v>2797</v>
      </c>
      <c r="F268" s="143">
        <v>0</v>
      </c>
      <c r="G268" s="142"/>
      <c r="H268" s="244"/>
      <c r="I268" s="143"/>
      <c r="J268" s="245">
        <v>42</v>
      </c>
      <c r="M268" s="47" t="s">
        <v>84</v>
      </c>
      <c r="N268" s="202">
        <v>22023</v>
      </c>
      <c r="O268" s="286">
        <v>58398</v>
      </c>
      <c r="P268" s="202">
        <v>0</v>
      </c>
      <c r="Q268" s="286">
        <v>0</v>
      </c>
      <c r="R268" s="48">
        <v>0</v>
      </c>
      <c r="S268" s="202">
        <v>2171</v>
      </c>
      <c r="T268" s="202">
        <v>174</v>
      </c>
      <c r="U268" s="47"/>
      <c r="V268" s="49"/>
      <c r="Y268" s="62" t="s">
        <v>84</v>
      </c>
      <c r="Z268" s="47">
        <v>0</v>
      </c>
      <c r="AA268" s="49">
        <v>0</v>
      </c>
      <c r="AB268" s="47">
        <v>0</v>
      </c>
      <c r="AC268" s="48">
        <v>0</v>
      </c>
      <c r="AD268" s="49">
        <v>0</v>
      </c>
      <c r="AE268" s="47">
        <v>39371</v>
      </c>
      <c r="AF268" s="49">
        <v>28711</v>
      </c>
      <c r="AG268" s="46">
        <v>0</v>
      </c>
      <c r="AH268" s="47"/>
      <c r="AI268" s="48"/>
      <c r="AJ268" s="49">
        <v>3</v>
      </c>
      <c r="AM268" s="138" t="s">
        <v>122</v>
      </c>
      <c r="AN268" s="138">
        <v>13</v>
      </c>
      <c r="AO268" s="141">
        <v>5</v>
      </c>
      <c r="AP268" s="138">
        <v>0</v>
      </c>
      <c r="AQ268" s="141">
        <v>0</v>
      </c>
      <c r="AR268" s="138"/>
      <c r="AS268" s="43">
        <v>78</v>
      </c>
      <c r="AT268" s="43" t="s">
        <v>215</v>
      </c>
      <c r="AU268" s="43"/>
      <c r="AV268" s="141"/>
      <c r="AY268" s="196" t="s">
        <v>1095</v>
      </c>
      <c r="AZ268" s="138">
        <v>0</v>
      </c>
      <c r="BA268" s="43">
        <v>0</v>
      </c>
      <c r="BB268" s="28"/>
      <c r="BC268" s="43"/>
      <c r="BD268" s="28"/>
      <c r="BE268" s="43"/>
      <c r="BF268" s="141"/>
      <c r="BG268" s="138"/>
      <c r="BH268" s="28"/>
      <c r="BI268" s="141"/>
      <c r="BJ268" s="28"/>
    </row>
    <row r="269" spans="1:62" x14ac:dyDescent="0.3">
      <c r="A269" s="287" t="s">
        <v>181</v>
      </c>
      <c r="B269" s="135">
        <v>3382</v>
      </c>
      <c r="C269" s="135">
        <v>3975</v>
      </c>
      <c r="D269" s="134">
        <v>0</v>
      </c>
      <c r="E269" s="135">
        <v>0</v>
      </c>
      <c r="F269" s="136">
        <v>0</v>
      </c>
      <c r="G269" s="134">
        <v>1</v>
      </c>
      <c r="H269" s="278" t="s">
        <v>182</v>
      </c>
      <c r="I269" s="135"/>
      <c r="J269" s="279"/>
      <c r="Y269" s="32" t="s">
        <v>88</v>
      </c>
      <c r="Z269" s="33">
        <v>0</v>
      </c>
      <c r="AA269" s="35">
        <v>0</v>
      </c>
      <c r="AB269" s="33">
        <v>0</v>
      </c>
      <c r="AC269" s="34">
        <v>0</v>
      </c>
      <c r="AD269" s="35">
        <v>0</v>
      </c>
      <c r="AE269" s="33">
        <v>27449</v>
      </c>
      <c r="AF269" s="35">
        <v>0</v>
      </c>
      <c r="AG269" s="32">
        <v>0</v>
      </c>
      <c r="AH269" s="33" t="s">
        <v>157</v>
      </c>
      <c r="AI269" s="34"/>
      <c r="AJ269" s="35"/>
      <c r="AM269" s="138" t="s">
        <v>81</v>
      </c>
      <c r="AN269" s="138">
        <v>2</v>
      </c>
      <c r="AO269" s="141">
        <v>0</v>
      </c>
      <c r="AP269" s="138">
        <v>0</v>
      </c>
      <c r="AQ269" s="141">
        <v>0</v>
      </c>
      <c r="AR269" s="138"/>
      <c r="AS269" s="43">
        <v>1</v>
      </c>
      <c r="AT269" s="43" t="s">
        <v>228</v>
      </c>
      <c r="AU269" s="43"/>
      <c r="AV269" s="141"/>
      <c r="AY269" s="196" t="s">
        <v>523</v>
      </c>
      <c r="AZ269" s="138">
        <v>0</v>
      </c>
      <c r="BA269" s="141">
        <v>3</v>
      </c>
      <c r="BB269" s="268" t="s">
        <v>1473</v>
      </c>
      <c r="BC269" s="43">
        <v>0</v>
      </c>
      <c r="BD269" s="141">
        <v>0</v>
      </c>
      <c r="BE269" s="43"/>
      <c r="BF269" s="141"/>
      <c r="BG269" s="138" t="s">
        <v>142</v>
      </c>
      <c r="BH269" s="43"/>
      <c r="BI269" s="141" t="s">
        <v>1474</v>
      </c>
      <c r="BJ269" s="28"/>
    </row>
    <row r="270" spans="1:62" x14ac:dyDescent="0.3">
      <c r="A270" s="288"/>
      <c r="B270" s="28"/>
      <c r="C270" s="28"/>
      <c r="D270" s="138"/>
      <c r="E270" s="28"/>
      <c r="F270" s="141"/>
      <c r="G270" s="138"/>
      <c r="H270" s="42"/>
      <c r="I270" s="28"/>
      <c r="J270" s="40"/>
      <c r="Y270" s="41" t="s">
        <v>99</v>
      </c>
      <c r="Z270" s="42">
        <v>0</v>
      </c>
      <c r="AA270" s="56"/>
      <c r="AB270" s="67">
        <v>0</v>
      </c>
      <c r="AC270" s="43">
        <v>0</v>
      </c>
      <c r="AD270" s="56">
        <v>0</v>
      </c>
      <c r="AE270" s="42">
        <v>186278</v>
      </c>
      <c r="AF270" s="56">
        <v>124843</v>
      </c>
      <c r="AG270" s="41">
        <v>0</v>
      </c>
      <c r="AH270" s="67">
        <v>12</v>
      </c>
      <c r="AI270" s="28" t="s">
        <v>61</v>
      </c>
      <c r="AJ270" s="40"/>
      <c r="AM270" s="138" t="s">
        <v>230</v>
      </c>
      <c r="AN270" s="138">
        <v>8</v>
      </c>
      <c r="AO270" s="141">
        <v>8</v>
      </c>
      <c r="AP270" s="138">
        <v>0</v>
      </c>
      <c r="AQ270" s="141">
        <v>0</v>
      </c>
      <c r="AR270" s="138"/>
      <c r="AS270" s="43">
        <v>1</v>
      </c>
      <c r="AT270" s="43" t="s">
        <v>216</v>
      </c>
      <c r="AU270" s="43"/>
      <c r="AV270" s="141"/>
      <c r="AY270" s="196" t="s">
        <v>113</v>
      </c>
      <c r="AZ270" s="138">
        <v>137</v>
      </c>
      <c r="BA270" s="141">
        <v>117</v>
      </c>
      <c r="BB270" s="268" t="s">
        <v>196</v>
      </c>
      <c r="BC270" s="255">
        <v>0</v>
      </c>
      <c r="BD270" s="141">
        <v>1</v>
      </c>
      <c r="BE270" s="43"/>
      <c r="BF270" s="141"/>
      <c r="BG270" s="138" t="s">
        <v>146</v>
      </c>
      <c r="BH270" s="28"/>
      <c r="BI270" s="256" t="s">
        <v>1476</v>
      </c>
      <c r="BJ270" s="28"/>
    </row>
    <row r="271" spans="1:62" x14ac:dyDescent="0.3">
      <c r="A271" s="288" t="s">
        <v>84</v>
      </c>
      <c r="B271" s="28">
        <v>3382</v>
      </c>
      <c r="C271" s="43">
        <v>3975</v>
      </c>
      <c r="D271" s="138">
        <v>0</v>
      </c>
      <c r="E271" s="43">
        <v>0</v>
      </c>
      <c r="F271" s="141">
        <v>0</v>
      </c>
      <c r="G271" s="138"/>
      <c r="H271" s="42">
        <v>30</v>
      </c>
      <c r="I271" s="28" t="s">
        <v>101</v>
      </c>
      <c r="J271" s="40"/>
      <c r="Y271" s="41" t="s">
        <v>1411</v>
      </c>
      <c r="Z271" s="42">
        <v>0</v>
      </c>
      <c r="AA271" s="56"/>
      <c r="AB271" s="67">
        <v>0</v>
      </c>
      <c r="AC271" s="43">
        <v>0</v>
      </c>
      <c r="AD271" s="56">
        <v>0</v>
      </c>
      <c r="AE271" s="42">
        <v>0</v>
      </c>
      <c r="AF271" s="56">
        <v>9139</v>
      </c>
      <c r="AG271" s="41">
        <v>0</v>
      </c>
      <c r="AH271" s="42"/>
      <c r="AI271" s="28"/>
      <c r="AJ271" s="40"/>
      <c r="AM271" s="138" t="s">
        <v>63</v>
      </c>
      <c r="AN271" s="138">
        <v>13</v>
      </c>
      <c r="AO271" s="141">
        <v>9</v>
      </c>
      <c r="AP271" s="138">
        <v>0</v>
      </c>
      <c r="AQ271" s="141">
        <v>0</v>
      </c>
      <c r="AR271" s="138"/>
      <c r="AS271" s="43">
        <v>1</v>
      </c>
      <c r="AT271" s="43" t="s">
        <v>1475</v>
      </c>
      <c r="AU271" s="28"/>
      <c r="AV271" s="141"/>
      <c r="AY271" s="196" t="s">
        <v>85</v>
      </c>
      <c r="AZ271" s="138">
        <v>0</v>
      </c>
      <c r="BA271" s="141">
        <v>6</v>
      </c>
      <c r="BB271" s="268" t="s">
        <v>1247</v>
      </c>
      <c r="BC271" s="43">
        <v>0</v>
      </c>
      <c r="BD271" s="141">
        <v>10</v>
      </c>
      <c r="BE271" s="43"/>
      <c r="BF271" s="141"/>
      <c r="BG271" s="138"/>
      <c r="BH271" s="28"/>
      <c r="BI271" s="141" t="s">
        <v>803</v>
      </c>
      <c r="BJ271" s="28"/>
    </row>
    <row r="272" spans="1:62" ht="15" thickBot="1" x14ac:dyDescent="0.35">
      <c r="A272" s="289"/>
      <c r="B272" s="48"/>
      <c r="C272" s="48"/>
      <c r="D272" s="202"/>
      <c r="E272" s="48"/>
      <c r="F272" s="203"/>
      <c r="G272" s="202"/>
      <c r="H272" s="47"/>
      <c r="I272" s="51"/>
      <c r="J272" s="49">
        <v>30</v>
      </c>
      <c r="Y272" s="68" t="s">
        <v>95</v>
      </c>
      <c r="Z272" s="42">
        <v>0</v>
      </c>
      <c r="AA272" s="56">
        <v>0</v>
      </c>
      <c r="AB272" s="42">
        <v>0</v>
      </c>
      <c r="AC272" s="43">
        <v>0</v>
      </c>
      <c r="AD272" s="40">
        <v>0</v>
      </c>
      <c r="AE272" s="42">
        <v>0</v>
      </c>
      <c r="AF272" s="56">
        <v>2802</v>
      </c>
      <c r="AG272" s="41">
        <v>0</v>
      </c>
      <c r="AH272" s="42"/>
      <c r="AI272" s="43"/>
      <c r="AJ272" s="40"/>
      <c r="AM272" s="138" t="s">
        <v>132</v>
      </c>
      <c r="AN272" s="138">
        <v>0</v>
      </c>
      <c r="AO272" s="141">
        <v>4</v>
      </c>
      <c r="AP272" s="138">
        <v>0</v>
      </c>
      <c r="AQ272" s="141">
        <v>0</v>
      </c>
      <c r="AR272" s="138"/>
      <c r="AS272" s="220">
        <v>1</v>
      </c>
      <c r="AT272" s="220" t="s">
        <v>1477</v>
      </c>
      <c r="AU272" s="28"/>
      <c r="AV272" s="141"/>
      <c r="AY272" s="196" t="s">
        <v>337</v>
      </c>
      <c r="AZ272" s="138">
        <v>0</v>
      </c>
      <c r="BA272" s="141">
        <v>4</v>
      </c>
      <c r="BB272" s="268" t="s">
        <v>158</v>
      </c>
      <c r="BC272" s="43">
        <v>0</v>
      </c>
      <c r="BD272" s="141">
        <v>0</v>
      </c>
      <c r="BE272" s="43"/>
      <c r="BF272" s="141"/>
      <c r="BG272" s="138" t="s">
        <v>151</v>
      </c>
      <c r="BH272" s="28" t="s">
        <v>1478</v>
      </c>
      <c r="BI272" s="141" t="s">
        <v>1479</v>
      </c>
      <c r="BJ272" s="28"/>
    </row>
    <row r="273" spans="1:62" ht="15" thickBot="1" x14ac:dyDescent="0.35">
      <c r="A273" s="254" t="s">
        <v>84</v>
      </c>
      <c r="B273" s="274">
        <v>46193</v>
      </c>
      <c r="C273" s="172">
        <v>56687</v>
      </c>
      <c r="D273" s="275">
        <v>0</v>
      </c>
      <c r="E273" s="253">
        <v>4155</v>
      </c>
      <c r="F273" s="253">
        <v>0</v>
      </c>
      <c r="G273" s="171">
        <v>8</v>
      </c>
      <c r="H273" s="171"/>
      <c r="I273" s="170"/>
      <c r="J273" s="172">
        <v>438</v>
      </c>
      <c r="Y273" s="68" t="s">
        <v>105</v>
      </c>
      <c r="Z273" s="42">
        <v>0</v>
      </c>
      <c r="AA273" s="56">
        <v>0</v>
      </c>
      <c r="AB273" s="67">
        <v>0</v>
      </c>
      <c r="AC273" s="43">
        <v>0</v>
      </c>
      <c r="AD273" s="56">
        <v>0</v>
      </c>
      <c r="AE273" s="42">
        <v>0</v>
      </c>
      <c r="AF273" s="56">
        <v>13371</v>
      </c>
      <c r="AG273" s="41">
        <v>0</v>
      </c>
      <c r="AH273" s="67"/>
      <c r="AI273" s="28"/>
      <c r="AJ273" s="40"/>
      <c r="AM273" s="138" t="s">
        <v>84</v>
      </c>
      <c r="AN273" s="138">
        <v>196</v>
      </c>
      <c r="AO273" s="141">
        <v>208</v>
      </c>
      <c r="AP273" s="138">
        <v>0</v>
      </c>
      <c r="AQ273" s="141">
        <v>0</v>
      </c>
      <c r="AR273" s="142"/>
      <c r="AS273" s="224">
        <v>1</v>
      </c>
      <c r="AT273" s="224" t="s">
        <v>433</v>
      </c>
      <c r="AU273" s="143"/>
      <c r="AV273" s="146">
        <v>166</v>
      </c>
      <c r="AY273" s="196" t="s">
        <v>99</v>
      </c>
      <c r="AZ273" s="138">
        <v>3</v>
      </c>
      <c r="BA273" s="141">
        <v>10</v>
      </c>
      <c r="BB273" s="268" t="s">
        <v>574</v>
      </c>
      <c r="BC273" s="43">
        <v>0</v>
      </c>
      <c r="BD273" s="141">
        <v>6</v>
      </c>
      <c r="BE273" s="43"/>
      <c r="BF273" s="141"/>
      <c r="BG273" s="269" t="s">
        <v>1480</v>
      </c>
      <c r="BH273" s="257" t="s">
        <v>466</v>
      </c>
      <c r="BI273" s="141" t="s">
        <v>1481</v>
      </c>
      <c r="BJ273" s="28"/>
    </row>
    <row r="274" spans="1:62" ht="15" thickBot="1" x14ac:dyDescent="0.35">
      <c r="Y274" s="68" t="s">
        <v>502</v>
      </c>
      <c r="Z274" s="67">
        <v>0</v>
      </c>
      <c r="AA274" s="56">
        <v>0</v>
      </c>
      <c r="AB274" s="42">
        <v>0</v>
      </c>
      <c r="AC274" s="43">
        <v>0</v>
      </c>
      <c r="AD274" s="40">
        <v>0</v>
      </c>
      <c r="AE274" s="67">
        <v>16237</v>
      </c>
      <c r="AF274" s="56">
        <v>0</v>
      </c>
      <c r="AG274" s="41">
        <v>0</v>
      </c>
      <c r="AH274" s="42"/>
      <c r="AI274" s="28"/>
      <c r="AJ274" s="40"/>
      <c r="AM274" s="171" t="s">
        <v>84</v>
      </c>
      <c r="AN274" s="171">
        <v>2094</v>
      </c>
      <c r="AO274" s="172">
        <v>2010</v>
      </c>
      <c r="AP274" s="170">
        <v>0</v>
      </c>
      <c r="AQ274" s="172">
        <v>0</v>
      </c>
      <c r="AR274" s="48"/>
      <c r="AS274" s="48"/>
      <c r="AT274" s="48"/>
      <c r="AU274" s="48"/>
      <c r="AV274" s="49">
        <v>373</v>
      </c>
      <c r="AY274" s="196" t="s">
        <v>200</v>
      </c>
      <c r="AZ274" s="138">
        <v>7</v>
      </c>
      <c r="BA274" s="141">
        <v>12</v>
      </c>
      <c r="BB274" s="268" t="s">
        <v>1482</v>
      </c>
      <c r="BC274" s="43">
        <v>5</v>
      </c>
      <c r="BD274" s="141">
        <v>0</v>
      </c>
      <c r="BE274" s="43"/>
      <c r="BF274" s="141"/>
      <c r="BG274" s="212" t="s">
        <v>513</v>
      </c>
      <c r="BH274" s="28" t="s">
        <v>1483</v>
      </c>
      <c r="BI274" s="141" t="s">
        <v>366</v>
      </c>
      <c r="BJ274" s="28"/>
    </row>
    <row r="275" spans="1:62" x14ac:dyDescent="0.3">
      <c r="Y275" s="68" t="s">
        <v>108</v>
      </c>
      <c r="Z275" s="67">
        <v>0</v>
      </c>
      <c r="AA275" s="56">
        <v>0</v>
      </c>
      <c r="AB275" s="67">
        <v>0</v>
      </c>
      <c r="AC275" s="43">
        <v>0</v>
      </c>
      <c r="AD275" s="56">
        <v>0</v>
      </c>
      <c r="AE275" s="67">
        <v>44842</v>
      </c>
      <c r="AF275" s="56">
        <v>23209</v>
      </c>
      <c r="AG275" s="41">
        <v>0</v>
      </c>
      <c r="AH275" s="67"/>
      <c r="AI275" s="28"/>
      <c r="AJ275" s="40"/>
      <c r="AM275" s="28"/>
      <c r="AN275" s="28"/>
      <c r="AO275" s="28"/>
      <c r="AP275" s="28"/>
      <c r="AQ275" s="28"/>
      <c r="AR275" s="28"/>
      <c r="AS275" s="43"/>
      <c r="AT275" s="43"/>
      <c r="AU275" s="28"/>
      <c r="AV275" s="28"/>
      <c r="AY275" s="196" t="s">
        <v>564</v>
      </c>
      <c r="AZ275" s="138">
        <v>0</v>
      </c>
      <c r="BA275" s="141">
        <v>6</v>
      </c>
      <c r="BB275" s="268" t="s">
        <v>1484</v>
      </c>
      <c r="BC275" s="43">
        <v>0</v>
      </c>
      <c r="BD275" s="141">
        <v>3</v>
      </c>
      <c r="BE275" s="43"/>
      <c r="BF275" s="141"/>
      <c r="BG275" s="212" t="s">
        <v>510</v>
      </c>
      <c r="BH275" s="43" t="s">
        <v>1485</v>
      </c>
      <c r="BI275" s="141" t="s">
        <v>1486</v>
      </c>
      <c r="BJ275" s="28"/>
    </row>
    <row r="276" spans="1:62" x14ac:dyDescent="0.3">
      <c r="Y276" s="68" t="s">
        <v>445</v>
      </c>
      <c r="Z276" s="42">
        <v>0</v>
      </c>
      <c r="AA276" s="40">
        <v>0</v>
      </c>
      <c r="AB276" s="42">
        <v>0</v>
      </c>
      <c r="AC276" s="43">
        <v>0</v>
      </c>
      <c r="AD276" s="40">
        <v>0</v>
      </c>
      <c r="AE276" s="42">
        <v>1377</v>
      </c>
      <c r="AF276" s="40">
        <v>0</v>
      </c>
      <c r="AG276" s="41">
        <v>0</v>
      </c>
      <c r="AH276" s="42"/>
      <c r="AI276" s="28"/>
      <c r="AJ276" s="40"/>
      <c r="AM276" s="28"/>
      <c r="AN276" s="28"/>
      <c r="AO276" s="28"/>
      <c r="AP276" s="28"/>
      <c r="AQ276" s="28"/>
      <c r="AR276" s="28"/>
      <c r="AS276" s="220"/>
      <c r="AT276" s="220"/>
      <c r="AU276" s="28"/>
      <c r="AV276" s="28"/>
      <c r="AY276" s="196" t="s">
        <v>218</v>
      </c>
      <c r="AZ276" s="138">
        <v>0</v>
      </c>
      <c r="BA276" s="141">
        <v>15</v>
      </c>
      <c r="BB276" s="268" t="s">
        <v>358</v>
      </c>
      <c r="BC276" s="270">
        <v>4</v>
      </c>
      <c r="BD276" s="141">
        <v>7</v>
      </c>
      <c r="BE276" s="43"/>
      <c r="BF276" s="141"/>
      <c r="BG276" s="138" t="s">
        <v>1377</v>
      </c>
      <c r="BH276" s="43" t="s">
        <v>522</v>
      </c>
      <c r="BI276" s="209" t="s">
        <v>739</v>
      </c>
      <c r="BJ276" s="28"/>
    </row>
    <row r="277" spans="1:62" ht="15" thickBot="1" x14ac:dyDescent="0.35">
      <c r="Y277" s="68" t="s">
        <v>84</v>
      </c>
      <c r="Z277" s="42">
        <v>0</v>
      </c>
      <c r="AA277" s="40">
        <v>0</v>
      </c>
      <c r="AB277" s="42">
        <v>0</v>
      </c>
      <c r="AC277" s="43">
        <v>0</v>
      </c>
      <c r="AD277" s="40">
        <v>0</v>
      </c>
      <c r="AE277" s="42">
        <v>276183</v>
      </c>
      <c r="AF277" s="40">
        <v>173364</v>
      </c>
      <c r="AG277" s="41">
        <v>0</v>
      </c>
      <c r="AH277" s="42"/>
      <c r="AI277" s="28"/>
      <c r="AJ277" s="141">
        <v>12</v>
      </c>
      <c r="AM277" s="28"/>
      <c r="AN277" s="28"/>
      <c r="AO277" s="28"/>
      <c r="AP277" s="28"/>
      <c r="AQ277" s="28"/>
      <c r="AR277" s="28"/>
      <c r="AS277" s="43"/>
      <c r="AT277" s="43"/>
      <c r="AU277" s="28"/>
      <c r="AV277" s="28"/>
      <c r="AY277" s="196" t="s">
        <v>1374</v>
      </c>
      <c r="AZ277" s="138">
        <v>0</v>
      </c>
      <c r="BA277" s="141">
        <v>0</v>
      </c>
      <c r="BB277" s="268" t="s">
        <v>1487</v>
      </c>
      <c r="BC277" s="43">
        <v>0</v>
      </c>
      <c r="BD277" s="141">
        <v>0</v>
      </c>
      <c r="BE277" s="43"/>
      <c r="BF277" s="141"/>
      <c r="BG277" s="138" t="s">
        <v>603</v>
      </c>
      <c r="BH277" s="43" t="s">
        <v>333</v>
      </c>
      <c r="BI277" s="209" t="s">
        <v>1488</v>
      </c>
      <c r="BJ277" s="28"/>
    </row>
    <row r="278" spans="1:62" x14ac:dyDescent="0.3">
      <c r="Y278" s="32"/>
      <c r="Z278" s="33"/>
      <c r="AA278" s="35"/>
      <c r="AB278" s="33">
        <v>0</v>
      </c>
      <c r="AC278" s="123">
        <v>0</v>
      </c>
      <c r="AD278" s="35">
        <v>0</v>
      </c>
      <c r="AE278" s="33">
        <v>0</v>
      </c>
      <c r="AF278" s="35">
        <v>0</v>
      </c>
      <c r="AG278" s="32">
        <v>0</v>
      </c>
      <c r="AH278" s="33" t="s">
        <v>1326</v>
      </c>
      <c r="AI278" s="34"/>
      <c r="AJ278" s="35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Y278" s="196" t="s">
        <v>108</v>
      </c>
      <c r="AZ278" s="138">
        <v>0</v>
      </c>
      <c r="BA278" s="141">
        <v>3</v>
      </c>
      <c r="BB278" s="268" t="s">
        <v>297</v>
      </c>
      <c r="BC278" s="43">
        <v>0</v>
      </c>
      <c r="BD278" s="141">
        <v>0</v>
      </c>
      <c r="BE278" s="43"/>
      <c r="BF278" s="141"/>
      <c r="BG278" s="212" t="s">
        <v>820</v>
      </c>
      <c r="BH278" s="43" t="s">
        <v>791</v>
      </c>
      <c r="BI278" s="141" t="s">
        <v>1490</v>
      </c>
      <c r="BJ278" s="28"/>
    </row>
    <row r="279" spans="1:62" x14ac:dyDescent="0.3">
      <c r="Y279" s="41" t="s">
        <v>102</v>
      </c>
      <c r="Z279" s="42">
        <v>244</v>
      </c>
      <c r="AA279" s="40">
        <v>301</v>
      </c>
      <c r="AB279" s="67">
        <v>0</v>
      </c>
      <c r="AC279" s="43">
        <v>0</v>
      </c>
      <c r="AD279" s="56">
        <v>0</v>
      </c>
      <c r="AE279" s="42">
        <v>0</v>
      </c>
      <c r="AF279" s="40">
        <v>0</v>
      </c>
      <c r="AG279" s="41">
        <v>0</v>
      </c>
      <c r="AH279" s="67" t="s">
        <v>1489</v>
      </c>
      <c r="AI279" s="28"/>
      <c r="AJ279" s="40"/>
      <c r="AS279" s="43"/>
      <c r="AT279" s="43"/>
      <c r="AU279" s="43"/>
      <c r="AV279" s="28"/>
      <c r="AY279" s="196" t="s">
        <v>64</v>
      </c>
      <c r="AZ279" s="138">
        <v>1</v>
      </c>
      <c r="BA279" s="141">
        <v>0</v>
      </c>
      <c r="BB279" s="268" t="s">
        <v>1492</v>
      </c>
      <c r="BC279" s="270">
        <v>0</v>
      </c>
      <c r="BD279" s="141">
        <v>0</v>
      </c>
      <c r="BE279" s="43"/>
      <c r="BF279" s="141"/>
      <c r="BG279" s="138" t="s">
        <v>180</v>
      </c>
      <c r="BH279" s="43" t="s">
        <v>1493</v>
      </c>
      <c r="BI279" s="260" t="s">
        <v>1494</v>
      </c>
      <c r="BJ279" s="28"/>
    </row>
    <row r="280" spans="1:62" ht="15" thickBot="1" x14ac:dyDescent="0.35">
      <c r="Y280" s="46" t="s">
        <v>84</v>
      </c>
      <c r="Z280" s="47">
        <v>244</v>
      </c>
      <c r="AA280" s="49">
        <v>301</v>
      </c>
      <c r="AB280" s="47">
        <v>0</v>
      </c>
      <c r="AC280" s="48">
        <v>0</v>
      </c>
      <c r="AD280" s="49">
        <v>0</v>
      </c>
      <c r="AE280" s="47">
        <v>0</v>
      </c>
      <c r="AF280" s="49">
        <v>0</v>
      </c>
      <c r="AG280" s="46">
        <v>0</v>
      </c>
      <c r="AH280" s="47" t="s">
        <v>1491</v>
      </c>
      <c r="AI280" s="48"/>
      <c r="AJ280" s="49">
        <v>8</v>
      </c>
      <c r="AS280" s="28"/>
      <c r="AT280" s="43"/>
      <c r="AU280" s="43"/>
      <c r="AV280" s="28"/>
      <c r="AY280" s="196" t="s">
        <v>139</v>
      </c>
      <c r="AZ280" s="138">
        <v>10</v>
      </c>
      <c r="BA280" s="141">
        <v>10</v>
      </c>
      <c r="BB280" s="268" t="s">
        <v>1495</v>
      </c>
      <c r="BC280" s="270">
        <v>0</v>
      </c>
      <c r="BD280" s="141">
        <v>0</v>
      </c>
      <c r="BE280" s="43"/>
      <c r="BF280" s="141"/>
      <c r="BG280" s="138" t="s">
        <v>1486</v>
      </c>
      <c r="BH280" s="43" t="s">
        <v>896</v>
      </c>
      <c r="BI280" s="209" t="s">
        <v>333</v>
      </c>
      <c r="BJ280" s="28"/>
    </row>
    <row r="281" spans="1:62" ht="15" thickBot="1" x14ac:dyDescent="0.35">
      <c r="Y281" s="254" t="s">
        <v>84</v>
      </c>
      <c r="Z281" s="171">
        <v>3727</v>
      </c>
      <c r="AA281" s="172">
        <v>3964</v>
      </c>
      <c r="AB281" s="290">
        <v>47</v>
      </c>
      <c r="AC281" s="170"/>
      <c r="AD281" s="172"/>
      <c r="AE281" s="47">
        <v>315554</v>
      </c>
      <c r="AF281" s="49">
        <v>202075</v>
      </c>
      <c r="AG281" s="46"/>
      <c r="AH281" s="291" t="s">
        <v>199</v>
      </c>
      <c r="AI281" s="170"/>
      <c r="AJ281" s="172">
        <v>63</v>
      </c>
      <c r="AS281" s="43"/>
      <c r="AT281" s="43"/>
      <c r="AU281" s="43"/>
      <c r="AV281" s="28"/>
      <c r="AY281" s="196" t="s">
        <v>1242</v>
      </c>
      <c r="AZ281" s="138">
        <v>6</v>
      </c>
      <c r="BA281" s="141">
        <v>0</v>
      </c>
      <c r="BB281" s="268" t="s">
        <v>1425</v>
      </c>
      <c r="BC281" s="270">
        <v>94</v>
      </c>
      <c r="BD281" s="141">
        <v>84</v>
      </c>
      <c r="BE281" s="43"/>
      <c r="BF281" s="141"/>
      <c r="BG281" s="138" t="s">
        <v>1496</v>
      </c>
      <c r="BH281" s="43" t="s">
        <v>1497</v>
      </c>
      <c r="BI281" s="141" t="s">
        <v>1006</v>
      </c>
      <c r="BJ281" s="28"/>
    </row>
    <row r="282" spans="1:62" ht="15.6" x14ac:dyDescent="0.3">
      <c r="Y282" s="28"/>
      <c r="Z282" s="28"/>
      <c r="AA282" s="28"/>
      <c r="AB282" s="28"/>
      <c r="AC282" s="28"/>
      <c r="AD282" s="28"/>
      <c r="AE282" s="28"/>
      <c r="AF282" s="28"/>
      <c r="AG282" s="28"/>
      <c r="AH282" s="292"/>
      <c r="AI282" s="28"/>
      <c r="AJ282" s="28"/>
      <c r="AS282" s="43"/>
      <c r="AT282" s="28"/>
      <c r="AU282" s="28"/>
      <c r="AV282" s="28"/>
      <c r="AY282" s="259" t="s">
        <v>133</v>
      </c>
      <c r="AZ282" s="138">
        <v>31</v>
      </c>
      <c r="BA282" s="141">
        <v>32</v>
      </c>
      <c r="BB282" s="268" t="s">
        <v>526</v>
      </c>
      <c r="BC282" s="270">
        <v>0</v>
      </c>
      <c r="BD282" s="141">
        <v>4</v>
      </c>
      <c r="BE282" s="43"/>
      <c r="BF282" s="141"/>
      <c r="BG282" s="138" t="s">
        <v>1498</v>
      </c>
      <c r="BH282" s="258" t="s">
        <v>1499</v>
      </c>
      <c r="BI282" s="260"/>
      <c r="BJ282" s="28"/>
    </row>
    <row r="283" spans="1:62" ht="15.6" x14ac:dyDescent="0.3">
      <c r="AS283" s="43"/>
      <c r="AT283" s="28"/>
      <c r="AU283" s="28"/>
      <c r="AV283" s="28"/>
      <c r="AY283" s="196" t="s">
        <v>93</v>
      </c>
      <c r="AZ283" s="138">
        <v>5</v>
      </c>
      <c r="BA283" s="141">
        <v>5</v>
      </c>
      <c r="BB283" s="268" t="s">
        <v>1437</v>
      </c>
      <c r="BC283" s="270">
        <v>0</v>
      </c>
      <c r="BD283" s="141">
        <v>0</v>
      </c>
      <c r="BE283" s="43"/>
      <c r="BF283" s="141"/>
      <c r="BG283" s="138" t="s">
        <v>1098</v>
      </c>
      <c r="BH283" s="258" t="s">
        <v>1500</v>
      </c>
      <c r="BI283" s="141"/>
      <c r="BJ283" s="28"/>
    </row>
    <row r="284" spans="1:62" x14ac:dyDescent="0.3">
      <c r="AQ284" s="28"/>
      <c r="AS284" s="43"/>
      <c r="AT284" s="28"/>
      <c r="AU284" s="28"/>
      <c r="AV284" s="28"/>
      <c r="AY284" s="196" t="s">
        <v>1501</v>
      </c>
      <c r="AZ284" s="138">
        <v>0</v>
      </c>
      <c r="BA284" s="141">
        <v>0</v>
      </c>
      <c r="BB284" s="268" t="s">
        <v>214</v>
      </c>
      <c r="BC284" s="270">
        <v>0</v>
      </c>
      <c r="BD284" s="141">
        <v>0</v>
      </c>
      <c r="BE284" s="43"/>
      <c r="BF284" s="141"/>
      <c r="BG284" s="138" t="s">
        <v>336</v>
      </c>
      <c r="BH284" s="228" t="s">
        <v>1502</v>
      </c>
      <c r="BI284" s="293"/>
      <c r="BJ284" s="28"/>
    </row>
    <row r="285" spans="1:62" ht="15.6" x14ac:dyDescent="0.3">
      <c r="AQ285" s="28"/>
      <c r="AS285" s="43"/>
      <c r="AT285" s="43"/>
      <c r="AU285" s="43"/>
      <c r="AV285" s="28"/>
      <c r="AY285" s="196" t="s">
        <v>384</v>
      </c>
      <c r="AZ285" s="138">
        <v>1</v>
      </c>
      <c r="BA285" s="141">
        <v>0</v>
      </c>
      <c r="BB285" s="268" t="s">
        <v>1339</v>
      </c>
      <c r="BC285" s="270">
        <v>0</v>
      </c>
      <c r="BD285" s="141">
        <v>0</v>
      </c>
      <c r="BE285" s="43"/>
      <c r="BF285" s="141"/>
      <c r="BG285" s="138" t="s">
        <v>309</v>
      </c>
      <c r="BH285" s="258" t="s">
        <v>943</v>
      </c>
      <c r="BI285" s="141"/>
      <c r="BJ285" s="28"/>
    </row>
    <row r="286" spans="1:62" ht="16.2" thickBot="1" x14ac:dyDescent="0.35">
      <c r="AE286" s="28"/>
      <c r="AO286" s="28"/>
      <c r="AQ286" s="28"/>
      <c r="AS286" s="43"/>
      <c r="AT286" s="28"/>
      <c r="AU286" s="28"/>
      <c r="AV286" s="28"/>
      <c r="AY286" s="196" t="s">
        <v>174</v>
      </c>
      <c r="AZ286" s="138">
        <v>0</v>
      </c>
      <c r="BA286" s="141">
        <v>1</v>
      </c>
      <c r="BB286" s="268" t="s">
        <v>467</v>
      </c>
      <c r="BC286" s="270">
        <v>1</v>
      </c>
      <c r="BD286" s="141">
        <v>0</v>
      </c>
      <c r="BE286" s="43"/>
      <c r="BF286" s="141"/>
      <c r="BG286" s="138" t="s">
        <v>651</v>
      </c>
      <c r="BH286" s="258" t="s">
        <v>519</v>
      </c>
      <c r="BI286" s="141">
        <v>93</v>
      </c>
      <c r="BJ286" s="28"/>
    </row>
    <row r="287" spans="1:62" ht="15" thickBot="1" x14ac:dyDescent="0.35">
      <c r="AO287" s="28"/>
      <c r="AQ287" s="28"/>
      <c r="AY287" s="271" t="s">
        <v>84</v>
      </c>
      <c r="AZ287" s="271">
        <v>213</v>
      </c>
      <c r="BA287" s="272">
        <v>234</v>
      </c>
      <c r="BB287" s="34" t="s">
        <v>84</v>
      </c>
      <c r="BC287" s="34">
        <v>104</v>
      </c>
      <c r="BD287" s="34">
        <v>115</v>
      </c>
      <c r="BE287" s="33">
        <v>86399</v>
      </c>
      <c r="BF287" s="35">
        <v>24534</v>
      </c>
      <c r="BG287" s="294"/>
      <c r="BH287" s="34"/>
      <c r="BI287" s="35">
        <v>300</v>
      </c>
      <c r="BJ287" s="28"/>
    </row>
    <row r="288" spans="1:62" x14ac:dyDescent="0.3">
      <c r="AO288" s="28"/>
      <c r="AQ288" s="28"/>
      <c r="AY288" s="33" t="s">
        <v>223</v>
      </c>
      <c r="AZ288" s="295">
        <v>8015</v>
      </c>
      <c r="BA288" s="296">
        <v>7759</v>
      </c>
      <c r="BB288" s="297"/>
      <c r="BC288" s="34" t="s">
        <v>1503</v>
      </c>
      <c r="BD288" s="34"/>
      <c r="BE288" s="34"/>
      <c r="BF288" s="34"/>
      <c r="BG288" s="298">
        <v>801</v>
      </c>
      <c r="BH288" s="35"/>
      <c r="BI288" s="35"/>
      <c r="BJ288" s="28"/>
    </row>
    <row r="289" spans="2:62" ht="15" thickBot="1" x14ac:dyDescent="0.35">
      <c r="Y289" s="43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O289" s="28"/>
      <c r="AQ289" s="28"/>
      <c r="AY289" s="42" t="s">
        <v>1340</v>
      </c>
      <c r="AZ289" s="28"/>
      <c r="BA289" s="299">
        <v>93</v>
      </c>
      <c r="BB289" s="47"/>
      <c r="BC289" s="48" t="s">
        <v>1504</v>
      </c>
      <c r="BD289" s="48"/>
      <c r="BE289" s="48"/>
      <c r="BF289" s="48"/>
      <c r="BG289" s="300">
        <v>373</v>
      </c>
      <c r="BH289" s="301">
        <v>1174</v>
      </c>
      <c r="BI289" s="40"/>
      <c r="BJ289" s="28"/>
    </row>
    <row r="290" spans="2:62" ht="15" thickBot="1" x14ac:dyDescent="0.35">
      <c r="Y290" s="28"/>
      <c r="Z290" s="28"/>
      <c r="AA290" s="28"/>
      <c r="AB290" s="28"/>
      <c r="AC290" s="43"/>
      <c r="AD290" s="28"/>
      <c r="AE290" s="28"/>
      <c r="AF290" s="28"/>
      <c r="AG290" s="28"/>
      <c r="AH290" s="28"/>
      <c r="AI290" s="28"/>
      <c r="AJ290" s="28"/>
      <c r="AO290" s="28"/>
      <c r="AQ290" s="28"/>
      <c r="AY290" s="47" t="s">
        <v>229</v>
      </c>
      <c r="AZ290" s="48"/>
      <c r="BA290" s="302">
        <v>3</v>
      </c>
      <c r="BB290" s="28"/>
      <c r="BC290" s="28"/>
      <c r="BD290" s="28"/>
      <c r="BE290" s="28"/>
      <c r="BF290" s="42"/>
      <c r="BG290" s="28"/>
      <c r="BH290" s="42"/>
      <c r="BI290" s="40"/>
      <c r="BJ290" s="28"/>
    </row>
    <row r="291" spans="2:62" x14ac:dyDescent="0.3">
      <c r="Y291" s="43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O291" s="28"/>
      <c r="AQ291" s="28"/>
      <c r="AY291" s="33" t="s">
        <v>232</v>
      </c>
      <c r="AZ291" s="34"/>
      <c r="BA291" s="303" t="s">
        <v>233</v>
      </c>
      <c r="BB291" s="34"/>
      <c r="BC291" s="298">
        <v>2094</v>
      </c>
      <c r="BD291" s="35"/>
      <c r="BE291" s="33" t="s">
        <v>234</v>
      </c>
      <c r="BF291" s="34"/>
      <c r="BG291" s="34" t="s">
        <v>233</v>
      </c>
      <c r="BH291" s="34"/>
      <c r="BI291" s="304">
        <v>8015</v>
      </c>
      <c r="BJ291" s="28"/>
    </row>
    <row r="292" spans="2:62" ht="15" thickBot="1" x14ac:dyDescent="0.35">
      <c r="Y292" s="28"/>
      <c r="Z292" s="28"/>
      <c r="AA292" s="28"/>
      <c r="AB292" s="28"/>
      <c r="AC292" s="43"/>
      <c r="AD292" s="28"/>
      <c r="AE292" s="28"/>
      <c r="AF292" s="28"/>
      <c r="AG292" s="28"/>
      <c r="AH292" s="28"/>
      <c r="AI292" s="28"/>
      <c r="AJ292" s="28"/>
      <c r="AO292" s="28"/>
      <c r="AQ292" s="28"/>
      <c r="AY292" s="47"/>
      <c r="AZ292" s="48"/>
      <c r="BA292" s="48" t="s">
        <v>236</v>
      </c>
      <c r="BB292" s="48"/>
      <c r="BC292" s="300">
        <v>2010</v>
      </c>
      <c r="BD292" s="49"/>
      <c r="BE292" s="42"/>
      <c r="BF292" s="28"/>
      <c r="BG292" s="28" t="s">
        <v>236</v>
      </c>
      <c r="BH292" s="28"/>
      <c r="BI292" s="174">
        <v>7759</v>
      </c>
      <c r="BJ292" s="28"/>
    </row>
    <row r="293" spans="2:62" ht="15" thickBot="1" x14ac:dyDescent="0.35">
      <c r="Y293" s="28"/>
      <c r="Z293" s="28"/>
      <c r="AA293" s="28"/>
      <c r="AB293" s="43"/>
      <c r="AC293" s="43"/>
      <c r="AD293" s="43"/>
      <c r="AE293" s="28"/>
      <c r="AF293" s="28"/>
      <c r="AG293" s="28"/>
      <c r="AH293" s="43"/>
      <c r="AI293" s="28"/>
      <c r="AJ293" s="28"/>
      <c r="AO293" s="28"/>
      <c r="AQ293" s="28"/>
      <c r="AY293" s="171" t="s">
        <v>238</v>
      </c>
      <c r="AZ293" s="170" t="s">
        <v>239</v>
      </c>
      <c r="BA293" s="172"/>
      <c r="BB293" s="171" t="s">
        <v>240</v>
      </c>
      <c r="BC293" s="170" t="s">
        <v>241</v>
      </c>
      <c r="BD293" s="170"/>
      <c r="BE293" s="171"/>
      <c r="BF293" s="170" t="s">
        <v>242</v>
      </c>
      <c r="BG293" s="305" t="s">
        <v>243</v>
      </c>
      <c r="BH293" s="170"/>
      <c r="BI293" s="172"/>
      <c r="BJ293" s="28"/>
    </row>
    <row r="294" spans="2:62" x14ac:dyDescent="0.3"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O294" s="28"/>
      <c r="AQ294" s="28"/>
      <c r="AY294" s="42" t="s">
        <v>233</v>
      </c>
      <c r="AZ294" s="28"/>
      <c r="BA294" s="174">
        <v>46193</v>
      </c>
      <c r="BB294" s="306" t="s">
        <v>233</v>
      </c>
      <c r="BC294" s="28"/>
      <c r="BD294" s="174">
        <v>3727</v>
      </c>
      <c r="BE294" s="42" t="s">
        <v>233</v>
      </c>
      <c r="BF294" s="28"/>
      <c r="BG294" s="174">
        <v>11742</v>
      </c>
      <c r="BH294" s="28" t="s">
        <v>245</v>
      </c>
      <c r="BI294" s="174">
        <v>57935</v>
      </c>
      <c r="BJ294" s="28"/>
    </row>
    <row r="295" spans="2:62" ht="15" thickBot="1" x14ac:dyDescent="0.35">
      <c r="Y295" s="28"/>
      <c r="Z295" s="28"/>
      <c r="AA295" s="28"/>
      <c r="AB295" s="28"/>
      <c r="AC295" s="28"/>
      <c r="AD295" s="28"/>
      <c r="AE295" s="28"/>
      <c r="AF295" s="28"/>
      <c r="AG295" s="28"/>
      <c r="AH295" s="292"/>
      <c r="AI295" s="28"/>
      <c r="AJ295" s="28"/>
      <c r="AO295" s="28"/>
      <c r="AQ295" s="28"/>
      <c r="AY295" s="47" t="s">
        <v>236</v>
      </c>
      <c r="AZ295" s="48"/>
      <c r="BA295" s="301">
        <v>56687</v>
      </c>
      <c r="BB295" s="307" t="s">
        <v>236</v>
      </c>
      <c r="BC295" s="48"/>
      <c r="BD295" s="301">
        <v>3964</v>
      </c>
      <c r="BE295" s="42" t="s">
        <v>236</v>
      </c>
      <c r="BF295" s="28"/>
      <c r="BG295" s="174">
        <v>11723</v>
      </c>
      <c r="BH295" s="28"/>
      <c r="BI295" s="174">
        <v>68410</v>
      </c>
      <c r="BJ295" s="140">
        <v>126345</v>
      </c>
    </row>
    <row r="296" spans="2:62" ht="15" thickBot="1" x14ac:dyDescent="0.35"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Y296" s="271" t="s">
        <v>1505</v>
      </c>
      <c r="AZ296" s="170"/>
      <c r="BA296" s="272"/>
      <c r="BB296" s="271" t="s">
        <v>1506</v>
      </c>
      <c r="BC296" s="170"/>
      <c r="BD296" s="170"/>
      <c r="BE296" s="171"/>
      <c r="BF296" s="170" t="s">
        <v>1507</v>
      </c>
      <c r="BG296" s="170"/>
      <c r="BH296" s="170"/>
      <c r="BI296" s="308"/>
      <c r="BJ296" s="28"/>
    </row>
    <row r="297" spans="2:62" x14ac:dyDescent="0.3">
      <c r="Y297" s="28"/>
      <c r="Z297" s="28"/>
      <c r="AA297" s="28"/>
      <c r="AB297" s="28"/>
      <c r="AC297" s="28"/>
      <c r="AD297" s="28"/>
      <c r="AE297" s="28"/>
      <c r="AF297" s="28"/>
      <c r="AG297" s="28"/>
      <c r="AH297" s="292"/>
      <c r="AI297" s="28"/>
      <c r="AJ297" s="28"/>
      <c r="AY297" s="53" t="s">
        <v>43</v>
      </c>
      <c r="AZ297" s="34" t="s">
        <v>44</v>
      </c>
      <c r="BA297" s="309"/>
      <c r="BB297" s="123" t="s">
        <v>43</v>
      </c>
      <c r="BC297" s="123" t="s">
        <v>44</v>
      </c>
      <c r="BD297" s="35"/>
      <c r="BE297" s="28"/>
      <c r="BF297" s="140">
        <v>4155</v>
      </c>
      <c r="BG297" s="28"/>
      <c r="BH297" s="28"/>
      <c r="BI297" s="40"/>
      <c r="BJ297" s="28"/>
    </row>
    <row r="298" spans="2:62" ht="15" thickBot="1" x14ac:dyDescent="0.35">
      <c r="AY298" s="310">
        <v>337577</v>
      </c>
      <c r="AZ298" s="300">
        <v>260473</v>
      </c>
      <c r="BA298" s="311"/>
      <c r="BB298" s="312">
        <v>88570</v>
      </c>
      <c r="BC298" s="300">
        <v>24708</v>
      </c>
      <c r="BD298" s="49"/>
      <c r="BE298" s="48"/>
      <c r="BF298" s="48"/>
      <c r="BG298" s="48"/>
      <c r="BH298" s="48"/>
      <c r="BI298" s="49"/>
      <c r="BJ298" s="28"/>
    </row>
    <row r="299" spans="2:62" x14ac:dyDescent="0.3">
      <c r="AY299" s="28"/>
      <c r="AZ299" s="28"/>
      <c r="BA299" s="28"/>
      <c r="BB299" s="28"/>
      <c r="BC299" s="28"/>
      <c r="BD299" s="28"/>
      <c r="BE299" s="28"/>
      <c r="BF299" s="28"/>
      <c r="BG299" s="28"/>
      <c r="BH299" s="28"/>
      <c r="BI299" s="28"/>
      <c r="BJ299" s="28"/>
    </row>
    <row r="300" spans="2:62" x14ac:dyDescent="0.3">
      <c r="AY300" s="28"/>
      <c r="AZ300" s="28"/>
      <c r="BA300" s="28"/>
      <c r="BB300" s="28"/>
      <c r="BC300" s="28"/>
      <c r="BD300" s="28"/>
      <c r="BE300" s="28"/>
      <c r="BF300" s="28"/>
      <c r="BG300" s="257"/>
      <c r="BH300" s="28"/>
      <c r="BI300" s="28"/>
      <c r="BJ300" s="28"/>
    </row>
    <row r="301" spans="2:62" x14ac:dyDescent="0.3">
      <c r="AY301" s="28"/>
      <c r="AZ301" s="28"/>
      <c r="BA301" s="28"/>
      <c r="BB301" s="218"/>
      <c r="BC301" s="28"/>
      <c r="BD301" s="28"/>
      <c r="BE301" s="28"/>
      <c r="BF301" s="28"/>
      <c r="BG301" s="28"/>
      <c r="BH301" s="28"/>
      <c r="BI301" s="28"/>
      <c r="BJ301" s="28"/>
    </row>
    <row r="302" spans="2:62" ht="21" x14ac:dyDescent="0.4">
      <c r="B302" s="261"/>
      <c r="C302" s="184"/>
      <c r="E302" s="329" t="s">
        <v>1873</v>
      </c>
      <c r="O302" s="261"/>
      <c r="P302" s="184"/>
      <c r="R302" s="329" t="s">
        <v>1873</v>
      </c>
      <c r="AA302" s="261"/>
      <c r="AB302" s="184"/>
      <c r="AD302" s="329" t="s">
        <v>1873</v>
      </c>
      <c r="AO302" s="261"/>
      <c r="AP302" s="184"/>
      <c r="AR302" s="329" t="s">
        <v>1873</v>
      </c>
      <c r="AY302" s="28"/>
      <c r="AZ302" s="28"/>
      <c r="BA302" s="28"/>
      <c r="BB302" s="218"/>
      <c r="BC302" s="28"/>
      <c r="BD302" s="28"/>
      <c r="BE302" s="28"/>
      <c r="BF302" s="28"/>
      <c r="BG302" s="28"/>
      <c r="BH302" s="28"/>
      <c r="BI302" s="28"/>
      <c r="BJ302" s="28"/>
    </row>
    <row r="303" spans="2:62" ht="21" x14ac:dyDescent="0.4">
      <c r="C303" t="s">
        <v>1443</v>
      </c>
      <c r="Q303" t="s">
        <v>1</v>
      </c>
      <c r="AC303" t="s">
        <v>1444</v>
      </c>
      <c r="AP303" t="s">
        <v>1445</v>
      </c>
      <c r="AY303" s="28"/>
      <c r="AZ303" s="28"/>
      <c r="BA303" s="261"/>
      <c r="BB303" s="184"/>
      <c r="BD303" s="329" t="s">
        <v>1873</v>
      </c>
      <c r="BH303" s="258"/>
      <c r="BI303" s="28"/>
      <c r="BJ303" s="28"/>
    </row>
    <row r="304" spans="2:62" x14ac:dyDescent="0.3">
      <c r="D304" t="s">
        <v>2</v>
      </c>
      <c r="Q304" s="408" t="s">
        <v>1286</v>
      </c>
      <c r="R304" s="408"/>
      <c r="S304" s="408"/>
      <c r="AC304" t="s">
        <v>9</v>
      </c>
      <c r="AQ304" t="s">
        <v>2</v>
      </c>
      <c r="BC304" t="s">
        <v>1445</v>
      </c>
      <c r="BF304" s="28"/>
      <c r="BG304" s="28"/>
      <c r="BH304" s="28"/>
      <c r="BI304" s="28"/>
      <c r="BJ304" s="28"/>
    </row>
    <row r="305" spans="1:62" x14ac:dyDescent="0.3">
      <c r="C305" t="s">
        <v>7</v>
      </c>
      <c r="P305" t="s">
        <v>1446</v>
      </c>
      <c r="AC305" t="s">
        <v>11</v>
      </c>
      <c r="AO305" t="s">
        <v>1447</v>
      </c>
      <c r="BD305" t="s">
        <v>2</v>
      </c>
      <c r="BF305" s="28"/>
      <c r="BG305" s="28"/>
      <c r="BH305" s="28"/>
      <c r="BI305" s="28"/>
      <c r="BJ305" s="28"/>
    </row>
    <row r="306" spans="1:62" x14ac:dyDescent="0.3">
      <c r="B306" s="408" t="s">
        <v>1874</v>
      </c>
      <c r="C306" s="408"/>
      <c r="D306" s="408"/>
      <c r="E306" s="408"/>
      <c r="F306" s="408"/>
      <c r="P306" s="408" t="s">
        <v>1875</v>
      </c>
      <c r="Q306" s="408"/>
      <c r="R306" s="408"/>
      <c r="S306" s="408"/>
      <c r="AC306" s="408" t="s">
        <v>1876</v>
      </c>
      <c r="AD306" s="408"/>
      <c r="AE306" s="408"/>
      <c r="AF306" s="408"/>
      <c r="AP306" s="408" t="s">
        <v>1877</v>
      </c>
      <c r="AQ306" s="408"/>
      <c r="AR306" s="408"/>
      <c r="BB306" t="s">
        <v>1451</v>
      </c>
      <c r="BF306" s="28"/>
      <c r="BG306" s="28"/>
      <c r="BH306" s="28"/>
      <c r="BI306" s="28"/>
      <c r="BJ306" s="28"/>
    </row>
    <row r="307" spans="1:62" ht="15" thickBot="1" x14ac:dyDescent="0.35">
      <c r="I307" s="194" t="s">
        <v>949</v>
      </c>
      <c r="V307" t="s">
        <v>15</v>
      </c>
      <c r="AI307" s="28" t="s">
        <v>25</v>
      </c>
      <c r="AU307" s="194" t="s">
        <v>951</v>
      </c>
      <c r="AY307" s="344"/>
      <c r="AZ307" s="344"/>
      <c r="BA307" s="344"/>
      <c r="BB307" s="344"/>
      <c r="BC307" s="345"/>
      <c r="BD307" s="345" t="s">
        <v>1878</v>
      </c>
      <c r="BE307" s="345"/>
      <c r="BF307" s="343"/>
      <c r="BG307" s="343"/>
      <c r="BH307" s="330" t="s">
        <v>950</v>
      </c>
      <c r="BI307" s="343"/>
      <c r="BJ307" s="28"/>
    </row>
    <row r="308" spans="1:62" ht="15" thickBot="1" x14ac:dyDescent="0.35">
      <c r="A308" s="32" t="s">
        <v>17</v>
      </c>
      <c r="B308" s="34" t="s">
        <v>18</v>
      </c>
      <c r="C308" s="201"/>
      <c r="D308" s="34" t="s">
        <v>19</v>
      </c>
      <c r="E308" s="34"/>
      <c r="F308" s="34"/>
      <c r="G308" s="200"/>
      <c r="H308" s="33" t="s">
        <v>21</v>
      </c>
      <c r="I308" s="34"/>
      <c r="J308" s="35"/>
      <c r="M308" s="32" t="s">
        <v>17</v>
      </c>
      <c r="N308" s="33" t="s">
        <v>22</v>
      </c>
      <c r="O308" s="34"/>
      <c r="P308" s="34" t="s">
        <v>1452</v>
      </c>
      <c r="Q308" s="34" t="s">
        <v>1453</v>
      </c>
      <c r="R308" s="34"/>
      <c r="S308" s="34"/>
      <c r="T308" s="35"/>
      <c r="U308" s="33" t="s">
        <v>21</v>
      </c>
      <c r="V308" s="35"/>
      <c r="Y308" s="33" t="s">
        <v>34</v>
      </c>
      <c r="Z308" s="200" t="s">
        <v>35</v>
      </c>
      <c r="AA308" s="201"/>
      <c r="AB308" s="34" t="s">
        <v>1454</v>
      </c>
      <c r="AC308" s="34" t="s">
        <v>51</v>
      </c>
      <c r="AD308" s="34"/>
      <c r="AE308" s="200" t="s">
        <v>37</v>
      </c>
      <c r="AF308" s="201" t="s">
        <v>1288</v>
      </c>
      <c r="AG308" s="34" t="s">
        <v>30</v>
      </c>
      <c r="AH308" s="200" t="s">
        <v>38</v>
      </c>
      <c r="AI308" s="34"/>
      <c r="AJ308" s="35"/>
      <c r="AM308" s="134" t="s">
        <v>17</v>
      </c>
      <c r="AN308" s="134" t="s">
        <v>39</v>
      </c>
      <c r="AO308" s="136"/>
      <c r="AP308" s="134" t="s">
        <v>29</v>
      </c>
      <c r="AQ308" s="136" t="s">
        <v>30</v>
      </c>
      <c r="AR308" s="135" t="s">
        <v>40</v>
      </c>
      <c r="AS308" s="135"/>
      <c r="AT308" s="135"/>
      <c r="AU308" s="135"/>
      <c r="AV308" s="136"/>
      <c r="AY308" s="195" t="s">
        <v>17</v>
      </c>
      <c r="AZ308" s="134" t="s">
        <v>27</v>
      </c>
      <c r="BA308" s="135"/>
      <c r="BB308" s="134" t="s">
        <v>28</v>
      </c>
      <c r="BC308" s="135"/>
      <c r="BD308" s="136"/>
      <c r="BE308" s="134" t="s">
        <v>1459</v>
      </c>
      <c r="BF308" s="136"/>
      <c r="BG308" s="135" t="s">
        <v>31</v>
      </c>
      <c r="BH308" s="135"/>
      <c r="BI308" s="136"/>
      <c r="BJ308" s="28"/>
    </row>
    <row r="309" spans="1:62" ht="15" thickBot="1" x14ac:dyDescent="0.35">
      <c r="A309" s="41" t="s">
        <v>32</v>
      </c>
      <c r="B309" s="28"/>
      <c r="C309" s="141"/>
      <c r="D309" s="28"/>
      <c r="E309" s="28"/>
      <c r="F309" s="28"/>
      <c r="G309" s="138"/>
      <c r="H309" s="42" t="s">
        <v>33</v>
      </c>
      <c r="I309" s="28"/>
      <c r="J309" s="40"/>
      <c r="M309" s="41"/>
      <c r="N309" s="42" t="s">
        <v>1456</v>
      </c>
      <c r="O309" s="28"/>
      <c r="P309" s="28"/>
      <c r="Q309" s="28"/>
      <c r="R309" s="28"/>
      <c r="S309" s="28" t="s">
        <v>1457</v>
      </c>
      <c r="T309" s="40"/>
      <c r="U309" s="42" t="s">
        <v>33</v>
      </c>
      <c r="V309" s="40"/>
      <c r="Y309" s="47" t="s">
        <v>50</v>
      </c>
      <c r="Z309" s="202" t="s">
        <v>43</v>
      </c>
      <c r="AA309" s="48" t="s">
        <v>44</v>
      </c>
      <c r="AB309" s="169" t="s">
        <v>1458</v>
      </c>
      <c r="AC309" s="48" t="s">
        <v>46</v>
      </c>
      <c r="AD309" s="48" t="s">
        <v>52</v>
      </c>
      <c r="AE309" s="202" t="s">
        <v>43</v>
      </c>
      <c r="AF309" s="203" t="s">
        <v>44</v>
      </c>
      <c r="AG309" s="48" t="s">
        <v>43</v>
      </c>
      <c r="AH309" s="202" t="s">
        <v>53</v>
      </c>
      <c r="AI309" s="48"/>
      <c r="AJ309" s="49"/>
      <c r="AM309" s="138" t="s">
        <v>42</v>
      </c>
      <c r="AN309" s="138" t="s">
        <v>43</v>
      </c>
      <c r="AO309" s="141" t="s">
        <v>44</v>
      </c>
      <c r="AP309" s="138" t="s">
        <v>43</v>
      </c>
      <c r="AQ309" s="141" t="s">
        <v>44</v>
      </c>
      <c r="AR309" s="28"/>
      <c r="AS309" s="28"/>
      <c r="AT309" s="28"/>
      <c r="AU309" s="28"/>
      <c r="AV309" s="141"/>
      <c r="AY309" s="196"/>
      <c r="AZ309" s="138"/>
      <c r="BA309" s="28"/>
      <c r="BB309" s="138"/>
      <c r="BC309" s="28"/>
      <c r="BD309" s="141"/>
      <c r="BE309" s="138"/>
      <c r="BF309" s="141"/>
      <c r="BG309" s="28" t="s">
        <v>41</v>
      </c>
      <c r="BH309" s="28"/>
      <c r="BI309" s="141"/>
      <c r="BJ309" s="28"/>
    </row>
    <row r="310" spans="1:62" ht="15" thickBot="1" x14ac:dyDescent="0.35">
      <c r="A310" s="46" t="s">
        <v>42</v>
      </c>
      <c r="B310" s="170" t="s">
        <v>43</v>
      </c>
      <c r="C310" s="170" t="s">
        <v>44</v>
      </c>
      <c r="D310" s="210" t="s">
        <v>45</v>
      </c>
      <c r="E310" s="170" t="s">
        <v>46</v>
      </c>
      <c r="F310" s="170" t="s">
        <v>47</v>
      </c>
      <c r="G310" s="254" t="s">
        <v>1460</v>
      </c>
      <c r="H310" s="47" t="s">
        <v>49</v>
      </c>
      <c r="I310" s="48"/>
      <c r="J310" s="49"/>
      <c r="M310" s="46" t="s">
        <v>50</v>
      </c>
      <c r="N310" s="47" t="s">
        <v>43</v>
      </c>
      <c r="O310" s="48" t="s">
        <v>44</v>
      </c>
      <c r="P310" s="171" t="s">
        <v>51</v>
      </c>
      <c r="Q310" s="170" t="s">
        <v>43</v>
      </c>
      <c r="R310" s="172" t="s">
        <v>44</v>
      </c>
      <c r="S310" s="48" t="s">
        <v>43</v>
      </c>
      <c r="T310" s="49" t="s">
        <v>44</v>
      </c>
      <c r="U310" s="47" t="s">
        <v>49</v>
      </c>
      <c r="V310" s="49"/>
      <c r="Y310" s="33"/>
      <c r="Z310" s="33"/>
      <c r="AA310" s="35"/>
      <c r="AB310" s="34"/>
      <c r="AC310" s="34"/>
      <c r="AD310" s="34"/>
      <c r="AE310" s="33"/>
      <c r="AF310" s="35"/>
      <c r="AG310" s="32"/>
      <c r="AH310" s="33" t="s">
        <v>62</v>
      </c>
      <c r="AI310" s="34"/>
      <c r="AJ310" s="35"/>
      <c r="AM310" s="134" t="s">
        <v>81</v>
      </c>
      <c r="AN310" s="134">
        <v>3</v>
      </c>
      <c r="AO310" s="136"/>
      <c r="AP310" s="134"/>
      <c r="AQ310" s="136"/>
      <c r="AR310" s="135"/>
      <c r="AS310" s="135" t="s">
        <v>91</v>
      </c>
      <c r="AT310" s="135"/>
      <c r="AU310" s="135"/>
      <c r="AV310" s="136"/>
      <c r="AY310" s="199" t="s">
        <v>42</v>
      </c>
      <c r="AZ310" s="142" t="s">
        <v>43</v>
      </c>
      <c r="BA310" s="143" t="s">
        <v>44</v>
      </c>
      <c r="BB310" s="142" t="s">
        <v>45</v>
      </c>
      <c r="BC310" s="143" t="s">
        <v>46</v>
      </c>
      <c r="BD310" s="146" t="s">
        <v>52</v>
      </c>
      <c r="BE310" s="142" t="s">
        <v>43</v>
      </c>
      <c r="BF310" s="146" t="s">
        <v>44</v>
      </c>
      <c r="BG310" s="143" t="s">
        <v>54</v>
      </c>
      <c r="BH310" s="143"/>
      <c r="BI310" s="146"/>
      <c r="BJ310" s="28"/>
    </row>
    <row r="311" spans="1:62" x14ac:dyDescent="0.3">
      <c r="A311" s="42"/>
      <c r="B311" s="138"/>
      <c r="C311" s="28"/>
      <c r="D311" s="138"/>
      <c r="E311" s="28"/>
      <c r="F311" s="28"/>
      <c r="G311" s="138"/>
      <c r="H311" s="33" t="s">
        <v>396</v>
      </c>
      <c r="I311" s="34"/>
      <c r="J311" s="35"/>
      <c r="M311" s="42"/>
      <c r="N311" s="138"/>
      <c r="O311" s="196"/>
      <c r="P311" s="138"/>
      <c r="Q311" s="196"/>
      <c r="R311" s="141"/>
      <c r="S311" s="138"/>
      <c r="T311" s="138"/>
      <c r="U311" s="33" t="s">
        <v>396</v>
      </c>
      <c r="V311" s="35"/>
      <c r="Y311" s="42"/>
      <c r="Z311" s="42"/>
      <c r="AA311" s="40"/>
      <c r="AB311" s="28"/>
      <c r="AC311" s="28"/>
      <c r="AD311" s="28"/>
      <c r="AE311" s="42"/>
      <c r="AF311" s="40"/>
      <c r="AG311" s="41"/>
      <c r="AH311" s="42">
        <v>2</v>
      </c>
      <c r="AI311" s="28" t="s">
        <v>1290</v>
      </c>
      <c r="AJ311" s="40"/>
      <c r="AM311" s="138" t="s">
        <v>56</v>
      </c>
      <c r="AN311" s="138">
        <v>1525</v>
      </c>
      <c r="AO311" s="141">
        <v>1491</v>
      </c>
      <c r="AP311" s="138">
        <v>0</v>
      </c>
      <c r="AQ311" s="141">
        <v>0</v>
      </c>
      <c r="AR311" s="28"/>
      <c r="AS311" s="43">
        <v>84</v>
      </c>
      <c r="AT311" s="28" t="s">
        <v>1026</v>
      </c>
      <c r="AU311" s="43"/>
      <c r="AV311" s="141"/>
      <c r="AY311" s="195"/>
      <c r="AZ311" s="134"/>
      <c r="BA311" s="136"/>
      <c r="BB311" s="134">
        <v>0</v>
      </c>
      <c r="BC311" s="135">
        <v>0</v>
      </c>
      <c r="BD311" s="136">
        <v>0</v>
      </c>
      <c r="BE311" s="134">
        <v>0</v>
      </c>
      <c r="BF311" s="136">
        <v>0</v>
      </c>
      <c r="BG311" s="134" t="s">
        <v>58</v>
      </c>
      <c r="BH311" s="135"/>
      <c r="BI311" s="136"/>
    </row>
    <row r="312" spans="1:62" x14ac:dyDescent="0.3">
      <c r="A312" s="42" t="s">
        <v>59</v>
      </c>
      <c r="B312" s="212">
        <v>821</v>
      </c>
      <c r="C312" s="28">
        <v>1282</v>
      </c>
      <c r="D312" s="138">
        <v>0</v>
      </c>
      <c r="E312" s="43">
        <v>0</v>
      </c>
      <c r="F312" s="43">
        <v>0</v>
      </c>
      <c r="G312" s="138">
        <v>1</v>
      </c>
      <c r="H312" s="42">
        <v>5</v>
      </c>
      <c r="I312" s="28" t="s">
        <v>61</v>
      </c>
      <c r="J312" s="56"/>
      <c r="M312" s="42" t="s">
        <v>59</v>
      </c>
      <c r="N312" s="138">
        <v>11638</v>
      </c>
      <c r="O312" s="196">
        <v>49519</v>
      </c>
      <c r="P312" s="138">
        <v>0</v>
      </c>
      <c r="Q312" s="196">
        <v>0</v>
      </c>
      <c r="R312" s="141">
        <v>0</v>
      </c>
      <c r="S312" s="138"/>
      <c r="T312" s="138"/>
      <c r="U312" s="42"/>
      <c r="V312" s="40"/>
      <c r="Y312" s="42" t="s">
        <v>59</v>
      </c>
      <c r="Z312" s="42">
        <v>2315</v>
      </c>
      <c r="AA312" s="40">
        <v>2786</v>
      </c>
      <c r="AB312" s="28">
        <v>0</v>
      </c>
      <c r="AC312" s="43">
        <v>0</v>
      </c>
      <c r="AD312" s="43">
        <v>0</v>
      </c>
      <c r="AE312" s="42">
        <v>962</v>
      </c>
      <c r="AF312" s="40">
        <v>0</v>
      </c>
      <c r="AG312" s="41">
        <v>0</v>
      </c>
      <c r="AH312" s="42">
        <v>7</v>
      </c>
      <c r="AI312" s="28" t="s">
        <v>66</v>
      </c>
      <c r="AJ312" s="40"/>
      <c r="AM312" s="138" t="s">
        <v>67</v>
      </c>
      <c r="AN312" s="138"/>
      <c r="AO312" s="141"/>
      <c r="AP312" s="138">
        <v>0</v>
      </c>
      <c r="AQ312" s="141">
        <v>0</v>
      </c>
      <c r="AR312" s="28"/>
      <c r="AS312" s="43">
        <v>1</v>
      </c>
      <c r="AT312" s="28" t="s">
        <v>1879</v>
      </c>
      <c r="AU312" s="43"/>
      <c r="AV312" s="141"/>
      <c r="AY312" s="196" t="s">
        <v>107</v>
      </c>
      <c r="AZ312" s="138"/>
      <c r="BA312" s="141"/>
      <c r="BB312" s="138">
        <v>0</v>
      </c>
      <c r="BC312" s="43">
        <v>0</v>
      </c>
      <c r="BD312" s="209">
        <v>0</v>
      </c>
      <c r="BE312" s="138">
        <v>0</v>
      </c>
      <c r="BF312" s="141">
        <v>0</v>
      </c>
      <c r="BG312" s="212">
        <v>9</v>
      </c>
      <c r="BH312" s="28" t="s">
        <v>65</v>
      </c>
      <c r="BI312" s="141" t="s">
        <v>1880</v>
      </c>
    </row>
    <row r="313" spans="1:62" ht="15" thickBot="1" x14ac:dyDescent="0.35">
      <c r="A313" s="42" t="s">
        <v>6</v>
      </c>
      <c r="B313" s="138"/>
      <c r="C313" s="28"/>
      <c r="D313" s="138"/>
      <c r="E313" s="28"/>
      <c r="F313" s="28"/>
      <c r="G313" s="138"/>
      <c r="H313" s="42"/>
      <c r="I313" s="28"/>
      <c r="J313" s="56">
        <v>5</v>
      </c>
      <c r="M313" s="244"/>
      <c r="N313" s="142"/>
      <c r="O313" s="199"/>
      <c r="P313" s="142"/>
      <c r="Q313" s="199"/>
      <c r="R313" s="146"/>
      <c r="S313" s="142"/>
      <c r="T313" s="142"/>
      <c r="U313" s="244"/>
      <c r="V313" s="331"/>
      <c r="Y313" s="42"/>
      <c r="Z313" s="42"/>
      <c r="AA313" s="40"/>
      <c r="AB313" s="28"/>
      <c r="AC313" s="28"/>
      <c r="AD313" s="28"/>
      <c r="AE313" s="42"/>
      <c r="AF313" s="40"/>
      <c r="AG313" s="41"/>
      <c r="AH313" s="47"/>
      <c r="AI313" s="48"/>
      <c r="AJ313" s="73">
        <v>9</v>
      </c>
      <c r="AM313" s="142" t="s">
        <v>84</v>
      </c>
      <c r="AN313" s="142">
        <v>1528</v>
      </c>
      <c r="AO313" s="146">
        <v>1491</v>
      </c>
      <c r="AP313" s="142"/>
      <c r="AQ313" s="146"/>
      <c r="AR313" s="143"/>
      <c r="AS313" s="143">
        <v>22</v>
      </c>
      <c r="AT313" s="143" t="s">
        <v>73</v>
      </c>
      <c r="AU313" s="143"/>
      <c r="AV313" s="251">
        <v>107</v>
      </c>
      <c r="AY313" s="196" t="s">
        <v>64</v>
      </c>
      <c r="AZ313" s="138">
        <v>102</v>
      </c>
      <c r="BA313" s="141">
        <v>100</v>
      </c>
      <c r="BB313" s="138">
        <v>0</v>
      </c>
      <c r="BC313" s="43">
        <v>0</v>
      </c>
      <c r="BD313" s="209">
        <v>0</v>
      </c>
      <c r="BE313" s="138">
        <v>0</v>
      </c>
      <c r="BF313" s="141">
        <v>0</v>
      </c>
      <c r="BG313" s="138">
        <v>1</v>
      </c>
      <c r="BH313" s="28" t="s">
        <v>69</v>
      </c>
      <c r="BI313" s="141"/>
    </row>
    <row r="314" spans="1:62" x14ac:dyDescent="0.3">
      <c r="A314" s="278"/>
      <c r="B314" s="134"/>
      <c r="C314" s="135"/>
      <c r="D314" s="134"/>
      <c r="E314" s="135"/>
      <c r="F314" s="135"/>
      <c r="G314" s="134"/>
      <c r="H314" s="278" t="s">
        <v>70</v>
      </c>
      <c r="I314" s="135"/>
      <c r="J314" s="332"/>
      <c r="M314" s="278"/>
      <c r="N314" s="134"/>
      <c r="O314" s="195"/>
      <c r="P314" s="134"/>
      <c r="Q314" s="195"/>
      <c r="R314" s="136"/>
      <c r="S314" s="134"/>
      <c r="T314" s="134"/>
      <c r="U314" s="278"/>
      <c r="V314" s="332"/>
      <c r="Y314" s="32" t="s">
        <v>977</v>
      </c>
      <c r="Z314" s="33"/>
      <c r="AA314" s="35"/>
      <c r="AB314" s="33"/>
      <c r="AC314" s="34"/>
      <c r="AD314" s="35"/>
      <c r="AE314" s="33"/>
      <c r="AF314" s="35"/>
      <c r="AG314" s="32"/>
      <c r="AH314" s="33" t="s">
        <v>1461</v>
      </c>
      <c r="AI314" s="34"/>
      <c r="AJ314" s="97"/>
      <c r="AM314" s="134"/>
      <c r="AN314" s="134"/>
      <c r="AO314" s="136"/>
      <c r="AP314" s="134"/>
      <c r="AQ314" s="136"/>
      <c r="AR314" s="135"/>
      <c r="AS314" s="135"/>
      <c r="AT314" s="135"/>
      <c r="AU314" s="135"/>
      <c r="AV314" s="136"/>
      <c r="AY314" s="211" t="s">
        <v>84</v>
      </c>
      <c r="AZ314" s="142">
        <v>102</v>
      </c>
      <c r="BA314" s="146">
        <v>100</v>
      </c>
      <c r="BB314" s="142">
        <v>0</v>
      </c>
      <c r="BC314" s="143">
        <v>0</v>
      </c>
      <c r="BD314" s="146">
        <v>0</v>
      </c>
      <c r="BE314" s="142">
        <v>0</v>
      </c>
      <c r="BF314" s="146">
        <v>0</v>
      </c>
      <c r="BG314" s="142">
        <v>1</v>
      </c>
      <c r="BH314" s="143" t="s">
        <v>1881</v>
      </c>
      <c r="BI314" s="146">
        <v>14</v>
      </c>
      <c r="BJ314" s="28"/>
    </row>
    <row r="315" spans="1:62" x14ac:dyDescent="0.3">
      <c r="A315" s="42" t="s">
        <v>74</v>
      </c>
      <c r="B315" s="138">
        <v>1481</v>
      </c>
      <c r="C315" s="28">
        <v>2692</v>
      </c>
      <c r="D315" s="138">
        <v>0</v>
      </c>
      <c r="E315" s="43">
        <v>0</v>
      </c>
      <c r="F315" s="43">
        <v>0</v>
      </c>
      <c r="G315" s="138">
        <v>1</v>
      </c>
      <c r="H315" s="42">
        <v>19</v>
      </c>
      <c r="I315" s="28" t="s">
        <v>558</v>
      </c>
      <c r="J315" s="56"/>
      <c r="M315" s="42"/>
      <c r="N315" s="138"/>
      <c r="O315" s="196"/>
      <c r="P315" s="138"/>
      <c r="Q315" s="196"/>
      <c r="R315" s="141"/>
      <c r="S315" s="138"/>
      <c r="T315" s="138"/>
      <c r="U315" s="42" t="s">
        <v>80</v>
      </c>
      <c r="V315" s="56"/>
      <c r="Y315" s="41" t="s">
        <v>1462</v>
      </c>
      <c r="Z315" s="67"/>
      <c r="AA315" s="40"/>
      <c r="AB315" s="67">
        <v>0</v>
      </c>
      <c r="AC315" s="43">
        <v>0</v>
      </c>
      <c r="AD315" s="40">
        <v>0</v>
      </c>
      <c r="AE315" s="42">
        <v>0</v>
      </c>
      <c r="AF315" s="40">
        <v>0</v>
      </c>
      <c r="AG315" s="41">
        <v>0</v>
      </c>
      <c r="AH315" s="67"/>
      <c r="AI315" s="43" t="s">
        <v>1343</v>
      </c>
      <c r="AJ315" s="56"/>
      <c r="AM315" s="138"/>
      <c r="AN315" s="138"/>
      <c r="AO315" s="141"/>
      <c r="AP315" s="138"/>
      <c r="AQ315" s="141"/>
      <c r="AR315" s="28"/>
      <c r="AS315" s="28" t="s">
        <v>110</v>
      </c>
      <c r="AT315" s="28" t="s">
        <v>111</v>
      </c>
      <c r="AU315" s="28" t="s">
        <v>112</v>
      </c>
      <c r="AV315" s="141"/>
      <c r="AY315" s="195"/>
      <c r="AZ315" s="135"/>
      <c r="BA315" s="136"/>
      <c r="BB315" s="240"/>
      <c r="BC315" s="241"/>
      <c r="BD315" s="242"/>
      <c r="BE315" s="134"/>
      <c r="BF315" s="136"/>
      <c r="BG315" s="135"/>
      <c r="BH315" s="135" t="s">
        <v>92</v>
      </c>
      <c r="BI315" s="136"/>
    </row>
    <row r="316" spans="1:62" ht="15" thickBot="1" x14ac:dyDescent="0.35">
      <c r="A316" s="42"/>
      <c r="B316" s="138"/>
      <c r="C316" s="28"/>
      <c r="D316" s="138"/>
      <c r="E316" s="28"/>
      <c r="F316" s="28"/>
      <c r="G316" s="138"/>
      <c r="H316" s="67"/>
      <c r="I316" s="43"/>
      <c r="J316" s="56"/>
      <c r="M316" s="42" t="s">
        <v>74</v>
      </c>
      <c r="N316" s="138">
        <v>10143</v>
      </c>
      <c r="O316" s="196">
        <v>664</v>
      </c>
      <c r="P316" s="138">
        <v>0</v>
      </c>
      <c r="Q316" s="196">
        <v>0</v>
      </c>
      <c r="R316" s="141">
        <v>0</v>
      </c>
      <c r="S316" s="138"/>
      <c r="T316" s="138">
        <v>15</v>
      </c>
      <c r="U316" s="42"/>
      <c r="V316" s="56"/>
      <c r="Y316" s="46" t="s">
        <v>84</v>
      </c>
      <c r="Z316" s="47"/>
      <c r="AA316" s="49"/>
      <c r="AB316" s="47"/>
      <c r="AC316" s="48"/>
      <c r="AD316" s="73"/>
      <c r="AE316" s="72"/>
      <c r="AF316" s="73"/>
      <c r="AG316" s="62"/>
      <c r="AH316" s="72"/>
      <c r="AI316" s="51" t="s">
        <v>145</v>
      </c>
      <c r="AJ316" s="73"/>
      <c r="AM316" s="138" t="s">
        <v>1599</v>
      </c>
      <c r="AN316" s="138">
        <v>11</v>
      </c>
      <c r="AO316" s="141">
        <v>5</v>
      </c>
      <c r="AP316" s="138"/>
      <c r="AQ316" s="141"/>
      <c r="AR316" s="43"/>
      <c r="AS316" s="28"/>
      <c r="AT316" s="28"/>
      <c r="AU316" s="28"/>
      <c r="AV316" s="141"/>
      <c r="AY316" s="196"/>
      <c r="AZ316" s="28"/>
      <c r="BA316" s="141"/>
      <c r="BB316" s="138"/>
      <c r="BC316" s="43"/>
      <c r="BD316" s="141"/>
      <c r="BE316" s="138"/>
      <c r="BF316" s="141"/>
      <c r="BG316" s="43">
        <v>9</v>
      </c>
      <c r="BH316" s="43" t="s">
        <v>1297</v>
      </c>
      <c r="BI316" s="141"/>
    </row>
    <row r="317" spans="1:62" x14ac:dyDescent="0.3">
      <c r="A317" s="244"/>
      <c r="B317" s="142"/>
      <c r="C317" s="143"/>
      <c r="D317" s="142"/>
      <c r="E317" s="143"/>
      <c r="F317" s="143"/>
      <c r="G317" s="142"/>
      <c r="H317" s="244"/>
      <c r="I317" s="143"/>
      <c r="J317" s="331">
        <v>19</v>
      </c>
      <c r="M317" s="244"/>
      <c r="N317" s="142"/>
      <c r="O317" s="199"/>
      <c r="P317" s="142"/>
      <c r="Q317" s="199"/>
      <c r="R317" s="146"/>
      <c r="S317" s="142"/>
      <c r="T317" s="142"/>
      <c r="U317" s="244"/>
      <c r="V317" s="331"/>
      <c r="Y317" s="32"/>
      <c r="Z317" s="34"/>
      <c r="AA317" s="34"/>
      <c r="AB317" s="33"/>
      <c r="AC317" s="34"/>
      <c r="AD317" s="35"/>
      <c r="AE317" s="34"/>
      <c r="AF317" s="34"/>
      <c r="AG317" s="32"/>
      <c r="AH317" s="33" t="s">
        <v>1298</v>
      </c>
      <c r="AI317" s="34"/>
      <c r="AJ317" s="97"/>
      <c r="AM317" s="138" t="s">
        <v>132</v>
      </c>
      <c r="AN317" s="138"/>
      <c r="AO317" s="141"/>
      <c r="AP317" s="138">
        <v>0</v>
      </c>
      <c r="AQ317" s="141">
        <v>0</v>
      </c>
      <c r="AR317" s="28"/>
      <c r="AS317" s="43"/>
      <c r="AT317" s="28"/>
      <c r="AU317" s="28"/>
      <c r="AV317" s="141"/>
      <c r="AY317" s="196" t="s">
        <v>1247</v>
      </c>
      <c r="AZ317" s="28"/>
      <c r="BA317" s="141"/>
      <c r="BB317" s="212">
        <v>0</v>
      </c>
      <c r="BC317" s="43">
        <v>0</v>
      </c>
      <c r="BD317" s="209">
        <v>0</v>
      </c>
      <c r="BE317" s="28"/>
      <c r="BF317" s="141"/>
      <c r="BG317" s="43">
        <v>17</v>
      </c>
      <c r="BH317" s="43" t="s">
        <v>1882</v>
      </c>
      <c r="BI317" s="141"/>
      <c r="BJ317" s="28"/>
    </row>
    <row r="318" spans="1:62" x14ac:dyDescent="0.3">
      <c r="A318" s="278"/>
      <c r="B318" s="134"/>
      <c r="C318" s="135"/>
      <c r="D318" s="134"/>
      <c r="E318" s="135"/>
      <c r="F318" s="135"/>
      <c r="G318" s="134"/>
      <c r="H318" s="278" t="s">
        <v>87</v>
      </c>
      <c r="I318" s="135"/>
      <c r="J318" s="332"/>
      <c r="M318" s="278"/>
      <c r="N318" s="134"/>
      <c r="O318" s="195"/>
      <c r="P318" s="134"/>
      <c r="Q318" s="195"/>
      <c r="R318" s="136"/>
      <c r="S318" s="134"/>
      <c r="T318" s="134"/>
      <c r="U318" s="278" t="s">
        <v>6</v>
      </c>
      <c r="V318" s="332"/>
      <c r="Y318" s="41"/>
      <c r="AB318" s="42"/>
      <c r="AC318" s="28"/>
      <c r="AD318" s="40"/>
      <c r="AG318" s="41"/>
      <c r="AH318" s="42">
        <v>6</v>
      </c>
      <c r="AI318" s="43" t="s">
        <v>145</v>
      </c>
      <c r="AJ318" s="56"/>
      <c r="AM318" s="138" t="s">
        <v>63</v>
      </c>
      <c r="AN318" s="138">
        <v>83</v>
      </c>
      <c r="AO318" s="141">
        <v>43</v>
      </c>
      <c r="AP318" s="138">
        <v>0</v>
      </c>
      <c r="AQ318" s="141">
        <v>0</v>
      </c>
      <c r="AR318" s="28"/>
      <c r="AS318" s="28"/>
      <c r="AT318" s="28"/>
      <c r="AU318" s="28"/>
      <c r="AV318" s="141"/>
      <c r="AY318" s="196" t="s">
        <v>99</v>
      </c>
      <c r="AZ318" s="43"/>
      <c r="BA318" s="141"/>
      <c r="BB318" s="138">
        <v>0</v>
      </c>
      <c r="BC318" s="43">
        <v>0</v>
      </c>
      <c r="BD318" s="141">
        <v>0</v>
      </c>
      <c r="BE318" s="43">
        <v>77759</v>
      </c>
      <c r="BF318" s="141">
        <v>26000</v>
      </c>
      <c r="BG318" s="43"/>
      <c r="BH318" s="28"/>
      <c r="BI318" s="141"/>
    </row>
    <row r="319" spans="1:62" ht="15" thickBot="1" x14ac:dyDescent="0.35">
      <c r="A319" s="42" t="s">
        <v>93</v>
      </c>
      <c r="B319" s="138">
        <v>3503</v>
      </c>
      <c r="C319" s="28">
        <v>5183</v>
      </c>
      <c r="D319" s="138">
        <v>0</v>
      </c>
      <c r="E319" s="43"/>
      <c r="F319" s="43">
        <v>0</v>
      </c>
      <c r="G319" s="138">
        <v>1</v>
      </c>
      <c r="H319" s="67">
        <v>30</v>
      </c>
      <c r="I319" s="28" t="s">
        <v>101</v>
      </c>
      <c r="J319" s="56"/>
      <c r="M319" s="42"/>
      <c r="N319" s="138"/>
      <c r="O319" s="196"/>
      <c r="P319" s="138"/>
      <c r="Q319" s="196"/>
      <c r="R319" s="141"/>
      <c r="S319" s="138"/>
      <c r="T319" s="138"/>
      <c r="U319" s="42"/>
      <c r="V319" s="56"/>
      <c r="Y319" s="46" t="s">
        <v>1300</v>
      </c>
      <c r="Z319" s="48">
        <v>293</v>
      </c>
      <c r="AA319" s="48">
        <v>334</v>
      </c>
      <c r="AB319" s="47">
        <v>0</v>
      </c>
      <c r="AC319" s="48">
        <v>0</v>
      </c>
      <c r="AD319" s="49">
        <v>0</v>
      </c>
      <c r="AE319" s="48">
        <v>0</v>
      </c>
      <c r="AF319" s="48">
        <v>0</v>
      </c>
      <c r="AG319" s="46">
        <v>0</v>
      </c>
      <c r="AH319" s="47">
        <v>3</v>
      </c>
      <c r="AI319" s="48" t="s">
        <v>141</v>
      </c>
      <c r="AJ319" s="73">
        <v>9</v>
      </c>
      <c r="AM319" s="138" t="s">
        <v>56</v>
      </c>
      <c r="AN319" s="138">
        <v>10</v>
      </c>
      <c r="AO319" s="141">
        <v>4</v>
      </c>
      <c r="AP319" s="138">
        <v>0</v>
      </c>
      <c r="AQ319" s="141">
        <v>0</v>
      </c>
      <c r="AR319" s="28"/>
      <c r="AS319" s="43">
        <v>41</v>
      </c>
      <c r="AT319" s="28" t="s">
        <v>123</v>
      </c>
      <c r="AU319" s="28" t="s">
        <v>6</v>
      </c>
      <c r="AV319" s="141"/>
      <c r="AY319" s="211" t="s">
        <v>174</v>
      </c>
      <c r="AZ319" s="28"/>
      <c r="BA319" s="141"/>
      <c r="BB319" s="138">
        <v>0</v>
      </c>
      <c r="BC319" s="43">
        <v>0</v>
      </c>
      <c r="BD319" s="141">
        <v>0</v>
      </c>
      <c r="BE319" s="28"/>
      <c r="BF319" s="141"/>
      <c r="BG319" s="28"/>
      <c r="BH319" s="28"/>
      <c r="BI319" s="141"/>
      <c r="BJ319" s="28"/>
    </row>
    <row r="320" spans="1:62" x14ac:dyDescent="0.3">
      <c r="A320" s="42"/>
      <c r="B320" s="138"/>
      <c r="C320" s="28"/>
      <c r="D320" s="138"/>
      <c r="E320" s="28"/>
      <c r="F320" s="28"/>
      <c r="G320" s="138"/>
      <c r="H320" s="67">
        <v>1</v>
      </c>
      <c r="I320" s="28" t="s">
        <v>94</v>
      </c>
      <c r="J320" s="56">
        <v>31</v>
      </c>
      <c r="M320" s="42"/>
      <c r="N320" s="138"/>
      <c r="O320" s="196"/>
      <c r="P320" s="138"/>
      <c r="Q320" s="196"/>
      <c r="R320" s="141"/>
      <c r="S320" s="138"/>
      <c r="T320" s="138"/>
      <c r="U320" s="42"/>
      <c r="V320" s="56"/>
      <c r="Y320" s="42"/>
      <c r="Z320" s="33"/>
      <c r="AA320" s="35"/>
      <c r="AB320" s="33"/>
      <c r="AC320" s="34"/>
      <c r="AD320" s="35"/>
      <c r="AE320" s="33"/>
      <c r="AF320" s="35"/>
      <c r="AG320" s="43"/>
      <c r="AH320" s="33" t="s">
        <v>90</v>
      </c>
      <c r="AI320" s="34"/>
      <c r="AJ320" s="97"/>
      <c r="AM320" s="138" t="s">
        <v>72</v>
      </c>
      <c r="AN320" s="138">
        <v>27</v>
      </c>
      <c r="AO320" s="141">
        <v>13</v>
      </c>
      <c r="AP320" s="138">
        <v>0</v>
      </c>
      <c r="AQ320" s="141">
        <v>0</v>
      </c>
      <c r="AR320" s="28"/>
      <c r="AS320" s="43">
        <v>31</v>
      </c>
      <c r="AT320" s="28" t="s">
        <v>126</v>
      </c>
      <c r="AU320" s="28"/>
      <c r="AV320" s="141"/>
      <c r="AY320" s="196" t="s">
        <v>64</v>
      </c>
      <c r="AZ320" s="43"/>
      <c r="BA320" s="141"/>
      <c r="BB320" s="138">
        <v>0</v>
      </c>
      <c r="BC320" s="43">
        <v>0</v>
      </c>
      <c r="BD320" s="141">
        <v>0</v>
      </c>
      <c r="BE320" s="43"/>
      <c r="BF320" s="141"/>
      <c r="BG320" s="43"/>
      <c r="BH320" s="43"/>
      <c r="BI320" s="141"/>
      <c r="BJ320" s="28"/>
    </row>
    <row r="321" spans="1:62" x14ac:dyDescent="0.3">
      <c r="A321" s="278" t="s">
        <v>108</v>
      </c>
      <c r="B321" s="134"/>
      <c r="C321" s="136">
        <v>649</v>
      </c>
      <c r="D321" s="135">
        <v>0</v>
      </c>
      <c r="E321" s="243">
        <v>437</v>
      </c>
      <c r="F321" s="135">
        <v>0</v>
      </c>
      <c r="G321" s="134">
        <v>1</v>
      </c>
      <c r="H321" s="278" t="s">
        <v>104</v>
      </c>
      <c r="I321" s="135"/>
      <c r="J321" s="332"/>
      <c r="M321" s="244"/>
      <c r="N321" s="142"/>
      <c r="O321" s="199"/>
      <c r="P321" s="142"/>
      <c r="Q321" s="199"/>
      <c r="R321" s="146"/>
      <c r="S321" s="142"/>
      <c r="T321" s="142"/>
      <c r="U321" s="244"/>
      <c r="V321" s="331"/>
      <c r="Y321" s="42"/>
      <c r="Z321" s="42"/>
      <c r="AA321" s="40"/>
      <c r="AB321" s="42"/>
      <c r="AC321" s="43"/>
      <c r="AD321" s="40"/>
      <c r="AE321" s="42"/>
      <c r="AF321" s="40"/>
      <c r="AG321" s="43"/>
      <c r="AH321" s="67"/>
      <c r="AI321" s="28"/>
      <c r="AJ321" s="56"/>
      <c r="AM321" s="138" t="s">
        <v>78</v>
      </c>
      <c r="AN321" s="138">
        <v>10</v>
      </c>
      <c r="AO321" s="141">
        <v>8</v>
      </c>
      <c r="AP321" s="138">
        <v>0</v>
      </c>
      <c r="AQ321" s="141">
        <v>0</v>
      </c>
      <c r="AR321" s="28"/>
      <c r="AS321" s="43">
        <v>34</v>
      </c>
      <c r="AT321" s="28" t="s">
        <v>129</v>
      </c>
      <c r="AU321" s="28" t="s">
        <v>6</v>
      </c>
      <c r="AV321" s="141"/>
      <c r="AY321" s="211" t="s">
        <v>84</v>
      </c>
      <c r="AZ321" s="43"/>
      <c r="BA321" s="209"/>
      <c r="BB321" s="138">
        <v>0</v>
      </c>
      <c r="BC321" s="43">
        <v>0</v>
      </c>
      <c r="BD321" s="141">
        <v>0</v>
      </c>
      <c r="BE321" s="43">
        <v>77759</v>
      </c>
      <c r="BF321" s="209">
        <v>26000</v>
      </c>
      <c r="BG321" s="28"/>
      <c r="BH321" s="43"/>
      <c r="BI321" s="141">
        <v>26</v>
      </c>
      <c r="BJ321" s="28"/>
    </row>
    <row r="322" spans="1:62" x14ac:dyDescent="0.3">
      <c r="A322" s="42" t="s">
        <v>109</v>
      </c>
      <c r="B322" s="138">
        <v>810</v>
      </c>
      <c r="C322" s="141">
        <v>319</v>
      </c>
      <c r="D322" s="28">
        <v>0</v>
      </c>
      <c r="E322" s="343"/>
      <c r="F322" s="43">
        <v>0</v>
      </c>
      <c r="G322" s="138"/>
      <c r="H322" s="67">
        <v>5</v>
      </c>
      <c r="I322" s="28" t="s">
        <v>114</v>
      </c>
      <c r="J322" s="56"/>
      <c r="M322" s="278"/>
      <c r="N322" s="134"/>
      <c r="O322" s="195"/>
      <c r="P322" s="134"/>
      <c r="Q322" s="195"/>
      <c r="R322" s="136"/>
      <c r="S322" s="134"/>
      <c r="T322" s="134"/>
      <c r="U322" s="278" t="s">
        <v>104</v>
      </c>
      <c r="V322" s="332"/>
      <c r="Y322" s="67" t="s">
        <v>89</v>
      </c>
      <c r="Z322" s="67"/>
      <c r="AA322" s="56"/>
      <c r="AB322" s="42">
        <v>0</v>
      </c>
      <c r="AC322" s="43">
        <v>0</v>
      </c>
      <c r="AD322" s="40">
        <v>0</v>
      </c>
      <c r="AE322" s="42">
        <v>0</v>
      </c>
      <c r="AF322" s="40">
        <v>0</v>
      </c>
      <c r="AG322" s="43">
        <v>0</v>
      </c>
      <c r="AH322" s="67"/>
      <c r="AI322" s="43"/>
      <c r="AJ322" s="56"/>
      <c r="AM322" s="138" t="s">
        <v>67</v>
      </c>
      <c r="AN322" s="138">
        <v>85</v>
      </c>
      <c r="AO322" s="141">
        <v>76</v>
      </c>
      <c r="AP322" s="138">
        <v>0</v>
      </c>
      <c r="AQ322" s="141">
        <v>0</v>
      </c>
      <c r="AR322" s="28"/>
      <c r="AS322" s="28"/>
      <c r="AT322" s="28"/>
      <c r="AU322" s="28"/>
      <c r="AV322" s="141"/>
      <c r="AY322" s="233" t="s">
        <v>137</v>
      </c>
      <c r="AZ322" s="135">
        <v>965</v>
      </c>
      <c r="BA322" s="136">
        <v>990</v>
      </c>
      <c r="BB322" s="134">
        <v>0</v>
      </c>
      <c r="BC322" s="135">
        <v>0</v>
      </c>
      <c r="BD322" s="136">
        <v>0</v>
      </c>
      <c r="BE322" s="134"/>
      <c r="BF322" s="135"/>
      <c r="BG322" s="134"/>
      <c r="BH322" s="135" t="s">
        <v>91</v>
      </c>
      <c r="BI322" s="136"/>
      <c r="BJ322" s="28"/>
    </row>
    <row r="323" spans="1:62" ht="15" thickBot="1" x14ac:dyDescent="0.35">
      <c r="A323" s="42" t="s">
        <v>84</v>
      </c>
      <c r="B323" s="138">
        <v>810</v>
      </c>
      <c r="C323" s="141">
        <v>968</v>
      </c>
      <c r="D323" s="28">
        <v>0</v>
      </c>
      <c r="E323" s="343">
        <v>437</v>
      </c>
      <c r="F323" s="43">
        <v>0</v>
      </c>
      <c r="G323" s="138"/>
      <c r="H323" s="42"/>
      <c r="I323" s="28"/>
      <c r="J323" s="56"/>
      <c r="M323" s="42" t="s">
        <v>109</v>
      </c>
      <c r="N323" s="138">
        <v>0</v>
      </c>
      <c r="O323" s="196">
        <v>0</v>
      </c>
      <c r="P323" s="138">
        <v>0</v>
      </c>
      <c r="Q323" s="196">
        <v>0</v>
      </c>
      <c r="R323" s="141">
        <v>0</v>
      </c>
      <c r="S323" s="138"/>
      <c r="T323" s="138"/>
      <c r="U323" s="42"/>
      <c r="V323" s="56"/>
      <c r="Y323" s="42" t="s">
        <v>84</v>
      </c>
      <c r="Z323" s="47"/>
      <c r="AA323" s="49"/>
      <c r="AB323" s="47">
        <v>0</v>
      </c>
      <c r="AC323" s="48">
        <v>0</v>
      </c>
      <c r="AD323" s="49">
        <v>0</v>
      </c>
      <c r="AE323" s="47">
        <v>0</v>
      </c>
      <c r="AF323" s="49">
        <v>0</v>
      </c>
      <c r="AG323" s="43">
        <v>0</v>
      </c>
      <c r="AH323" s="72"/>
      <c r="AI323" s="48"/>
      <c r="AJ323" s="73"/>
      <c r="AM323" s="138" t="s">
        <v>115</v>
      </c>
      <c r="AN323" s="138">
        <v>75</v>
      </c>
      <c r="AO323" s="141">
        <v>53</v>
      </c>
      <c r="AP323" s="138">
        <v>0</v>
      </c>
      <c r="AQ323" s="141">
        <v>0</v>
      </c>
      <c r="AR323" s="28"/>
      <c r="AS323" s="28"/>
      <c r="AT323" s="28"/>
      <c r="AU323" s="28"/>
      <c r="AV323" s="141" t="s">
        <v>6</v>
      </c>
      <c r="AY323" s="196" t="s">
        <v>88</v>
      </c>
      <c r="AZ323" s="43">
        <v>253</v>
      </c>
      <c r="BA323" s="141">
        <v>245</v>
      </c>
      <c r="BB323" s="138">
        <v>0</v>
      </c>
      <c r="BC323" s="43">
        <v>0</v>
      </c>
      <c r="BD323" s="141">
        <v>0</v>
      </c>
      <c r="BE323" s="138"/>
      <c r="BF323" s="43"/>
      <c r="BG323" s="212"/>
      <c r="BH323" s="43"/>
      <c r="BI323" s="141"/>
      <c r="BJ323" s="28"/>
    </row>
    <row r="324" spans="1:62" x14ac:dyDescent="0.3">
      <c r="A324" s="42"/>
      <c r="B324" s="138"/>
      <c r="C324" s="141"/>
      <c r="D324" s="28"/>
      <c r="E324" s="28"/>
      <c r="F324" s="28"/>
      <c r="G324" s="138"/>
      <c r="H324" s="42"/>
      <c r="I324" s="28"/>
      <c r="J324" s="56">
        <v>5</v>
      </c>
      <c r="M324" s="244"/>
      <c r="N324" s="142"/>
      <c r="O324" s="199"/>
      <c r="P324" s="142"/>
      <c r="Q324" s="199"/>
      <c r="R324" s="146"/>
      <c r="S324" s="142"/>
      <c r="T324" s="142"/>
      <c r="U324" s="244"/>
      <c r="V324" s="331"/>
      <c r="Y324" s="32"/>
      <c r="Z324" s="28"/>
      <c r="AA324" s="28"/>
      <c r="AB324" s="33"/>
      <c r="AC324" s="34"/>
      <c r="AD324" s="35"/>
      <c r="AE324" s="67"/>
      <c r="AF324" s="56"/>
      <c r="AG324" s="32"/>
      <c r="AH324" s="34"/>
      <c r="AI324" s="34"/>
      <c r="AJ324" s="97"/>
      <c r="AM324" s="138" t="s">
        <v>81</v>
      </c>
      <c r="AN324" s="138">
        <v>36</v>
      </c>
      <c r="AO324" s="141">
        <v>54</v>
      </c>
      <c r="AP324" s="138">
        <v>0</v>
      </c>
      <c r="AQ324" s="141">
        <v>0</v>
      </c>
      <c r="AR324" s="28"/>
      <c r="AS324" s="28"/>
      <c r="AT324" s="28"/>
      <c r="AU324" s="28"/>
      <c r="AV324" s="141"/>
      <c r="AY324" s="211" t="s">
        <v>97</v>
      </c>
      <c r="AZ324" s="43">
        <v>2862</v>
      </c>
      <c r="BA324" s="209">
        <v>2903</v>
      </c>
      <c r="BB324" s="138">
        <v>0</v>
      </c>
      <c r="BC324" s="43">
        <v>0</v>
      </c>
      <c r="BD324" s="141">
        <v>0</v>
      </c>
      <c r="BE324" s="138"/>
      <c r="BF324" s="43"/>
      <c r="BG324" s="138"/>
      <c r="BH324" s="43"/>
      <c r="BI324" s="141"/>
      <c r="BJ324" s="28"/>
    </row>
    <row r="325" spans="1:62" x14ac:dyDescent="0.3">
      <c r="A325" s="278"/>
      <c r="B325" s="134"/>
      <c r="C325" s="242"/>
      <c r="D325" s="135"/>
      <c r="E325" s="135"/>
      <c r="F325" s="135"/>
      <c r="G325" s="134"/>
      <c r="H325" s="278" t="s">
        <v>118</v>
      </c>
      <c r="I325" s="135"/>
      <c r="J325" s="332"/>
      <c r="M325" s="278" t="s">
        <v>93</v>
      </c>
      <c r="N325" s="134"/>
      <c r="O325" s="195"/>
      <c r="P325" s="134"/>
      <c r="Q325" s="195">
        <v>0</v>
      </c>
      <c r="R325" s="136">
        <v>0</v>
      </c>
      <c r="S325" s="134">
        <v>132</v>
      </c>
      <c r="T325" s="134">
        <v>0</v>
      </c>
      <c r="U325" s="278" t="s">
        <v>116</v>
      </c>
      <c r="V325" s="332"/>
      <c r="Y325" s="41"/>
      <c r="Z325" s="43"/>
      <c r="AA325" s="43"/>
      <c r="AB325" s="42"/>
      <c r="AC325" s="43"/>
      <c r="AD325" s="40"/>
      <c r="AE325" s="67"/>
      <c r="AF325" s="56"/>
      <c r="AG325" s="41"/>
      <c r="AH325" s="28"/>
      <c r="AI325" s="28" t="s">
        <v>6</v>
      </c>
      <c r="AJ325" s="56"/>
      <c r="AM325" s="138" t="s">
        <v>122</v>
      </c>
      <c r="AN325" s="138">
        <v>5</v>
      </c>
      <c r="AO325" s="141"/>
      <c r="AP325" s="138">
        <v>0</v>
      </c>
      <c r="AQ325" s="141">
        <v>0</v>
      </c>
      <c r="AR325" s="28"/>
      <c r="AS325" s="28"/>
      <c r="AT325" s="28"/>
      <c r="AU325" s="28"/>
      <c r="AV325" s="141"/>
      <c r="AY325" s="211" t="s">
        <v>113</v>
      </c>
      <c r="AZ325" s="43">
        <v>593</v>
      </c>
      <c r="BA325" s="141">
        <v>619</v>
      </c>
      <c r="BB325" s="138">
        <v>0</v>
      </c>
      <c r="BC325" s="43">
        <v>0</v>
      </c>
      <c r="BD325" s="141">
        <v>0</v>
      </c>
      <c r="BE325" s="138"/>
      <c r="BF325" s="43"/>
      <c r="BG325" s="212">
        <v>52</v>
      </c>
      <c r="BH325" s="28" t="s">
        <v>1464</v>
      </c>
      <c r="BI325" s="141"/>
      <c r="BJ325" s="28"/>
    </row>
    <row r="326" spans="1:62" x14ac:dyDescent="0.3">
      <c r="A326" s="42" t="s">
        <v>785</v>
      </c>
      <c r="B326" s="138">
        <v>502</v>
      </c>
      <c r="C326" s="209">
        <v>690</v>
      </c>
      <c r="D326" s="28">
        <v>0</v>
      </c>
      <c r="E326" s="43"/>
      <c r="F326" s="43">
        <v>0</v>
      </c>
      <c r="G326" s="138">
        <v>1</v>
      </c>
      <c r="H326" s="42">
        <v>75</v>
      </c>
      <c r="I326" s="28" t="s">
        <v>101</v>
      </c>
      <c r="J326" s="56"/>
      <c r="M326" s="42" t="s">
        <v>99</v>
      </c>
      <c r="N326" s="138">
        <v>11365</v>
      </c>
      <c r="O326" s="196">
        <v>9474</v>
      </c>
      <c r="P326" s="138">
        <v>0</v>
      </c>
      <c r="Q326" s="196">
        <v>0</v>
      </c>
      <c r="R326" s="141">
        <v>0</v>
      </c>
      <c r="S326" s="138">
        <v>2247</v>
      </c>
      <c r="T326" s="138">
        <v>1540</v>
      </c>
      <c r="U326" s="42"/>
      <c r="V326" s="56"/>
      <c r="Y326" s="41"/>
      <c r="Z326" s="43"/>
      <c r="AA326" s="43"/>
      <c r="AB326" s="42"/>
      <c r="AC326" s="43"/>
      <c r="AD326" s="40"/>
      <c r="AE326" s="67"/>
      <c r="AF326" s="56"/>
      <c r="AG326" s="41"/>
      <c r="AH326" s="43"/>
      <c r="AI326" s="43"/>
      <c r="AJ326" s="56"/>
      <c r="AM326" s="138" t="s">
        <v>128</v>
      </c>
      <c r="AN326" s="138"/>
      <c r="AO326" s="141">
        <v>3</v>
      </c>
      <c r="AP326" s="138">
        <v>0</v>
      </c>
      <c r="AQ326" s="141">
        <v>0</v>
      </c>
      <c r="AR326" s="28"/>
      <c r="AS326" s="28"/>
      <c r="AT326" s="28"/>
      <c r="AU326" s="28"/>
      <c r="AV326" s="209"/>
      <c r="AY326" s="211"/>
      <c r="AZ326" s="43"/>
      <c r="BA326" s="209"/>
      <c r="BB326" s="138">
        <v>0</v>
      </c>
      <c r="BC326" s="43">
        <v>0</v>
      </c>
      <c r="BD326" s="141">
        <v>0</v>
      </c>
      <c r="BE326" s="138"/>
      <c r="BF326" s="43"/>
      <c r="BG326" s="138"/>
      <c r="BH326" s="43"/>
      <c r="BI326" s="141"/>
      <c r="BJ326" s="28"/>
    </row>
    <row r="327" spans="1:62" x14ac:dyDescent="0.3">
      <c r="A327" s="42" t="s">
        <v>93</v>
      </c>
      <c r="B327" s="212">
        <v>7189</v>
      </c>
      <c r="C327" s="209">
        <v>7658</v>
      </c>
      <c r="D327" s="28">
        <v>0</v>
      </c>
      <c r="E327" s="43"/>
      <c r="F327" s="43">
        <v>0</v>
      </c>
      <c r="G327" s="212"/>
      <c r="H327" s="42">
        <v>27</v>
      </c>
      <c r="I327" s="28" t="s">
        <v>927</v>
      </c>
      <c r="J327" s="56"/>
      <c r="M327" s="42" t="s">
        <v>120</v>
      </c>
      <c r="N327" s="138">
        <v>387</v>
      </c>
      <c r="O327" s="196">
        <v>18278</v>
      </c>
      <c r="P327" s="138">
        <v>0</v>
      </c>
      <c r="Q327" s="196">
        <v>0</v>
      </c>
      <c r="R327" s="141">
        <v>0</v>
      </c>
      <c r="S327" s="138"/>
      <c r="T327" s="138">
        <v>0</v>
      </c>
      <c r="U327" s="42"/>
      <c r="V327" s="56"/>
      <c r="Y327" s="41"/>
      <c r="Z327" s="43"/>
      <c r="AA327" s="43"/>
      <c r="AB327" s="42"/>
      <c r="AC327" s="43"/>
      <c r="AD327" s="40"/>
      <c r="AE327" s="67"/>
      <c r="AF327" s="56"/>
      <c r="AG327" s="41"/>
      <c r="AH327" s="43"/>
      <c r="AI327" s="43"/>
      <c r="AJ327" s="56"/>
      <c r="AM327" s="142" t="s">
        <v>84</v>
      </c>
      <c r="AN327" s="142">
        <v>342</v>
      </c>
      <c r="AO327" s="146">
        <v>259</v>
      </c>
      <c r="AP327" s="142">
        <v>0</v>
      </c>
      <c r="AQ327" s="146">
        <v>0</v>
      </c>
      <c r="AR327" s="143"/>
      <c r="AS327" s="143"/>
      <c r="AT327" s="143"/>
      <c r="AU327" s="143"/>
      <c r="AV327" s="146">
        <v>106</v>
      </c>
      <c r="AY327" s="211" t="s">
        <v>1883</v>
      </c>
      <c r="AZ327" s="43"/>
      <c r="BA327" s="209">
        <v>10</v>
      </c>
      <c r="BB327" s="138">
        <v>0</v>
      </c>
      <c r="BC327" s="43">
        <v>0</v>
      </c>
      <c r="BD327" s="141">
        <v>0</v>
      </c>
      <c r="BE327" s="138"/>
      <c r="BF327" s="43"/>
      <c r="BG327" s="138">
        <v>50</v>
      </c>
      <c r="BH327" s="43" t="s">
        <v>1305</v>
      </c>
      <c r="BI327" s="141"/>
      <c r="BJ327" s="28"/>
    </row>
    <row r="328" spans="1:62" ht="15" thickBot="1" x14ac:dyDescent="0.35">
      <c r="A328" s="42" t="s">
        <v>120</v>
      </c>
      <c r="B328" s="138">
        <v>4161</v>
      </c>
      <c r="C328" s="141">
        <v>5326</v>
      </c>
      <c r="D328" s="28">
        <v>0</v>
      </c>
      <c r="E328" s="43"/>
      <c r="F328" s="43">
        <v>0</v>
      </c>
      <c r="G328" s="138"/>
      <c r="H328" s="42">
        <v>27</v>
      </c>
      <c r="I328" s="28" t="s">
        <v>1306</v>
      </c>
      <c r="J328" s="56"/>
      <c r="M328" s="244" t="s">
        <v>84</v>
      </c>
      <c r="N328" s="142">
        <v>11752</v>
      </c>
      <c r="O328" s="199">
        <v>27752</v>
      </c>
      <c r="P328" s="142">
        <v>0</v>
      </c>
      <c r="Q328" s="199">
        <v>0</v>
      </c>
      <c r="R328" s="146">
        <v>0</v>
      </c>
      <c r="S328" s="142">
        <v>2379</v>
      </c>
      <c r="T328" s="142">
        <v>1540</v>
      </c>
      <c r="U328" s="244"/>
      <c r="V328" s="331"/>
      <c r="Y328" s="46"/>
      <c r="Z328" s="43"/>
      <c r="AA328" s="43"/>
      <c r="AB328" s="47"/>
      <c r="AC328" s="48"/>
      <c r="AD328" s="49"/>
      <c r="AE328" s="67"/>
      <c r="AF328" s="56"/>
      <c r="AG328" s="46"/>
      <c r="AH328" s="48"/>
      <c r="AI328" s="48"/>
      <c r="AJ328" s="73"/>
      <c r="AM328" s="134"/>
      <c r="AN328" s="134"/>
      <c r="AO328" s="136"/>
      <c r="AP328" s="134"/>
      <c r="AQ328" s="136"/>
      <c r="AR328" s="135"/>
      <c r="AS328" s="135"/>
      <c r="AT328" s="135"/>
      <c r="AU328" s="135"/>
      <c r="AV328" s="136"/>
      <c r="AY328" s="211" t="s">
        <v>89</v>
      </c>
      <c r="AZ328" s="43">
        <v>2133</v>
      </c>
      <c r="BA328" s="209">
        <v>2057</v>
      </c>
      <c r="BB328" s="138">
        <v>0</v>
      </c>
      <c r="BC328" s="43">
        <v>0</v>
      </c>
      <c r="BD328" s="141">
        <v>0</v>
      </c>
      <c r="BE328" s="138"/>
      <c r="BF328" s="43"/>
      <c r="BG328" s="138">
        <v>1</v>
      </c>
      <c r="BH328" s="43" t="s">
        <v>1294</v>
      </c>
      <c r="BI328" s="141"/>
      <c r="BJ328" s="28"/>
    </row>
    <row r="329" spans="1:62" x14ac:dyDescent="0.3">
      <c r="A329" s="67" t="s">
        <v>429</v>
      </c>
      <c r="B329" s="212">
        <v>1840</v>
      </c>
      <c r="C329" s="209">
        <v>2036</v>
      </c>
      <c r="D329" s="43">
        <v>0</v>
      </c>
      <c r="E329" s="43"/>
      <c r="F329" s="43">
        <v>0</v>
      </c>
      <c r="G329" s="138"/>
      <c r="H329" s="42"/>
      <c r="I329" s="28"/>
      <c r="J329" s="56"/>
      <c r="M329" s="278"/>
      <c r="N329" s="134"/>
      <c r="O329" s="195"/>
      <c r="P329" s="134"/>
      <c r="Q329" s="195"/>
      <c r="R329" s="136"/>
      <c r="S329" s="134"/>
      <c r="T329" s="134"/>
      <c r="U329" s="278"/>
      <c r="V329" s="332"/>
      <c r="Y329" s="42"/>
      <c r="Z329" s="33"/>
      <c r="AA329" s="35"/>
      <c r="AB329" s="34"/>
      <c r="AC329" s="34"/>
      <c r="AD329" s="34"/>
      <c r="AE329" s="33"/>
      <c r="AF329" s="35"/>
      <c r="AG329" s="32"/>
      <c r="AH329" s="34"/>
      <c r="AI329" s="34"/>
      <c r="AJ329" s="97"/>
      <c r="AM329" s="138"/>
      <c r="AN329" s="138"/>
      <c r="AO329" s="141"/>
      <c r="AP329" s="138"/>
      <c r="AQ329" s="141"/>
      <c r="AR329" s="28"/>
      <c r="AS329" s="28"/>
      <c r="AT329" s="28"/>
      <c r="AU329" s="28"/>
      <c r="AV329" s="141"/>
      <c r="AY329" s="211" t="s">
        <v>108</v>
      </c>
      <c r="AZ329" s="43"/>
      <c r="BA329" s="209"/>
      <c r="BB329" s="212">
        <v>0</v>
      </c>
      <c r="BC329" s="43">
        <v>0</v>
      </c>
      <c r="BD329" s="209">
        <v>0</v>
      </c>
      <c r="BE329" s="212"/>
      <c r="BF329" s="43"/>
      <c r="BG329" s="138"/>
      <c r="BH329" s="43"/>
      <c r="BI329" s="209">
        <v>103</v>
      </c>
      <c r="BJ329" s="28"/>
    </row>
    <row r="330" spans="1:62" ht="15" thickBot="1" x14ac:dyDescent="0.35">
      <c r="A330" s="244" t="s">
        <v>84</v>
      </c>
      <c r="B330" s="142">
        <v>13692</v>
      </c>
      <c r="C330" s="146">
        <v>15710</v>
      </c>
      <c r="D330" s="143">
        <v>0</v>
      </c>
      <c r="E330" s="143"/>
      <c r="F330" s="143">
        <v>0</v>
      </c>
      <c r="G330" s="142"/>
      <c r="H330" s="244"/>
      <c r="I330" s="143"/>
      <c r="J330" s="331">
        <v>129</v>
      </c>
      <c r="M330" s="42" t="s">
        <v>105</v>
      </c>
      <c r="N330" s="138">
        <v>794</v>
      </c>
      <c r="O330" s="196"/>
      <c r="P330" s="138">
        <v>0</v>
      </c>
      <c r="Q330" s="196">
        <v>0</v>
      </c>
      <c r="R330" s="141">
        <v>0</v>
      </c>
      <c r="S330" s="138">
        <v>0</v>
      </c>
      <c r="T330" s="138">
        <v>0</v>
      </c>
      <c r="U330" s="42"/>
      <c r="V330" s="56"/>
      <c r="Y330" s="47"/>
      <c r="Z330" s="47"/>
      <c r="AA330" s="49"/>
      <c r="AB330" s="48"/>
      <c r="AC330" s="48"/>
      <c r="AD330" s="48"/>
      <c r="AE330" s="47"/>
      <c r="AF330" s="49"/>
      <c r="AG330" s="46"/>
      <c r="AH330" s="48"/>
      <c r="AI330" s="48"/>
      <c r="AJ330" s="73"/>
      <c r="AM330" s="138"/>
      <c r="AN330" s="138"/>
      <c r="AO330" s="141"/>
      <c r="AP330" s="138"/>
      <c r="AQ330" s="141"/>
      <c r="AR330" s="28"/>
      <c r="AS330" s="28"/>
      <c r="AT330" s="28"/>
      <c r="AU330" s="28"/>
      <c r="AV330" s="141"/>
      <c r="AY330" s="247" t="s">
        <v>84</v>
      </c>
      <c r="AZ330" s="247">
        <v>6806</v>
      </c>
      <c r="BA330" s="248">
        <v>6824</v>
      </c>
      <c r="BB330" s="197">
        <v>0</v>
      </c>
      <c r="BC330" s="198">
        <v>0</v>
      </c>
      <c r="BD330" s="249">
        <v>0</v>
      </c>
      <c r="BE330" s="197"/>
      <c r="BF330" s="249"/>
      <c r="BG330" s="197"/>
      <c r="BH330" s="198"/>
      <c r="BI330" s="249"/>
      <c r="BJ330" s="28"/>
    </row>
    <row r="331" spans="1:62" x14ac:dyDescent="0.3">
      <c r="A331" s="42" t="s">
        <v>93</v>
      </c>
      <c r="B331" s="138">
        <v>7128</v>
      </c>
      <c r="C331" s="209">
        <v>7100</v>
      </c>
      <c r="D331" s="138">
        <v>0</v>
      </c>
      <c r="E331" s="43"/>
      <c r="F331" s="43">
        <v>0</v>
      </c>
      <c r="G331" s="138">
        <v>1</v>
      </c>
      <c r="H331" s="42" t="s">
        <v>116</v>
      </c>
      <c r="I331" s="28"/>
      <c r="J331" s="56"/>
      <c r="M331" s="42" t="s">
        <v>99</v>
      </c>
      <c r="N331" s="138">
        <v>107</v>
      </c>
      <c r="O331" s="196"/>
      <c r="P331" s="138">
        <v>0</v>
      </c>
      <c r="Q331" s="196">
        <v>0</v>
      </c>
      <c r="R331" s="141">
        <v>0</v>
      </c>
      <c r="S331" s="138">
        <v>12</v>
      </c>
      <c r="T331" s="138">
        <v>0</v>
      </c>
      <c r="U331" s="42" t="s">
        <v>135</v>
      </c>
      <c r="V331" s="56"/>
      <c r="Y331" s="33" t="s">
        <v>137</v>
      </c>
      <c r="Z331" s="33">
        <v>108</v>
      </c>
      <c r="AA331" s="35">
        <v>158</v>
      </c>
      <c r="AB331" s="34"/>
      <c r="AC331" s="34">
        <v>0</v>
      </c>
      <c r="AD331" s="34">
        <v>0</v>
      </c>
      <c r="AE331" s="33">
        <v>0</v>
      </c>
      <c r="AF331" s="35">
        <v>0</v>
      </c>
      <c r="AG331" s="32">
        <v>0</v>
      </c>
      <c r="AH331" s="34"/>
      <c r="AI331" s="34"/>
      <c r="AJ331" s="97"/>
      <c r="AM331" s="138"/>
      <c r="AN331" s="138"/>
      <c r="AO331" s="141"/>
      <c r="AP331" s="138"/>
      <c r="AQ331" s="141"/>
      <c r="AR331" s="28"/>
      <c r="AS331" s="28"/>
      <c r="AT331" s="28"/>
      <c r="AU331" s="28"/>
      <c r="AV331" s="141"/>
      <c r="AY331" s="195" t="s">
        <v>56</v>
      </c>
      <c r="AZ331" s="134"/>
      <c r="BA331" s="136"/>
      <c r="BB331" s="134"/>
      <c r="BC331" s="135"/>
      <c r="BD331" s="136"/>
      <c r="BE331" s="134"/>
      <c r="BF331" s="136"/>
      <c r="BG331" s="134" t="s">
        <v>1025</v>
      </c>
      <c r="BH331" s="135"/>
      <c r="BI331" s="136"/>
      <c r="BJ331" s="28"/>
    </row>
    <row r="332" spans="1:62" x14ac:dyDescent="0.3">
      <c r="A332" s="42" t="s">
        <v>99</v>
      </c>
      <c r="B332" s="138">
        <v>9809</v>
      </c>
      <c r="C332" s="209">
        <v>10311</v>
      </c>
      <c r="D332" s="138">
        <v>0</v>
      </c>
      <c r="E332" s="43"/>
      <c r="F332" s="43">
        <v>0</v>
      </c>
      <c r="G332" s="138"/>
      <c r="H332" s="67">
        <v>154</v>
      </c>
      <c r="I332" s="28" t="s">
        <v>1884</v>
      </c>
      <c r="J332" s="56"/>
      <c r="M332" s="42"/>
      <c r="N332" s="138"/>
      <c r="O332" s="196"/>
      <c r="P332" s="138"/>
      <c r="Q332" s="196"/>
      <c r="R332" s="141"/>
      <c r="S332" s="138"/>
      <c r="T332" s="138"/>
      <c r="U332" s="42"/>
      <c r="V332" s="56"/>
      <c r="Y332" s="42" t="s">
        <v>97</v>
      </c>
      <c r="Z332" s="42">
        <v>154</v>
      </c>
      <c r="AA332" s="40">
        <v>162</v>
      </c>
      <c r="AB332" s="43"/>
      <c r="AC332" s="43">
        <v>0</v>
      </c>
      <c r="AD332" s="43">
        <v>0</v>
      </c>
      <c r="AE332" s="42">
        <v>0</v>
      </c>
      <c r="AF332" s="40">
        <v>0</v>
      </c>
      <c r="AG332" s="41">
        <v>0</v>
      </c>
      <c r="AH332" s="28" t="s">
        <v>953</v>
      </c>
      <c r="AI332" s="28"/>
      <c r="AJ332" s="56"/>
      <c r="AM332" s="142"/>
      <c r="AN332" s="142"/>
      <c r="AO332" s="146"/>
      <c r="AP332" s="142"/>
      <c r="AQ332" s="146"/>
      <c r="AR332" s="143"/>
      <c r="AS332" s="143"/>
      <c r="AT332" s="143"/>
      <c r="AU332" s="143"/>
      <c r="AV332" s="146"/>
      <c r="AY332" s="196" t="s">
        <v>64</v>
      </c>
      <c r="AZ332" s="138">
        <v>62</v>
      </c>
      <c r="BA332" s="141">
        <v>64</v>
      </c>
      <c r="BB332" s="138">
        <v>0</v>
      </c>
      <c r="BC332" s="43">
        <v>0</v>
      </c>
      <c r="BD332" s="209">
        <v>0</v>
      </c>
      <c r="BE332" s="138"/>
      <c r="BF332" s="141"/>
      <c r="BG332" s="138" t="s">
        <v>1407</v>
      </c>
      <c r="BH332" s="28"/>
      <c r="BI332" s="141"/>
      <c r="BJ332" s="28"/>
    </row>
    <row r="333" spans="1:62" x14ac:dyDescent="0.3">
      <c r="A333" s="42" t="s">
        <v>120</v>
      </c>
      <c r="B333" s="138">
        <v>3873</v>
      </c>
      <c r="C333" s="209">
        <v>4735</v>
      </c>
      <c r="D333" s="138">
        <v>0</v>
      </c>
      <c r="E333" s="43"/>
      <c r="F333" s="43">
        <v>0</v>
      </c>
      <c r="G333" s="138"/>
      <c r="H333" s="67">
        <v>31</v>
      </c>
      <c r="I333" s="28" t="s">
        <v>284</v>
      </c>
      <c r="J333" s="56"/>
      <c r="M333" s="244" t="s">
        <v>84</v>
      </c>
      <c r="N333" s="142">
        <v>901</v>
      </c>
      <c r="O333" s="199"/>
      <c r="P333" s="142">
        <v>0</v>
      </c>
      <c r="Q333" s="199">
        <v>0</v>
      </c>
      <c r="R333" s="146">
        <v>0</v>
      </c>
      <c r="S333" s="142">
        <v>12</v>
      </c>
      <c r="T333" s="142">
        <v>0</v>
      </c>
      <c r="U333" s="244"/>
      <c r="V333" s="331"/>
      <c r="Y333" s="42" t="s">
        <v>89</v>
      </c>
      <c r="Z333" s="42">
        <v>143</v>
      </c>
      <c r="AA333" s="40">
        <v>149</v>
      </c>
      <c r="AB333" s="43"/>
      <c r="AC333" s="43">
        <v>0</v>
      </c>
      <c r="AD333" s="43">
        <v>0</v>
      </c>
      <c r="AE333" s="42"/>
      <c r="AF333" s="40"/>
      <c r="AG333" s="41">
        <v>0</v>
      </c>
      <c r="AH333" s="43">
        <v>8</v>
      </c>
      <c r="AI333" s="28" t="s">
        <v>141</v>
      </c>
      <c r="AJ333" s="56"/>
      <c r="AM333" s="134"/>
      <c r="AN333" s="134"/>
      <c r="AO333" s="136"/>
      <c r="AP333" s="134"/>
      <c r="AQ333" s="136"/>
      <c r="AR333" s="134"/>
      <c r="AS333" s="135" t="s">
        <v>140</v>
      </c>
      <c r="AT333" s="135"/>
      <c r="AU333" s="135"/>
      <c r="AV333" s="136"/>
      <c r="AY333" s="239" t="s">
        <v>84</v>
      </c>
      <c r="AZ333" s="142">
        <v>62</v>
      </c>
      <c r="BA333" s="146">
        <v>64</v>
      </c>
      <c r="BB333" s="142"/>
      <c r="BC333" s="143"/>
      <c r="BD333" s="146"/>
      <c r="BE333" s="142"/>
      <c r="BF333" s="146"/>
      <c r="BG333" s="142" t="s">
        <v>1408</v>
      </c>
      <c r="BH333" s="143"/>
      <c r="BI333" s="146">
        <v>8</v>
      </c>
      <c r="BJ333" s="28"/>
    </row>
    <row r="334" spans="1:62" x14ac:dyDescent="0.3">
      <c r="A334" s="42" t="s">
        <v>84</v>
      </c>
      <c r="B334" s="138">
        <v>20810</v>
      </c>
      <c r="C334" s="28">
        <v>22146</v>
      </c>
      <c r="D334" s="138">
        <v>0</v>
      </c>
      <c r="E334" s="28"/>
      <c r="F334" s="43">
        <v>0</v>
      </c>
      <c r="G334" s="138"/>
      <c r="H334" s="67"/>
      <c r="I334" s="28"/>
      <c r="J334" s="56"/>
      <c r="M334" s="42"/>
      <c r="N334" s="138"/>
      <c r="O334" s="196"/>
      <c r="P334" s="138"/>
      <c r="Q334" s="196"/>
      <c r="R334" s="141"/>
      <c r="S334" s="138"/>
      <c r="T334" s="138"/>
      <c r="U334" s="42"/>
      <c r="V334" s="56"/>
      <c r="Y334" s="42" t="s">
        <v>1467</v>
      </c>
      <c r="Z334" s="42"/>
      <c r="AA334" s="40"/>
      <c r="AB334" s="43"/>
      <c r="AC334" s="43">
        <v>0</v>
      </c>
      <c r="AD334" s="43">
        <v>0</v>
      </c>
      <c r="AE334" s="42"/>
      <c r="AF334" s="40"/>
      <c r="AG334" s="41">
        <v>0</v>
      </c>
      <c r="AH334" s="43">
        <v>1</v>
      </c>
      <c r="AI334" s="43" t="s">
        <v>1468</v>
      </c>
      <c r="AJ334" s="56"/>
      <c r="AM334" s="138" t="s">
        <v>56</v>
      </c>
      <c r="AN334" s="138">
        <v>23</v>
      </c>
      <c r="AO334" s="141">
        <v>21</v>
      </c>
      <c r="AP334" s="138">
        <v>0</v>
      </c>
      <c r="AQ334" s="141">
        <v>0</v>
      </c>
      <c r="AR334" s="138"/>
      <c r="AS334" s="43">
        <v>12</v>
      </c>
      <c r="AT334" s="28" t="s">
        <v>213</v>
      </c>
      <c r="AU334" s="28" t="s">
        <v>1469</v>
      </c>
      <c r="AV334" s="141"/>
      <c r="AY334" s="138"/>
      <c r="AZ334" s="134"/>
      <c r="BA334" s="136"/>
      <c r="BB334" s="134"/>
      <c r="BC334" s="135"/>
      <c r="BD334" s="136"/>
      <c r="BE334" s="138"/>
      <c r="BF334" s="141"/>
      <c r="BG334" s="28" t="s">
        <v>994</v>
      </c>
      <c r="BH334" s="28"/>
      <c r="BI334" s="141"/>
      <c r="BJ334" s="28"/>
    </row>
    <row r="335" spans="1:62" ht="15" thickBot="1" x14ac:dyDescent="0.35">
      <c r="A335" s="244"/>
      <c r="B335" s="142"/>
      <c r="C335" s="143"/>
      <c r="D335" s="142"/>
      <c r="E335" s="143"/>
      <c r="F335" s="143"/>
      <c r="G335" s="142"/>
      <c r="H335" s="244"/>
      <c r="I335" s="143"/>
      <c r="J335" s="331">
        <v>185</v>
      </c>
      <c r="M335" s="42"/>
      <c r="N335" s="138"/>
      <c r="O335" s="196"/>
      <c r="P335" s="138"/>
      <c r="Q335" s="196"/>
      <c r="R335" s="141"/>
      <c r="S335" s="138"/>
      <c r="T335" s="138"/>
      <c r="U335" s="42"/>
      <c r="V335" s="40"/>
      <c r="Y335" s="47" t="s">
        <v>84</v>
      </c>
      <c r="Z335" s="47">
        <v>405</v>
      </c>
      <c r="AA335" s="49">
        <v>469</v>
      </c>
      <c r="AB335" s="51"/>
      <c r="AC335" s="48">
        <v>0</v>
      </c>
      <c r="AD335" s="48">
        <v>0</v>
      </c>
      <c r="AE335" s="47"/>
      <c r="AF335" s="49"/>
      <c r="AG335" s="46">
        <v>0</v>
      </c>
      <c r="AH335" s="48"/>
      <c r="AI335" s="48"/>
      <c r="AJ335" s="73">
        <v>9</v>
      </c>
      <c r="AM335" s="138" t="s">
        <v>72</v>
      </c>
      <c r="AN335" s="138">
        <v>54</v>
      </c>
      <c r="AO335" s="141">
        <v>38</v>
      </c>
      <c r="AP335" s="138">
        <v>0</v>
      </c>
      <c r="AQ335" s="141">
        <v>0</v>
      </c>
      <c r="AR335" s="138"/>
      <c r="AS335" s="43">
        <v>3</v>
      </c>
      <c r="AT335" s="28" t="s">
        <v>1038</v>
      </c>
      <c r="AU335" s="43" t="s">
        <v>1885</v>
      </c>
      <c r="AV335" s="141"/>
      <c r="AY335" s="138" t="s">
        <v>113</v>
      </c>
      <c r="AZ335" s="138">
        <v>569</v>
      </c>
      <c r="BA335" s="141">
        <v>539</v>
      </c>
      <c r="BB335" s="138">
        <v>0</v>
      </c>
      <c r="BC335" s="43">
        <v>0</v>
      </c>
      <c r="BD335" s="209">
        <v>0</v>
      </c>
      <c r="BE335" s="138"/>
      <c r="BF335" s="141"/>
      <c r="BG335" s="43">
        <v>26</v>
      </c>
      <c r="BH335" s="28" t="s">
        <v>1297</v>
      </c>
      <c r="BI335" s="141"/>
      <c r="BJ335" s="28"/>
    </row>
    <row r="336" spans="1:62" ht="15" thickBot="1" x14ac:dyDescent="0.35">
      <c r="A336" s="278" t="s">
        <v>105</v>
      </c>
      <c r="B336" s="134">
        <v>1146</v>
      </c>
      <c r="C336" s="135">
        <v>1096</v>
      </c>
      <c r="D336" s="134">
        <v>0</v>
      </c>
      <c r="E336" s="243">
        <v>1622</v>
      </c>
      <c r="F336" s="135">
        <v>0</v>
      </c>
      <c r="G336" s="134">
        <v>1</v>
      </c>
      <c r="H336" s="278" t="s">
        <v>162</v>
      </c>
      <c r="I336" s="135"/>
      <c r="J336" s="332"/>
      <c r="M336" s="42"/>
      <c r="N336" s="138"/>
      <c r="O336" s="196"/>
      <c r="P336" s="138"/>
      <c r="Q336" s="196"/>
      <c r="R336" s="141"/>
      <c r="S336" s="138"/>
      <c r="T336" s="138"/>
      <c r="U336" s="42"/>
      <c r="V336" s="40"/>
      <c r="Y336" s="32"/>
      <c r="Z336" s="33"/>
      <c r="AA336" s="35"/>
      <c r="AB336" s="53"/>
      <c r="AC336" s="123"/>
      <c r="AD336" s="97"/>
      <c r="AE336" s="33"/>
      <c r="AF336" s="35"/>
      <c r="AG336" s="32"/>
      <c r="AH336" s="33" t="s">
        <v>149</v>
      </c>
      <c r="AI336" s="34"/>
      <c r="AJ336" s="97"/>
      <c r="AM336" s="138" t="s">
        <v>78</v>
      </c>
      <c r="AN336" s="138">
        <v>31</v>
      </c>
      <c r="AO336" s="141">
        <v>35</v>
      </c>
      <c r="AP336" s="138">
        <v>0</v>
      </c>
      <c r="AQ336" s="141">
        <v>0</v>
      </c>
      <c r="AR336" s="138"/>
      <c r="AS336" s="43"/>
      <c r="AT336" s="43"/>
      <c r="AU336" s="28" t="s">
        <v>1886</v>
      </c>
      <c r="AV336" s="141"/>
      <c r="AY336" s="142" t="s">
        <v>84</v>
      </c>
      <c r="AZ336" s="142">
        <v>569</v>
      </c>
      <c r="BA336" s="146">
        <v>539</v>
      </c>
      <c r="BB336" s="138">
        <v>0</v>
      </c>
      <c r="BC336" s="43">
        <v>0</v>
      </c>
      <c r="BD336" s="209">
        <v>0</v>
      </c>
      <c r="BE336" s="142"/>
      <c r="BF336" s="146"/>
      <c r="BG336" s="43">
        <v>23</v>
      </c>
      <c r="BH336" s="43" t="s">
        <v>1292</v>
      </c>
      <c r="BI336" s="146">
        <v>49</v>
      </c>
      <c r="BJ336" s="28"/>
    </row>
    <row r="337" spans="1:62" x14ac:dyDescent="0.3">
      <c r="A337" s="42" t="s">
        <v>99</v>
      </c>
      <c r="B337" s="138">
        <v>277</v>
      </c>
      <c r="C337" s="43">
        <v>257</v>
      </c>
      <c r="D337" s="138">
        <v>0</v>
      </c>
      <c r="E337" s="343">
        <v>1499</v>
      </c>
      <c r="F337" s="43">
        <v>0</v>
      </c>
      <c r="G337" s="138"/>
      <c r="H337" s="42"/>
      <c r="I337" s="28"/>
      <c r="J337" s="56"/>
      <c r="M337" s="42"/>
      <c r="N337" s="138"/>
      <c r="O337" s="196"/>
      <c r="P337" s="138"/>
      <c r="Q337" s="196"/>
      <c r="R337" s="141"/>
      <c r="S337" s="138"/>
      <c r="T337" s="138"/>
      <c r="U337" s="42"/>
      <c r="V337" s="40"/>
      <c r="Y337" s="41" t="s">
        <v>99</v>
      </c>
      <c r="Z337" s="42"/>
      <c r="AA337" s="40"/>
      <c r="AB337" s="67"/>
      <c r="AC337" s="43">
        <v>0</v>
      </c>
      <c r="AD337" s="56">
        <v>0</v>
      </c>
      <c r="AE337" s="42">
        <v>0</v>
      </c>
      <c r="AF337" s="40">
        <v>3936</v>
      </c>
      <c r="AG337" s="41">
        <v>0</v>
      </c>
      <c r="AH337" s="67">
        <v>4</v>
      </c>
      <c r="AI337" s="28" t="s">
        <v>1887</v>
      </c>
      <c r="AJ337" s="56"/>
      <c r="AM337" s="138" t="s">
        <v>67</v>
      </c>
      <c r="AN337" s="138">
        <v>27</v>
      </c>
      <c r="AO337" s="141">
        <v>43</v>
      </c>
      <c r="AP337" s="138">
        <v>0</v>
      </c>
      <c r="AQ337" s="141">
        <v>0</v>
      </c>
      <c r="AR337" s="138"/>
      <c r="AS337" s="43">
        <v>3</v>
      </c>
      <c r="AT337" s="43" t="s">
        <v>682</v>
      </c>
      <c r="AU337" s="43" t="s">
        <v>1471</v>
      </c>
      <c r="AV337" s="141"/>
      <c r="AY337" s="195" t="s">
        <v>596</v>
      </c>
      <c r="AZ337" s="134">
        <v>8</v>
      </c>
      <c r="BA337" s="135">
        <v>0</v>
      </c>
      <c r="BB337" s="32" t="s">
        <v>1472</v>
      </c>
      <c r="BC337" s="346" t="s">
        <v>1357</v>
      </c>
      <c r="BD337" s="347"/>
      <c r="BE337" s="135"/>
      <c r="BF337" s="136"/>
      <c r="BG337" s="134" t="s">
        <v>140</v>
      </c>
      <c r="BH337" s="135"/>
      <c r="BI337" s="136"/>
      <c r="BJ337" s="28"/>
    </row>
    <row r="338" spans="1:62" ht="15" thickBot="1" x14ac:dyDescent="0.35">
      <c r="A338" s="42"/>
      <c r="B338" s="138"/>
      <c r="C338" s="28"/>
      <c r="D338" s="138"/>
      <c r="E338" s="343"/>
      <c r="F338" s="28"/>
      <c r="G338" s="138"/>
      <c r="H338" s="67">
        <v>43</v>
      </c>
      <c r="I338" s="28" t="s">
        <v>101</v>
      </c>
      <c r="J338" s="56"/>
      <c r="M338" s="42"/>
      <c r="N338" s="138"/>
      <c r="O338" s="196"/>
      <c r="P338" s="138"/>
      <c r="Q338" s="196"/>
      <c r="R338" s="141"/>
      <c r="S338" s="138"/>
      <c r="T338" s="138"/>
      <c r="U338" s="42"/>
      <c r="V338" s="40"/>
      <c r="Y338" s="41" t="s">
        <v>174</v>
      </c>
      <c r="Z338" s="42"/>
      <c r="AA338" s="40"/>
      <c r="AB338" s="67"/>
      <c r="AC338" s="43">
        <v>0</v>
      </c>
      <c r="AD338" s="56">
        <v>0</v>
      </c>
      <c r="AE338" s="42">
        <v>47744</v>
      </c>
      <c r="AF338" s="40">
        <v>0</v>
      </c>
      <c r="AG338" s="41">
        <v>0</v>
      </c>
      <c r="AH338" s="67"/>
      <c r="AI338" s="43"/>
      <c r="AJ338" s="56"/>
      <c r="AM338" s="138" t="s">
        <v>115</v>
      </c>
      <c r="AN338" s="138">
        <v>19</v>
      </c>
      <c r="AO338" s="141">
        <v>14</v>
      </c>
      <c r="AP338" s="138">
        <v>0</v>
      </c>
      <c r="AQ338" s="141">
        <v>0</v>
      </c>
      <c r="AR338" s="138"/>
      <c r="AS338" s="43">
        <v>30</v>
      </c>
      <c r="AT338" s="43" t="s">
        <v>903</v>
      </c>
      <c r="AU338" s="43" t="s">
        <v>1888</v>
      </c>
      <c r="AV338" s="141"/>
      <c r="AY338" s="196" t="s">
        <v>169</v>
      </c>
      <c r="AZ338" s="138">
        <v>0</v>
      </c>
      <c r="BA338" s="43">
        <v>2</v>
      </c>
      <c r="BB338" s="46" t="s">
        <v>42</v>
      </c>
      <c r="BC338" s="72" t="s">
        <v>43</v>
      </c>
      <c r="BD338" s="49" t="s">
        <v>44</v>
      </c>
      <c r="BE338" s="43"/>
      <c r="BF338" s="141"/>
      <c r="BG338" s="138"/>
      <c r="BH338" s="28"/>
      <c r="BI338" s="141"/>
      <c r="BJ338" s="28"/>
    </row>
    <row r="339" spans="1:62" ht="15" thickBot="1" x14ac:dyDescent="0.35">
      <c r="A339" s="42" t="s">
        <v>84</v>
      </c>
      <c r="B339" s="142">
        <v>1423</v>
      </c>
      <c r="C339" s="143">
        <v>1353</v>
      </c>
      <c r="D339" s="142">
        <v>0</v>
      </c>
      <c r="E339" s="345">
        <v>3121</v>
      </c>
      <c r="F339" s="143">
        <v>0</v>
      </c>
      <c r="G339" s="142"/>
      <c r="H339" s="244"/>
      <c r="I339" s="143"/>
      <c r="J339" s="331">
        <v>43</v>
      </c>
      <c r="M339" s="47" t="s">
        <v>84</v>
      </c>
      <c r="N339" s="202">
        <v>34434</v>
      </c>
      <c r="O339" s="286">
        <v>77935</v>
      </c>
      <c r="P339" s="202">
        <v>0</v>
      </c>
      <c r="Q339" s="286">
        <v>0</v>
      </c>
      <c r="R339" s="48">
        <v>0</v>
      </c>
      <c r="S339" s="202">
        <v>2391</v>
      </c>
      <c r="T339" s="202">
        <v>1555</v>
      </c>
      <c r="U339" s="47"/>
      <c r="V339" s="49"/>
      <c r="Y339" s="62" t="s">
        <v>84</v>
      </c>
      <c r="Z339" s="47"/>
      <c r="AA339" s="49"/>
      <c r="AB339" s="47"/>
      <c r="AC339" s="48">
        <v>0</v>
      </c>
      <c r="AD339" s="49">
        <v>0</v>
      </c>
      <c r="AE339" s="47">
        <v>47744</v>
      </c>
      <c r="AF339" s="49">
        <v>3936</v>
      </c>
      <c r="AG339" s="46">
        <v>0</v>
      </c>
      <c r="AH339" s="47"/>
      <c r="AI339" s="48"/>
      <c r="AJ339" s="73">
        <v>4</v>
      </c>
      <c r="AM339" s="138" t="s">
        <v>122</v>
      </c>
      <c r="AN339" s="138">
        <v>5</v>
      </c>
      <c r="AO339" s="141">
        <v>30</v>
      </c>
      <c r="AP339" s="138">
        <v>0</v>
      </c>
      <c r="AQ339" s="141">
        <v>0</v>
      </c>
      <c r="AR339" s="138"/>
      <c r="AS339" s="43">
        <v>72</v>
      </c>
      <c r="AT339" s="43" t="s">
        <v>215</v>
      </c>
      <c r="AU339" s="43" t="s">
        <v>1889</v>
      </c>
      <c r="AV339" s="141"/>
      <c r="AY339" s="196" t="s">
        <v>164</v>
      </c>
      <c r="AZ339" s="138">
        <v>0</v>
      </c>
      <c r="BA339" s="43">
        <v>2</v>
      </c>
      <c r="BB339" s="28"/>
      <c r="BC339" s="43"/>
      <c r="BD339" s="28"/>
      <c r="BE339" s="43"/>
      <c r="BF339" s="141"/>
      <c r="BG339" s="138"/>
      <c r="BH339" s="28"/>
      <c r="BI339" s="141"/>
      <c r="BJ339" s="28"/>
    </row>
    <row r="340" spans="1:62" x14ac:dyDescent="0.3">
      <c r="A340" s="287" t="s">
        <v>181</v>
      </c>
      <c r="B340" s="135">
        <v>3713</v>
      </c>
      <c r="C340" s="135">
        <v>3414</v>
      </c>
      <c r="D340" s="134">
        <v>0</v>
      </c>
      <c r="E340" s="135"/>
      <c r="F340" s="136">
        <v>0</v>
      </c>
      <c r="G340" s="134">
        <v>1</v>
      </c>
      <c r="H340" s="278" t="s">
        <v>182</v>
      </c>
      <c r="I340" s="135"/>
      <c r="J340" s="332"/>
      <c r="Y340" s="32" t="s">
        <v>88</v>
      </c>
      <c r="Z340" s="33"/>
      <c r="AA340" s="35"/>
      <c r="AB340" s="33"/>
      <c r="AC340" s="34">
        <v>0</v>
      </c>
      <c r="AD340" s="35">
        <v>0</v>
      </c>
      <c r="AE340" s="33"/>
      <c r="AF340" s="35">
        <v>6617</v>
      </c>
      <c r="AG340" s="32">
        <v>0</v>
      </c>
      <c r="AH340" s="33" t="s">
        <v>157</v>
      </c>
      <c r="AI340" s="34"/>
      <c r="AJ340" s="97"/>
      <c r="AM340" s="138" t="s">
        <v>81</v>
      </c>
      <c r="AN340" s="138">
        <v>15</v>
      </c>
      <c r="AO340" s="141">
        <v>12</v>
      </c>
      <c r="AP340" s="138">
        <v>0</v>
      </c>
      <c r="AQ340" s="141">
        <v>0</v>
      </c>
      <c r="AR340" s="138"/>
      <c r="AS340" s="43">
        <v>1</v>
      </c>
      <c r="AT340" s="43" t="s">
        <v>244</v>
      </c>
      <c r="AU340" s="43"/>
      <c r="AV340" s="141"/>
      <c r="AY340" s="196" t="s">
        <v>523</v>
      </c>
      <c r="AZ340" s="138">
        <v>0</v>
      </c>
      <c r="BA340" s="141">
        <v>5</v>
      </c>
      <c r="BB340" s="268" t="s">
        <v>1473</v>
      </c>
      <c r="BC340" s="43"/>
      <c r="BD340" s="141"/>
      <c r="BE340" s="43"/>
      <c r="BF340" s="141"/>
      <c r="BG340" s="138" t="s">
        <v>142</v>
      </c>
      <c r="BH340" s="43"/>
      <c r="BI340" s="141" t="s">
        <v>1890</v>
      </c>
      <c r="BJ340" s="28"/>
    </row>
    <row r="341" spans="1:62" x14ac:dyDescent="0.3">
      <c r="A341" s="288"/>
      <c r="B341" s="28"/>
      <c r="C341" s="28"/>
      <c r="D341" s="138"/>
      <c r="E341" s="28"/>
      <c r="F341" s="141"/>
      <c r="G341" s="138"/>
      <c r="H341" s="42"/>
      <c r="I341" s="28"/>
      <c r="J341" s="56"/>
      <c r="Y341" s="41" t="s">
        <v>99</v>
      </c>
      <c r="Z341" s="42"/>
      <c r="AA341" s="56"/>
      <c r="AB341" s="67"/>
      <c r="AC341" s="43">
        <v>0</v>
      </c>
      <c r="AD341" s="56">
        <v>0</v>
      </c>
      <c r="AE341" s="42">
        <v>77478</v>
      </c>
      <c r="AF341" s="56">
        <v>60712</v>
      </c>
      <c r="AG341" s="41">
        <v>0</v>
      </c>
      <c r="AH341" s="67">
        <v>15</v>
      </c>
      <c r="AI341" s="28" t="s">
        <v>1887</v>
      </c>
      <c r="AJ341" s="56"/>
      <c r="AM341" s="138" t="s">
        <v>230</v>
      </c>
      <c r="AN341" s="138">
        <v>3</v>
      </c>
      <c r="AO341" s="141">
        <v>0</v>
      </c>
      <c r="AP341" s="138">
        <v>0</v>
      </c>
      <c r="AQ341" s="141">
        <v>0</v>
      </c>
      <c r="AR341" s="138"/>
      <c r="AS341" s="43">
        <v>1</v>
      </c>
      <c r="AT341" s="43" t="s">
        <v>216</v>
      </c>
      <c r="AU341" s="43"/>
      <c r="AV341" s="141"/>
      <c r="AY341" s="196" t="s">
        <v>113</v>
      </c>
      <c r="AZ341" s="138">
        <v>103</v>
      </c>
      <c r="BA341" s="141">
        <v>109</v>
      </c>
      <c r="BB341" s="268" t="s">
        <v>652</v>
      </c>
      <c r="BC341" s="255">
        <v>4</v>
      </c>
      <c r="BD341" s="141">
        <v>4</v>
      </c>
      <c r="BE341" s="43"/>
      <c r="BF341" s="141"/>
      <c r="BG341" s="138" t="s">
        <v>146</v>
      </c>
      <c r="BH341" s="28"/>
      <c r="BI341" s="256" t="s">
        <v>1476</v>
      </c>
      <c r="BJ341" s="28"/>
    </row>
    <row r="342" spans="1:62" x14ac:dyDescent="0.3">
      <c r="A342" s="288" t="s">
        <v>84</v>
      </c>
      <c r="B342" s="28">
        <v>3713</v>
      </c>
      <c r="C342" s="43">
        <v>3414</v>
      </c>
      <c r="D342" s="138">
        <v>0</v>
      </c>
      <c r="E342" s="43"/>
      <c r="F342" s="141">
        <v>0</v>
      </c>
      <c r="G342" s="138"/>
      <c r="H342" s="42">
        <v>31</v>
      </c>
      <c r="I342" s="28" t="s">
        <v>101</v>
      </c>
      <c r="J342" s="56"/>
      <c r="Y342" s="41" t="s">
        <v>1411</v>
      </c>
      <c r="Z342" s="42"/>
      <c r="AA342" s="56"/>
      <c r="AB342" s="67"/>
      <c r="AC342" s="43">
        <v>0</v>
      </c>
      <c r="AD342" s="56">
        <v>0</v>
      </c>
      <c r="AE342" s="42"/>
      <c r="AF342" s="56"/>
      <c r="AG342" s="41">
        <v>0</v>
      </c>
      <c r="AH342" s="42"/>
      <c r="AI342" s="28"/>
      <c r="AJ342" s="56"/>
      <c r="AM342" s="138" t="s">
        <v>63</v>
      </c>
      <c r="AN342" s="138">
        <v>5</v>
      </c>
      <c r="AO342" s="141">
        <v>5</v>
      </c>
      <c r="AP342" s="138">
        <v>0</v>
      </c>
      <c r="AQ342" s="141">
        <v>0</v>
      </c>
      <c r="AR342" s="138"/>
      <c r="AS342" s="43"/>
      <c r="AT342" s="43" t="s">
        <v>1891</v>
      </c>
      <c r="AU342" s="28"/>
      <c r="AV342" s="141"/>
      <c r="AY342" s="196" t="s">
        <v>85</v>
      </c>
      <c r="AZ342" s="138">
        <v>5</v>
      </c>
      <c r="BA342" s="141">
        <v>0</v>
      </c>
      <c r="BB342" s="268" t="s">
        <v>1247</v>
      </c>
      <c r="BC342" s="43"/>
      <c r="BD342" s="141"/>
      <c r="BE342" s="43"/>
      <c r="BF342" s="141"/>
      <c r="BG342" s="212" t="s">
        <v>1892</v>
      </c>
      <c r="BH342" s="43" t="s">
        <v>1893</v>
      </c>
      <c r="BI342" s="209" t="s">
        <v>1894</v>
      </c>
      <c r="BJ342" s="28"/>
    </row>
    <row r="343" spans="1:62" ht="15" thickBot="1" x14ac:dyDescent="0.35">
      <c r="A343" s="289"/>
      <c r="B343" s="48"/>
      <c r="C343" s="48"/>
      <c r="D343" s="202"/>
      <c r="E343" s="48"/>
      <c r="F343" s="203"/>
      <c r="G343" s="202"/>
      <c r="H343" s="47"/>
      <c r="I343" s="51"/>
      <c r="J343" s="73">
        <v>31</v>
      </c>
      <c r="Y343" s="68" t="s">
        <v>85</v>
      </c>
      <c r="Z343" s="42"/>
      <c r="AA343" s="56"/>
      <c r="AB343" s="42"/>
      <c r="AC343" s="43">
        <v>0</v>
      </c>
      <c r="AD343" s="40">
        <v>0</v>
      </c>
      <c r="AE343" s="42">
        <v>7582</v>
      </c>
      <c r="AF343" s="56">
        <v>14155</v>
      </c>
      <c r="AG343" s="41">
        <v>0</v>
      </c>
      <c r="AH343" s="42"/>
      <c r="AI343" s="43"/>
      <c r="AJ343" s="56"/>
      <c r="AM343" s="138" t="s">
        <v>1895</v>
      </c>
      <c r="AN343" s="138">
        <v>0</v>
      </c>
      <c r="AO343" s="141">
        <v>1</v>
      </c>
      <c r="AP343" s="138">
        <v>0</v>
      </c>
      <c r="AQ343" s="141">
        <v>0</v>
      </c>
      <c r="AR343" s="138"/>
      <c r="AS343" s="220"/>
      <c r="AT343" s="220" t="s">
        <v>1896</v>
      </c>
      <c r="AU343" s="28"/>
      <c r="AV343" s="141"/>
      <c r="AY343" s="196" t="s">
        <v>1670</v>
      </c>
      <c r="AZ343" s="138">
        <v>4</v>
      </c>
      <c r="BA343" s="141">
        <v>0</v>
      </c>
      <c r="BB343" s="268" t="s">
        <v>158</v>
      </c>
      <c r="BC343" s="43">
        <v>8</v>
      </c>
      <c r="BD343" s="141">
        <v>0</v>
      </c>
      <c r="BE343" s="43"/>
      <c r="BF343" s="141"/>
      <c r="BG343" s="212" t="s">
        <v>757</v>
      </c>
      <c r="BH343" s="43" t="s">
        <v>1897</v>
      </c>
      <c r="BI343" s="209" t="s">
        <v>1898</v>
      </c>
      <c r="BJ343" s="28"/>
    </row>
    <row r="344" spans="1:62" ht="15" thickBot="1" x14ac:dyDescent="0.35">
      <c r="A344" s="254" t="s">
        <v>84</v>
      </c>
      <c r="B344" s="274">
        <v>46253</v>
      </c>
      <c r="C344" s="172">
        <v>52748</v>
      </c>
      <c r="D344" s="275">
        <v>0</v>
      </c>
      <c r="E344" s="253">
        <v>3558</v>
      </c>
      <c r="F344" s="253">
        <v>0</v>
      </c>
      <c r="G344" s="171">
        <v>8</v>
      </c>
      <c r="H344" s="171"/>
      <c r="I344" s="170"/>
      <c r="J344" s="172">
        <v>448</v>
      </c>
      <c r="Y344" s="68" t="s">
        <v>105</v>
      </c>
      <c r="Z344" s="42"/>
      <c r="AA344" s="56"/>
      <c r="AB344" s="67"/>
      <c r="AC344" s="43">
        <v>0</v>
      </c>
      <c r="AD344" s="56">
        <v>0</v>
      </c>
      <c r="AE344" s="42"/>
      <c r="AF344" s="56">
        <v>9032</v>
      </c>
      <c r="AG344" s="41">
        <v>0</v>
      </c>
      <c r="AH344" s="67"/>
      <c r="AI344" s="28"/>
      <c r="AJ344" s="56"/>
      <c r="AM344" s="138" t="s">
        <v>84</v>
      </c>
      <c r="AN344" s="138">
        <v>182</v>
      </c>
      <c r="AO344" s="141">
        <v>199</v>
      </c>
      <c r="AP344" s="138">
        <v>0</v>
      </c>
      <c r="AQ344" s="141">
        <v>0</v>
      </c>
      <c r="AR344" s="142"/>
      <c r="AS344" s="224">
        <v>1</v>
      </c>
      <c r="AT344" s="224" t="s">
        <v>433</v>
      </c>
      <c r="AU344" s="143"/>
      <c r="AV344" s="146">
        <v>149</v>
      </c>
      <c r="AY344" s="196" t="s">
        <v>99</v>
      </c>
      <c r="AZ344" s="138">
        <v>3</v>
      </c>
      <c r="BA344" s="141">
        <v>15</v>
      </c>
      <c r="BB344" s="268" t="s">
        <v>574</v>
      </c>
      <c r="BC344" s="43"/>
      <c r="BD344" s="141"/>
      <c r="BE344" s="43"/>
      <c r="BF344" s="141"/>
      <c r="BG344" s="333" t="s">
        <v>1899</v>
      </c>
      <c r="BH344" s="222" t="s">
        <v>1900</v>
      </c>
      <c r="BI344" s="209" t="s">
        <v>1901</v>
      </c>
      <c r="BJ344" s="28"/>
    </row>
    <row r="345" spans="1:62" ht="15" thickBot="1" x14ac:dyDescent="0.35">
      <c r="Y345" s="68" t="s">
        <v>102</v>
      </c>
      <c r="Z345" s="67"/>
      <c r="AA345" s="56"/>
      <c r="AB345" s="42"/>
      <c r="AC345" s="43">
        <v>0</v>
      </c>
      <c r="AD345" s="40">
        <v>0</v>
      </c>
      <c r="AE345" s="67">
        <v>10923</v>
      </c>
      <c r="AF345" s="56">
        <v>0</v>
      </c>
      <c r="AG345" s="41">
        <v>0</v>
      </c>
      <c r="AH345" s="42"/>
      <c r="AI345" s="28"/>
      <c r="AJ345" s="56"/>
      <c r="AM345" s="171" t="s">
        <v>84</v>
      </c>
      <c r="AN345" s="171">
        <v>2052</v>
      </c>
      <c r="AO345" s="172">
        <v>1949</v>
      </c>
      <c r="AP345" s="170">
        <v>0</v>
      </c>
      <c r="AQ345" s="172">
        <v>0</v>
      </c>
      <c r="AR345" s="48"/>
      <c r="AS345" s="48"/>
      <c r="AT345" s="48"/>
      <c r="AU345" s="48"/>
      <c r="AV345" s="49">
        <v>362</v>
      </c>
      <c r="AY345" s="196" t="s">
        <v>200</v>
      </c>
      <c r="AZ345" s="138">
        <v>16</v>
      </c>
      <c r="BA345" s="141">
        <v>10</v>
      </c>
      <c r="BB345" s="268" t="s">
        <v>1482</v>
      </c>
      <c r="BC345" s="43"/>
      <c r="BD345" s="141"/>
      <c r="BE345" s="43"/>
      <c r="BF345" s="141"/>
      <c r="BG345" s="212" t="s">
        <v>1902</v>
      </c>
      <c r="BH345" s="43" t="s">
        <v>1903</v>
      </c>
      <c r="BI345" s="209" t="s">
        <v>1904</v>
      </c>
      <c r="BJ345" s="28"/>
    </row>
    <row r="346" spans="1:62" x14ac:dyDescent="0.3">
      <c r="Y346" s="68" t="s">
        <v>108</v>
      </c>
      <c r="Z346" s="67"/>
      <c r="AA346" s="56"/>
      <c r="AB346" s="67"/>
      <c r="AC346" s="43">
        <v>0</v>
      </c>
      <c r="AD346" s="56">
        <v>0</v>
      </c>
      <c r="AE346" s="67">
        <v>13847</v>
      </c>
      <c r="AF346" s="56">
        <v>33136</v>
      </c>
      <c r="AG346" s="41">
        <v>0</v>
      </c>
      <c r="AH346" s="67"/>
      <c r="AI346" s="28"/>
      <c r="AJ346" s="56"/>
      <c r="AM346" s="28"/>
      <c r="AN346" s="28"/>
      <c r="AO346" s="28"/>
      <c r="AP346" s="28"/>
      <c r="AQ346" s="28"/>
      <c r="AR346" s="28"/>
      <c r="AS346" s="43"/>
      <c r="AT346" s="43"/>
      <c r="AU346" s="28"/>
      <c r="AV346" s="28"/>
      <c r="AY346" s="196" t="s">
        <v>250</v>
      </c>
      <c r="AZ346" s="138">
        <v>0</v>
      </c>
      <c r="BA346" s="141">
        <v>1</v>
      </c>
      <c r="BB346" s="268" t="s">
        <v>1484</v>
      </c>
      <c r="BC346" s="43"/>
      <c r="BD346" s="141"/>
      <c r="BE346" s="43"/>
      <c r="BF346" s="141"/>
      <c r="BG346" s="212" t="s">
        <v>1905</v>
      </c>
      <c r="BH346" s="43" t="s">
        <v>1906</v>
      </c>
      <c r="BI346" s="209" t="s">
        <v>1907</v>
      </c>
      <c r="BJ346" s="28"/>
    </row>
    <row r="347" spans="1:62" x14ac:dyDescent="0.3">
      <c r="Y347" s="68" t="s">
        <v>445</v>
      </c>
      <c r="Z347" s="42"/>
      <c r="AA347" s="40"/>
      <c r="AB347" s="42"/>
      <c r="AC347" s="43">
        <v>0</v>
      </c>
      <c r="AD347" s="40">
        <v>0</v>
      </c>
      <c r="AE347" s="42">
        <v>11280</v>
      </c>
      <c r="AF347" s="40"/>
      <c r="AG347" s="41">
        <v>0</v>
      </c>
      <c r="AH347" s="42"/>
      <c r="AI347" s="28"/>
      <c r="AJ347" s="56"/>
      <c r="AM347" s="28"/>
      <c r="AN347" s="28"/>
      <c r="AO347" s="28"/>
      <c r="AP347" s="28"/>
      <c r="AQ347" s="28"/>
      <c r="AR347" s="28"/>
      <c r="AS347" s="220"/>
      <c r="AT347" s="220"/>
      <c r="AU347" s="28"/>
      <c r="AV347" s="28"/>
      <c r="AY347" s="196" t="s">
        <v>218</v>
      </c>
      <c r="AZ347" s="138">
        <v>7</v>
      </c>
      <c r="BA347" s="141">
        <v>34</v>
      </c>
      <c r="BB347" s="268" t="s">
        <v>358</v>
      </c>
      <c r="BC347" s="270">
        <v>0</v>
      </c>
      <c r="BD347" s="141">
        <v>4</v>
      </c>
      <c r="BE347" s="43"/>
      <c r="BF347" s="141"/>
      <c r="BG347" s="212" t="s">
        <v>1908</v>
      </c>
      <c r="BH347" s="43" t="s">
        <v>1909</v>
      </c>
      <c r="BI347" s="209" t="s">
        <v>333</v>
      </c>
      <c r="BJ347" s="28"/>
    </row>
    <row r="348" spans="1:62" ht="15" thickBot="1" x14ac:dyDescent="0.35">
      <c r="Y348" s="68" t="s">
        <v>84</v>
      </c>
      <c r="Z348" s="42"/>
      <c r="AA348" s="40"/>
      <c r="AB348" s="42"/>
      <c r="AC348" s="43">
        <v>0</v>
      </c>
      <c r="AD348" s="40">
        <v>0</v>
      </c>
      <c r="AE348" s="42">
        <v>121110</v>
      </c>
      <c r="AF348" s="40">
        <v>123652</v>
      </c>
      <c r="AG348" s="41">
        <v>0</v>
      </c>
      <c r="AH348" s="42"/>
      <c r="AI348" s="28"/>
      <c r="AJ348" s="209">
        <v>15</v>
      </c>
      <c r="AM348" s="28"/>
      <c r="AN348" s="28"/>
      <c r="AO348" s="28"/>
      <c r="AP348" s="28"/>
      <c r="AQ348" s="28"/>
      <c r="AR348" s="28"/>
      <c r="AS348" s="43"/>
      <c r="AT348" s="43"/>
      <c r="AU348" s="28"/>
      <c r="AV348" s="28"/>
      <c r="AY348" s="196" t="s">
        <v>1910</v>
      </c>
      <c r="AZ348" s="138">
        <v>0</v>
      </c>
      <c r="BA348" s="141">
        <v>5</v>
      </c>
      <c r="BB348" s="268" t="s">
        <v>1487</v>
      </c>
      <c r="BC348" s="43"/>
      <c r="BD348" s="141"/>
      <c r="BE348" s="43"/>
      <c r="BF348" s="141"/>
      <c r="BG348" s="212" t="s">
        <v>1911</v>
      </c>
      <c r="BH348" s="43" t="s">
        <v>1912</v>
      </c>
      <c r="BI348" s="209" t="s">
        <v>1913</v>
      </c>
      <c r="BJ348" s="28"/>
    </row>
    <row r="349" spans="1:62" x14ac:dyDescent="0.3">
      <c r="Y349" s="32"/>
      <c r="Z349" s="33"/>
      <c r="AA349" s="35"/>
      <c r="AB349" s="33"/>
      <c r="AC349" s="123">
        <v>0</v>
      </c>
      <c r="AD349" s="35">
        <v>0</v>
      </c>
      <c r="AE349" s="33"/>
      <c r="AF349" s="35"/>
      <c r="AG349" s="32">
        <v>0</v>
      </c>
      <c r="AH349" s="33" t="s">
        <v>1326</v>
      </c>
      <c r="AI349" s="34"/>
      <c r="AJ349" s="35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Y349" s="196" t="s">
        <v>108</v>
      </c>
      <c r="AZ349" s="138">
        <v>25</v>
      </c>
      <c r="BA349" s="141">
        <v>4</v>
      </c>
      <c r="BB349" s="268" t="s">
        <v>297</v>
      </c>
      <c r="BC349" s="43"/>
      <c r="BD349" s="141"/>
      <c r="BE349" s="43"/>
      <c r="BF349" s="141"/>
      <c r="BG349" s="212" t="s">
        <v>1914</v>
      </c>
      <c r="BH349" s="43" t="s">
        <v>1915</v>
      </c>
      <c r="BI349" s="141" t="s">
        <v>1916</v>
      </c>
      <c r="BJ349" s="28"/>
    </row>
    <row r="350" spans="1:62" x14ac:dyDescent="0.3">
      <c r="Y350" s="41" t="s">
        <v>102</v>
      </c>
      <c r="Z350" s="42">
        <v>226</v>
      </c>
      <c r="AA350" s="40">
        <v>249</v>
      </c>
      <c r="AB350" s="67"/>
      <c r="AC350" s="43">
        <v>0</v>
      </c>
      <c r="AD350" s="56">
        <v>0</v>
      </c>
      <c r="AE350" s="42"/>
      <c r="AF350" s="40"/>
      <c r="AG350" s="41">
        <v>0</v>
      </c>
      <c r="AH350" s="67"/>
      <c r="AI350" s="28"/>
      <c r="AJ350" s="40"/>
      <c r="AS350" s="43"/>
      <c r="AT350" s="43"/>
      <c r="AU350" s="43"/>
      <c r="AV350" s="28"/>
      <c r="AY350" s="196" t="s">
        <v>1917</v>
      </c>
      <c r="AZ350" s="138">
        <v>0</v>
      </c>
      <c r="BA350" s="141">
        <v>21</v>
      </c>
      <c r="BB350" s="268" t="s">
        <v>1492</v>
      </c>
      <c r="BC350" s="270"/>
      <c r="BD350" s="141"/>
      <c r="BE350" s="43"/>
      <c r="BF350" s="141"/>
      <c r="BG350" s="138" t="s">
        <v>1918</v>
      </c>
      <c r="BH350" s="43" t="s">
        <v>1919</v>
      </c>
      <c r="BI350" s="260" t="s">
        <v>1920</v>
      </c>
      <c r="BJ350" s="28"/>
    </row>
    <row r="351" spans="1:62" ht="15" thickBot="1" x14ac:dyDescent="0.35">
      <c r="Y351" s="46" t="s">
        <v>84</v>
      </c>
      <c r="Z351" s="47">
        <v>226</v>
      </c>
      <c r="AA351" s="49">
        <v>249</v>
      </c>
      <c r="AB351" s="47"/>
      <c r="AC351" s="48">
        <v>0</v>
      </c>
      <c r="AD351" s="49">
        <v>0</v>
      </c>
      <c r="AE351" s="47"/>
      <c r="AF351" s="49"/>
      <c r="AG351" s="46">
        <v>0</v>
      </c>
      <c r="AH351" s="47"/>
      <c r="AI351" s="48"/>
      <c r="AJ351" s="49">
        <v>9</v>
      </c>
      <c r="AS351" s="28"/>
      <c r="AT351" s="43"/>
      <c r="AU351" s="43"/>
      <c r="AV351" s="28"/>
      <c r="AY351" s="196" t="s">
        <v>1661</v>
      </c>
      <c r="AZ351" s="138">
        <v>0</v>
      </c>
      <c r="BA351" s="141">
        <v>6</v>
      </c>
      <c r="BB351" s="268" t="s">
        <v>1495</v>
      </c>
      <c r="BC351" s="270"/>
      <c r="BD351" s="141"/>
      <c r="BE351" s="43"/>
      <c r="BF351" s="141"/>
      <c r="BG351" s="138" t="s">
        <v>1921</v>
      </c>
      <c r="BH351" s="43" t="s">
        <v>1891</v>
      </c>
      <c r="BI351" s="209" t="s">
        <v>1922</v>
      </c>
      <c r="BJ351" s="28"/>
    </row>
    <row r="352" spans="1:62" ht="15" thickBot="1" x14ac:dyDescent="0.35">
      <c r="Y352" s="254" t="s">
        <v>84</v>
      </c>
      <c r="Z352" s="171">
        <v>3239</v>
      </c>
      <c r="AA352" s="172">
        <v>3838</v>
      </c>
      <c r="AB352" s="271">
        <v>0</v>
      </c>
      <c r="AC352" s="170"/>
      <c r="AD352" s="172"/>
      <c r="AE352" s="47">
        <v>169816</v>
      </c>
      <c r="AF352" s="49">
        <v>127588</v>
      </c>
      <c r="AG352" s="46"/>
      <c r="AH352" s="291" t="s">
        <v>1923</v>
      </c>
      <c r="AI352" s="170"/>
      <c r="AJ352" s="172">
        <v>55</v>
      </c>
      <c r="AS352" s="43"/>
      <c r="AT352" s="43"/>
      <c r="AU352" s="43"/>
      <c r="AV352" s="28"/>
      <c r="AY352" s="196" t="s">
        <v>1009</v>
      </c>
      <c r="AZ352" s="138">
        <v>0</v>
      </c>
      <c r="BA352" s="141">
        <v>1</v>
      </c>
      <c r="BB352" s="268" t="s">
        <v>1425</v>
      </c>
      <c r="BC352" s="270"/>
      <c r="BD352" s="141"/>
      <c r="BE352" s="43"/>
      <c r="BF352" s="141"/>
      <c r="BG352" s="138" t="s">
        <v>1924</v>
      </c>
      <c r="BH352" s="43"/>
      <c r="BI352" s="141"/>
      <c r="BJ352" s="28"/>
    </row>
    <row r="353" spans="25:62" ht="15.6" x14ac:dyDescent="0.3">
      <c r="Y353" s="28"/>
      <c r="Z353" s="28"/>
      <c r="AA353" s="28"/>
      <c r="AB353" s="28"/>
      <c r="AC353" s="28"/>
      <c r="AD353" s="28"/>
      <c r="AE353" s="28"/>
      <c r="AF353" s="28"/>
      <c r="AG353" s="28"/>
      <c r="AH353" s="43"/>
      <c r="AI353" s="28"/>
      <c r="AJ353" s="28"/>
      <c r="AS353" s="43"/>
      <c r="AT353" s="28"/>
      <c r="AU353" s="28"/>
      <c r="AV353" s="28"/>
      <c r="AY353" s="259" t="s">
        <v>133</v>
      </c>
      <c r="AZ353" s="138">
        <v>29</v>
      </c>
      <c r="BA353" s="141">
        <v>17</v>
      </c>
      <c r="BB353" s="268" t="s">
        <v>526</v>
      </c>
      <c r="BC353" s="270"/>
      <c r="BD353" s="141"/>
      <c r="BE353" s="43"/>
      <c r="BF353" s="141"/>
      <c r="BG353" s="138"/>
      <c r="BH353" s="258"/>
      <c r="BI353" s="260"/>
      <c r="BJ353" s="28"/>
    </row>
    <row r="354" spans="25:62" ht="15.6" x14ac:dyDescent="0.3">
      <c r="AS354" s="43"/>
      <c r="AT354" s="28"/>
      <c r="AU354" s="28"/>
      <c r="AV354" s="28"/>
      <c r="AY354" s="196" t="s">
        <v>93</v>
      </c>
      <c r="AZ354" s="138"/>
      <c r="BA354" s="141"/>
      <c r="BB354" s="268" t="s">
        <v>190</v>
      </c>
      <c r="BC354" s="270">
        <v>2</v>
      </c>
      <c r="BD354" s="141">
        <v>1</v>
      </c>
      <c r="BE354" s="43"/>
      <c r="BF354" s="141"/>
      <c r="BG354" s="138"/>
      <c r="BH354" s="258"/>
      <c r="BI354" s="141"/>
      <c r="BJ354" s="28"/>
    </row>
    <row r="355" spans="25:62" x14ac:dyDescent="0.3">
      <c r="AQ355" s="28"/>
      <c r="AS355" s="43"/>
      <c r="AT355" s="28"/>
      <c r="AU355" s="28"/>
      <c r="AV355" s="28"/>
      <c r="AY355" s="196" t="s">
        <v>1501</v>
      </c>
      <c r="AZ355" s="138"/>
      <c r="BA355" s="141"/>
      <c r="BB355" s="268" t="s">
        <v>214</v>
      </c>
      <c r="BC355" s="270">
        <v>2</v>
      </c>
      <c r="BD355" s="141">
        <v>0</v>
      </c>
      <c r="BE355" s="43"/>
      <c r="BF355" s="141"/>
      <c r="BG355" s="138"/>
      <c r="BH355" s="228"/>
      <c r="BI355" s="293"/>
      <c r="BJ355" s="28"/>
    </row>
    <row r="356" spans="25:62" ht="15.6" x14ac:dyDescent="0.3">
      <c r="AQ356" s="28"/>
      <c r="AS356" s="43"/>
      <c r="AT356" s="43"/>
      <c r="AU356" s="43"/>
      <c r="AV356" s="28"/>
      <c r="AY356" s="196" t="s">
        <v>1041</v>
      </c>
      <c r="AZ356" s="138">
        <v>2</v>
      </c>
      <c r="BA356" s="141">
        <v>0</v>
      </c>
      <c r="BB356" s="268" t="s">
        <v>1925</v>
      </c>
      <c r="BC356" s="270">
        <v>30</v>
      </c>
      <c r="BD356" s="141">
        <v>30</v>
      </c>
      <c r="BE356" s="43"/>
      <c r="BF356" s="141"/>
      <c r="BG356" s="138"/>
      <c r="BH356" s="258"/>
      <c r="BI356" s="141"/>
      <c r="BJ356" s="28"/>
    </row>
    <row r="357" spans="25:62" ht="16.2" thickBot="1" x14ac:dyDescent="0.35">
      <c r="AE357" s="28"/>
      <c r="AO357" s="28"/>
      <c r="AQ357" s="28"/>
      <c r="AS357" s="43"/>
      <c r="AT357" s="28"/>
      <c r="AU357" s="28"/>
      <c r="AV357" s="28"/>
      <c r="AY357" s="196" t="s">
        <v>107</v>
      </c>
      <c r="AZ357" s="138">
        <v>97</v>
      </c>
      <c r="BA357" s="141">
        <v>0</v>
      </c>
      <c r="BB357" s="268" t="s">
        <v>467</v>
      </c>
      <c r="BC357" s="270"/>
      <c r="BD357" s="141"/>
      <c r="BE357" s="43"/>
      <c r="BF357" s="141"/>
      <c r="BG357" s="138"/>
      <c r="BH357" s="258"/>
      <c r="BI357" s="141">
        <v>84</v>
      </c>
      <c r="BJ357" s="28"/>
    </row>
    <row r="358" spans="25:62" ht="15" thickBot="1" x14ac:dyDescent="0.35">
      <c r="AO358" s="28"/>
      <c r="AQ358" s="28"/>
      <c r="AY358" s="271" t="s">
        <v>84</v>
      </c>
      <c r="AZ358" s="271">
        <v>299</v>
      </c>
      <c r="BA358" s="272">
        <v>232</v>
      </c>
      <c r="BB358" s="34" t="s">
        <v>84</v>
      </c>
      <c r="BC358" s="34">
        <v>46</v>
      </c>
      <c r="BD358" s="34">
        <v>39</v>
      </c>
      <c r="BE358" s="33">
        <v>77759</v>
      </c>
      <c r="BF358" s="35">
        <v>26000</v>
      </c>
      <c r="BG358" s="294"/>
      <c r="BH358" s="34"/>
      <c r="BI358" s="35">
        <v>284</v>
      </c>
      <c r="BJ358" s="28"/>
    </row>
    <row r="359" spans="25:62" x14ac:dyDescent="0.3">
      <c r="AO359" s="28"/>
      <c r="AQ359" s="28"/>
      <c r="AY359" s="33" t="s">
        <v>223</v>
      </c>
      <c r="AZ359" s="295">
        <v>7884</v>
      </c>
      <c r="BA359" s="296">
        <v>7798</v>
      </c>
      <c r="BB359" s="297"/>
      <c r="BC359" s="34" t="s">
        <v>1503</v>
      </c>
      <c r="BD359" s="34"/>
      <c r="BE359" s="34"/>
      <c r="BF359" s="34"/>
      <c r="BG359" s="298">
        <v>787</v>
      </c>
      <c r="BH359" s="35"/>
      <c r="BI359" s="35"/>
      <c r="BJ359" s="28"/>
    </row>
    <row r="360" spans="25:62" ht="15" thickBot="1" x14ac:dyDescent="0.35">
      <c r="Y360" s="43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O360" s="28"/>
      <c r="AQ360" s="28"/>
      <c r="AY360" s="42" t="s">
        <v>1340</v>
      </c>
      <c r="AZ360" s="28"/>
      <c r="BA360" s="299">
        <v>84</v>
      </c>
      <c r="BB360" s="47"/>
      <c r="BC360" s="48" t="s">
        <v>1504</v>
      </c>
      <c r="BD360" s="48"/>
      <c r="BE360" s="48"/>
      <c r="BF360" s="48"/>
      <c r="BG360" s="300">
        <v>362</v>
      </c>
      <c r="BH360" s="301">
        <v>1149</v>
      </c>
      <c r="BI360" s="40"/>
      <c r="BJ360" s="28"/>
    </row>
    <row r="361" spans="25:62" ht="15" thickBot="1" x14ac:dyDescent="0.35">
      <c r="Y361" s="28"/>
      <c r="Z361" s="28"/>
      <c r="AA361" s="28"/>
      <c r="AB361" s="28"/>
      <c r="AC361" s="43"/>
      <c r="AD361" s="28"/>
      <c r="AE361" s="28"/>
      <c r="AF361" s="28"/>
      <c r="AG361" s="28"/>
      <c r="AH361" s="28"/>
      <c r="AI361" s="28"/>
      <c r="AJ361" s="28"/>
      <c r="AO361" s="28"/>
      <c r="AQ361" s="28"/>
      <c r="AY361" s="47" t="s">
        <v>229</v>
      </c>
      <c r="AZ361" s="48"/>
      <c r="BA361" s="302">
        <v>1</v>
      </c>
      <c r="BB361" s="28"/>
      <c r="BC361" s="28"/>
      <c r="BD361" s="28"/>
      <c r="BE361" s="28"/>
      <c r="BF361" s="42"/>
      <c r="BG361" s="28"/>
      <c r="BH361" s="42"/>
      <c r="BI361" s="40"/>
      <c r="BJ361" s="28"/>
    </row>
    <row r="362" spans="25:62" x14ac:dyDescent="0.3">
      <c r="Y362" s="43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O362" s="28"/>
      <c r="AQ362" s="28"/>
      <c r="AY362" s="33" t="s">
        <v>232</v>
      </c>
      <c r="AZ362" s="34"/>
      <c r="BA362" s="303" t="s">
        <v>233</v>
      </c>
      <c r="BB362" s="34"/>
      <c r="BC362" s="298">
        <v>2052</v>
      </c>
      <c r="BD362" s="35"/>
      <c r="BE362" s="33" t="s">
        <v>234</v>
      </c>
      <c r="BF362" s="34"/>
      <c r="BG362" s="34" t="s">
        <v>233</v>
      </c>
      <c r="BH362" s="34"/>
      <c r="BI362" s="304">
        <v>7884</v>
      </c>
      <c r="BJ362" s="28"/>
    </row>
    <row r="363" spans="25:62" ht="15" thickBot="1" x14ac:dyDescent="0.35">
      <c r="Y363" s="28"/>
      <c r="Z363" s="28"/>
      <c r="AA363" s="28"/>
      <c r="AB363" s="28"/>
      <c r="AC363" s="43"/>
      <c r="AD363" s="28"/>
      <c r="AE363" s="28"/>
      <c r="AF363" s="28"/>
      <c r="AG363" s="28"/>
      <c r="AH363" s="28"/>
      <c r="AI363" s="28"/>
      <c r="AJ363" s="28"/>
      <c r="AO363" s="28"/>
      <c r="AQ363" s="28"/>
      <c r="AY363" s="47"/>
      <c r="AZ363" s="48"/>
      <c r="BA363" s="48" t="s">
        <v>236</v>
      </c>
      <c r="BB363" s="48"/>
      <c r="BC363" s="300">
        <v>1949</v>
      </c>
      <c r="BD363" s="49"/>
      <c r="BE363" s="42"/>
      <c r="BF363" s="28"/>
      <c r="BG363" s="28" t="s">
        <v>236</v>
      </c>
      <c r="BH363" s="28"/>
      <c r="BI363" s="174">
        <v>7798</v>
      </c>
      <c r="BJ363" s="28"/>
    </row>
    <row r="364" spans="25:62" ht="15" thickBot="1" x14ac:dyDescent="0.35">
      <c r="Y364" s="28"/>
      <c r="Z364" s="28"/>
      <c r="AA364" s="28"/>
      <c r="AB364" s="43"/>
      <c r="AC364" s="43"/>
      <c r="AD364" s="43"/>
      <c r="AE364" s="28"/>
      <c r="AF364" s="28"/>
      <c r="AG364" s="28"/>
      <c r="AH364" s="43"/>
      <c r="AI364" s="28"/>
      <c r="AJ364" s="28"/>
      <c r="AO364" s="28"/>
      <c r="AQ364" s="28"/>
      <c r="AY364" s="171" t="s">
        <v>238</v>
      </c>
      <c r="AZ364" s="170" t="s">
        <v>239</v>
      </c>
      <c r="BA364" s="172"/>
      <c r="BB364" s="171" t="s">
        <v>240</v>
      </c>
      <c r="BC364" s="170" t="s">
        <v>241</v>
      </c>
      <c r="BD364" s="170"/>
      <c r="BE364" s="171"/>
      <c r="BF364" s="170" t="s">
        <v>242</v>
      </c>
      <c r="BG364" s="305" t="s">
        <v>243</v>
      </c>
      <c r="BH364" s="170"/>
      <c r="BI364" s="172"/>
      <c r="BJ364" s="28"/>
    </row>
    <row r="365" spans="25:62" x14ac:dyDescent="0.3"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O365" s="28"/>
      <c r="AQ365" s="28"/>
      <c r="AY365" s="42" t="s">
        <v>233</v>
      </c>
      <c r="AZ365" s="28"/>
      <c r="BA365" s="174">
        <v>46253</v>
      </c>
      <c r="BB365" s="306" t="s">
        <v>233</v>
      </c>
      <c r="BC365" s="28"/>
      <c r="BD365" s="174">
        <v>3239</v>
      </c>
      <c r="BE365" s="42" t="s">
        <v>233</v>
      </c>
      <c r="BF365" s="28"/>
      <c r="BG365" s="174">
        <v>11123</v>
      </c>
      <c r="BH365" s="28" t="s">
        <v>245</v>
      </c>
      <c r="BI365" s="174">
        <v>57376</v>
      </c>
      <c r="BJ365" s="28"/>
    </row>
    <row r="366" spans="25:62" ht="15" thickBot="1" x14ac:dyDescent="0.35">
      <c r="Y366" s="28"/>
      <c r="Z366" s="28"/>
      <c r="AA366" s="28"/>
      <c r="AB366" s="28"/>
      <c r="AC366" s="28"/>
      <c r="AD366" s="28"/>
      <c r="AE366" s="28"/>
      <c r="AF366" s="28"/>
      <c r="AG366" s="28"/>
      <c r="AH366" s="292"/>
      <c r="AI366" s="28"/>
      <c r="AJ366" s="28"/>
      <c r="AO366" s="28"/>
      <c r="AQ366" s="28"/>
      <c r="AY366" s="47" t="s">
        <v>236</v>
      </c>
      <c r="AZ366" s="48"/>
      <c r="BA366" s="301">
        <v>52748</v>
      </c>
      <c r="BB366" s="307" t="s">
        <v>236</v>
      </c>
      <c r="BC366" s="48"/>
      <c r="BD366" s="301">
        <v>3838</v>
      </c>
      <c r="BE366" s="42" t="s">
        <v>236</v>
      </c>
      <c r="BF366" s="28"/>
      <c r="BG366" s="174">
        <v>11636</v>
      </c>
      <c r="BH366" s="28"/>
      <c r="BI366" s="174">
        <v>64384</v>
      </c>
      <c r="BJ366" s="140">
        <v>121760</v>
      </c>
    </row>
    <row r="367" spans="25:62" ht="15" thickBot="1" x14ac:dyDescent="0.35"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Y367" s="271" t="s">
        <v>1505</v>
      </c>
      <c r="AZ367" s="170"/>
      <c r="BA367" s="272"/>
      <c r="BB367" s="271" t="s">
        <v>1506</v>
      </c>
      <c r="BC367" s="170"/>
      <c r="BD367" s="170"/>
      <c r="BE367" s="171"/>
      <c r="BF367" s="170" t="s">
        <v>1507</v>
      </c>
      <c r="BG367" s="170"/>
      <c r="BH367" s="170"/>
      <c r="BI367" s="308"/>
      <c r="BJ367" s="28"/>
    </row>
    <row r="368" spans="25:62" x14ac:dyDescent="0.3">
      <c r="Y368" s="28"/>
      <c r="Z368" s="28"/>
      <c r="AA368" s="28"/>
      <c r="AB368" s="28"/>
      <c r="AC368" s="28"/>
      <c r="AD368" s="28"/>
      <c r="AE368" s="28"/>
      <c r="AF368" s="28"/>
      <c r="AG368" s="28"/>
      <c r="AH368" s="292"/>
      <c r="AI368" s="28"/>
      <c r="AJ368" s="28"/>
      <c r="AY368" s="53" t="s">
        <v>43</v>
      </c>
      <c r="AZ368" s="34" t="s">
        <v>44</v>
      </c>
      <c r="BA368" s="309"/>
      <c r="BB368" s="123" t="s">
        <v>43</v>
      </c>
      <c r="BC368" s="123" t="s">
        <v>44</v>
      </c>
      <c r="BD368" s="35"/>
      <c r="BE368" s="28"/>
      <c r="BF368" s="140">
        <v>3558</v>
      </c>
      <c r="BG368" s="28"/>
      <c r="BH368" s="28"/>
      <c r="BI368" s="40"/>
      <c r="BJ368" s="28"/>
    </row>
    <row r="369" spans="1:62" ht="15" thickBot="1" x14ac:dyDescent="0.35">
      <c r="AY369" s="310">
        <v>204250</v>
      </c>
      <c r="AZ369" s="300">
        <v>205523</v>
      </c>
      <c r="BA369" s="311"/>
      <c r="BB369" s="312">
        <v>80150</v>
      </c>
      <c r="BC369" s="300">
        <v>27555</v>
      </c>
      <c r="BD369" s="49"/>
      <c r="BE369" s="48"/>
      <c r="BF369" s="48"/>
      <c r="BG369" s="48"/>
      <c r="BH369" s="48"/>
      <c r="BI369" s="49"/>
      <c r="BJ369" s="28"/>
    </row>
    <row r="375" spans="1:62" ht="21" x14ac:dyDescent="0.4">
      <c r="B375" s="261"/>
      <c r="C375" s="184"/>
      <c r="E375" s="329" t="s">
        <v>1873</v>
      </c>
      <c r="O375" s="261"/>
      <c r="P375" s="184"/>
      <c r="R375" s="329" t="s">
        <v>1873</v>
      </c>
      <c r="AA375" s="261"/>
      <c r="AB375" s="184"/>
      <c r="AD375" s="329" t="s">
        <v>1873</v>
      </c>
      <c r="AO375" s="261"/>
      <c r="AP375" s="184"/>
      <c r="AR375" s="329" t="s">
        <v>1873</v>
      </c>
      <c r="AY375" s="28"/>
      <c r="AZ375" s="28"/>
      <c r="BA375" s="28"/>
      <c r="BB375" s="218"/>
      <c r="BC375" s="28"/>
      <c r="BD375" s="28"/>
      <c r="BE375" s="28"/>
      <c r="BF375" s="28"/>
      <c r="BG375" s="28"/>
      <c r="BH375" s="28"/>
      <c r="BI375" s="28"/>
      <c r="BJ375" s="28"/>
    </row>
    <row r="376" spans="1:62" ht="21" x14ac:dyDescent="0.4">
      <c r="C376" t="s">
        <v>1443</v>
      </c>
      <c r="Q376" t="s">
        <v>1</v>
      </c>
      <c r="AC376" t="s">
        <v>1444</v>
      </c>
      <c r="AP376" t="s">
        <v>1445</v>
      </c>
      <c r="AY376" s="28"/>
      <c r="AZ376" s="28"/>
      <c r="BA376" s="261"/>
      <c r="BB376" s="184"/>
      <c r="BD376" s="329" t="s">
        <v>1873</v>
      </c>
      <c r="BH376" s="258"/>
      <c r="BI376" s="28"/>
      <c r="BJ376" s="28"/>
    </row>
    <row r="377" spans="1:62" x14ac:dyDescent="0.3">
      <c r="D377" t="s">
        <v>2</v>
      </c>
      <c r="Q377" s="408" t="s">
        <v>1286</v>
      </c>
      <c r="R377" s="408"/>
      <c r="S377" s="408"/>
      <c r="AC377" t="s">
        <v>9</v>
      </c>
      <c r="AQ377" t="s">
        <v>2</v>
      </c>
      <c r="BC377" t="s">
        <v>1445</v>
      </c>
      <c r="BF377" s="28"/>
      <c r="BG377" s="28"/>
      <c r="BH377" s="28"/>
      <c r="BI377" s="28"/>
      <c r="BJ377" s="28"/>
    </row>
    <row r="378" spans="1:62" x14ac:dyDescent="0.3">
      <c r="C378" t="s">
        <v>7</v>
      </c>
      <c r="P378" t="s">
        <v>1446</v>
      </c>
      <c r="AC378" t="s">
        <v>11</v>
      </c>
      <c r="AO378" t="s">
        <v>1447</v>
      </c>
      <c r="BD378" t="s">
        <v>2</v>
      </c>
      <c r="BF378" s="28"/>
      <c r="BG378" s="28"/>
      <c r="BH378" s="28"/>
      <c r="BI378" s="28"/>
      <c r="BJ378" s="28"/>
    </row>
    <row r="379" spans="1:62" x14ac:dyDescent="0.3">
      <c r="B379" s="408" t="s">
        <v>2026</v>
      </c>
      <c r="C379" s="408"/>
      <c r="D379" s="408"/>
      <c r="E379" s="408"/>
      <c r="F379" s="408"/>
      <c r="P379" s="408" t="s">
        <v>2027</v>
      </c>
      <c r="Q379" s="408"/>
      <c r="R379" s="408"/>
      <c r="S379" s="408"/>
      <c r="AC379" s="408" t="s">
        <v>2028</v>
      </c>
      <c r="AD379" s="408"/>
      <c r="AE379" s="408"/>
      <c r="AF379" s="408"/>
      <c r="AP379" s="408" t="s">
        <v>2029</v>
      </c>
      <c r="AQ379" s="408"/>
      <c r="AR379" s="408"/>
      <c r="BB379" t="s">
        <v>1451</v>
      </c>
      <c r="BF379" s="28"/>
      <c r="BG379" s="28"/>
      <c r="BH379" s="28"/>
      <c r="BI379" s="28"/>
      <c r="BJ379" s="28"/>
    </row>
    <row r="380" spans="1:62" ht="15" thickBot="1" x14ac:dyDescent="0.35">
      <c r="I380" s="194" t="s">
        <v>949</v>
      </c>
      <c r="V380" t="s">
        <v>15</v>
      </c>
      <c r="AI380" s="28" t="s">
        <v>25</v>
      </c>
      <c r="AU380" s="194" t="s">
        <v>951</v>
      </c>
      <c r="AY380" s="344"/>
      <c r="AZ380" s="344"/>
      <c r="BA380" s="344"/>
      <c r="BB380" s="344"/>
      <c r="BC380" s="345"/>
      <c r="BD380" s="345" t="s">
        <v>2030</v>
      </c>
      <c r="BE380" s="345"/>
      <c r="BF380" s="343"/>
      <c r="BG380" s="343"/>
      <c r="BH380" s="330" t="s">
        <v>950</v>
      </c>
      <c r="BI380" s="343"/>
      <c r="BJ380" s="28"/>
    </row>
    <row r="381" spans="1:62" ht="15" thickBot="1" x14ac:dyDescent="0.35">
      <c r="A381" s="32" t="s">
        <v>17</v>
      </c>
      <c r="B381" s="34" t="s">
        <v>18</v>
      </c>
      <c r="C381" s="201"/>
      <c r="D381" s="34" t="s">
        <v>19</v>
      </c>
      <c r="E381" s="34"/>
      <c r="F381" s="34"/>
      <c r="G381" s="200"/>
      <c r="H381" s="33" t="s">
        <v>21</v>
      </c>
      <c r="I381" s="34"/>
      <c r="J381" s="35"/>
      <c r="M381" s="32" t="s">
        <v>17</v>
      </c>
      <c r="N381" s="33" t="s">
        <v>22</v>
      </c>
      <c r="O381" s="34"/>
      <c r="P381" s="34" t="s">
        <v>1452</v>
      </c>
      <c r="Q381" s="34" t="s">
        <v>1453</v>
      </c>
      <c r="R381" s="34"/>
      <c r="S381" s="34"/>
      <c r="T381" s="35"/>
      <c r="U381" s="33" t="s">
        <v>21</v>
      </c>
      <c r="V381" s="35"/>
      <c r="Y381" s="33" t="s">
        <v>34</v>
      </c>
      <c r="Z381" s="200" t="s">
        <v>35</v>
      </c>
      <c r="AA381" s="201"/>
      <c r="AB381" s="34" t="s">
        <v>1454</v>
      </c>
      <c r="AC381" s="34" t="s">
        <v>51</v>
      </c>
      <c r="AD381" s="34"/>
      <c r="AE381" s="200" t="s">
        <v>37</v>
      </c>
      <c r="AF381" s="201" t="s">
        <v>1288</v>
      </c>
      <c r="AG381" s="34" t="s">
        <v>30</v>
      </c>
      <c r="AH381" s="200" t="s">
        <v>38</v>
      </c>
      <c r="AI381" s="34"/>
      <c r="AJ381" s="35"/>
      <c r="AM381" s="134" t="s">
        <v>17</v>
      </c>
      <c r="AN381" s="134" t="s">
        <v>39</v>
      </c>
      <c r="AO381" s="136"/>
      <c r="AP381" s="134" t="s">
        <v>29</v>
      </c>
      <c r="AQ381" s="136" t="s">
        <v>30</v>
      </c>
      <c r="AR381" s="135" t="s">
        <v>40</v>
      </c>
      <c r="AS381" s="135"/>
      <c r="AT381" s="135"/>
      <c r="AU381" s="135"/>
      <c r="AV381" s="136"/>
      <c r="AY381" s="195" t="s">
        <v>17</v>
      </c>
      <c r="AZ381" s="134" t="s">
        <v>27</v>
      </c>
      <c r="BA381" s="135"/>
      <c r="BB381" s="134" t="s">
        <v>28</v>
      </c>
      <c r="BC381" s="135"/>
      <c r="BD381" s="136"/>
      <c r="BE381" s="134" t="s">
        <v>1459</v>
      </c>
      <c r="BF381" s="136"/>
      <c r="BG381" s="135" t="s">
        <v>31</v>
      </c>
      <c r="BH381" s="135"/>
      <c r="BI381" s="136"/>
      <c r="BJ381" s="28"/>
    </row>
    <row r="382" spans="1:62" ht="15" thickBot="1" x14ac:dyDescent="0.35">
      <c r="A382" s="41" t="s">
        <v>32</v>
      </c>
      <c r="B382" s="28"/>
      <c r="C382" s="141"/>
      <c r="D382" s="28"/>
      <c r="E382" s="28"/>
      <c r="F382" s="28"/>
      <c r="G382" s="138"/>
      <c r="H382" s="42" t="s">
        <v>33</v>
      </c>
      <c r="I382" s="28"/>
      <c r="J382" s="40"/>
      <c r="M382" s="41"/>
      <c r="N382" s="42" t="s">
        <v>1456</v>
      </c>
      <c r="O382" s="28"/>
      <c r="P382" s="28"/>
      <c r="Q382" s="28"/>
      <c r="R382" s="28"/>
      <c r="S382" s="28" t="s">
        <v>1457</v>
      </c>
      <c r="T382" s="40"/>
      <c r="U382" s="42" t="s">
        <v>33</v>
      </c>
      <c r="V382" s="40"/>
      <c r="Y382" s="47" t="s">
        <v>50</v>
      </c>
      <c r="Z382" s="202" t="s">
        <v>43</v>
      </c>
      <c r="AA382" s="48" t="s">
        <v>44</v>
      </c>
      <c r="AB382" s="276" t="s">
        <v>1458</v>
      </c>
      <c r="AC382" s="48" t="s">
        <v>46</v>
      </c>
      <c r="AD382" s="48" t="s">
        <v>52</v>
      </c>
      <c r="AE382" s="202" t="s">
        <v>43</v>
      </c>
      <c r="AF382" s="203" t="s">
        <v>44</v>
      </c>
      <c r="AG382" s="48" t="s">
        <v>43</v>
      </c>
      <c r="AH382" s="202" t="s">
        <v>53</v>
      </c>
      <c r="AI382" s="48"/>
      <c r="AJ382" s="49"/>
      <c r="AM382" s="138" t="s">
        <v>42</v>
      </c>
      <c r="AN382" s="138" t="s">
        <v>43</v>
      </c>
      <c r="AO382" s="141" t="s">
        <v>44</v>
      </c>
      <c r="AP382" s="138" t="s">
        <v>43</v>
      </c>
      <c r="AQ382" s="141" t="s">
        <v>44</v>
      </c>
      <c r="AR382" s="28"/>
      <c r="AS382" s="28"/>
      <c r="AT382" s="28"/>
      <c r="AU382" s="28"/>
      <c r="AV382" s="141"/>
      <c r="AY382" s="196"/>
      <c r="AZ382" s="138"/>
      <c r="BA382" s="28"/>
      <c r="BB382" s="138"/>
      <c r="BC382" s="28"/>
      <c r="BD382" s="141"/>
      <c r="BE382" s="138"/>
      <c r="BF382" s="141"/>
      <c r="BG382" s="28" t="s">
        <v>41</v>
      </c>
      <c r="BH382" s="28"/>
      <c r="BI382" s="141"/>
      <c r="BJ382" s="28"/>
    </row>
    <row r="383" spans="1:62" ht="15" thickBot="1" x14ac:dyDescent="0.35">
      <c r="A383" s="46" t="s">
        <v>42</v>
      </c>
      <c r="B383" s="170" t="s">
        <v>43</v>
      </c>
      <c r="C383" s="170" t="s">
        <v>44</v>
      </c>
      <c r="D383" s="210" t="s">
        <v>45</v>
      </c>
      <c r="E383" s="170" t="s">
        <v>46</v>
      </c>
      <c r="F383" s="170" t="s">
        <v>47</v>
      </c>
      <c r="G383" s="254" t="s">
        <v>1460</v>
      </c>
      <c r="H383" s="47" t="s">
        <v>49</v>
      </c>
      <c r="I383" s="48"/>
      <c r="J383" s="49"/>
      <c r="M383" s="46" t="s">
        <v>50</v>
      </c>
      <c r="N383" s="47" t="s">
        <v>43</v>
      </c>
      <c r="O383" s="48" t="s">
        <v>44</v>
      </c>
      <c r="P383" s="171" t="s">
        <v>51</v>
      </c>
      <c r="Q383" s="170" t="s">
        <v>43</v>
      </c>
      <c r="R383" s="172" t="s">
        <v>44</v>
      </c>
      <c r="S383" s="48" t="s">
        <v>43</v>
      </c>
      <c r="T383" s="49" t="s">
        <v>44</v>
      </c>
      <c r="U383" s="47" t="s">
        <v>49</v>
      </c>
      <c r="V383" s="49"/>
      <c r="Y383" s="33"/>
      <c r="Z383" s="33"/>
      <c r="AA383" s="35"/>
      <c r="AB383" s="34"/>
      <c r="AC383" s="34"/>
      <c r="AD383" s="34"/>
      <c r="AE383" s="33"/>
      <c r="AF383" s="35"/>
      <c r="AG383" s="32"/>
      <c r="AH383" s="33" t="s">
        <v>62</v>
      </c>
      <c r="AI383" s="34"/>
      <c r="AJ383" s="35"/>
      <c r="AM383" s="134"/>
      <c r="AN383" s="134"/>
      <c r="AO383" s="136"/>
      <c r="AP383" s="134"/>
      <c r="AQ383" s="136"/>
      <c r="AR383" s="135"/>
      <c r="AS383" s="135" t="s">
        <v>91</v>
      </c>
      <c r="AT383" s="135"/>
      <c r="AU383" s="135"/>
      <c r="AV383" s="136"/>
      <c r="AY383" s="199" t="s">
        <v>42</v>
      </c>
      <c r="AZ383" s="142" t="s">
        <v>43</v>
      </c>
      <c r="BA383" s="143" t="s">
        <v>44</v>
      </c>
      <c r="BB383" s="142" t="s">
        <v>45</v>
      </c>
      <c r="BC383" s="143" t="s">
        <v>46</v>
      </c>
      <c r="BD383" s="146" t="s">
        <v>52</v>
      </c>
      <c r="BE383" s="142" t="s">
        <v>43</v>
      </c>
      <c r="BF383" s="146" t="s">
        <v>44</v>
      </c>
      <c r="BG383" s="143" t="s">
        <v>54</v>
      </c>
      <c r="BH383" s="143"/>
      <c r="BI383" s="146"/>
      <c r="BJ383" s="28"/>
    </row>
    <row r="384" spans="1:62" x14ac:dyDescent="0.3">
      <c r="A384" s="42"/>
      <c r="B384" s="138"/>
      <c r="C384" s="28"/>
      <c r="D384" s="138"/>
      <c r="E384" s="28"/>
      <c r="F384" s="28"/>
      <c r="G384" s="138"/>
      <c r="H384" s="33" t="s">
        <v>396</v>
      </c>
      <c r="I384" s="34"/>
      <c r="J384" s="35"/>
      <c r="M384" s="42"/>
      <c r="N384" s="138"/>
      <c r="O384" s="196"/>
      <c r="P384" s="138"/>
      <c r="Q384" s="196"/>
      <c r="R384" s="141"/>
      <c r="S384" s="138"/>
      <c r="T384" s="138"/>
      <c r="U384" s="33" t="s">
        <v>396</v>
      </c>
      <c r="V384" s="35"/>
      <c r="Y384" s="42"/>
      <c r="Z384" s="42"/>
      <c r="AA384" s="40"/>
      <c r="AB384" s="28"/>
      <c r="AC384" s="28"/>
      <c r="AD384" s="28"/>
      <c r="AE384" s="42"/>
      <c r="AF384" s="40"/>
      <c r="AG384" s="41"/>
      <c r="AH384" s="42">
        <v>3</v>
      </c>
      <c r="AI384" s="28" t="s">
        <v>1290</v>
      </c>
      <c r="AJ384" s="40"/>
      <c r="AM384" s="138" t="s">
        <v>2031</v>
      </c>
      <c r="AN384" s="138">
        <v>2</v>
      </c>
      <c r="AO384" s="141">
        <v>3</v>
      </c>
      <c r="AP384" s="138"/>
      <c r="AQ384" s="141"/>
      <c r="AR384" s="28"/>
      <c r="AS384" s="43">
        <v>74</v>
      </c>
      <c r="AT384" s="28" t="s">
        <v>1026</v>
      </c>
      <c r="AU384" s="43">
        <v>81</v>
      </c>
      <c r="AV384" s="141" t="s">
        <v>1292</v>
      </c>
      <c r="AY384" s="195"/>
      <c r="AZ384" s="134"/>
      <c r="BA384" s="136"/>
      <c r="BB384" s="134"/>
      <c r="BC384" s="135"/>
      <c r="BD384" s="136"/>
      <c r="BE384" s="134"/>
      <c r="BF384" s="136"/>
      <c r="BG384" s="134" t="s">
        <v>58</v>
      </c>
      <c r="BH384" s="135"/>
      <c r="BI384" s="136"/>
    </row>
    <row r="385" spans="1:62" x14ac:dyDescent="0.3">
      <c r="A385" s="42" t="s">
        <v>59</v>
      </c>
      <c r="B385" s="277">
        <v>1520</v>
      </c>
      <c r="C385" s="28">
        <v>1482</v>
      </c>
      <c r="D385" s="138">
        <v>0</v>
      </c>
      <c r="E385" s="38">
        <v>0</v>
      </c>
      <c r="F385" s="43">
        <v>0</v>
      </c>
      <c r="G385" s="138">
        <v>1</v>
      </c>
      <c r="H385" s="42">
        <v>6</v>
      </c>
      <c r="I385" s="28" t="s">
        <v>61</v>
      </c>
      <c r="J385" s="40"/>
      <c r="M385" s="42" t="s">
        <v>59</v>
      </c>
      <c r="N385" s="138">
        <v>21121</v>
      </c>
      <c r="O385" s="196">
        <v>50505</v>
      </c>
      <c r="P385" s="138"/>
      <c r="Q385" s="196"/>
      <c r="R385" s="141"/>
      <c r="S385" s="138">
        <v>0</v>
      </c>
      <c r="T385" s="138">
        <v>0</v>
      </c>
      <c r="U385" s="42"/>
      <c r="V385" s="40"/>
      <c r="Y385" s="42" t="s">
        <v>59</v>
      </c>
      <c r="Z385" s="42">
        <v>2118</v>
      </c>
      <c r="AA385" s="40">
        <v>2304</v>
      </c>
      <c r="AB385" s="28"/>
      <c r="AC385" s="43"/>
      <c r="AD385" s="43"/>
      <c r="AE385" s="42"/>
      <c r="AF385" s="40"/>
      <c r="AG385" s="41"/>
      <c r="AH385" s="42">
        <v>5</v>
      </c>
      <c r="AI385" s="28" t="s">
        <v>66</v>
      </c>
      <c r="AJ385" s="40"/>
      <c r="AM385" s="138" t="s">
        <v>56</v>
      </c>
      <c r="AN385" s="138">
        <v>1471</v>
      </c>
      <c r="AO385" s="141">
        <v>1530</v>
      </c>
      <c r="AP385" s="138"/>
      <c r="AQ385" s="141"/>
      <c r="AR385" s="28"/>
      <c r="AS385" s="43">
        <v>4</v>
      </c>
      <c r="AT385" s="28" t="s">
        <v>1294</v>
      </c>
      <c r="AU385" s="43"/>
      <c r="AV385" s="141"/>
      <c r="AY385" s="196" t="s">
        <v>56</v>
      </c>
      <c r="AZ385" s="138">
        <v>13</v>
      </c>
      <c r="BA385" s="141">
        <v>0</v>
      </c>
      <c r="BB385" s="138"/>
      <c r="BC385" s="43"/>
      <c r="BD385" s="209"/>
      <c r="BE385" s="138"/>
      <c r="BF385" s="141"/>
      <c r="BG385" s="212">
        <v>9</v>
      </c>
      <c r="BH385" s="28" t="s">
        <v>65</v>
      </c>
      <c r="BI385" s="141"/>
    </row>
    <row r="386" spans="1:62" ht="15" thickBot="1" x14ac:dyDescent="0.35">
      <c r="A386" s="42" t="s">
        <v>6</v>
      </c>
      <c r="B386" s="138"/>
      <c r="C386" s="28"/>
      <c r="D386" s="138"/>
      <c r="E386" s="28"/>
      <c r="F386" s="28"/>
      <c r="G386" s="138"/>
      <c r="H386" s="42"/>
      <c r="I386" s="28"/>
      <c r="J386" s="40">
        <v>6</v>
      </c>
      <c r="M386" s="244"/>
      <c r="N386" s="142"/>
      <c r="O386" s="199"/>
      <c r="P386" s="142"/>
      <c r="Q386" s="199"/>
      <c r="R386" s="146"/>
      <c r="S386" s="142"/>
      <c r="T386" s="142"/>
      <c r="U386" s="244"/>
      <c r="V386" s="245"/>
      <c r="Y386" s="42"/>
      <c r="Z386" s="42"/>
      <c r="AA386" s="40"/>
      <c r="AB386" s="28"/>
      <c r="AC386" s="28"/>
      <c r="AD386" s="28"/>
      <c r="AE386" s="42"/>
      <c r="AF386" s="40"/>
      <c r="AG386" s="41"/>
      <c r="AH386" s="47"/>
      <c r="AI386" s="48"/>
      <c r="AJ386" s="49">
        <v>8</v>
      </c>
      <c r="AM386" s="142" t="s">
        <v>84</v>
      </c>
      <c r="AN386" s="142">
        <v>1473</v>
      </c>
      <c r="AO386" s="146">
        <v>1533</v>
      </c>
      <c r="AP386" s="142"/>
      <c r="AQ386" s="146"/>
      <c r="AR386" s="143"/>
      <c r="AS386" s="143"/>
      <c r="AT386" s="143"/>
      <c r="AU386" s="143"/>
      <c r="AV386" s="146">
        <v>159</v>
      </c>
      <c r="AY386" s="196" t="s">
        <v>64</v>
      </c>
      <c r="AZ386" s="138">
        <v>118</v>
      </c>
      <c r="BA386" s="141">
        <v>114</v>
      </c>
      <c r="BB386" s="138"/>
      <c r="BC386" s="43"/>
      <c r="BD386" s="209"/>
      <c r="BE386" s="138"/>
      <c r="BF386" s="141"/>
      <c r="BG386" s="138">
        <v>4</v>
      </c>
      <c r="BH386" s="28" t="s">
        <v>1045</v>
      </c>
      <c r="BI386" s="141"/>
    </row>
    <row r="387" spans="1:62" x14ac:dyDescent="0.3">
      <c r="A387" s="278"/>
      <c r="B387" s="134"/>
      <c r="C387" s="135"/>
      <c r="D387" s="134"/>
      <c r="E387" s="135"/>
      <c r="F387" s="135"/>
      <c r="G387" s="134"/>
      <c r="H387" s="278" t="s">
        <v>70</v>
      </c>
      <c r="I387" s="135"/>
      <c r="J387" s="279"/>
      <c r="M387" s="278"/>
      <c r="N387" s="134"/>
      <c r="O387" s="195"/>
      <c r="P387" s="134"/>
      <c r="Q387" s="195"/>
      <c r="R387" s="136"/>
      <c r="S387" s="134"/>
      <c r="T387" s="134"/>
      <c r="U387" s="278"/>
      <c r="V387" s="279"/>
      <c r="Y387" s="32" t="s">
        <v>977</v>
      </c>
      <c r="Z387" s="33"/>
      <c r="AA387" s="35"/>
      <c r="AB387" s="33"/>
      <c r="AC387" s="34"/>
      <c r="AD387" s="35"/>
      <c r="AE387" s="33"/>
      <c r="AF387" s="35"/>
      <c r="AG387" s="32"/>
      <c r="AH387" s="33" t="s">
        <v>1461</v>
      </c>
      <c r="AI387" s="34"/>
      <c r="AJ387" s="35"/>
      <c r="AM387" s="134"/>
      <c r="AN387" s="134"/>
      <c r="AO387" s="136"/>
      <c r="AP387" s="134"/>
      <c r="AQ387" s="136"/>
      <c r="AR387" s="135"/>
      <c r="AS387" s="135"/>
      <c r="AT387" s="135"/>
      <c r="AU387" s="135"/>
      <c r="AV387" s="136"/>
      <c r="AY387" s="211" t="s">
        <v>84</v>
      </c>
      <c r="AZ387" s="142">
        <v>131</v>
      </c>
      <c r="BA387" s="146">
        <v>114</v>
      </c>
      <c r="BB387" s="142"/>
      <c r="BC387" s="143"/>
      <c r="BD387" s="146"/>
      <c r="BE387" s="142"/>
      <c r="BF387" s="146"/>
      <c r="BG387" s="142"/>
      <c r="BH387" s="143"/>
      <c r="BI387" s="146">
        <v>13</v>
      </c>
      <c r="BJ387" s="28"/>
    </row>
    <row r="388" spans="1:62" x14ac:dyDescent="0.3">
      <c r="A388" s="42" t="s">
        <v>74</v>
      </c>
      <c r="B388" s="138">
        <v>1447</v>
      </c>
      <c r="C388" s="28">
        <v>1666</v>
      </c>
      <c r="D388" s="138">
        <v>0</v>
      </c>
      <c r="E388" s="38">
        <v>0</v>
      </c>
      <c r="F388" s="43">
        <v>0</v>
      </c>
      <c r="G388" s="138">
        <v>1</v>
      </c>
      <c r="H388" s="42">
        <v>4</v>
      </c>
      <c r="I388" s="28" t="s">
        <v>436</v>
      </c>
      <c r="J388" s="40"/>
      <c r="M388" s="42"/>
      <c r="N388" s="138"/>
      <c r="O388" s="196"/>
      <c r="P388" s="138"/>
      <c r="Q388" s="196"/>
      <c r="R388" s="141"/>
      <c r="S388" s="138"/>
      <c r="T388" s="138"/>
      <c r="U388" s="42" t="s">
        <v>80</v>
      </c>
      <c r="V388" s="40"/>
      <c r="Y388" s="41" t="s">
        <v>89</v>
      </c>
      <c r="Z388" s="67">
        <v>0</v>
      </c>
      <c r="AA388" s="40">
        <v>0</v>
      </c>
      <c r="AB388" s="67"/>
      <c r="AC388" s="43"/>
      <c r="AD388" s="40"/>
      <c r="AE388" s="42"/>
      <c r="AF388" s="40"/>
      <c r="AG388" s="41"/>
      <c r="AH388" s="67">
        <v>3</v>
      </c>
      <c r="AI388" s="43" t="s">
        <v>2032</v>
      </c>
      <c r="AJ388" s="40"/>
      <c r="AM388" s="138"/>
      <c r="AN388" s="138"/>
      <c r="AO388" s="141"/>
      <c r="AP388" s="138"/>
      <c r="AQ388" s="141"/>
      <c r="AR388" s="28"/>
      <c r="AS388" s="28" t="s">
        <v>110</v>
      </c>
      <c r="AT388" s="28" t="s">
        <v>111</v>
      </c>
      <c r="AU388" s="28" t="s">
        <v>112</v>
      </c>
      <c r="AV388" s="141"/>
      <c r="AY388" s="195"/>
      <c r="AZ388" s="135"/>
      <c r="BA388" s="136"/>
      <c r="BB388" s="240"/>
      <c r="BC388" s="241"/>
      <c r="BD388" s="242"/>
      <c r="BE388" s="134"/>
      <c r="BF388" s="136"/>
      <c r="BG388" s="135"/>
      <c r="BH388" s="135" t="s">
        <v>92</v>
      </c>
      <c r="BI388" s="136"/>
    </row>
    <row r="389" spans="1:62" ht="15" thickBot="1" x14ac:dyDescent="0.35">
      <c r="A389" s="42"/>
      <c r="B389" s="138"/>
      <c r="C389" s="28"/>
      <c r="D389" s="138"/>
      <c r="E389" s="28"/>
      <c r="F389" s="28"/>
      <c r="G389" s="138"/>
      <c r="H389" s="67">
        <v>13</v>
      </c>
      <c r="I389" s="43" t="s">
        <v>127</v>
      </c>
      <c r="J389" s="40"/>
      <c r="M389" s="42" t="s">
        <v>74</v>
      </c>
      <c r="N389" s="138">
        <v>5608</v>
      </c>
      <c r="O389" s="196">
        <v>3914</v>
      </c>
      <c r="P389" s="138"/>
      <c r="Q389" s="196"/>
      <c r="R389" s="141"/>
      <c r="S389" s="138">
        <v>417</v>
      </c>
      <c r="T389" s="138">
        <v>0</v>
      </c>
      <c r="U389" s="42"/>
      <c r="V389" s="40"/>
      <c r="Y389" s="46" t="s">
        <v>84</v>
      </c>
      <c r="Z389" s="47"/>
      <c r="AA389" s="49"/>
      <c r="AB389" s="47"/>
      <c r="AC389" s="48"/>
      <c r="AD389" s="73"/>
      <c r="AE389" s="72"/>
      <c r="AF389" s="73"/>
      <c r="AG389" s="62"/>
      <c r="AH389" s="72"/>
      <c r="AI389" s="51"/>
      <c r="AJ389" s="49">
        <v>3</v>
      </c>
      <c r="AM389" s="138" t="s">
        <v>230</v>
      </c>
      <c r="AN389" s="138">
        <v>0</v>
      </c>
      <c r="AO389" s="141">
        <v>4</v>
      </c>
      <c r="AP389" s="138"/>
      <c r="AQ389" s="141"/>
      <c r="AR389" s="43"/>
      <c r="AS389" s="28"/>
      <c r="AT389" s="28"/>
      <c r="AU389" s="28"/>
      <c r="AV389" s="141"/>
      <c r="AY389" s="196"/>
      <c r="AZ389" s="28"/>
      <c r="BA389" s="141"/>
      <c r="BB389" s="138"/>
      <c r="BC389" s="43"/>
      <c r="BD389" s="141"/>
      <c r="BE389" s="138"/>
      <c r="BF389" s="141"/>
      <c r="BG389" s="43">
        <v>9</v>
      </c>
      <c r="BH389" s="43" t="s">
        <v>1297</v>
      </c>
      <c r="BI389" s="141"/>
    </row>
    <row r="390" spans="1:62" x14ac:dyDescent="0.3">
      <c r="A390" s="244"/>
      <c r="B390" s="142"/>
      <c r="C390" s="143"/>
      <c r="D390" s="142"/>
      <c r="E390" s="143"/>
      <c r="F390" s="143"/>
      <c r="G390" s="142"/>
      <c r="H390" s="244"/>
      <c r="I390" s="143"/>
      <c r="J390" s="245">
        <v>17</v>
      </c>
      <c r="M390" s="244"/>
      <c r="N390" s="142"/>
      <c r="O390" s="199"/>
      <c r="P390" s="142"/>
      <c r="Q390" s="199"/>
      <c r="R390" s="146"/>
      <c r="S390" s="142"/>
      <c r="T390" s="142"/>
      <c r="U390" s="244"/>
      <c r="V390" s="245"/>
      <c r="Y390" s="32"/>
      <c r="Z390" s="34"/>
      <c r="AA390" s="34"/>
      <c r="AB390" s="33"/>
      <c r="AC390" s="34"/>
      <c r="AD390" s="35"/>
      <c r="AE390" s="34"/>
      <c r="AF390" s="34"/>
      <c r="AG390" s="32"/>
      <c r="AH390" s="33" t="s">
        <v>1298</v>
      </c>
      <c r="AI390" s="34"/>
      <c r="AJ390" s="35"/>
      <c r="AM390" s="138" t="s">
        <v>132</v>
      </c>
      <c r="AN390" s="138">
        <v>0</v>
      </c>
      <c r="AO390" s="141">
        <v>5</v>
      </c>
      <c r="AP390" s="138"/>
      <c r="AQ390" s="141"/>
      <c r="AR390" s="28"/>
      <c r="AS390" s="43"/>
      <c r="AT390" s="28"/>
      <c r="AU390" s="28"/>
      <c r="AV390" s="141"/>
      <c r="AY390" s="196"/>
      <c r="AZ390" s="28"/>
      <c r="BA390" s="141"/>
      <c r="BB390" s="212"/>
      <c r="BC390" s="43"/>
      <c r="BD390" s="209"/>
      <c r="BE390" s="212"/>
      <c r="BF390" s="141"/>
      <c r="BG390" s="43">
        <v>18</v>
      </c>
      <c r="BH390" s="43" t="s">
        <v>2033</v>
      </c>
      <c r="BI390" s="141"/>
      <c r="BJ390" s="28"/>
    </row>
    <row r="391" spans="1:62" x14ac:dyDescent="0.3">
      <c r="A391" s="278"/>
      <c r="B391" s="134"/>
      <c r="C391" s="135"/>
      <c r="D391" s="134"/>
      <c r="E391" s="135"/>
      <c r="F391" s="135"/>
      <c r="G391" s="134"/>
      <c r="H391" s="278" t="s">
        <v>87</v>
      </c>
      <c r="I391" s="135"/>
      <c r="J391" s="279"/>
      <c r="M391" s="278"/>
      <c r="N391" s="134"/>
      <c r="O391" s="195"/>
      <c r="P391" s="134"/>
      <c r="Q391" s="195"/>
      <c r="R391" s="136"/>
      <c r="S391" s="134"/>
      <c r="T391" s="134"/>
      <c r="U391" s="278" t="s">
        <v>6</v>
      </c>
      <c r="V391" s="279"/>
      <c r="Y391" s="41"/>
      <c r="AB391" s="42"/>
      <c r="AC391" s="28"/>
      <c r="AD391" s="40"/>
      <c r="AG391" s="41"/>
      <c r="AH391" s="42">
        <v>8</v>
      </c>
      <c r="AI391" s="43" t="s">
        <v>1463</v>
      </c>
      <c r="AJ391" s="40"/>
      <c r="AM391" s="138" t="s">
        <v>63</v>
      </c>
      <c r="AN391" s="138">
        <v>33</v>
      </c>
      <c r="AO391" s="141">
        <v>18</v>
      </c>
      <c r="AP391" s="138"/>
      <c r="AQ391" s="141"/>
      <c r="AR391" s="28"/>
      <c r="AS391" s="28"/>
      <c r="AT391" s="28"/>
      <c r="AU391" s="28"/>
      <c r="AV391" s="141"/>
      <c r="AY391" s="196" t="s">
        <v>64</v>
      </c>
      <c r="AZ391" s="43"/>
      <c r="BA391" s="141"/>
      <c r="BB391" s="138"/>
      <c r="BC391" s="43"/>
      <c r="BD391" s="141"/>
      <c r="BE391" s="212">
        <v>3525</v>
      </c>
      <c r="BF391" s="141">
        <v>1000</v>
      </c>
      <c r="BG391" s="43"/>
      <c r="BH391" s="28"/>
      <c r="BI391" s="141"/>
    </row>
    <row r="392" spans="1:62" ht="15" thickBot="1" x14ac:dyDescent="0.35">
      <c r="A392" s="42" t="s">
        <v>93</v>
      </c>
      <c r="B392" s="138">
        <v>4855</v>
      </c>
      <c r="C392" s="28">
        <v>4466</v>
      </c>
      <c r="D392" s="138">
        <v>0</v>
      </c>
      <c r="E392" s="38">
        <v>0</v>
      </c>
      <c r="F392" s="43">
        <v>0</v>
      </c>
      <c r="G392" s="138">
        <v>1</v>
      </c>
      <c r="H392" s="67">
        <v>30</v>
      </c>
      <c r="I392" s="28" t="s">
        <v>101</v>
      </c>
      <c r="J392" s="40"/>
      <c r="M392" s="42"/>
      <c r="N392" s="138"/>
      <c r="O392" s="196"/>
      <c r="P392" s="138"/>
      <c r="Q392" s="196"/>
      <c r="R392" s="141"/>
      <c r="S392" s="138"/>
      <c r="T392" s="138"/>
      <c r="U392" s="42"/>
      <c r="V392" s="40"/>
      <c r="Y392" s="46" t="s">
        <v>1300</v>
      </c>
      <c r="Z392" s="48">
        <v>362</v>
      </c>
      <c r="AA392" s="48">
        <v>319</v>
      </c>
      <c r="AB392" s="47"/>
      <c r="AC392" s="48"/>
      <c r="AD392" s="49"/>
      <c r="AE392" s="48"/>
      <c r="AF392" s="48"/>
      <c r="AG392" s="46"/>
      <c r="AH392" s="47">
        <v>1</v>
      </c>
      <c r="AI392" s="48" t="s">
        <v>141</v>
      </c>
      <c r="AJ392" s="49">
        <v>9</v>
      </c>
      <c r="AM392" s="138" t="s">
        <v>56</v>
      </c>
      <c r="AN392" s="138">
        <v>0</v>
      </c>
      <c r="AO392" s="141">
        <v>4</v>
      </c>
      <c r="AP392" s="138"/>
      <c r="AQ392" s="141"/>
      <c r="AR392" s="28"/>
      <c r="AS392" s="43">
        <v>7</v>
      </c>
      <c r="AT392" s="28" t="s">
        <v>123</v>
      </c>
      <c r="AU392" s="28" t="s">
        <v>6</v>
      </c>
      <c r="AV392" s="141"/>
      <c r="AY392" s="211" t="s">
        <v>174</v>
      </c>
      <c r="AZ392" s="28"/>
      <c r="BA392" s="141"/>
      <c r="BB392" s="138"/>
      <c r="BC392" s="43"/>
      <c r="BD392" s="141"/>
      <c r="BE392" s="43">
        <v>0</v>
      </c>
      <c r="BF392" s="141">
        <v>0</v>
      </c>
      <c r="BG392" s="28"/>
      <c r="BH392" s="28"/>
      <c r="BI392" s="141"/>
      <c r="BJ392" s="28"/>
    </row>
    <row r="393" spans="1:62" x14ac:dyDescent="0.3">
      <c r="A393" s="42"/>
      <c r="B393" s="138"/>
      <c r="C393" s="28"/>
      <c r="D393" s="138"/>
      <c r="E393" s="28"/>
      <c r="F393" s="28"/>
      <c r="G393" s="138"/>
      <c r="H393" s="67"/>
      <c r="I393" s="28"/>
      <c r="J393" s="40">
        <v>30</v>
      </c>
      <c r="M393" s="42"/>
      <c r="N393" s="138"/>
      <c r="O393" s="196"/>
      <c r="P393" s="138"/>
      <c r="Q393" s="196"/>
      <c r="R393" s="141"/>
      <c r="S393" s="138"/>
      <c r="T393" s="138"/>
      <c r="U393" s="42"/>
      <c r="V393" s="40"/>
      <c r="Y393" s="42"/>
      <c r="Z393" s="33"/>
      <c r="AA393" s="35"/>
      <c r="AB393" s="33"/>
      <c r="AC393" s="34"/>
      <c r="AD393" s="35"/>
      <c r="AE393" s="33"/>
      <c r="AF393" s="35"/>
      <c r="AG393" s="43"/>
      <c r="AH393" s="33" t="s">
        <v>90</v>
      </c>
      <c r="AI393" s="34"/>
      <c r="AJ393" s="35"/>
      <c r="AM393" s="138" t="s">
        <v>72</v>
      </c>
      <c r="AN393" s="138">
        <v>5</v>
      </c>
      <c r="AO393" s="141">
        <v>7</v>
      </c>
      <c r="AP393" s="138"/>
      <c r="AQ393" s="141"/>
      <c r="AR393" s="28"/>
      <c r="AS393" s="43">
        <v>60</v>
      </c>
      <c r="AT393" s="28" t="s">
        <v>126</v>
      </c>
      <c r="AU393" s="28"/>
      <c r="AV393" s="141"/>
      <c r="AY393" s="196" t="s">
        <v>99</v>
      </c>
      <c r="AZ393" s="43"/>
      <c r="BA393" s="141"/>
      <c r="BB393" s="138"/>
      <c r="BC393" s="43"/>
      <c r="BD393" s="141"/>
      <c r="BE393" s="43">
        <v>78382</v>
      </c>
      <c r="BF393" s="141">
        <v>26000</v>
      </c>
      <c r="BG393" s="43"/>
      <c r="BH393" s="43"/>
      <c r="BI393" s="141"/>
      <c r="BJ393" s="28"/>
    </row>
    <row r="394" spans="1:62" x14ac:dyDescent="0.3">
      <c r="A394" s="278" t="s">
        <v>108</v>
      </c>
      <c r="B394" s="134">
        <v>0</v>
      </c>
      <c r="C394" s="136">
        <v>254</v>
      </c>
      <c r="D394" s="135">
        <v>0</v>
      </c>
      <c r="E394" s="243">
        <v>0</v>
      </c>
      <c r="F394" s="135">
        <v>0</v>
      </c>
      <c r="G394" s="134">
        <v>1</v>
      </c>
      <c r="H394" s="278" t="s">
        <v>104</v>
      </c>
      <c r="I394" s="135"/>
      <c r="J394" s="279"/>
      <c r="M394" s="244"/>
      <c r="N394" s="142"/>
      <c r="O394" s="199"/>
      <c r="P394" s="142"/>
      <c r="Q394" s="199"/>
      <c r="R394" s="146"/>
      <c r="S394" s="142"/>
      <c r="T394" s="142"/>
      <c r="U394" s="244"/>
      <c r="V394" s="245"/>
      <c r="Y394" s="42" t="s">
        <v>97</v>
      </c>
      <c r="Z394" s="42">
        <v>40</v>
      </c>
      <c r="AA394" s="40">
        <v>0</v>
      </c>
      <c r="AB394" s="42"/>
      <c r="AC394" s="43"/>
      <c r="AD394" s="40"/>
      <c r="AE394" s="42"/>
      <c r="AF394" s="40"/>
      <c r="AG394" s="43"/>
      <c r="AH394" s="67"/>
      <c r="AI394" s="28"/>
      <c r="AJ394" s="40"/>
      <c r="AM394" s="138" t="s">
        <v>78</v>
      </c>
      <c r="AN394" s="138">
        <v>56</v>
      </c>
      <c r="AO394" s="141">
        <v>84</v>
      </c>
      <c r="AP394" s="138"/>
      <c r="AQ394" s="141"/>
      <c r="AR394" s="28"/>
      <c r="AS394" s="43">
        <v>56</v>
      </c>
      <c r="AT394" s="28" t="s">
        <v>129</v>
      </c>
      <c r="AU394" s="28" t="s">
        <v>6</v>
      </c>
      <c r="AV394" s="141"/>
      <c r="AY394" s="211" t="s">
        <v>84</v>
      </c>
      <c r="AZ394" s="43"/>
      <c r="BA394" s="209"/>
      <c r="BB394" s="138"/>
      <c r="BC394" s="43"/>
      <c r="BD394" s="141"/>
      <c r="BE394" s="43">
        <v>81907</v>
      </c>
      <c r="BF394" s="209">
        <v>27000</v>
      </c>
      <c r="BG394" s="28"/>
      <c r="BH394" s="43"/>
      <c r="BI394" s="141">
        <v>27</v>
      </c>
      <c r="BJ394" s="28"/>
    </row>
    <row r="395" spans="1:62" x14ac:dyDescent="0.3">
      <c r="A395" s="42" t="s">
        <v>109</v>
      </c>
      <c r="B395" s="138">
        <v>1869</v>
      </c>
      <c r="C395" s="141">
        <v>974</v>
      </c>
      <c r="D395" s="28">
        <v>0</v>
      </c>
      <c r="E395" s="343">
        <v>386</v>
      </c>
      <c r="F395" s="43">
        <v>0</v>
      </c>
      <c r="G395" s="138"/>
      <c r="H395" s="67">
        <v>7</v>
      </c>
      <c r="I395" s="28" t="s">
        <v>114</v>
      </c>
      <c r="J395" s="40"/>
      <c r="M395" s="278"/>
      <c r="N395" s="134"/>
      <c r="O395" s="195"/>
      <c r="P395" s="134"/>
      <c r="Q395" s="195"/>
      <c r="R395" s="136"/>
      <c r="S395" s="134"/>
      <c r="T395" s="134"/>
      <c r="U395" s="278" t="s">
        <v>104</v>
      </c>
      <c r="V395" s="279"/>
      <c r="Y395" s="67" t="s">
        <v>89</v>
      </c>
      <c r="Z395" s="67">
        <v>0</v>
      </c>
      <c r="AA395" s="56">
        <v>43</v>
      </c>
      <c r="AB395" s="42"/>
      <c r="AC395" s="43"/>
      <c r="AD395" s="40"/>
      <c r="AE395" s="42"/>
      <c r="AF395" s="40"/>
      <c r="AG395" s="43"/>
      <c r="AH395" s="67">
        <v>1</v>
      </c>
      <c r="AI395" s="43" t="s">
        <v>98</v>
      </c>
      <c r="AJ395" s="40"/>
      <c r="AM395" s="138" t="s">
        <v>67</v>
      </c>
      <c r="AN395" s="138">
        <v>161</v>
      </c>
      <c r="AO395" s="141">
        <v>152</v>
      </c>
      <c r="AP395" s="138"/>
      <c r="AQ395" s="141"/>
      <c r="AR395" s="28"/>
      <c r="AS395" s="28"/>
      <c r="AT395" s="28"/>
      <c r="AU395" s="28"/>
      <c r="AV395" s="141"/>
      <c r="AY395" s="233" t="s">
        <v>137</v>
      </c>
      <c r="AZ395" s="135">
        <v>886</v>
      </c>
      <c r="BA395" s="136">
        <v>859</v>
      </c>
      <c r="BB395" s="134"/>
      <c r="BC395" s="135"/>
      <c r="BD395" s="136"/>
      <c r="BE395" s="134"/>
      <c r="BF395" s="135"/>
      <c r="BG395" s="134"/>
      <c r="BH395" s="135" t="s">
        <v>91</v>
      </c>
      <c r="BI395" s="136"/>
      <c r="BJ395" s="28"/>
    </row>
    <row r="396" spans="1:62" ht="15" thickBot="1" x14ac:dyDescent="0.35">
      <c r="A396" s="42" t="s">
        <v>84</v>
      </c>
      <c r="B396" s="138">
        <v>1869</v>
      </c>
      <c r="C396" s="141">
        <v>1228</v>
      </c>
      <c r="D396" s="28">
        <v>0</v>
      </c>
      <c r="E396" s="343">
        <v>386</v>
      </c>
      <c r="F396" s="43">
        <v>0</v>
      </c>
      <c r="G396" s="138"/>
      <c r="H396" s="42"/>
      <c r="I396" s="28"/>
      <c r="J396" s="40"/>
      <c r="M396" s="42" t="s">
        <v>109</v>
      </c>
      <c r="N396" s="138">
        <v>110</v>
      </c>
      <c r="O396" s="196">
        <v>0</v>
      </c>
      <c r="P396" s="138"/>
      <c r="Q396" s="196"/>
      <c r="R396" s="141"/>
      <c r="S396" s="138">
        <v>0</v>
      </c>
      <c r="T396" s="138">
        <v>0</v>
      </c>
      <c r="U396" s="42"/>
      <c r="V396" s="40"/>
      <c r="Y396" s="42" t="s">
        <v>84</v>
      </c>
      <c r="Z396" s="47">
        <v>40</v>
      </c>
      <c r="AA396" s="49">
        <v>43</v>
      </c>
      <c r="AB396" s="47"/>
      <c r="AC396" s="48"/>
      <c r="AD396" s="49"/>
      <c r="AE396" s="47"/>
      <c r="AF396" s="49"/>
      <c r="AG396" s="43"/>
      <c r="AH396" s="72"/>
      <c r="AI396" s="48"/>
      <c r="AJ396" s="49">
        <v>1</v>
      </c>
      <c r="AM396" s="138" t="s">
        <v>115</v>
      </c>
      <c r="AN396" s="138">
        <v>36</v>
      </c>
      <c r="AO396" s="141">
        <v>40</v>
      </c>
      <c r="AP396" s="138"/>
      <c r="AQ396" s="141"/>
      <c r="AR396" s="28"/>
      <c r="AS396" s="28"/>
      <c r="AT396" s="28"/>
      <c r="AU396" s="28"/>
      <c r="AV396" s="141" t="s">
        <v>6</v>
      </c>
      <c r="AY396" s="196" t="s">
        <v>88</v>
      </c>
      <c r="AZ396" s="43">
        <v>313</v>
      </c>
      <c r="BA396" s="141">
        <v>115</v>
      </c>
      <c r="BB396" s="138"/>
      <c r="BC396" s="43"/>
      <c r="BD396" s="141"/>
      <c r="BE396" s="138"/>
      <c r="BF396" s="43"/>
      <c r="BG396" s="212"/>
      <c r="BH396" s="43"/>
      <c r="BI396" s="141"/>
      <c r="BJ396" s="28"/>
    </row>
    <row r="397" spans="1:62" x14ac:dyDescent="0.3">
      <c r="A397" s="42"/>
      <c r="B397" s="138"/>
      <c r="C397" s="141"/>
      <c r="D397" s="28"/>
      <c r="E397" s="28"/>
      <c r="F397" s="28"/>
      <c r="G397" s="138"/>
      <c r="H397" s="42"/>
      <c r="I397" s="28"/>
      <c r="J397" s="40">
        <v>7</v>
      </c>
      <c r="M397" s="244"/>
      <c r="N397" s="142"/>
      <c r="O397" s="199"/>
      <c r="P397" s="142"/>
      <c r="Q397" s="199"/>
      <c r="R397" s="146"/>
      <c r="S397" s="142"/>
      <c r="T397" s="142"/>
      <c r="U397" s="244"/>
      <c r="V397" s="245"/>
      <c r="Y397" s="32"/>
      <c r="Z397" s="28"/>
      <c r="AA397" s="28"/>
      <c r="AB397" s="33"/>
      <c r="AC397" s="34"/>
      <c r="AD397" s="35"/>
      <c r="AE397" s="67"/>
      <c r="AF397" s="56"/>
      <c r="AG397" s="32"/>
      <c r="AH397" s="34"/>
      <c r="AI397" s="34"/>
      <c r="AJ397" s="35"/>
      <c r="AM397" s="138" t="s">
        <v>81</v>
      </c>
      <c r="AN397" s="138">
        <v>51</v>
      </c>
      <c r="AO397" s="141">
        <v>58</v>
      </c>
      <c r="AP397" s="138"/>
      <c r="AQ397" s="141"/>
      <c r="AR397" s="28"/>
      <c r="AS397" s="28"/>
      <c r="AT397" s="28"/>
      <c r="AU397" s="28"/>
      <c r="AV397" s="141"/>
      <c r="AY397" s="211" t="s">
        <v>97</v>
      </c>
      <c r="AZ397" s="43">
        <v>2011</v>
      </c>
      <c r="BA397" s="209">
        <v>2403</v>
      </c>
      <c r="BB397" s="138"/>
      <c r="BC397" s="43"/>
      <c r="BD397" s="141"/>
      <c r="BE397" s="138"/>
      <c r="BF397" s="43"/>
      <c r="BG397" s="138">
        <v>11</v>
      </c>
      <c r="BH397" s="43" t="s">
        <v>134</v>
      </c>
      <c r="BI397" s="141"/>
      <c r="BJ397" s="28"/>
    </row>
    <row r="398" spans="1:62" x14ac:dyDescent="0.3">
      <c r="A398" s="278"/>
      <c r="B398" s="134"/>
      <c r="C398" s="242"/>
      <c r="D398" s="135"/>
      <c r="E398" s="135"/>
      <c r="F398" s="135"/>
      <c r="G398" s="134"/>
      <c r="H398" s="278" t="s">
        <v>118</v>
      </c>
      <c r="I398" s="135"/>
      <c r="J398" s="279"/>
      <c r="M398" s="278" t="s">
        <v>93</v>
      </c>
      <c r="N398" s="134">
        <v>0</v>
      </c>
      <c r="O398" s="195">
        <v>0</v>
      </c>
      <c r="P398" s="134"/>
      <c r="Q398" s="195"/>
      <c r="R398" s="136"/>
      <c r="S398" s="134">
        <v>0</v>
      </c>
      <c r="T398" s="134">
        <v>0</v>
      </c>
      <c r="U398" s="278" t="s">
        <v>116</v>
      </c>
      <c r="V398" s="279"/>
      <c r="Y398" s="41"/>
      <c r="Z398" s="43"/>
      <c r="AA398" s="43"/>
      <c r="AB398" s="42"/>
      <c r="AC398" s="43"/>
      <c r="AD398" s="40"/>
      <c r="AE398" s="67"/>
      <c r="AF398" s="56"/>
      <c r="AG398" s="41"/>
      <c r="AH398" s="28"/>
      <c r="AI398" s="28" t="s">
        <v>6</v>
      </c>
      <c r="AJ398" s="40"/>
      <c r="AM398" s="138" t="s">
        <v>122</v>
      </c>
      <c r="AN398" s="138">
        <v>54</v>
      </c>
      <c r="AO398" s="141">
        <v>35</v>
      </c>
      <c r="AP398" s="138"/>
      <c r="AQ398" s="141"/>
      <c r="AR398" s="28"/>
      <c r="AS398" s="28"/>
      <c r="AT398" s="28"/>
      <c r="AU398" s="28"/>
      <c r="AV398" s="141"/>
      <c r="AY398" s="211" t="s">
        <v>113</v>
      </c>
      <c r="AZ398" s="43">
        <v>639</v>
      </c>
      <c r="BA398" s="141">
        <v>682</v>
      </c>
      <c r="BB398" s="138"/>
      <c r="BC398" s="43"/>
      <c r="BD398" s="141"/>
      <c r="BE398" s="138"/>
      <c r="BF398" s="43"/>
      <c r="BG398" s="212">
        <v>35</v>
      </c>
      <c r="BH398" s="28" t="s">
        <v>1464</v>
      </c>
      <c r="BI398" s="141"/>
      <c r="BJ398" s="28"/>
    </row>
    <row r="399" spans="1:62" x14ac:dyDescent="0.3">
      <c r="A399" s="42" t="s">
        <v>785</v>
      </c>
      <c r="B399" s="138">
        <v>1387</v>
      </c>
      <c r="C399" s="209">
        <v>1434</v>
      </c>
      <c r="D399" s="28">
        <v>0</v>
      </c>
      <c r="E399" s="38">
        <v>0</v>
      </c>
      <c r="F399" s="43">
        <v>0</v>
      </c>
      <c r="G399" s="138">
        <v>1</v>
      </c>
      <c r="H399" s="42">
        <v>112</v>
      </c>
      <c r="I399" s="28" t="s">
        <v>101</v>
      </c>
      <c r="J399" s="40"/>
      <c r="M399" s="42" t="s">
        <v>99</v>
      </c>
      <c r="N399" s="138">
        <v>5549</v>
      </c>
      <c r="O399" s="196">
        <v>10869</v>
      </c>
      <c r="P399" s="138"/>
      <c r="Q399" s="196"/>
      <c r="R399" s="141"/>
      <c r="S399" s="138">
        <v>2221</v>
      </c>
      <c r="T399" s="138">
        <v>489</v>
      </c>
      <c r="U399" s="42"/>
      <c r="V399" s="40"/>
      <c r="Y399" s="41"/>
      <c r="Z399" s="43"/>
      <c r="AA399" s="43"/>
      <c r="AB399" s="42"/>
      <c r="AC399" s="43"/>
      <c r="AD399" s="40"/>
      <c r="AE399" s="67"/>
      <c r="AF399" s="56"/>
      <c r="AG399" s="41"/>
      <c r="AH399" s="43"/>
      <c r="AI399" s="43"/>
      <c r="AJ399" s="40"/>
      <c r="AM399" s="138" t="s">
        <v>128</v>
      </c>
      <c r="AN399" s="138"/>
      <c r="AO399" s="141"/>
      <c r="AP399" s="138"/>
      <c r="AQ399" s="141"/>
      <c r="AR399" s="28"/>
      <c r="AS399" s="28"/>
      <c r="AT399" s="28"/>
      <c r="AU399" s="28"/>
      <c r="AV399" s="141"/>
      <c r="AY399" s="211"/>
      <c r="AZ399" s="43"/>
      <c r="BA399" s="209"/>
      <c r="BB399" s="138"/>
      <c r="BC399" s="43"/>
      <c r="BD399" s="141"/>
      <c r="BE399" s="138"/>
      <c r="BF399" s="43"/>
      <c r="BG399" s="138">
        <v>74</v>
      </c>
      <c r="BH399" s="43" t="s">
        <v>2034</v>
      </c>
      <c r="BI399" s="141"/>
      <c r="BJ399" s="28"/>
    </row>
    <row r="400" spans="1:62" x14ac:dyDescent="0.3">
      <c r="A400" s="42" t="s">
        <v>93</v>
      </c>
      <c r="B400" s="212">
        <v>9964</v>
      </c>
      <c r="C400" s="209">
        <v>9248</v>
      </c>
      <c r="D400" s="28">
        <v>0</v>
      </c>
      <c r="E400" s="38">
        <v>0</v>
      </c>
      <c r="F400" s="43">
        <v>0</v>
      </c>
      <c r="G400" s="212"/>
      <c r="H400" s="42">
        <v>23</v>
      </c>
      <c r="I400" s="28" t="s">
        <v>927</v>
      </c>
      <c r="J400" s="40"/>
      <c r="M400" s="42" t="s">
        <v>120</v>
      </c>
      <c r="N400" s="138">
        <v>849</v>
      </c>
      <c r="O400" s="196">
        <v>21439</v>
      </c>
      <c r="P400" s="138"/>
      <c r="Q400" s="196"/>
      <c r="R400" s="141"/>
      <c r="S400" s="138">
        <v>0</v>
      </c>
      <c r="T400" s="138">
        <v>0</v>
      </c>
      <c r="U400" s="42"/>
      <c r="V400" s="40"/>
      <c r="Y400" s="41"/>
      <c r="Z400" s="43"/>
      <c r="AA400" s="43"/>
      <c r="AB400" s="42"/>
      <c r="AC400" s="43"/>
      <c r="AD400" s="40"/>
      <c r="AE400" s="67"/>
      <c r="AF400" s="56"/>
      <c r="AG400" s="41"/>
      <c r="AH400" s="43"/>
      <c r="AI400" s="43"/>
      <c r="AJ400" s="40"/>
      <c r="AM400" s="142" t="s">
        <v>84</v>
      </c>
      <c r="AN400" s="142">
        <v>396</v>
      </c>
      <c r="AO400" s="146">
        <v>407</v>
      </c>
      <c r="AP400" s="142"/>
      <c r="AQ400" s="146"/>
      <c r="AR400" s="143"/>
      <c r="AS400" s="143"/>
      <c r="AT400" s="143"/>
      <c r="AU400" s="143"/>
      <c r="AV400" s="146">
        <v>123</v>
      </c>
      <c r="AY400" s="211" t="s">
        <v>1120</v>
      </c>
      <c r="AZ400" s="43"/>
      <c r="BA400" s="209"/>
      <c r="BB400" s="138"/>
      <c r="BC400" s="43"/>
      <c r="BD400" s="141"/>
      <c r="BE400" s="138"/>
      <c r="BF400" s="43"/>
      <c r="BG400" s="138">
        <v>81</v>
      </c>
      <c r="BH400" s="43" t="s">
        <v>1305</v>
      </c>
      <c r="BI400" s="141"/>
      <c r="BJ400" s="28"/>
    </row>
    <row r="401" spans="1:62" ht="15" thickBot="1" x14ac:dyDescent="0.35">
      <c r="A401" s="42" t="s">
        <v>120</v>
      </c>
      <c r="B401" s="138">
        <v>6613</v>
      </c>
      <c r="C401" s="141">
        <v>6236</v>
      </c>
      <c r="D401" s="28">
        <v>0</v>
      </c>
      <c r="E401" s="38">
        <v>0</v>
      </c>
      <c r="F401" s="43">
        <v>0</v>
      </c>
      <c r="G401" s="138"/>
      <c r="H401" s="42">
        <v>28</v>
      </c>
      <c r="I401" s="28" t="s">
        <v>1306</v>
      </c>
      <c r="J401" s="40"/>
      <c r="M401" s="244" t="s">
        <v>84</v>
      </c>
      <c r="N401" s="142">
        <v>6398</v>
      </c>
      <c r="O401" s="199">
        <v>32308</v>
      </c>
      <c r="P401" s="142"/>
      <c r="Q401" s="199"/>
      <c r="R401" s="146"/>
      <c r="S401" s="142">
        <v>2221</v>
      </c>
      <c r="T401" s="142">
        <v>489</v>
      </c>
      <c r="U401" s="244"/>
      <c r="V401" s="245"/>
      <c r="Y401" s="46"/>
      <c r="Z401" s="43"/>
      <c r="AA401" s="43"/>
      <c r="AB401" s="47"/>
      <c r="AC401" s="48"/>
      <c r="AD401" s="49"/>
      <c r="AE401" s="67"/>
      <c r="AF401" s="56"/>
      <c r="AG401" s="46"/>
      <c r="AH401" s="48"/>
      <c r="AI401" s="48"/>
      <c r="AJ401" s="49"/>
      <c r="AM401" s="134"/>
      <c r="AN401" s="134"/>
      <c r="AO401" s="136"/>
      <c r="AP401" s="134"/>
      <c r="AQ401" s="136"/>
      <c r="AR401" s="135"/>
      <c r="AS401" s="135"/>
      <c r="AT401" s="135"/>
      <c r="AU401" s="135"/>
      <c r="AV401" s="136"/>
      <c r="AY401" s="211" t="s">
        <v>89</v>
      </c>
      <c r="AZ401" s="43">
        <v>1729</v>
      </c>
      <c r="BA401" s="209">
        <v>1526</v>
      </c>
      <c r="BB401" s="138"/>
      <c r="BC401" s="43"/>
      <c r="BD401" s="141"/>
      <c r="BE401" s="138"/>
      <c r="BF401" s="43"/>
      <c r="BG401" s="138"/>
      <c r="BH401" s="43"/>
      <c r="BI401" s="141"/>
      <c r="BJ401" s="28"/>
    </row>
    <row r="402" spans="1:62" x14ac:dyDescent="0.3">
      <c r="A402" s="67" t="s">
        <v>429</v>
      </c>
      <c r="B402" s="212">
        <v>2541</v>
      </c>
      <c r="C402" s="209">
        <v>2194</v>
      </c>
      <c r="D402" s="43">
        <v>0</v>
      </c>
      <c r="E402" s="38">
        <v>0</v>
      </c>
      <c r="F402" s="43">
        <v>0</v>
      </c>
      <c r="G402" s="138"/>
      <c r="H402" s="42"/>
      <c r="I402" s="28"/>
      <c r="J402" s="40"/>
      <c r="M402" s="278"/>
      <c r="N402" s="134"/>
      <c r="O402" s="195"/>
      <c r="P402" s="134"/>
      <c r="Q402" s="195"/>
      <c r="R402" s="136"/>
      <c r="S402" s="134"/>
      <c r="T402" s="134"/>
      <c r="U402" s="278"/>
      <c r="V402" s="279"/>
      <c r="Y402" s="42"/>
      <c r="Z402" s="33"/>
      <c r="AA402" s="35"/>
      <c r="AB402" s="34"/>
      <c r="AC402" s="34"/>
      <c r="AD402" s="34"/>
      <c r="AE402" s="33"/>
      <c r="AF402" s="35"/>
      <c r="AG402" s="32"/>
      <c r="AH402" s="34"/>
      <c r="AI402" s="34"/>
      <c r="AJ402" s="35"/>
      <c r="AM402" s="138"/>
      <c r="AN402" s="138"/>
      <c r="AO402" s="141"/>
      <c r="AP402" s="138"/>
      <c r="AQ402" s="141"/>
      <c r="AR402" s="28"/>
      <c r="AS402" s="28"/>
      <c r="AT402" s="28"/>
      <c r="AU402" s="28"/>
      <c r="AV402" s="141"/>
      <c r="AY402" s="211" t="s">
        <v>108</v>
      </c>
      <c r="AZ402" s="43"/>
      <c r="BA402" s="209"/>
      <c r="BB402" s="212"/>
      <c r="BC402" s="43"/>
      <c r="BD402" s="209"/>
      <c r="BE402" s="212"/>
      <c r="BF402" s="43"/>
      <c r="BG402" s="138"/>
      <c r="BH402" s="43" t="s">
        <v>1026</v>
      </c>
      <c r="BI402" s="141"/>
      <c r="BJ402" s="28"/>
    </row>
    <row r="403" spans="1:62" ht="15" thickBot="1" x14ac:dyDescent="0.35">
      <c r="A403" s="244" t="s">
        <v>84</v>
      </c>
      <c r="B403" s="142">
        <v>20505</v>
      </c>
      <c r="C403" s="146">
        <v>19112</v>
      </c>
      <c r="D403" s="143">
        <v>0</v>
      </c>
      <c r="E403" s="345">
        <v>0</v>
      </c>
      <c r="F403" s="143">
        <v>0</v>
      </c>
      <c r="G403" s="142"/>
      <c r="H403" s="244"/>
      <c r="I403" s="143"/>
      <c r="J403" s="245">
        <v>163</v>
      </c>
      <c r="M403" s="42" t="s">
        <v>105</v>
      </c>
      <c r="N403" s="138">
        <v>1170</v>
      </c>
      <c r="O403" s="196">
        <v>0</v>
      </c>
      <c r="P403" s="138"/>
      <c r="Q403" s="196"/>
      <c r="R403" s="141"/>
      <c r="S403" s="138">
        <v>26</v>
      </c>
      <c r="T403" s="138">
        <v>0</v>
      </c>
      <c r="U403" s="42"/>
      <c r="V403" s="40"/>
      <c r="Y403" s="47"/>
      <c r="Z403" s="47"/>
      <c r="AA403" s="49"/>
      <c r="AB403" s="48"/>
      <c r="AC403" s="48"/>
      <c r="AD403" s="48"/>
      <c r="AE403" s="47"/>
      <c r="AF403" s="49"/>
      <c r="AG403" s="46"/>
      <c r="AH403" s="48"/>
      <c r="AI403" s="48"/>
      <c r="AJ403" s="49"/>
      <c r="AM403" s="138"/>
      <c r="AN403" s="138"/>
      <c r="AO403" s="141"/>
      <c r="AP403" s="138"/>
      <c r="AQ403" s="141"/>
      <c r="AR403" s="28"/>
      <c r="AS403" s="28"/>
      <c r="AT403" s="28"/>
      <c r="AU403" s="28"/>
      <c r="AV403" s="141"/>
      <c r="AY403" s="247" t="s">
        <v>84</v>
      </c>
      <c r="AZ403" s="247">
        <v>5578</v>
      </c>
      <c r="BA403" s="248">
        <v>5585</v>
      </c>
      <c r="BB403" s="197"/>
      <c r="BC403" s="198"/>
      <c r="BD403" s="249"/>
      <c r="BE403" s="197"/>
      <c r="BF403" s="249"/>
      <c r="BG403" s="197"/>
      <c r="BH403" s="198"/>
      <c r="BI403" s="249">
        <v>201</v>
      </c>
      <c r="BJ403" s="28"/>
    </row>
    <row r="404" spans="1:62" x14ac:dyDescent="0.3">
      <c r="A404" s="42" t="s">
        <v>93</v>
      </c>
      <c r="B404" s="138">
        <v>8553</v>
      </c>
      <c r="C404" s="209">
        <v>6978</v>
      </c>
      <c r="D404" s="138">
        <v>0</v>
      </c>
      <c r="E404" s="38">
        <v>0</v>
      </c>
      <c r="F404" s="43">
        <v>0</v>
      </c>
      <c r="G404" s="138">
        <v>1</v>
      </c>
      <c r="H404" s="42" t="s">
        <v>116</v>
      </c>
      <c r="I404" s="28"/>
      <c r="J404" s="40"/>
      <c r="M404" s="42" t="s">
        <v>99</v>
      </c>
      <c r="N404" s="138">
        <v>0</v>
      </c>
      <c r="O404" s="196">
        <v>0</v>
      </c>
      <c r="P404" s="138"/>
      <c r="Q404" s="196"/>
      <c r="R404" s="141"/>
      <c r="S404" s="138">
        <v>0</v>
      </c>
      <c r="T404" s="138">
        <v>0</v>
      </c>
      <c r="U404" s="42" t="s">
        <v>135</v>
      </c>
      <c r="V404" s="40"/>
      <c r="Y404" s="33" t="s">
        <v>137</v>
      </c>
      <c r="Z404" s="33">
        <v>0</v>
      </c>
      <c r="AA404" s="35">
        <v>0</v>
      </c>
      <c r="AB404" s="34"/>
      <c r="AC404" s="34"/>
      <c r="AD404" s="34"/>
      <c r="AE404" s="33"/>
      <c r="AF404" s="35"/>
      <c r="AG404" s="32"/>
      <c r="AH404" s="34"/>
      <c r="AI404" s="34"/>
      <c r="AJ404" s="35"/>
      <c r="AM404" s="138"/>
      <c r="AN404" s="138"/>
      <c r="AO404" s="141"/>
      <c r="AP404" s="138"/>
      <c r="AQ404" s="141"/>
      <c r="AR404" s="28"/>
      <c r="AS404" s="28"/>
      <c r="AT404" s="28"/>
      <c r="AU404" s="28"/>
      <c r="AV404" s="141"/>
      <c r="AY404" s="195" t="s">
        <v>56</v>
      </c>
      <c r="AZ404" s="134">
        <v>0</v>
      </c>
      <c r="BA404" s="136">
        <v>0</v>
      </c>
      <c r="BB404" s="134"/>
      <c r="BC404" s="135"/>
      <c r="BD404" s="136"/>
      <c r="BE404" s="134"/>
      <c r="BF404" s="136"/>
      <c r="BG404" s="134" t="s">
        <v>1025</v>
      </c>
      <c r="BH404" s="135"/>
      <c r="BI404" s="136"/>
      <c r="BJ404" s="28"/>
    </row>
    <row r="405" spans="1:62" x14ac:dyDescent="0.3">
      <c r="A405" s="42" t="s">
        <v>99</v>
      </c>
      <c r="B405" s="138">
        <v>12087</v>
      </c>
      <c r="C405" s="209">
        <v>11311</v>
      </c>
      <c r="D405" s="138">
        <v>0</v>
      </c>
      <c r="E405" s="38">
        <v>0</v>
      </c>
      <c r="F405" s="43">
        <v>0</v>
      </c>
      <c r="G405" s="138"/>
      <c r="H405" s="67">
        <v>200</v>
      </c>
      <c r="I405" s="28" t="s">
        <v>188</v>
      </c>
      <c r="J405" s="40"/>
      <c r="M405" s="42"/>
      <c r="N405" s="138"/>
      <c r="O405" s="196"/>
      <c r="P405" s="138"/>
      <c r="Q405" s="196"/>
      <c r="R405" s="141"/>
      <c r="S405" s="138"/>
      <c r="T405" s="138"/>
      <c r="U405" s="42"/>
      <c r="V405" s="40"/>
      <c r="Y405" s="42" t="s">
        <v>97</v>
      </c>
      <c r="Z405" s="42">
        <v>0</v>
      </c>
      <c r="AA405" s="40">
        <v>0</v>
      </c>
      <c r="AB405" s="43"/>
      <c r="AC405" s="43"/>
      <c r="AD405" s="43"/>
      <c r="AE405" s="42"/>
      <c r="AF405" s="40"/>
      <c r="AG405" s="41"/>
      <c r="AH405" s="28" t="s">
        <v>953</v>
      </c>
      <c r="AI405" s="28"/>
      <c r="AJ405" s="40"/>
      <c r="AM405" s="142"/>
      <c r="AN405" s="142"/>
      <c r="AO405" s="146"/>
      <c r="AP405" s="142"/>
      <c r="AQ405" s="146"/>
      <c r="AR405" s="143"/>
      <c r="AS405" s="143"/>
      <c r="AT405" s="143"/>
      <c r="AU405" s="143"/>
      <c r="AV405" s="146"/>
      <c r="AY405" s="196" t="s">
        <v>64</v>
      </c>
      <c r="AZ405" s="138">
        <v>70</v>
      </c>
      <c r="BA405" s="141">
        <v>64</v>
      </c>
      <c r="BB405" s="138"/>
      <c r="BC405" s="43"/>
      <c r="BD405" s="209"/>
      <c r="BE405" s="138"/>
      <c r="BF405" s="141"/>
      <c r="BG405" s="138" t="s">
        <v>2035</v>
      </c>
      <c r="BH405" s="28"/>
      <c r="BI405" s="141" t="s">
        <v>2036</v>
      </c>
      <c r="BJ405" s="28"/>
    </row>
    <row r="406" spans="1:62" x14ac:dyDescent="0.3">
      <c r="A406" s="42" t="s">
        <v>120</v>
      </c>
      <c r="B406" s="138">
        <v>6563</v>
      </c>
      <c r="C406" s="209">
        <v>5786</v>
      </c>
      <c r="D406" s="138">
        <v>0</v>
      </c>
      <c r="E406" s="38">
        <v>0</v>
      </c>
      <c r="F406" s="43">
        <v>0</v>
      </c>
      <c r="G406" s="138"/>
      <c r="H406" s="67"/>
      <c r="I406" s="28"/>
      <c r="J406" s="40"/>
      <c r="M406" s="244" t="s">
        <v>84</v>
      </c>
      <c r="N406" s="142">
        <v>1170</v>
      </c>
      <c r="O406" s="199">
        <v>0</v>
      </c>
      <c r="P406" s="142"/>
      <c r="Q406" s="199"/>
      <c r="R406" s="146"/>
      <c r="S406" s="142">
        <v>26</v>
      </c>
      <c r="T406" s="142">
        <v>0</v>
      </c>
      <c r="U406" s="244"/>
      <c r="V406" s="245"/>
      <c r="Y406" s="42" t="s">
        <v>89</v>
      </c>
      <c r="Z406" s="42">
        <v>45</v>
      </c>
      <c r="AA406" s="40">
        <v>38</v>
      </c>
      <c r="AB406" s="43"/>
      <c r="AC406" s="43"/>
      <c r="AD406" s="43"/>
      <c r="AE406" s="42"/>
      <c r="AF406" s="40"/>
      <c r="AG406" s="41"/>
      <c r="AH406" s="43">
        <v>2</v>
      </c>
      <c r="AI406" s="28" t="s">
        <v>141</v>
      </c>
      <c r="AJ406" s="40"/>
      <c r="AM406" s="134"/>
      <c r="AN406" s="134"/>
      <c r="AO406" s="136"/>
      <c r="AP406" s="134"/>
      <c r="AQ406" s="136"/>
      <c r="AR406" s="134"/>
      <c r="AS406" s="135" t="s">
        <v>140</v>
      </c>
      <c r="AT406" s="135"/>
      <c r="AU406" s="135"/>
      <c r="AV406" s="136"/>
      <c r="AY406" s="239" t="s">
        <v>84</v>
      </c>
      <c r="AZ406" s="142">
        <v>70</v>
      </c>
      <c r="BA406" s="146">
        <v>64</v>
      </c>
      <c r="BB406" s="142"/>
      <c r="BC406" s="143"/>
      <c r="BD406" s="146"/>
      <c r="BE406" s="142"/>
      <c r="BF406" s="146"/>
      <c r="BG406" s="142"/>
      <c r="BH406" s="143"/>
      <c r="BI406" s="146">
        <v>8</v>
      </c>
      <c r="BJ406" s="28"/>
    </row>
    <row r="407" spans="1:62" x14ac:dyDescent="0.3">
      <c r="A407" s="42" t="s">
        <v>84</v>
      </c>
      <c r="B407" s="138">
        <v>27203</v>
      </c>
      <c r="C407" s="28">
        <v>24075</v>
      </c>
      <c r="D407" s="138">
        <v>0</v>
      </c>
      <c r="E407" s="38">
        <v>0</v>
      </c>
      <c r="F407" s="43">
        <v>0</v>
      </c>
      <c r="G407" s="138"/>
      <c r="H407" s="67"/>
      <c r="I407" s="28"/>
      <c r="J407" s="40">
        <v>200</v>
      </c>
      <c r="M407" s="42"/>
      <c r="N407" s="138"/>
      <c r="O407" s="196"/>
      <c r="P407" s="138"/>
      <c r="Q407" s="196"/>
      <c r="R407" s="141"/>
      <c r="S407" s="138"/>
      <c r="T407" s="138"/>
      <c r="U407" s="42"/>
      <c r="V407" s="40"/>
      <c r="Y407" s="42" t="s">
        <v>1467</v>
      </c>
      <c r="Z407" s="42">
        <v>0</v>
      </c>
      <c r="AA407" s="40">
        <v>0</v>
      </c>
      <c r="AB407" s="43"/>
      <c r="AC407" s="43"/>
      <c r="AD407" s="43"/>
      <c r="AE407" s="42"/>
      <c r="AF407" s="40"/>
      <c r="AG407" s="41"/>
      <c r="AH407" s="43"/>
      <c r="AI407" s="43"/>
      <c r="AJ407" s="40"/>
      <c r="AM407" s="138" t="s">
        <v>56</v>
      </c>
      <c r="AN407" s="138">
        <v>22</v>
      </c>
      <c r="AO407" s="141">
        <v>23</v>
      </c>
      <c r="AP407" s="138"/>
      <c r="AQ407" s="141"/>
      <c r="AR407" s="138"/>
      <c r="AS407" s="43">
        <v>7</v>
      </c>
      <c r="AT407" s="28" t="s">
        <v>213</v>
      </c>
      <c r="AU407" s="28" t="s">
        <v>2037</v>
      </c>
      <c r="AV407" s="141"/>
      <c r="AY407" s="138"/>
      <c r="AZ407" s="134"/>
      <c r="BA407" s="136"/>
      <c r="BB407" s="134"/>
      <c r="BC407" s="135"/>
      <c r="BD407" s="136"/>
      <c r="BE407" s="138"/>
      <c r="BF407" s="141"/>
      <c r="BG407" s="28" t="s">
        <v>994</v>
      </c>
      <c r="BH407" s="28"/>
      <c r="BI407" s="141"/>
      <c r="BJ407" s="28"/>
    </row>
    <row r="408" spans="1:62" ht="15" thickBot="1" x14ac:dyDescent="0.35">
      <c r="A408" s="244"/>
      <c r="B408" s="142"/>
      <c r="C408" s="143"/>
      <c r="D408" s="142"/>
      <c r="E408" s="143"/>
      <c r="F408" s="143"/>
      <c r="G408" s="142"/>
      <c r="H408" s="244"/>
      <c r="I408" s="143"/>
      <c r="J408" s="245"/>
      <c r="M408" s="42"/>
      <c r="N408" s="138"/>
      <c r="O408" s="196"/>
      <c r="P408" s="138"/>
      <c r="Q408" s="196"/>
      <c r="R408" s="141"/>
      <c r="S408" s="138"/>
      <c r="T408" s="138"/>
      <c r="U408" s="42"/>
      <c r="V408" s="40"/>
      <c r="Y408" s="47" t="s">
        <v>84</v>
      </c>
      <c r="Z408" s="282">
        <v>45</v>
      </c>
      <c r="AA408" s="49">
        <v>38</v>
      </c>
      <c r="AB408" s="51"/>
      <c r="AC408" s="48"/>
      <c r="AD408" s="48"/>
      <c r="AE408" s="47"/>
      <c r="AF408" s="49"/>
      <c r="AG408" s="46"/>
      <c r="AH408" s="48"/>
      <c r="AI408" s="48"/>
      <c r="AJ408" s="49">
        <v>2</v>
      </c>
      <c r="AM408" s="138" t="s">
        <v>72</v>
      </c>
      <c r="AN408" s="138">
        <v>26</v>
      </c>
      <c r="AO408" s="141">
        <v>26</v>
      </c>
      <c r="AP408" s="138"/>
      <c r="AQ408" s="141"/>
      <c r="AR408" s="138"/>
      <c r="AS408" s="43">
        <v>8</v>
      </c>
      <c r="AT408" s="28" t="s">
        <v>2038</v>
      </c>
      <c r="AU408" s="43" t="s">
        <v>1404</v>
      </c>
      <c r="AV408" s="141"/>
      <c r="AY408" s="138" t="s">
        <v>113</v>
      </c>
      <c r="AZ408" s="138">
        <v>468</v>
      </c>
      <c r="BA408" s="141">
        <v>482</v>
      </c>
      <c r="BB408" s="138"/>
      <c r="BC408" s="43"/>
      <c r="BD408" s="209"/>
      <c r="BE408" s="138"/>
      <c r="BF408" s="141"/>
      <c r="BG408" s="43">
        <v>17</v>
      </c>
      <c r="BH408" s="28" t="s">
        <v>1297</v>
      </c>
      <c r="BI408" s="141"/>
      <c r="BJ408" s="28"/>
    </row>
    <row r="409" spans="1:62" ht="15" thickBot="1" x14ac:dyDescent="0.35">
      <c r="A409" s="278" t="s">
        <v>105</v>
      </c>
      <c r="B409" s="134">
        <v>1254</v>
      </c>
      <c r="C409" s="135">
        <v>1220</v>
      </c>
      <c r="D409" s="134">
        <v>0</v>
      </c>
      <c r="E409" s="243">
        <v>1205</v>
      </c>
      <c r="F409" s="135">
        <v>0</v>
      </c>
      <c r="G409" s="134">
        <v>1</v>
      </c>
      <c r="H409" s="278" t="s">
        <v>162</v>
      </c>
      <c r="I409" s="135"/>
      <c r="J409" s="279"/>
      <c r="M409" s="42"/>
      <c r="N409" s="138"/>
      <c r="O409" s="196"/>
      <c r="P409" s="138"/>
      <c r="Q409" s="196"/>
      <c r="R409" s="141"/>
      <c r="S409" s="138"/>
      <c r="T409" s="138"/>
      <c r="U409" s="42"/>
      <c r="V409" s="40"/>
      <c r="Y409" s="32"/>
      <c r="Z409" s="33"/>
      <c r="AA409" s="35"/>
      <c r="AB409" s="53"/>
      <c r="AC409" s="123"/>
      <c r="AD409" s="97"/>
      <c r="AE409" s="33"/>
      <c r="AF409" s="35"/>
      <c r="AG409" s="32"/>
      <c r="AH409" s="33" t="s">
        <v>149</v>
      </c>
      <c r="AI409" s="34"/>
      <c r="AJ409" s="35"/>
      <c r="AM409" s="138" t="s">
        <v>78</v>
      </c>
      <c r="AN409" s="138">
        <v>61</v>
      </c>
      <c r="AO409" s="141">
        <v>57</v>
      </c>
      <c r="AP409" s="138"/>
      <c r="AQ409" s="141"/>
      <c r="AR409" s="138"/>
      <c r="AS409" s="43">
        <v>6</v>
      </c>
      <c r="AT409" s="43" t="s">
        <v>2039</v>
      </c>
      <c r="AU409" s="28" t="s">
        <v>2040</v>
      </c>
      <c r="AV409" s="141"/>
      <c r="AY409" s="142" t="s">
        <v>84</v>
      </c>
      <c r="AZ409" s="142">
        <v>468</v>
      </c>
      <c r="BA409" s="146">
        <v>482</v>
      </c>
      <c r="BB409" s="138"/>
      <c r="BC409" s="43"/>
      <c r="BD409" s="209"/>
      <c r="BE409" s="142"/>
      <c r="BF409" s="146"/>
      <c r="BG409" s="43">
        <v>30</v>
      </c>
      <c r="BH409" s="43" t="s">
        <v>1292</v>
      </c>
      <c r="BI409" s="146">
        <v>47</v>
      </c>
      <c r="BJ409" s="28"/>
    </row>
    <row r="410" spans="1:62" x14ac:dyDescent="0.3">
      <c r="A410" s="42" t="s">
        <v>99</v>
      </c>
      <c r="B410" s="138">
        <v>968</v>
      </c>
      <c r="C410" s="43">
        <v>526</v>
      </c>
      <c r="D410" s="138">
        <v>0</v>
      </c>
      <c r="E410" s="343">
        <v>1420</v>
      </c>
      <c r="F410" s="43">
        <v>0</v>
      </c>
      <c r="G410" s="138"/>
      <c r="H410" s="42"/>
      <c r="I410" s="28"/>
      <c r="J410" s="40"/>
      <c r="M410" s="42"/>
      <c r="N410" s="138"/>
      <c r="O410" s="196"/>
      <c r="P410" s="138"/>
      <c r="Q410" s="196"/>
      <c r="R410" s="141"/>
      <c r="S410" s="138"/>
      <c r="T410" s="138"/>
      <c r="U410" s="42"/>
      <c r="V410" s="40"/>
      <c r="Y410" s="41" t="s">
        <v>99</v>
      </c>
      <c r="Z410" s="42"/>
      <c r="AA410" s="40"/>
      <c r="AB410" s="67"/>
      <c r="AC410" s="43"/>
      <c r="AD410" s="56"/>
      <c r="AE410" s="42">
        <v>28170</v>
      </c>
      <c r="AF410" s="40">
        <v>3075</v>
      </c>
      <c r="AG410" s="41"/>
      <c r="AH410" s="67">
        <v>5</v>
      </c>
      <c r="AI410" s="28" t="s">
        <v>153</v>
      </c>
      <c r="AJ410" s="40"/>
      <c r="AM410" s="138" t="s">
        <v>67</v>
      </c>
      <c r="AN410" s="138">
        <v>31</v>
      </c>
      <c r="AO410" s="141">
        <v>25</v>
      </c>
      <c r="AP410" s="138"/>
      <c r="AQ410" s="141"/>
      <c r="AR410" s="138"/>
      <c r="AS410" s="43">
        <v>3</v>
      </c>
      <c r="AT410" s="43" t="s">
        <v>682</v>
      </c>
      <c r="AU410" s="43" t="s">
        <v>2041</v>
      </c>
      <c r="AV410" s="141"/>
      <c r="AY410" s="195" t="s">
        <v>218</v>
      </c>
      <c r="AZ410" s="134">
        <v>2</v>
      </c>
      <c r="BA410" s="135">
        <v>39</v>
      </c>
      <c r="BB410" s="32" t="s">
        <v>1472</v>
      </c>
      <c r="BC410" s="346" t="s">
        <v>1357</v>
      </c>
      <c r="BD410" s="347"/>
      <c r="BE410" s="135"/>
      <c r="BF410" s="136"/>
      <c r="BG410" s="134" t="s">
        <v>140</v>
      </c>
      <c r="BH410" s="135"/>
      <c r="BI410" s="136"/>
      <c r="BJ410" s="28"/>
    </row>
    <row r="411" spans="1:62" ht="15" thickBot="1" x14ac:dyDescent="0.35">
      <c r="A411" s="42"/>
      <c r="B411" s="138"/>
      <c r="C411" s="28"/>
      <c r="D411" s="138"/>
      <c r="E411" s="343"/>
      <c r="F411" s="28"/>
      <c r="G411" s="138"/>
      <c r="H411" s="67">
        <v>42</v>
      </c>
      <c r="I411" s="28" t="s">
        <v>101</v>
      </c>
      <c r="J411" s="40"/>
      <c r="M411" s="42"/>
      <c r="N411" s="138"/>
      <c r="O411" s="196"/>
      <c r="P411" s="138"/>
      <c r="Q411" s="196"/>
      <c r="R411" s="141"/>
      <c r="S411" s="138"/>
      <c r="T411" s="138"/>
      <c r="U411" s="42"/>
      <c r="V411" s="40"/>
      <c r="Y411" s="41" t="s">
        <v>174</v>
      </c>
      <c r="Z411" s="42"/>
      <c r="AA411" s="40"/>
      <c r="AB411" s="67"/>
      <c r="AC411" s="43"/>
      <c r="AD411" s="56"/>
      <c r="AE411" s="42">
        <v>18851</v>
      </c>
      <c r="AF411" s="40">
        <v>3062</v>
      </c>
      <c r="AG411" s="41"/>
      <c r="AH411" s="67"/>
      <c r="AI411" s="43"/>
      <c r="AJ411" s="40"/>
      <c r="AM411" s="138" t="s">
        <v>115</v>
      </c>
      <c r="AN411" s="138">
        <v>4</v>
      </c>
      <c r="AO411" s="141">
        <v>10</v>
      </c>
      <c r="AP411" s="138"/>
      <c r="AQ411" s="141"/>
      <c r="AR411" s="138"/>
      <c r="AS411" s="43">
        <v>1</v>
      </c>
      <c r="AT411" s="43" t="s">
        <v>903</v>
      </c>
      <c r="AU411" s="43" t="s">
        <v>1387</v>
      </c>
      <c r="AV411" s="141"/>
      <c r="AY411" s="196" t="s">
        <v>211</v>
      </c>
      <c r="AZ411" s="138">
        <v>36</v>
      </c>
      <c r="BA411" s="43">
        <v>0</v>
      </c>
      <c r="BB411" s="46" t="s">
        <v>42</v>
      </c>
      <c r="BC411" s="72" t="s">
        <v>43</v>
      </c>
      <c r="BD411" s="49" t="s">
        <v>44</v>
      </c>
      <c r="BE411" s="43"/>
      <c r="BF411" s="141"/>
      <c r="BG411" s="138"/>
      <c r="BH411" s="28"/>
      <c r="BI411" s="141"/>
      <c r="BJ411" s="28"/>
    </row>
    <row r="412" spans="1:62" ht="15" thickBot="1" x14ac:dyDescent="0.35">
      <c r="A412" s="42" t="s">
        <v>84</v>
      </c>
      <c r="B412" s="142">
        <v>2222</v>
      </c>
      <c r="C412" s="143">
        <v>1746</v>
      </c>
      <c r="D412" s="142">
        <v>0</v>
      </c>
      <c r="E412" s="345">
        <v>2625</v>
      </c>
      <c r="F412" s="143">
        <v>0</v>
      </c>
      <c r="G412" s="142"/>
      <c r="H412" s="244"/>
      <c r="I412" s="143"/>
      <c r="J412" s="245">
        <v>42</v>
      </c>
      <c r="M412" s="47" t="s">
        <v>84</v>
      </c>
      <c r="N412" s="202">
        <v>34407</v>
      </c>
      <c r="O412" s="286">
        <v>86727</v>
      </c>
      <c r="P412" s="202"/>
      <c r="Q412" s="286"/>
      <c r="R412" s="48"/>
      <c r="S412" s="202">
        <v>2664</v>
      </c>
      <c r="T412" s="202">
        <v>489</v>
      </c>
      <c r="U412" s="47"/>
      <c r="V412" s="49"/>
      <c r="Y412" s="62" t="s">
        <v>84</v>
      </c>
      <c r="Z412" s="47"/>
      <c r="AA412" s="49"/>
      <c r="AB412" s="47"/>
      <c r="AC412" s="48"/>
      <c r="AD412" s="49"/>
      <c r="AE412" s="47">
        <v>47021</v>
      </c>
      <c r="AF412" s="49">
        <v>6137</v>
      </c>
      <c r="AG412" s="46"/>
      <c r="AH412" s="47"/>
      <c r="AI412" s="48"/>
      <c r="AJ412" s="49">
        <v>5</v>
      </c>
      <c r="AM412" s="138" t="s">
        <v>122</v>
      </c>
      <c r="AN412" s="138">
        <v>1</v>
      </c>
      <c r="AO412" s="141">
        <v>29</v>
      </c>
      <c r="AP412" s="138"/>
      <c r="AQ412" s="141"/>
      <c r="AR412" s="138"/>
      <c r="AS412" s="43">
        <v>75</v>
      </c>
      <c r="AT412" s="43" t="s">
        <v>215</v>
      </c>
      <c r="AU412" s="43" t="s">
        <v>2042</v>
      </c>
      <c r="AV412" s="141"/>
      <c r="AY412" s="196" t="s">
        <v>2043</v>
      </c>
      <c r="AZ412" s="138">
        <v>3</v>
      </c>
      <c r="BA412" s="43">
        <v>0</v>
      </c>
      <c r="BB412" s="28"/>
      <c r="BC412" s="43"/>
      <c r="BD412" s="28"/>
      <c r="BE412" s="43"/>
      <c r="BF412" s="141"/>
      <c r="BG412" s="138"/>
      <c r="BH412" s="28"/>
      <c r="BI412" s="141"/>
      <c r="BJ412" s="28"/>
    </row>
    <row r="413" spans="1:62" x14ac:dyDescent="0.3">
      <c r="A413" s="287" t="s">
        <v>181</v>
      </c>
      <c r="B413" s="135">
        <v>4271</v>
      </c>
      <c r="C413" s="135">
        <v>4108</v>
      </c>
      <c r="D413" s="134">
        <v>0</v>
      </c>
      <c r="E413" s="243">
        <v>0</v>
      </c>
      <c r="F413" s="136">
        <v>0</v>
      </c>
      <c r="G413" s="134">
        <v>1</v>
      </c>
      <c r="H413" s="278" t="s">
        <v>182</v>
      </c>
      <c r="I413" s="135"/>
      <c r="J413" s="279"/>
      <c r="Y413" s="32" t="s">
        <v>403</v>
      </c>
      <c r="Z413" s="33"/>
      <c r="AA413" s="35"/>
      <c r="AB413" s="33"/>
      <c r="AC413" s="34"/>
      <c r="AD413" s="35"/>
      <c r="AE413" s="33">
        <v>10183</v>
      </c>
      <c r="AF413" s="35">
        <v>18826</v>
      </c>
      <c r="AG413" s="32"/>
      <c r="AH413" s="33" t="s">
        <v>157</v>
      </c>
      <c r="AI413" s="34"/>
      <c r="AJ413" s="35"/>
      <c r="AM413" s="138" t="s">
        <v>81</v>
      </c>
      <c r="AN413" s="138">
        <v>15</v>
      </c>
      <c r="AO413" s="141">
        <v>16</v>
      </c>
      <c r="AP413" s="138"/>
      <c r="AQ413" s="141"/>
      <c r="AR413" s="138"/>
      <c r="AS413" s="43">
        <v>5</v>
      </c>
      <c r="AT413" s="43" t="s">
        <v>2044</v>
      </c>
      <c r="AU413" s="43" t="s">
        <v>2045</v>
      </c>
      <c r="AV413" s="141"/>
      <c r="AY413" s="196" t="s">
        <v>564</v>
      </c>
      <c r="AZ413" s="138">
        <v>7</v>
      </c>
      <c r="BA413" s="141">
        <v>0</v>
      </c>
      <c r="BB413" s="268" t="s">
        <v>2046</v>
      </c>
      <c r="BC413" s="43">
        <v>0</v>
      </c>
      <c r="BD413" s="141">
        <v>4</v>
      </c>
      <c r="BE413" s="43"/>
      <c r="BF413" s="141"/>
      <c r="BG413" s="138" t="s">
        <v>142</v>
      </c>
      <c r="BH413" s="43"/>
      <c r="BI413" s="141" t="s">
        <v>2047</v>
      </c>
      <c r="BJ413" s="28"/>
    </row>
    <row r="414" spans="1:62" x14ac:dyDescent="0.3">
      <c r="A414" s="288"/>
      <c r="B414" s="28"/>
      <c r="C414" s="28"/>
      <c r="D414" s="138"/>
      <c r="E414" s="38"/>
      <c r="F414" s="141"/>
      <c r="G414" s="138"/>
      <c r="H414" s="42"/>
      <c r="I414" s="28"/>
      <c r="J414" s="40"/>
      <c r="Y414" s="41" t="s">
        <v>85</v>
      </c>
      <c r="Z414" s="42"/>
      <c r="AA414" s="56"/>
      <c r="AB414" s="67"/>
      <c r="AC414" s="43"/>
      <c r="AD414" s="56"/>
      <c r="AE414" s="42">
        <v>10416</v>
      </c>
      <c r="AF414" s="56">
        <v>0</v>
      </c>
      <c r="AG414" s="41"/>
      <c r="AH414" s="67">
        <v>14</v>
      </c>
      <c r="AI414" s="28" t="s">
        <v>61</v>
      </c>
      <c r="AJ414" s="40"/>
      <c r="AM414" s="138" t="s">
        <v>230</v>
      </c>
      <c r="AN414" s="138">
        <v>7</v>
      </c>
      <c r="AO414" s="141">
        <v>5</v>
      </c>
      <c r="AP414" s="138"/>
      <c r="AQ414" s="141"/>
      <c r="AR414" s="138"/>
      <c r="AS414" s="43">
        <v>1</v>
      </c>
      <c r="AT414" s="43" t="s">
        <v>2048</v>
      </c>
      <c r="AU414" s="43"/>
      <c r="AV414" s="141"/>
      <c r="AY414" s="196" t="s">
        <v>596</v>
      </c>
      <c r="AZ414" s="138">
        <v>1</v>
      </c>
      <c r="BA414" s="141">
        <v>1</v>
      </c>
      <c r="BB414" s="268" t="s">
        <v>1376</v>
      </c>
      <c r="BC414" s="255">
        <v>4</v>
      </c>
      <c r="BD414" s="141">
        <v>0</v>
      </c>
      <c r="BE414" s="43"/>
      <c r="BF414" s="141"/>
      <c r="BG414" s="138" t="s">
        <v>146</v>
      </c>
      <c r="BH414" s="28"/>
      <c r="BI414" s="256" t="s">
        <v>2049</v>
      </c>
      <c r="BJ414" s="28"/>
    </row>
    <row r="415" spans="1:62" x14ac:dyDescent="0.3">
      <c r="A415" s="288" t="s">
        <v>84</v>
      </c>
      <c r="B415" s="28">
        <v>4271</v>
      </c>
      <c r="C415" s="43">
        <v>4108</v>
      </c>
      <c r="D415" s="138">
        <v>0</v>
      </c>
      <c r="E415" s="38">
        <v>0</v>
      </c>
      <c r="F415" s="141">
        <v>0</v>
      </c>
      <c r="G415" s="138"/>
      <c r="H415" s="42">
        <v>30</v>
      </c>
      <c r="I415" s="28" t="s">
        <v>101</v>
      </c>
      <c r="J415" s="40"/>
      <c r="Y415" s="41" t="s">
        <v>1320</v>
      </c>
      <c r="Z415" s="42"/>
      <c r="AA415" s="56"/>
      <c r="AB415" s="67"/>
      <c r="AC415" s="43"/>
      <c r="AD415" s="56"/>
      <c r="AE415" s="42">
        <v>15610</v>
      </c>
      <c r="AF415" s="56">
        <v>0</v>
      </c>
      <c r="AG415" s="41"/>
      <c r="AH415" s="42"/>
      <c r="AI415" s="28"/>
      <c r="AJ415" s="40"/>
      <c r="AM415" s="138" t="s">
        <v>63</v>
      </c>
      <c r="AN415" s="138">
        <v>17</v>
      </c>
      <c r="AO415" s="141">
        <v>11</v>
      </c>
      <c r="AP415" s="138"/>
      <c r="AQ415" s="141"/>
      <c r="AR415" s="138"/>
      <c r="AS415" s="43">
        <v>7</v>
      </c>
      <c r="AT415" s="43" t="s">
        <v>2050</v>
      </c>
      <c r="AU415" s="28"/>
      <c r="AV415" s="141"/>
      <c r="AY415" s="196" t="s">
        <v>97</v>
      </c>
      <c r="AZ415" s="138">
        <v>2</v>
      </c>
      <c r="BA415" s="141">
        <v>8</v>
      </c>
      <c r="BB415" s="268" t="s">
        <v>99</v>
      </c>
      <c r="BC415" s="43">
        <v>9</v>
      </c>
      <c r="BD415" s="141">
        <v>6</v>
      </c>
      <c r="BE415" s="43"/>
      <c r="BF415" s="141"/>
      <c r="BG415" s="138"/>
      <c r="BH415" s="28"/>
      <c r="BI415" s="141"/>
      <c r="BJ415" s="28"/>
    </row>
    <row r="416" spans="1:62" ht="15" thickBot="1" x14ac:dyDescent="0.35">
      <c r="A416" s="289"/>
      <c r="B416" s="48"/>
      <c r="C416" s="48"/>
      <c r="D416" s="202"/>
      <c r="E416" s="48"/>
      <c r="F416" s="203"/>
      <c r="G416" s="202"/>
      <c r="H416" s="47"/>
      <c r="I416" s="51"/>
      <c r="J416" s="49">
        <v>30</v>
      </c>
      <c r="Y416" s="68" t="s">
        <v>99</v>
      </c>
      <c r="Z416" s="42"/>
      <c r="AA416" s="56"/>
      <c r="AB416" s="42"/>
      <c r="AC416" s="43"/>
      <c r="AD416" s="40"/>
      <c r="AE416" s="42">
        <v>111104</v>
      </c>
      <c r="AF416" s="56">
        <v>35106</v>
      </c>
      <c r="AG416" s="41"/>
      <c r="AH416" s="42"/>
      <c r="AI416" s="43"/>
      <c r="AJ416" s="40"/>
      <c r="AM416" s="138" t="s">
        <v>132</v>
      </c>
      <c r="AN416" s="138">
        <v>0</v>
      </c>
      <c r="AO416" s="141">
        <v>0</v>
      </c>
      <c r="AP416" s="138"/>
      <c r="AQ416" s="141"/>
      <c r="AR416" s="138"/>
      <c r="AS416" s="220">
        <v>1</v>
      </c>
      <c r="AT416" s="43" t="s">
        <v>2051</v>
      </c>
      <c r="AV416" s="141"/>
      <c r="AY416" s="196" t="s">
        <v>113</v>
      </c>
      <c r="AZ416" s="138">
        <v>25</v>
      </c>
      <c r="BA416" s="141">
        <v>39</v>
      </c>
      <c r="BB416" s="268" t="s">
        <v>200</v>
      </c>
      <c r="BC416" s="43">
        <v>11</v>
      </c>
      <c r="BD416" s="141">
        <v>7</v>
      </c>
      <c r="BE416" s="43"/>
      <c r="BF416" s="141"/>
      <c r="BG416" s="138" t="s">
        <v>151</v>
      </c>
      <c r="BH416" s="28"/>
      <c r="BI416" s="141"/>
      <c r="BJ416" s="28"/>
    </row>
    <row r="417" spans="1:62" ht="15" thickBot="1" x14ac:dyDescent="0.35">
      <c r="A417" s="254" t="s">
        <v>84</v>
      </c>
      <c r="B417" s="274">
        <v>63892</v>
      </c>
      <c r="C417" s="172">
        <v>57883</v>
      </c>
      <c r="D417" s="275">
        <v>0</v>
      </c>
      <c r="E417" s="210">
        <v>3011</v>
      </c>
      <c r="F417" s="253">
        <v>0</v>
      </c>
      <c r="G417" s="171">
        <v>8</v>
      </c>
      <c r="H417" s="171"/>
      <c r="I417" s="170"/>
      <c r="J417" s="172">
        <v>495</v>
      </c>
      <c r="Y417" s="68" t="s">
        <v>1141</v>
      </c>
      <c r="Z417" s="42"/>
      <c r="AA417" s="56"/>
      <c r="AB417" s="67"/>
      <c r="AC417" s="43"/>
      <c r="AD417" s="56"/>
      <c r="AE417" s="42">
        <v>0</v>
      </c>
      <c r="AF417" s="56">
        <v>128</v>
      </c>
      <c r="AG417" s="41"/>
      <c r="AH417" s="67"/>
      <c r="AI417" s="28"/>
      <c r="AJ417" s="40"/>
      <c r="AM417" s="138" t="s">
        <v>84</v>
      </c>
      <c r="AN417" s="138">
        <v>184</v>
      </c>
      <c r="AO417" s="141">
        <v>202</v>
      </c>
      <c r="AP417" s="138"/>
      <c r="AQ417" s="141"/>
      <c r="AR417" s="142"/>
      <c r="AS417" s="224">
        <v>1</v>
      </c>
      <c r="AT417" s="224" t="s">
        <v>433</v>
      </c>
      <c r="AU417" s="143"/>
      <c r="AV417" s="146">
        <v>170</v>
      </c>
      <c r="AY417" s="196" t="s">
        <v>164</v>
      </c>
      <c r="AZ417" s="138">
        <v>4</v>
      </c>
      <c r="BA417" s="141">
        <v>3</v>
      </c>
      <c r="BB417" s="268" t="s">
        <v>105</v>
      </c>
      <c r="BC417" s="43">
        <v>0</v>
      </c>
      <c r="BD417" s="141">
        <v>3</v>
      </c>
      <c r="BE417" s="43"/>
      <c r="BF417" s="141"/>
      <c r="BG417" s="269" t="s">
        <v>1323</v>
      </c>
      <c r="BH417" s="257" t="s">
        <v>2052</v>
      </c>
      <c r="BI417" s="141"/>
      <c r="BJ417" s="28"/>
    </row>
    <row r="418" spans="1:62" ht="15" thickBot="1" x14ac:dyDescent="0.35">
      <c r="Y418" s="68" t="s">
        <v>1696</v>
      </c>
      <c r="Z418" s="67"/>
      <c r="AA418" s="56"/>
      <c r="AB418" s="42"/>
      <c r="AC418" s="43"/>
      <c r="AD418" s="40"/>
      <c r="AE418" s="67">
        <v>0</v>
      </c>
      <c r="AF418" s="56">
        <v>10775</v>
      </c>
      <c r="AG418" s="41"/>
      <c r="AH418" s="42"/>
      <c r="AI418" s="28"/>
      <c r="AJ418" s="40"/>
      <c r="AM418" s="171" t="s">
        <v>84</v>
      </c>
      <c r="AN418" s="171">
        <v>2053</v>
      </c>
      <c r="AO418" s="172">
        <v>2142</v>
      </c>
      <c r="AP418" s="170"/>
      <c r="AQ418" s="172"/>
      <c r="AR418" s="48"/>
      <c r="AS418" s="48"/>
      <c r="AT418" s="48"/>
      <c r="AU418" s="48"/>
      <c r="AV418" s="49">
        <v>452</v>
      </c>
      <c r="AY418" s="196" t="s">
        <v>1118</v>
      </c>
      <c r="AZ418" s="138">
        <v>0</v>
      </c>
      <c r="BA418" s="141">
        <v>7</v>
      </c>
      <c r="BB418" s="268" t="s">
        <v>220</v>
      </c>
      <c r="BC418" s="43">
        <v>0</v>
      </c>
      <c r="BD418" s="141">
        <v>3</v>
      </c>
      <c r="BE418" s="43"/>
      <c r="BF418" s="141"/>
      <c r="BG418" s="212" t="s">
        <v>2053</v>
      </c>
      <c r="BH418" s="218" t="s">
        <v>2054</v>
      </c>
      <c r="BI418" s="141"/>
      <c r="BJ418" s="28"/>
    </row>
    <row r="419" spans="1:62" x14ac:dyDescent="0.3">
      <c r="Y419" s="68" t="s">
        <v>105</v>
      </c>
      <c r="Z419" s="67"/>
      <c r="AA419" s="56"/>
      <c r="AB419" s="67"/>
      <c r="AC419" s="43"/>
      <c r="AD419" s="56"/>
      <c r="AE419" s="67">
        <v>9954</v>
      </c>
      <c r="AF419" s="56">
        <v>1354</v>
      </c>
      <c r="AG419" s="41"/>
      <c r="AH419" s="67"/>
      <c r="AI419" s="28"/>
      <c r="AJ419" s="40"/>
      <c r="AM419" s="28"/>
      <c r="AN419" s="28"/>
      <c r="AO419" s="28"/>
      <c r="AP419" s="28"/>
      <c r="AQ419" s="28"/>
      <c r="AR419" s="28"/>
      <c r="AS419" s="43"/>
      <c r="AT419" s="43"/>
      <c r="AU419" s="28"/>
      <c r="AV419" s="28"/>
      <c r="AY419" s="196" t="s">
        <v>85</v>
      </c>
      <c r="AZ419" s="138">
        <v>10</v>
      </c>
      <c r="BA419" s="141">
        <v>10</v>
      </c>
      <c r="BB419" s="268" t="s">
        <v>2055</v>
      </c>
      <c r="BC419" s="43">
        <v>2</v>
      </c>
      <c r="BD419" s="141">
        <v>0</v>
      </c>
      <c r="BE419" s="43"/>
      <c r="BF419" s="141"/>
      <c r="BG419" s="212" t="s">
        <v>1819</v>
      </c>
      <c r="BH419" s="43" t="s">
        <v>989</v>
      </c>
      <c r="BI419" s="141"/>
      <c r="BJ419" s="28"/>
    </row>
    <row r="420" spans="1:62" x14ac:dyDescent="0.3">
      <c r="Y420" s="68" t="s">
        <v>108</v>
      </c>
      <c r="Z420" s="42"/>
      <c r="AA420" s="40"/>
      <c r="AB420" s="42"/>
      <c r="AC420" s="43"/>
      <c r="AD420" s="40"/>
      <c r="AE420" s="42">
        <v>25523</v>
      </c>
      <c r="AF420" s="40">
        <v>62343</v>
      </c>
      <c r="AG420" s="41"/>
      <c r="AH420" s="42"/>
      <c r="AI420" s="28"/>
      <c r="AJ420" s="40"/>
      <c r="AM420" s="28"/>
      <c r="AN420" s="28"/>
      <c r="AO420" s="28"/>
      <c r="AP420" s="28"/>
      <c r="AQ420" s="28"/>
      <c r="AR420" s="28"/>
      <c r="AS420" s="220"/>
      <c r="AT420" s="220"/>
      <c r="AU420" s="28"/>
      <c r="AV420" s="28"/>
      <c r="AY420" s="196" t="s">
        <v>862</v>
      </c>
      <c r="AZ420" s="138">
        <v>0</v>
      </c>
      <c r="BA420" s="141">
        <v>6</v>
      </c>
      <c r="BB420" s="268"/>
      <c r="BC420" s="270"/>
      <c r="BD420" s="141"/>
      <c r="BE420" s="43"/>
      <c r="BF420" s="141"/>
      <c r="BG420" s="138" t="s">
        <v>714</v>
      </c>
      <c r="BH420" s="43" t="s">
        <v>650</v>
      </c>
      <c r="BI420" s="209"/>
      <c r="BJ420" s="28"/>
    </row>
    <row r="421" spans="1:62" ht="15" thickBot="1" x14ac:dyDescent="0.35">
      <c r="Y421" s="68" t="s">
        <v>84</v>
      </c>
      <c r="Z421" s="42"/>
      <c r="AA421" s="40"/>
      <c r="AB421" s="42"/>
      <c r="AC421" s="43"/>
      <c r="AD421" s="40"/>
      <c r="AE421" s="42">
        <v>182790</v>
      </c>
      <c r="AF421" s="40">
        <v>128532</v>
      </c>
      <c r="AG421" s="41"/>
      <c r="AH421" s="42"/>
      <c r="AI421" s="28"/>
      <c r="AJ421" s="141">
        <v>14</v>
      </c>
      <c r="AM421" s="28"/>
      <c r="AN421" s="28"/>
      <c r="AO421" s="28"/>
      <c r="AP421" s="28"/>
      <c r="AQ421" s="28"/>
      <c r="AR421" s="28"/>
      <c r="AS421" s="43"/>
      <c r="AT421" s="43"/>
      <c r="AU421" s="28"/>
      <c r="AV421" s="28"/>
      <c r="AY421" s="196" t="s">
        <v>64</v>
      </c>
      <c r="AZ421" s="138">
        <v>1</v>
      </c>
      <c r="BA421" s="141">
        <v>0</v>
      </c>
      <c r="BB421" s="268"/>
      <c r="BC421" s="43"/>
      <c r="BD421" s="141"/>
      <c r="BE421" s="43"/>
      <c r="BF421" s="141"/>
      <c r="BG421" s="138" t="s">
        <v>2056</v>
      </c>
      <c r="BH421" s="43" t="s">
        <v>1075</v>
      </c>
      <c r="BI421" s="209"/>
      <c r="BJ421" s="28"/>
    </row>
    <row r="422" spans="1:62" x14ac:dyDescent="0.3">
      <c r="Y422" s="32"/>
      <c r="Z422" s="33"/>
      <c r="AA422" s="35"/>
      <c r="AB422" s="33"/>
      <c r="AC422" s="123"/>
      <c r="AD422" s="35"/>
      <c r="AE422" s="33"/>
      <c r="AF422" s="35"/>
      <c r="AG422" s="32"/>
      <c r="AH422" s="33" t="s">
        <v>1326</v>
      </c>
      <c r="AI422" s="34"/>
      <c r="AJ422" s="35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Y422" s="196" t="s">
        <v>158</v>
      </c>
      <c r="AZ422" s="138">
        <v>2</v>
      </c>
      <c r="BA422" s="141">
        <v>2</v>
      </c>
      <c r="BB422" s="268"/>
      <c r="BC422" s="43"/>
      <c r="BD422" s="141"/>
      <c r="BE422" s="43"/>
      <c r="BF422" s="141"/>
      <c r="BG422" s="212" t="s">
        <v>2057</v>
      </c>
      <c r="BH422" s="43" t="s">
        <v>544</v>
      </c>
      <c r="BI422" s="141"/>
      <c r="BJ422" s="28"/>
    </row>
    <row r="423" spans="1:62" x14ac:dyDescent="0.3">
      <c r="Y423" s="41" t="s">
        <v>102</v>
      </c>
      <c r="Z423" s="42">
        <v>256</v>
      </c>
      <c r="AA423" s="40">
        <v>196</v>
      </c>
      <c r="AB423" s="67"/>
      <c r="AC423" s="43"/>
      <c r="AD423" s="56"/>
      <c r="AE423" s="42"/>
      <c r="AF423" s="40"/>
      <c r="AG423" s="41"/>
      <c r="AH423" s="67"/>
      <c r="AI423" s="28" t="s">
        <v>2058</v>
      </c>
      <c r="AJ423" s="40"/>
      <c r="AS423" s="43"/>
      <c r="AT423" s="43"/>
      <c r="AU423" s="43"/>
      <c r="AV423" s="28"/>
      <c r="AY423" s="196" t="s">
        <v>139</v>
      </c>
      <c r="AZ423" s="138">
        <v>3</v>
      </c>
      <c r="BA423" s="141">
        <v>2</v>
      </c>
      <c r="BB423" s="268"/>
      <c r="BC423" s="270"/>
      <c r="BD423" s="141"/>
      <c r="BE423" s="43"/>
      <c r="BF423" s="141"/>
      <c r="BG423" s="138" t="s">
        <v>609</v>
      </c>
      <c r="BH423" s="43" t="s">
        <v>448</v>
      </c>
      <c r="BI423" s="260"/>
      <c r="BJ423" s="28"/>
    </row>
    <row r="424" spans="1:62" ht="15" thickBot="1" x14ac:dyDescent="0.35">
      <c r="Y424" s="46" t="s">
        <v>84</v>
      </c>
      <c r="Z424" s="47">
        <v>256</v>
      </c>
      <c r="AA424" s="49">
        <v>196</v>
      </c>
      <c r="AB424" s="47"/>
      <c r="AC424" s="48"/>
      <c r="AD424" s="49"/>
      <c r="AE424" s="47"/>
      <c r="AF424" s="49"/>
      <c r="AG424" s="46"/>
      <c r="AH424" s="47"/>
      <c r="AI424" s="48" t="s">
        <v>861</v>
      </c>
      <c r="AJ424" s="49">
        <v>8</v>
      </c>
      <c r="AS424" s="28"/>
      <c r="AT424" s="43"/>
      <c r="AU424" s="43"/>
      <c r="AV424" s="28"/>
      <c r="AY424" s="196" t="s">
        <v>2059</v>
      </c>
      <c r="AZ424" s="138">
        <v>1</v>
      </c>
      <c r="BA424" s="141">
        <v>0</v>
      </c>
      <c r="BB424" s="268"/>
      <c r="BC424" s="270"/>
      <c r="BD424" s="141"/>
      <c r="BE424" s="43"/>
      <c r="BF424" s="141"/>
      <c r="BG424" s="138" t="s">
        <v>2060</v>
      </c>
      <c r="BH424" s="43" t="s">
        <v>1780</v>
      </c>
      <c r="BI424" s="141" t="s">
        <v>2061</v>
      </c>
      <c r="BJ424" s="28"/>
    </row>
    <row r="425" spans="1:62" ht="15" thickBot="1" x14ac:dyDescent="0.35">
      <c r="Y425" s="254" t="s">
        <v>84</v>
      </c>
      <c r="Z425" s="171">
        <v>2821</v>
      </c>
      <c r="AA425" s="172">
        <v>2900</v>
      </c>
      <c r="AB425" s="271">
        <v>0</v>
      </c>
      <c r="AC425" s="170">
        <v>0</v>
      </c>
      <c r="AD425" s="172">
        <v>0</v>
      </c>
      <c r="AE425" s="47">
        <v>229811</v>
      </c>
      <c r="AF425" s="49">
        <v>134669</v>
      </c>
      <c r="AG425" s="46"/>
      <c r="AH425" s="291" t="s">
        <v>199</v>
      </c>
      <c r="AI425" s="170"/>
      <c r="AJ425" s="172">
        <v>50</v>
      </c>
      <c r="AS425" s="43"/>
      <c r="AT425" s="43"/>
      <c r="AU425" s="43"/>
      <c r="AV425" s="28"/>
      <c r="AY425" s="196" t="s">
        <v>108</v>
      </c>
      <c r="AZ425" s="138">
        <v>3</v>
      </c>
      <c r="BA425" s="141">
        <v>4</v>
      </c>
      <c r="BB425" s="268"/>
      <c r="BC425" s="270"/>
      <c r="BD425" s="141"/>
      <c r="BE425" s="43"/>
      <c r="BF425" s="141"/>
      <c r="BG425" s="138" t="s">
        <v>2062</v>
      </c>
      <c r="BH425" s="43" t="s">
        <v>334</v>
      </c>
      <c r="BI425" s="141" t="s">
        <v>2063</v>
      </c>
      <c r="BJ425" s="28"/>
    </row>
    <row r="426" spans="1:62" ht="15.6" x14ac:dyDescent="0.3">
      <c r="Y426" s="28"/>
      <c r="Z426" s="28"/>
      <c r="AA426" s="28"/>
      <c r="AB426" s="28"/>
      <c r="AC426" s="28"/>
      <c r="AD426" s="28"/>
      <c r="AE426" s="28"/>
      <c r="AF426" s="28"/>
      <c r="AG426" s="28"/>
      <c r="AH426" s="292"/>
      <c r="AI426" s="28"/>
      <c r="AJ426" s="28"/>
      <c r="AS426" s="43"/>
      <c r="AT426" s="28"/>
      <c r="AU426" s="28"/>
      <c r="AV426" s="28"/>
      <c r="AY426" s="259" t="s">
        <v>133</v>
      </c>
      <c r="AZ426" s="138">
        <v>6</v>
      </c>
      <c r="BA426" s="141">
        <v>9</v>
      </c>
      <c r="BB426" s="268"/>
      <c r="BC426" s="270"/>
      <c r="BD426" s="141"/>
      <c r="BE426" s="43"/>
      <c r="BF426" s="141"/>
      <c r="BG426" s="138" t="s">
        <v>2064</v>
      </c>
      <c r="BH426" s="258" t="s">
        <v>2065</v>
      </c>
      <c r="BI426" s="260" t="s">
        <v>1841</v>
      </c>
      <c r="BJ426" s="28"/>
    </row>
    <row r="427" spans="1:62" ht="15.6" x14ac:dyDescent="0.3">
      <c r="AS427" s="43"/>
      <c r="AT427" s="28"/>
      <c r="AU427" s="28"/>
      <c r="AV427" s="28"/>
      <c r="AY427" s="196" t="s">
        <v>2066</v>
      </c>
      <c r="AZ427" s="138">
        <v>2</v>
      </c>
      <c r="BA427" s="141">
        <v>0</v>
      </c>
      <c r="BB427" s="268"/>
      <c r="BC427" s="270"/>
      <c r="BD427" s="141"/>
      <c r="BE427" s="43"/>
      <c r="BF427" s="141"/>
      <c r="BG427" s="138" t="s">
        <v>698</v>
      </c>
      <c r="BH427" s="258" t="s">
        <v>2067</v>
      </c>
      <c r="BI427" s="141" t="s">
        <v>444</v>
      </c>
      <c r="BJ427" s="28"/>
    </row>
    <row r="428" spans="1:62" x14ac:dyDescent="0.3">
      <c r="AQ428" s="28"/>
      <c r="AS428" s="43"/>
      <c r="AT428" s="28"/>
      <c r="AU428" s="28"/>
      <c r="AV428" s="28"/>
      <c r="AY428" s="196" t="s">
        <v>214</v>
      </c>
      <c r="AZ428" s="138">
        <v>2</v>
      </c>
      <c r="BA428" s="141">
        <v>0</v>
      </c>
      <c r="BB428" s="268"/>
      <c r="BC428" s="270"/>
      <c r="BD428" s="141"/>
      <c r="BE428" s="43"/>
      <c r="BF428" s="141"/>
      <c r="BG428" s="138" t="s">
        <v>348</v>
      </c>
      <c r="BH428" s="228" t="s">
        <v>2068</v>
      </c>
      <c r="BI428" s="293" t="s">
        <v>2069</v>
      </c>
      <c r="BJ428" s="28"/>
    </row>
    <row r="429" spans="1:62" ht="15.6" x14ac:dyDescent="0.3">
      <c r="AQ429" s="28"/>
      <c r="AS429" s="43"/>
      <c r="AT429" s="43"/>
      <c r="AU429" s="43"/>
      <c r="AV429" s="28"/>
      <c r="AY429" s="196" t="s">
        <v>169</v>
      </c>
      <c r="AZ429" s="138">
        <v>0</v>
      </c>
      <c r="BA429" s="141">
        <v>4</v>
      </c>
      <c r="BB429" s="268"/>
      <c r="BC429" s="270"/>
      <c r="BD429" s="141"/>
      <c r="BE429" s="43"/>
      <c r="BF429" s="141"/>
      <c r="BG429" s="138" t="s">
        <v>806</v>
      </c>
      <c r="BH429" s="258" t="s">
        <v>2070</v>
      </c>
      <c r="BI429" s="141"/>
      <c r="BJ429" s="28"/>
    </row>
    <row r="430" spans="1:62" ht="16.2" thickBot="1" x14ac:dyDescent="0.35">
      <c r="AE430" s="28"/>
      <c r="AO430" s="28"/>
      <c r="AQ430" s="28"/>
      <c r="AS430" s="43"/>
      <c r="AT430" s="28"/>
      <c r="AU430" s="28"/>
      <c r="AV430" s="28"/>
      <c r="AY430" s="196" t="s">
        <v>657</v>
      </c>
      <c r="AZ430" s="138">
        <v>0</v>
      </c>
      <c r="BA430" s="141">
        <v>3</v>
      </c>
      <c r="BB430" s="268"/>
      <c r="BC430" s="270"/>
      <c r="BD430" s="141"/>
      <c r="BE430" s="43"/>
      <c r="BF430" s="141"/>
      <c r="BG430" s="138" t="s">
        <v>580</v>
      </c>
      <c r="BH430" s="258" t="s">
        <v>2071</v>
      </c>
      <c r="BI430" s="141">
        <v>77</v>
      </c>
      <c r="BJ430" s="28"/>
    </row>
    <row r="431" spans="1:62" ht="15" thickBot="1" x14ac:dyDescent="0.35">
      <c r="AO431" s="28"/>
      <c r="AQ431" s="28"/>
      <c r="AY431" s="271" t="s">
        <v>84</v>
      </c>
      <c r="AZ431" s="271">
        <v>110</v>
      </c>
      <c r="BA431" s="272">
        <v>137</v>
      </c>
      <c r="BB431" s="170" t="s">
        <v>84</v>
      </c>
      <c r="BC431" s="170">
        <v>26</v>
      </c>
      <c r="BD431" s="170">
        <v>23</v>
      </c>
      <c r="BE431" s="171">
        <v>81907</v>
      </c>
      <c r="BF431" s="172">
        <v>27000</v>
      </c>
      <c r="BG431" s="351"/>
      <c r="BH431" s="170"/>
      <c r="BI431" s="172">
        <v>373</v>
      </c>
      <c r="BJ431" s="28"/>
    </row>
    <row r="432" spans="1:62" x14ac:dyDescent="0.3">
      <c r="AO432" s="28"/>
      <c r="AQ432" s="28"/>
      <c r="AY432" s="33" t="s">
        <v>223</v>
      </c>
      <c r="AZ432" s="295">
        <v>6383</v>
      </c>
      <c r="BA432" s="296">
        <v>6405</v>
      </c>
      <c r="BB432" s="297"/>
      <c r="BC432" s="34" t="s">
        <v>1503</v>
      </c>
      <c r="BD432" s="34"/>
      <c r="BE432" s="34"/>
      <c r="BF432" s="34"/>
      <c r="BG432" s="298">
        <v>918</v>
      </c>
      <c r="BH432" s="35"/>
      <c r="BI432" s="35"/>
      <c r="BJ432" s="28"/>
    </row>
    <row r="433" spans="2:62" ht="15" thickBot="1" x14ac:dyDescent="0.35">
      <c r="Y433" s="43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O433" s="28"/>
      <c r="AQ433" s="28"/>
      <c r="AY433" s="42" t="s">
        <v>1340</v>
      </c>
      <c r="AZ433" s="28"/>
      <c r="BA433" s="299">
        <v>77</v>
      </c>
      <c r="BB433" s="47"/>
      <c r="BC433" s="48" t="s">
        <v>1504</v>
      </c>
      <c r="BD433" s="48"/>
      <c r="BE433" s="48"/>
      <c r="BF433" s="48"/>
      <c r="BG433" s="300">
        <v>452</v>
      </c>
      <c r="BH433" s="301">
        <v>1370</v>
      </c>
      <c r="BI433" s="40"/>
      <c r="BJ433" s="28"/>
    </row>
    <row r="434" spans="2:62" ht="15" thickBot="1" x14ac:dyDescent="0.35">
      <c r="Y434" s="28"/>
      <c r="Z434" s="28"/>
      <c r="AA434" s="28"/>
      <c r="AB434" s="28"/>
      <c r="AC434" s="43"/>
      <c r="AD434" s="28"/>
      <c r="AE434" s="28"/>
      <c r="AF434" s="28"/>
      <c r="AG434" s="28"/>
      <c r="AH434" s="28"/>
      <c r="AI434" s="28"/>
      <c r="AJ434" s="28"/>
      <c r="AO434" s="28"/>
      <c r="AQ434" s="28"/>
      <c r="AY434" s="47" t="s">
        <v>229</v>
      </c>
      <c r="AZ434" s="48"/>
      <c r="BA434" s="302">
        <v>4</v>
      </c>
      <c r="BB434" s="28"/>
      <c r="BC434" s="28"/>
      <c r="BD434" s="28"/>
      <c r="BE434" s="28"/>
      <c r="BF434" s="42"/>
      <c r="BG434" s="28"/>
      <c r="BH434" s="42"/>
      <c r="BI434" s="40"/>
      <c r="BJ434" s="28"/>
    </row>
    <row r="435" spans="2:62" x14ac:dyDescent="0.3">
      <c r="Y435" s="43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O435" s="28"/>
      <c r="AQ435" s="28"/>
      <c r="AY435" s="33" t="s">
        <v>232</v>
      </c>
      <c r="AZ435" s="34"/>
      <c r="BA435" s="303" t="s">
        <v>233</v>
      </c>
      <c r="BB435" s="34"/>
      <c r="BC435" s="298">
        <v>2053</v>
      </c>
      <c r="BD435" s="35"/>
      <c r="BE435" s="33" t="s">
        <v>234</v>
      </c>
      <c r="BF435" s="34"/>
      <c r="BG435" s="34" t="s">
        <v>233</v>
      </c>
      <c r="BH435" s="34"/>
      <c r="BI435" s="304">
        <v>6383</v>
      </c>
      <c r="BJ435" s="28"/>
    </row>
    <row r="436" spans="2:62" ht="15" thickBot="1" x14ac:dyDescent="0.35">
      <c r="Y436" s="28"/>
      <c r="Z436" s="28"/>
      <c r="AA436" s="28"/>
      <c r="AB436" s="28"/>
      <c r="AC436" s="43"/>
      <c r="AD436" s="28"/>
      <c r="AE436" s="28"/>
      <c r="AF436" s="28"/>
      <c r="AG436" s="28"/>
      <c r="AH436" s="28"/>
      <c r="AI436" s="28"/>
      <c r="AJ436" s="28"/>
      <c r="AO436" s="28"/>
      <c r="AQ436" s="28"/>
      <c r="AY436" s="47"/>
      <c r="AZ436" s="48"/>
      <c r="BA436" s="48" t="s">
        <v>236</v>
      </c>
      <c r="BB436" s="48"/>
      <c r="BC436" s="300">
        <v>2142</v>
      </c>
      <c r="BD436" s="49"/>
      <c r="BE436" s="42"/>
      <c r="BF436" s="28"/>
      <c r="BG436" s="28" t="s">
        <v>236</v>
      </c>
      <c r="BH436" s="28"/>
      <c r="BI436" s="174">
        <v>6405</v>
      </c>
      <c r="BJ436" s="28"/>
    </row>
    <row r="437" spans="2:62" ht="15" thickBot="1" x14ac:dyDescent="0.35">
      <c r="Y437" s="28"/>
      <c r="Z437" s="28"/>
      <c r="AA437" s="28"/>
      <c r="AB437" s="43"/>
      <c r="AC437" s="43"/>
      <c r="AD437" s="43"/>
      <c r="AE437" s="28"/>
      <c r="AF437" s="28"/>
      <c r="AG437" s="28"/>
      <c r="AH437" s="43"/>
      <c r="AI437" s="28"/>
      <c r="AJ437" s="28"/>
      <c r="AO437" s="28"/>
      <c r="AQ437" s="28"/>
      <c r="AY437" s="171" t="s">
        <v>238</v>
      </c>
      <c r="AZ437" s="170" t="s">
        <v>239</v>
      </c>
      <c r="BA437" s="172"/>
      <c r="BB437" s="171" t="s">
        <v>240</v>
      </c>
      <c r="BC437" s="170" t="s">
        <v>241</v>
      </c>
      <c r="BD437" s="170"/>
      <c r="BE437" s="171"/>
      <c r="BF437" s="170" t="s">
        <v>242</v>
      </c>
      <c r="BG437" s="305" t="s">
        <v>243</v>
      </c>
      <c r="BH437" s="170"/>
      <c r="BI437" s="172"/>
      <c r="BJ437" s="28"/>
    </row>
    <row r="438" spans="2:62" x14ac:dyDescent="0.3"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O438" s="28"/>
      <c r="AQ438" s="28"/>
      <c r="AY438" s="42" t="s">
        <v>233</v>
      </c>
      <c r="AZ438" s="28"/>
      <c r="BA438" s="174">
        <v>63892</v>
      </c>
      <c r="BB438" s="306" t="s">
        <v>233</v>
      </c>
      <c r="BC438" s="28"/>
      <c r="BD438" s="174">
        <v>2821</v>
      </c>
      <c r="BE438" s="42" t="s">
        <v>233</v>
      </c>
      <c r="BF438" s="28"/>
      <c r="BG438" s="174">
        <v>9204</v>
      </c>
      <c r="BH438" s="28" t="s">
        <v>245</v>
      </c>
      <c r="BI438" s="174">
        <v>73096</v>
      </c>
      <c r="BJ438" s="28"/>
    </row>
    <row r="439" spans="2:62" ht="15" thickBot="1" x14ac:dyDescent="0.35">
      <c r="Y439" s="28"/>
      <c r="Z439" s="28"/>
      <c r="AA439" s="28"/>
      <c r="AB439" s="28"/>
      <c r="AC439" s="28"/>
      <c r="AD439" s="28"/>
      <c r="AE439" s="28"/>
      <c r="AF439" s="28"/>
      <c r="AG439" s="28"/>
      <c r="AH439" s="292"/>
      <c r="AI439" s="28"/>
      <c r="AJ439" s="28"/>
      <c r="AO439" s="28"/>
      <c r="AQ439" s="28"/>
      <c r="AY439" s="47" t="s">
        <v>236</v>
      </c>
      <c r="AZ439" s="48"/>
      <c r="BA439" s="301">
        <v>57883</v>
      </c>
      <c r="BB439" s="307" t="s">
        <v>236</v>
      </c>
      <c r="BC439" s="48"/>
      <c r="BD439" s="301">
        <v>2900</v>
      </c>
      <c r="BE439" s="42" t="s">
        <v>236</v>
      </c>
      <c r="BF439" s="28"/>
      <c r="BG439" s="174">
        <v>9305</v>
      </c>
      <c r="BH439" s="28"/>
      <c r="BI439" s="174">
        <v>67188</v>
      </c>
      <c r="BJ439" s="140">
        <v>140284</v>
      </c>
    </row>
    <row r="440" spans="2:62" ht="15" thickBot="1" x14ac:dyDescent="0.35"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Y440" s="271" t="s">
        <v>1505</v>
      </c>
      <c r="AZ440" s="170"/>
      <c r="BA440" s="272"/>
      <c r="BB440" s="271" t="s">
        <v>1506</v>
      </c>
      <c r="BC440" s="170"/>
      <c r="BD440" s="170"/>
      <c r="BE440" s="171"/>
      <c r="BF440" s="170" t="s">
        <v>1507</v>
      </c>
      <c r="BG440" s="170"/>
      <c r="BH440" s="170"/>
      <c r="BI440" s="308"/>
      <c r="BJ440" s="28"/>
    </row>
    <row r="441" spans="2:62" x14ac:dyDescent="0.3">
      <c r="Y441" s="28"/>
      <c r="Z441" s="28"/>
      <c r="AA441" s="28"/>
      <c r="AB441" s="28"/>
      <c r="AC441" s="28"/>
      <c r="AD441" s="28"/>
      <c r="AE441" s="28"/>
      <c r="AF441" s="28"/>
      <c r="AG441" s="28"/>
      <c r="AH441" s="292"/>
      <c r="AI441" s="28"/>
      <c r="AJ441" s="28"/>
      <c r="AY441" s="53" t="s">
        <v>43</v>
      </c>
      <c r="AZ441" s="34" t="s">
        <v>44</v>
      </c>
      <c r="BA441" s="309"/>
      <c r="BB441" s="123" t="s">
        <v>43</v>
      </c>
      <c r="BC441" s="123" t="s">
        <v>44</v>
      </c>
      <c r="BD441" s="35"/>
      <c r="BE441" s="28"/>
      <c r="BF441" s="140">
        <v>3011</v>
      </c>
      <c r="BG441" s="28"/>
      <c r="BH441" s="28"/>
      <c r="BI441" s="40"/>
      <c r="BJ441" s="28"/>
    </row>
    <row r="442" spans="2:62" ht="15" thickBot="1" x14ac:dyDescent="0.35">
      <c r="AY442" s="310">
        <v>264218</v>
      </c>
      <c r="AZ442" s="300">
        <v>221396</v>
      </c>
      <c r="BA442" s="311"/>
      <c r="BB442" s="312">
        <v>84571</v>
      </c>
      <c r="BC442" s="300">
        <v>27489</v>
      </c>
      <c r="BD442" s="49"/>
      <c r="BE442" s="48"/>
      <c r="BF442" s="48"/>
      <c r="BG442" s="48"/>
      <c r="BH442" s="48"/>
      <c r="BI442" s="49"/>
      <c r="BJ442" s="28"/>
    </row>
    <row r="445" spans="2:62" ht="21" x14ac:dyDescent="0.4">
      <c r="B445" s="261"/>
      <c r="C445" s="184"/>
      <c r="E445" s="329" t="s">
        <v>1873</v>
      </c>
      <c r="O445" s="261"/>
      <c r="P445" s="184"/>
      <c r="R445" s="329" t="s">
        <v>1873</v>
      </c>
      <c r="AA445" s="261"/>
      <c r="AB445" s="184"/>
      <c r="AD445" s="329" t="s">
        <v>1873</v>
      </c>
      <c r="AO445" s="261"/>
      <c r="AP445" s="184"/>
      <c r="AR445" s="329" t="s">
        <v>1873</v>
      </c>
      <c r="AY445" s="28"/>
      <c r="AZ445" s="28"/>
      <c r="BA445" s="261"/>
      <c r="BB445" s="184"/>
      <c r="BD445" s="329" t="s">
        <v>1873</v>
      </c>
      <c r="BH445" s="258"/>
      <c r="BI445" s="28"/>
      <c r="BJ445" s="28"/>
    </row>
    <row r="446" spans="2:62" x14ac:dyDescent="0.3">
      <c r="C446" t="s">
        <v>1443</v>
      </c>
      <c r="Q446" t="s">
        <v>1</v>
      </c>
      <c r="AC446" t="s">
        <v>1444</v>
      </c>
      <c r="AP446" s="408" t="s">
        <v>2072</v>
      </c>
      <c r="AQ446" s="408"/>
      <c r="AR446" s="408"/>
      <c r="AS446" s="408"/>
      <c r="BC446" t="s">
        <v>1445</v>
      </c>
      <c r="BF446" s="28"/>
      <c r="BG446" s="28"/>
      <c r="BH446" s="28"/>
      <c r="BI446" s="28"/>
      <c r="BJ446" s="28"/>
    </row>
    <row r="447" spans="2:62" x14ac:dyDescent="0.3">
      <c r="D447" t="s">
        <v>2</v>
      </c>
      <c r="Q447" s="408" t="s">
        <v>1286</v>
      </c>
      <c r="R447" s="408"/>
      <c r="S447" s="408"/>
      <c r="AC447" t="s">
        <v>9</v>
      </c>
      <c r="AQ447" s="408" t="s">
        <v>2</v>
      </c>
      <c r="AR447" s="408"/>
      <c r="BD447" t="s">
        <v>2</v>
      </c>
      <c r="BF447" s="28"/>
      <c r="BG447" s="28"/>
      <c r="BH447" s="28"/>
      <c r="BI447" s="28"/>
      <c r="BJ447" s="28"/>
    </row>
    <row r="448" spans="2:62" x14ac:dyDescent="0.3">
      <c r="C448" t="s">
        <v>7</v>
      </c>
      <c r="P448" t="s">
        <v>1446</v>
      </c>
      <c r="AC448" t="s">
        <v>11</v>
      </c>
      <c r="AO448" s="408" t="s">
        <v>2073</v>
      </c>
      <c r="AP448" s="408"/>
      <c r="AQ448" s="408"/>
      <c r="AR448" s="408"/>
      <c r="AS448" s="408"/>
      <c r="AT448" s="408"/>
      <c r="BB448" t="s">
        <v>1451</v>
      </c>
      <c r="BF448" s="28"/>
      <c r="BG448" s="28"/>
      <c r="BH448" s="28"/>
      <c r="BI448" s="28"/>
      <c r="BJ448" s="28"/>
    </row>
    <row r="449" spans="1:62" x14ac:dyDescent="0.3">
      <c r="B449" s="408" t="s">
        <v>2074</v>
      </c>
      <c r="C449" s="408"/>
      <c r="D449" s="408"/>
      <c r="E449" s="408"/>
      <c r="F449" s="408"/>
      <c r="P449" s="408" t="s">
        <v>2074</v>
      </c>
      <c r="Q449" s="408"/>
      <c r="R449" s="408"/>
      <c r="S449" s="408"/>
      <c r="AC449" s="408" t="s">
        <v>2075</v>
      </c>
      <c r="AD449" s="408"/>
      <c r="AE449" s="408"/>
      <c r="AF449" s="408"/>
      <c r="AP449" s="408" t="s">
        <v>2075</v>
      </c>
      <c r="AQ449" s="408"/>
      <c r="AR449" s="408"/>
      <c r="AS449" s="408"/>
      <c r="AT449" s="408"/>
      <c r="BC449" s="408" t="s">
        <v>2075</v>
      </c>
      <c r="BD449" s="408"/>
      <c r="BE449" s="408"/>
      <c r="BF449" s="408"/>
      <c r="BJ449" s="28"/>
    </row>
    <row r="450" spans="1:62" ht="15" thickBot="1" x14ac:dyDescent="0.35">
      <c r="A450" s="344"/>
      <c r="B450" s="410" t="s">
        <v>2076</v>
      </c>
      <c r="C450" s="410"/>
      <c r="D450" s="410"/>
      <c r="E450" s="410"/>
      <c r="F450" s="410"/>
      <c r="G450" s="410"/>
      <c r="H450" s="344"/>
      <c r="I450" s="368" t="s">
        <v>949</v>
      </c>
      <c r="J450" s="344"/>
      <c r="N450" s="344"/>
      <c r="O450" s="410" t="s">
        <v>2076</v>
      </c>
      <c r="P450" s="410"/>
      <c r="Q450" s="410"/>
      <c r="R450" s="410"/>
      <c r="S450" s="410"/>
      <c r="T450" s="410"/>
      <c r="U450" s="410"/>
      <c r="V450" t="s">
        <v>15</v>
      </c>
      <c r="AA450" s="410" t="s">
        <v>2076</v>
      </c>
      <c r="AB450" s="410"/>
      <c r="AC450" s="410"/>
      <c r="AD450" s="410"/>
      <c r="AE450" s="410"/>
      <c r="AF450" s="410"/>
      <c r="AG450" s="410"/>
      <c r="AH450" s="410"/>
      <c r="AI450" s="28" t="s">
        <v>25</v>
      </c>
      <c r="AM450" s="328"/>
      <c r="AN450" s="328"/>
      <c r="AO450" s="328"/>
      <c r="AP450" s="328" t="s">
        <v>2076</v>
      </c>
      <c r="AQ450" s="328"/>
      <c r="AR450" s="328"/>
      <c r="AS450" s="328"/>
      <c r="AT450" s="328"/>
      <c r="AU450" s="328"/>
      <c r="AV450" s="194" t="s">
        <v>951</v>
      </c>
      <c r="AY450" s="344"/>
      <c r="AZ450" s="328"/>
      <c r="BA450" s="328"/>
      <c r="BB450" s="328"/>
      <c r="BC450" s="328" t="s">
        <v>2076</v>
      </c>
      <c r="BD450" s="328"/>
      <c r="BE450" s="328"/>
      <c r="BF450" s="328"/>
      <c r="BG450" s="328"/>
      <c r="BH450" s="328"/>
      <c r="BI450" s="369" t="s">
        <v>950</v>
      </c>
      <c r="BJ450" s="28"/>
    </row>
    <row r="451" spans="1:62" ht="15" thickBot="1" x14ac:dyDescent="0.35">
      <c r="A451" s="32" t="s">
        <v>17</v>
      </c>
      <c r="B451" s="34" t="s">
        <v>18</v>
      </c>
      <c r="C451" s="201"/>
      <c r="D451" s="34" t="s">
        <v>19</v>
      </c>
      <c r="E451" s="34"/>
      <c r="F451" s="34"/>
      <c r="G451" s="200"/>
      <c r="H451" s="33" t="s">
        <v>21</v>
      </c>
      <c r="I451" s="34"/>
      <c r="J451" s="35"/>
      <c r="M451" s="32" t="s">
        <v>17</v>
      </c>
      <c r="N451" s="33" t="s">
        <v>22</v>
      </c>
      <c r="O451" s="34"/>
      <c r="P451" s="34" t="s">
        <v>1452</v>
      </c>
      <c r="Q451" s="34" t="s">
        <v>1453</v>
      </c>
      <c r="R451" s="34"/>
      <c r="S451" s="34"/>
      <c r="T451" s="35"/>
      <c r="U451" s="33" t="s">
        <v>21</v>
      </c>
      <c r="V451" s="35"/>
      <c r="Y451" s="33" t="s">
        <v>34</v>
      </c>
      <c r="Z451" s="200" t="s">
        <v>35</v>
      </c>
      <c r="AA451" s="201"/>
      <c r="AB451" s="34" t="s">
        <v>1454</v>
      </c>
      <c r="AC451" s="34" t="s">
        <v>51</v>
      </c>
      <c r="AD451" s="34"/>
      <c r="AE451" s="200" t="s">
        <v>37</v>
      </c>
      <c r="AF451" s="201" t="s">
        <v>1288</v>
      </c>
      <c r="AG451" s="34" t="s">
        <v>30</v>
      </c>
      <c r="AH451" s="200" t="s">
        <v>38</v>
      </c>
      <c r="AI451" s="34"/>
      <c r="AJ451" s="35"/>
      <c r="AM451" s="134" t="s">
        <v>17</v>
      </c>
      <c r="AN451" s="134" t="s">
        <v>39</v>
      </c>
      <c r="AO451" s="136"/>
      <c r="AP451" s="134" t="s">
        <v>29</v>
      </c>
      <c r="AQ451" s="136" t="s">
        <v>30</v>
      </c>
      <c r="AR451" s="135" t="s">
        <v>40</v>
      </c>
      <c r="AS451" s="135"/>
      <c r="AT451" s="135"/>
      <c r="AU451" s="135"/>
      <c r="AV451" s="136"/>
      <c r="AY451" s="195" t="s">
        <v>17</v>
      </c>
      <c r="AZ451" s="134" t="s">
        <v>27</v>
      </c>
      <c r="BA451" s="135"/>
      <c r="BB451" s="134" t="s">
        <v>28</v>
      </c>
      <c r="BC451" s="135"/>
      <c r="BD451" s="136"/>
      <c r="BE451" s="134" t="s">
        <v>1459</v>
      </c>
      <c r="BF451" s="136"/>
      <c r="BG451" s="135" t="s">
        <v>31</v>
      </c>
      <c r="BH451" s="135"/>
      <c r="BI451" s="136"/>
      <c r="BJ451" s="28"/>
    </row>
    <row r="452" spans="1:62" ht="15" thickBot="1" x14ac:dyDescent="0.35">
      <c r="A452" s="41" t="s">
        <v>32</v>
      </c>
      <c r="B452" s="28"/>
      <c r="C452" s="141"/>
      <c r="D452" s="28"/>
      <c r="E452" s="28"/>
      <c r="F452" s="28"/>
      <c r="G452" s="138"/>
      <c r="H452" s="42" t="s">
        <v>33</v>
      </c>
      <c r="I452" s="28"/>
      <c r="J452" s="40"/>
      <c r="M452" s="41"/>
      <c r="N452" s="42" t="s">
        <v>1456</v>
      </c>
      <c r="O452" s="28"/>
      <c r="P452" s="28"/>
      <c r="Q452" s="28"/>
      <c r="R452" s="28"/>
      <c r="S452" s="28" t="s">
        <v>1457</v>
      </c>
      <c r="T452" s="40"/>
      <c r="U452" s="42" t="s">
        <v>33</v>
      </c>
      <c r="V452" s="40"/>
      <c r="Y452" s="47" t="s">
        <v>50</v>
      </c>
      <c r="Z452" s="202" t="s">
        <v>43</v>
      </c>
      <c r="AA452" s="48" t="s">
        <v>44</v>
      </c>
      <c r="AB452" s="276" t="s">
        <v>1458</v>
      </c>
      <c r="AC452" s="48" t="s">
        <v>46</v>
      </c>
      <c r="AD452" s="48" t="s">
        <v>52</v>
      </c>
      <c r="AE452" s="202" t="s">
        <v>43</v>
      </c>
      <c r="AF452" s="203" t="s">
        <v>44</v>
      </c>
      <c r="AG452" s="48" t="s">
        <v>43</v>
      </c>
      <c r="AH452" s="202" t="s">
        <v>53</v>
      </c>
      <c r="AI452" s="48"/>
      <c r="AJ452" s="49"/>
      <c r="AM452" s="138" t="s">
        <v>42</v>
      </c>
      <c r="AN452" s="138" t="s">
        <v>43</v>
      </c>
      <c r="AO452" s="141" t="s">
        <v>44</v>
      </c>
      <c r="AP452" s="138" t="s">
        <v>43</v>
      </c>
      <c r="AQ452" s="141" t="s">
        <v>44</v>
      </c>
      <c r="AR452" s="28"/>
      <c r="AS452" s="28"/>
      <c r="AT452" s="28"/>
      <c r="AU452" s="28"/>
      <c r="AV452" s="141"/>
      <c r="AY452" s="196"/>
      <c r="AZ452" s="138"/>
      <c r="BA452" s="28"/>
      <c r="BB452" s="138"/>
      <c r="BC452" s="28"/>
      <c r="BD452" s="141"/>
      <c r="BE452" s="138"/>
      <c r="BF452" s="141"/>
      <c r="BG452" s="28" t="s">
        <v>41</v>
      </c>
      <c r="BH452" s="28"/>
      <c r="BI452" s="141"/>
      <c r="BJ452" s="28"/>
    </row>
    <row r="453" spans="1:62" ht="15" thickBot="1" x14ac:dyDescent="0.35">
      <c r="A453" s="46" t="s">
        <v>42</v>
      </c>
      <c r="B453" s="171" t="s">
        <v>43</v>
      </c>
      <c r="C453" s="172" t="s">
        <v>44</v>
      </c>
      <c r="D453" s="170" t="s">
        <v>45</v>
      </c>
      <c r="E453" s="170" t="s">
        <v>46</v>
      </c>
      <c r="F453" s="170" t="s">
        <v>47</v>
      </c>
      <c r="G453" s="254" t="s">
        <v>1460</v>
      </c>
      <c r="H453" s="47" t="s">
        <v>49</v>
      </c>
      <c r="I453" s="48"/>
      <c r="J453" s="49"/>
      <c r="M453" s="46" t="s">
        <v>50</v>
      </c>
      <c r="N453" s="47" t="s">
        <v>43</v>
      </c>
      <c r="O453" s="48" t="s">
        <v>44</v>
      </c>
      <c r="P453" s="171" t="s">
        <v>51</v>
      </c>
      <c r="Q453" s="170" t="s">
        <v>43</v>
      </c>
      <c r="R453" s="172" t="s">
        <v>44</v>
      </c>
      <c r="S453" s="48" t="s">
        <v>43</v>
      </c>
      <c r="T453" s="49" t="s">
        <v>44</v>
      </c>
      <c r="U453" s="47" t="s">
        <v>49</v>
      </c>
      <c r="V453" s="49"/>
      <c r="Y453" s="33"/>
      <c r="Z453" s="33"/>
      <c r="AA453" s="35"/>
      <c r="AB453" s="34"/>
      <c r="AC453" s="34"/>
      <c r="AD453" s="34"/>
      <c r="AE453" s="33"/>
      <c r="AF453" s="35"/>
      <c r="AG453" s="32"/>
      <c r="AH453" s="33" t="s">
        <v>62</v>
      </c>
      <c r="AI453" s="34"/>
      <c r="AJ453" s="35"/>
      <c r="AM453" s="134"/>
      <c r="AN453" s="134"/>
      <c r="AO453" s="136"/>
      <c r="AP453" s="134"/>
      <c r="AQ453" s="136"/>
      <c r="AR453" s="135"/>
      <c r="AS453" s="135" t="s">
        <v>91</v>
      </c>
      <c r="AT453" s="135"/>
      <c r="AU453" s="135"/>
      <c r="AV453" s="136"/>
      <c r="AY453" s="199" t="s">
        <v>42</v>
      </c>
      <c r="AZ453" s="142" t="s">
        <v>43</v>
      </c>
      <c r="BA453" s="143" t="s">
        <v>44</v>
      </c>
      <c r="BB453" s="142" t="s">
        <v>45</v>
      </c>
      <c r="BC453" s="143" t="s">
        <v>46</v>
      </c>
      <c r="BD453" s="146" t="s">
        <v>52</v>
      </c>
      <c r="BE453" s="142" t="s">
        <v>43</v>
      </c>
      <c r="BF453" s="146"/>
      <c r="BG453" s="143" t="s">
        <v>54</v>
      </c>
      <c r="BH453" s="143"/>
      <c r="BI453" s="146"/>
      <c r="BJ453" s="28"/>
    </row>
    <row r="454" spans="1:62" x14ac:dyDescent="0.3">
      <c r="A454" s="42"/>
      <c r="B454" s="138"/>
      <c r="C454" s="141"/>
      <c r="D454" s="138"/>
      <c r="E454" s="28"/>
      <c r="F454" s="28"/>
      <c r="G454" s="138"/>
      <c r="H454" s="33" t="s">
        <v>396</v>
      </c>
      <c r="I454" s="34"/>
      <c r="J454" s="35"/>
      <c r="M454" s="42"/>
      <c r="N454" s="138"/>
      <c r="O454" s="196"/>
      <c r="P454" s="138"/>
      <c r="Q454" s="196"/>
      <c r="R454" s="141"/>
      <c r="S454" s="138"/>
      <c r="T454" s="138"/>
      <c r="U454" s="33" t="s">
        <v>396</v>
      </c>
      <c r="V454" s="35"/>
      <c r="Y454" s="42"/>
      <c r="Z454" s="42"/>
      <c r="AA454" s="40"/>
      <c r="AB454" s="28"/>
      <c r="AC454" s="28"/>
      <c r="AD454" s="28"/>
      <c r="AE454" s="42"/>
      <c r="AF454" s="40"/>
      <c r="AG454" s="41"/>
      <c r="AH454" s="42">
        <v>5</v>
      </c>
      <c r="AI454" s="28" t="s">
        <v>1290</v>
      </c>
      <c r="AJ454" s="40"/>
      <c r="AM454" s="138" t="s">
        <v>67</v>
      </c>
      <c r="AN454" s="138">
        <v>1</v>
      </c>
      <c r="AO454" s="141">
        <v>0</v>
      </c>
      <c r="AP454" s="138"/>
      <c r="AQ454" s="141"/>
      <c r="AR454" s="28"/>
      <c r="AS454" s="43">
        <v>82</v>
      </c>
      <c r="AT454" s="28" t="s">
        <v>1026</v>
      </c>
      <c r="AU454" s="43">
        <v>7</v>
      </c>
      <c r="AV454" s="141" t="s">
        <v>1292</v>
      </c>
      <c r="AY454" s="195"/>
      <c r="AZ454" s="134"/>
      <c r="BA454" s="136"/>
      <c r="BB454" s="134"/>
      <c r="BC454" s="135"/>
      <c r="BD454" s="136"/>
      <c r="BE454" s="134"/>
      <c r="BF454" s="136"/>
      <c r="BG454" s="134" t="s">
        <v>58</v>
      </c>
      <c r="BH454" s="135"/>
      <c r="BI454" s="136"/>
    </row>
    <row r="455" spans="1:62" x14ac:dyDescent="0.3">
      <c r="A455" s="42" t="s">
        <v>59</v>
      </c>
      <c r="B455" s="212">
        <v>2210</v>
      </c>
      <c r="C455" s="141">
        <v>2213</v>
      </c>
      <c r="D455" s="138">
        <v>0</v>
      </c>
      <c r="E455" s="38">
        <v>0</v>
      </c>
      <c r="F455" s="43">
        <v>0</v>
      </c>
      <c r="G455" s="138">
        <v>1</v>
      </c>
      <c r="H455" s="42">
        <v>9</v>
      </c>
      <c r="I455" s="28" t="s">
        <v>61</v>
      </c>
      <c r="J455" s="40"/>
      <c r="M455" s="42" t="s">
        <v>59</v>
      </c>
      <c r="N455" s="138">
        <v>15705</v>
      </c>
      <c r="O455" s="196">
        <v>62217</v>
      </c>
      <c r="P455" s="138">
        <v>0</v>
      </c>
      <c r="Q455" s="196">
        <v>0</v>
      </c>
      <c r="R455" s="141">
        <v>0</v>
      </c>
      <c r="S455" s="138">
        <v>0</v>
      </c>
      <c r="T455" s="138">
        <v>0</v>
      </c>
      <c r="U455" s="42"/>
      <c r="V455" s="40"/>
      <c r="Y455" s="42" t="s">
        <v>59</v>
      </c>
      <c r="Z455" s="42">
        <v>2256</v>
      </c>
      <c r="AA455" s="40">
        <v>2522</v>
      </c>
      <c r="AB455" s="28">
        <v>0</v>
      </c>
      <c r="AC455" s="43">
        <v>0</v>
      </c>
      <c r="AD455" s="43">
        <v>0</v>
      </c>
      <c r="AE455" s="42">
        <v>415</v>
      </c>
      <c r="AF455" s="40">
        <v>0</v>
      </c>
      <c r="AG455" s="41">
        <v>0</v>
      </c>
      <c r="AH455" s="42">
        <v>4</v>
      </c>
      <c r="AI455" s="28" t="s">
        <v>66</v>
      </c>
      <c r="AJ455" s="40"/>
      <c r="AM455" s="138" t="s">
        <v>56</v>
      </c>
      <c r="AN455" s="138">
        <v>1363</v>
      </c>
      <c r="AO455" s="141">
        <v>1340</v>
      </c>
      <c r="AP455" s="138"/>
      <c r="AQ455" s="141"/>
      <c r="AR455" s="28"/>
      <c r="AS455" s="43">
        <v>1</v>
      </c>
      <c r="AT455" s="28" t="s">
        <v>1294</v>
      </c>
      <c r="AU455" s="43"/>
      <c r="AV455" s="141"/>
      <c r="AY455" s="196" t="s">
        <v>85</v>
      </c>
      <c r="AZ455" s="138">
        <v>26</v>
      </c>
      <c r="BA455" s="141">
        <v>0</v>
      </c>
      <c r="BB455" s="138"/>
      <c r="BC455" s="43"/>
      <c r="BD455" s="209"/>
      <c r="BE455" s="138"/>
      <c r="BF455" s="141"/>
      <c r="BG455" s="212">
        <v>14</v>
      </c>
      <c r="BH455" s="28" t="s">
        <v>65</v>
      </c>
      <c r="BI455" s="141"/>
    </row>
    <row r="456" spans="1:62" ht="15" thickBot="1" x14ac:dyDescent="0.35">
      <c r="A456" s="42" t="s">
        <v>6</v>
      </c>
      <c r="B456" s="142"/>
      <c r="C456" s="146"/>
      <c r="D456" s="138"/>
      <c r="E456" s="28"/>
      <c r="F456" s="28"/>
      <c r="G456" s="138"/>
      <c r="H456" s="42"/>
      <c r="I456" s="28"/>
      <c r="J456" s="40">
        <v>9</v>
      </c>
      <c r="M456" s="244"/>
      <c r="N456" s="142"/>
      <c r="O456" s="199"/>
      <c r="P456" s="142"/>
      <c r="Q456" s="199"/>
      <c r="R456" s="146"/>
      <c r="S456" s="142"/>
      <c r="T456" s="142"/>
      <c r="U456" s="244"/>
      <c r="V456" s="245"/>
      <c r="Y456" s="42"/>
      <c r="Z456" s="42"/>
      <c r="AA456" s="40"/>
      <c r="AB456" s="28"/>
      <c r="AC456" s="28"/>
      <c r="AD456" s="28"/>
      <c r="AE456" s="42"/>
      <c r="AF456" s="40"/>
      <c r="AG456" s="41"/>
      <c r="AH456" s="47"/>
      <c r="AI456" s="48"/>
      <c r="AJ456" s="49">
        <v>9</v>
      </c>
      <c r="AM456" s="142" t="s">
        <v>84</v>
      </c>
      <c r="AN456" s="142">
        <v>1364</v>
      </c>
      <c r="AO456" s="146">
        <v>1340</v>
      </c>
      <c r="AP456" s="142"/>
      <c r="AQ456" s="146"/>
      <c r="AR456" s="143"/>
      <c r="AS456" s="143"/>
      <c r="AT456" s="143"/>
      <c r="AU456" s="143"/>
      <c r="AV456" s="146">
        <v>90</v>
      </c>
      <c r="AY456" s="196" t="s">
        <v>64</v>
      </c>
      <c r="AZ456" s="138">
        <v>210</v>
      </c>
      <c r="BA456" s="141">
        <v>183</v>
      </c>
      <c r="BB456" s="138"/>
      <c r="BC456" s="43"/>
      <c r="BD456" s="209"/>
      <c r="BE456" s="138"/>
      <c r="BF456" s="141"/>
      <c r="BG456" s="138"/>
      <c r="BH456" s="28" t="s">
        <v>1045</v>
      </c>
      <c r="BI456" s="141"/>
    </row>
    <row r="457" spans="1:62" x14ac:dyDescent="0.3">
      <c r="A457" s="278"/>
      <c r="B457" s="134"/>
      <c r="C457" s="135"/>
      <c r="D457" s="134"/>
      <c r="E457" s="135"/>
      <c r="F457" s="135"/>
      <c r="G457" s="134"/>
      <c r="H457" s="278" t="s">
        <v>2077</v>
      </c>
      <c r="I457" s="135"/>
      <c r="J457" s="279"/>
      <c r="M457" s="278"/>
      <c r="N457" s="134"/>
      <c r="O457" s="195"/>
      <c r="P457" s="134"/>
      <c r="Q457" s="195"/>
      <c r="R457" s="136"/>
      <c r="S457" s="134"/>
      <c r="T457" s="134"/>
      <c r="U457" s="278"/>
      <c r="V457" s="279"/>
      <c r="Y457" s="32" t="s">
        <v>1095</v>
      </c>
      <c r="Z457" s="33">
        <v>188</v>
      </c>
      <c r="AA457" s="35">
        <v>0</v>
      </c>
      <c r="AB457" s="33"/>
      <c r="AC457" s="34"/>
      <c r="AD457" s="35"/>
      <c r="AE457" s="33"/>
      <c r="AF457" s="35"/>
      <c r="AG457" s="32"/>
      <c r="AH457" s="33" t="s">
        <v>1461</v>
      </c>
      <c r="AI457" s="34"/>
      <c r="AJ457" s="35"/>
      <c r="AM457" s="134"/>
      <c r="AN457" s="134"/>
      <c r="AO457" s="136"/>
      <c r="AP457" s="134"/>
      <c r="AQ457" s="136"/>
      <c r="AR457" s="135"/>
      <c r="AS457" s="135"/>
      <c r="AT457" s="135"/>
      <c r="AU457" s="135"/>
      <c r="AV457" s="136"/>
      <c r="AY457" s="211" t="s">
        <v>84</v>
      </c>
      <c r="AZ457" s="142">
        <v>236</v>
      </c>
      <c r="BA457" s="146">
        <v>183</v>
      </c>
      <c r="BB457" s="142"/>
      <c r="BC457" s="143"/>
      <c r="BD457" s="146"/>
      <c r="BE457" s="142"/>
      <c r="BF457" s="146"/>
      <c r="BG457" s="142"/>
      <c r="BH457" s="143"/>
      <c r="BI457" s="146">
        <v>14</v>
      </c>
      <c r="BJ457" s="28"/>
    </row>
    <row r="458" spans="1:62" x14ac:dyDescent="0.3">
      <c r="A458" s="42" t="s">
        <v>74</v>
      </c>
      <c r="B458" s="138">
        <v>1549</v>
      </c>
      <c r="C458" s="28">
        <v>1588</v>
      </c>
      <c r="D458" s="138">
        <v>0</v>
      </c>
      <c r="E458" s="38">
        <v>0</v>
      </c>
      <c r="F458" s="43">
        <v>0</v>
      </c>
      <c r="G458" s="138">
        <v>1</v>
      </c>
      <c r="H458" s="42">
        <v>4</v>
      </c>
      <c r="I458" s="28" t="s">
        <v>436</v>
      </c>
      <c r="J458" s="40"/>
      <c r="M458" s="42"/>
      <c r="N458" s="138"/>
      <c r="O458" s="196"/>
      <c r="P458" s="138"/>
      <c r="Q458" s="196"/>
      <c r="R458" s="141"/>
      <c r="S458" s="138"/>
      <c r="T458" s="138"/>
      <c r="U458" s="42" t="s">
        <v>80</v>
      </c>
      <c r="V458" s="40"/>
      <c r="Y458" s="41" t="s">
        <v>99</v>
      </c>
      <c r="Z458" s="67">
        <v>96</v>
      </c>
      <c r="AA458" s="40">
        <v>0</v>
      </c>
      <c r="AB458" s="67"/>
      <c r="AC458" s="43"/>
      <c r="AD458" s="40"/>
      <c r="AE458" s="42"/>
      <c r="AF458" s="40"/>
      <c r="AG458" s="41"/>
      <c r="AH458" s="67">
        <v>3</v>
      </c>
      <c r="AI458" s="43" t="s">
        <v>2032</v>
      </c>
      <c r="AJ458" s="40" t="s">
        <v>2078</v>
      </c>
      <c r="AM458" s="138" t="s">
        <v>56</v>
      </c>
      <c r="AN458" s="138">
        <v>0</v>
      </c>
      <c r="AO458" s="141">
        <v>0</v>
      </c>
      <c r="AP458" s="138"/>
      <c r="AQ458" s="141"/>
      <c r="AR458" s="28"/>
      <c r="AS458" s="28" t="s">
        <v>110</v>
      </c>
      <c r="AT458" s="28" t="s">
        <v>111</v>
      </c>
      <c r="AU458" s="28" t="s">
        <v>112</v>
      </c>
      <c r="AV458" s="141"/>
      <c r="AY458" s="195"/>
      <c r="AZ458" s="135"/>
      <c r="BA458" s="136"/>
      <c r="BB458" s="240"/>
      <c r="BC458" s="241"/>
      <c r="BD458" s="242"/>
      <c r="BE458" s="134"/>
      <c r="BF458" s="136"/>
      <c r="BG458" s="135"/>
      <c r="BH458" s="135" t="s">
        <v>92</v>
      </c>
      <c r="BI458" s="136"/>
    </row>
    <row r="459" spans="1:62" x14ac:dyDescent="0.3">
      <c r="A459" s="42"/>
      <c r="B459" s="138"/>
      <c r="C459" s="28"/>
      <c r="D459" s="138"/>
      <c r="E459" s="28"/>
      <c r="F459" s="28"/>
      <c r="G459" s="138"/>
      <c r="H459" s="67">
        <v>13</v>
      </c>
      <c r="I459" s="43" t="s">
        <v>127</v>
      </c>
      <c r="J459" s="40"/>
      <c r="M459" s="42" t="s">
        <v>74</v>
      </c>
      <c r="N459" s="138">
        <v>5009</v>
      </c>
      <c r="O459" s="196">
        <v>1472</v>
      </c>
      <c r="P459" s="138">
        <v>0</v>
      </c>
      <c r="Q459" s="196">
        <v>0</v>
      </c>
      <c r="R459" s="141">
        <v>0</v>
      </c>
      <c r="S459" s="138">
        <v>0</v>
      </c>
      <c r="T459" s="138">
        <v>0</v>
      </c>
      <c r="U459" s="42"/>
      <c r="V459" s="40"/>
      <c r="Y459" s="41" t="s">
        <v>107</v>
      </c>
      <c r="Z459" s="42">
        <v>62</v>
      </c>
      <c r="AA459" s="40">
        <v>0</v>
      </c>
      <c r="AB459" s="42"/>
      <c r="AC459" s="28"/>
      <c r="AD459" s="56"/>
      <c r="AE459" s="67"/>
      <c r="AF459" s="56"/>
      <c r="AG459" s="68"/>
      <c r="AH459" s="67">
        <v>1</v>
      </c>
      <c r="AI459" s="43" t="s">
        <v>141</v>
      </c>
      <c r="AJ459" s="40"/>
      <c r="AM459" s="138" t="s">
        <v>72</v>
      </c>
      <c r="AN459" s="138">
        <v>17</v>
      </c>
      <c r="AO459" s="141">
        <v>6</v>
      </c>
      <c r="AP459" s="138"/>
      <c r="AQ459" s="141"/>
      <c r="AR459" s="43"/>
      <c r="AS459" s="28"/>
      <c r="AT459" s="28"/>
      <c r="AU459" s="28"/>
      <c r="AV459" s="141"/>
      <c r="AY459" s="196"/>
      <c r="AZ459" s="28"/>
      <c r="BA459" s="141"/>
      <c r="BB459" s="138"/>
      <c r="BC459" s="43"/>
      <c r="BD459" s="141"/>
      <c r="BE459" s="138"/>
      <c r="BF459" s="141"/>
      <c r="BG459" s="43">
        <v>4</v>
      </c>
      <c r="BH459" s="43" t="s">
        <v>1297</v>
      </c>
      <c r="BI459" s="141"/>
    </row>
    <row r="460" spans="1:62" x14ac:dyDescent="0.3">
      <c r="A460" s="244"/>
      <c r="B460" s="142"/>
      <c r="C460" s="143"/>
      <c r="D460" s="142"/>
      <c r="E460" s="143"/>
      <c r="F460" s="143"/>
      <c r="G460" s="142"/>
      <c r="H460" s="244"/>
      <c r="I460" s="143"/>
      <c r="J460" s="245">
        <v>17</v>
      </c>
      <c r="M460" s="244"/>
      <c r="N460" s="142"/>
      <c r="O460" s="199"/>
      <c r="P460" s="142"/>
      <c r="Q460" s="199"/>
      <c r="R460" s="146"/>
      <c r="S460" s="142"/>
      <c r="T460" s="142"/>
      <c r="U460" s="244"/>
      <c r="V460" s="245"/>
      <c r="Y460" s="68" t="s">
        <v>108</v>
      </c>
      <c r="Z460" s="42">
        <v>0</v>
      </c>
      <c r="AA460" s="40">
        <v>0</v>
      </c>
      <c r="AB460" s="42"/>
      <c r="AC460" s="28"/>
      <c r="AD460" s="40"/>
      <c r="AE460" s="42"/>
      <c r="AF460" s="40"/>
      <c r="AG460" s="41"/>
      <c r="AH460" s="42"/>
      <c r="AI460" s="28"/>
      <c r="AJ460" s="40"/>
      <c r="AM460" s="138" t="s">
        <v>78</v>
      </c>
      <c r="AN460" s="138">
        <v>31</v>
      </c>
      <c r="AO460" s="141">
        <v>34</v>
      </c>
      <c r="AP460" s="138"/>
      <c r="AQ460" s="141"/>
      <c r="AR460" s="28"/>
      <c r="AS460" s="43"/>
      <c r="AT460" s="28"/>
      <c r="AU460" s="28"/>
      <c r="AV460" s="141"/>
      <c r="AY460" s="196"/>
      <c r="AZ460" s="28"/>
      <c r="BA460" s="141"/>
      <c r="BB460" s="212"/>
      <c r="BC460" s="43"/>
      <c r="BD460" s="209"/>
      <c r="BE460" s="212"/>
      <c r="BF460" s="141"/>
      <c r="BG460" s="43">
        <v>21</v>
      </c>
      <c r="BH460" s="43" t="s">
        <v>2033</v>
      </c>
      <c r="BI460" s="141"/>
      <c r="BJ460" s="28"/>
    </row>
    <row r="461" spans="1:62" ht="15" thickBot="1" x14ac:dyDescent="0.35">
      <c r="A461" s="278"/>
      <c r="B461" s="134"/>
      <c r="C461" s="135"/>
      <c r="D461" s="134"/>
      <c r="E461" s="135"/>
      <c r="F461" s="135"/>
      <c r="G461" s="134"/>
      <c r="H461" s="278" t="s">
        <v>87</v>
      </c>
      <c r="I461" s="135"/>
      <c r="J461" s="279"/>
      <c r="M461" s="278"/>
      <c r="N461" s="134"/>
      <c r="O461" s="195"/>
      <c r="P461" s="134"/>
      <c r="Q461" s="195"/>
      <c r="R461" s="136"/>
      <c r="S461" s="134"/>
      <c r="T461" s="134"/>
      <c r="U461" s="278" t="s">
        <v>6</v>
      </c>
      <c r="V461" s="279"/>
      <c r="Y461" s="62" t="s">
        <v>84</v>
      </c>
      <c r="Z461" s="47">
        <v>346</v>
      </c>
      <c r="AA461" s="49">
        <v>0</v>
      </c>
      <c r="AB461" s="47"/>
      <c r="AC461" s="48"/>
      <c r="AD461" s="49"/>
      <c r="AE461" s="47"/>
      <c r="AF461" s="49"/>
      <c r="AG461" s="46"/>
      <c r="AH461" s="47"/>
      <c r="AI461" s="51"/>
      <c r="AJ461" s="49">
        <v>5</v>
      </c>
      <c r="AM461" s="138" t="s">
        <v>67</v>
      </c>
      <c r="AN461" s="138">
        <v>85</v>
      </c>
      <c r="AO461" s="141">
        <v>54</v>
      </c>
      <c r="AP461" s="138"/>
      <c r="AQ461" s="141"/>
      <c r="AR461" s="28"/>
      <c r="AS461" s="28"/>
      <c r="AT461" s="28"/>
      <c r="AU461" s="28"/>
      <c r="AV461" s="141"/>
      <c r="AY461" s="196" t="s">
        <v>88</v>
      </c>
      <c r="AZ461" s="43"/>
      <c r="BA461" s="141"/>
      <c r="BB461" s="138"/>
      <c r="BC461" s="43"/>
      <c r="BD461" s="141"/>
      <c r="BE461" s="212">
        <v>3321</v>
      </c>
      <c r="BF461" s="141">
        <v>0</v>
      </c>
      <c r="BG461" s="43">
        <v>2</v>
      </c>
      <c r="BH461" s="43" t="s">
        <v>506</v>
      </c>
      <c r="BI461" s="141"/>
    </row>
    <row r="462" spans="1:62" x14ac:dyDescent="0.3">
      <c r="A462" s="42" t="s">
        <v>93</v>
      </c>
      <c r="B462" s="138">
        <v>4641</v>
      </c>
      <c r="C462" s="28">
        <v>5248</v>
      </c>
      <c r="D462" s="138">
        <v>0</v>
      </c>
      <c r="E462" s="38">
        <v>0</v>
      </c>
      <c r="F462" s="43">
        <v>0</v>
      </c>
      <c r="G462" s="138">
        <v>1</v>
      </c>
      <c r="H462" s="67">
        <v>30</v>
      </c>
      <c r="I462" s="28" t="s">
        <v>101</v>
      </c>
      <c r="J462" s="40"/>
      <c r="M462" s="42"/>
      <c r="N462" s="138"/>
      <c r="O462" s="196"/>
      <c r="P462" s="138"/>
      <c r="Q462" s="196"/>
      <c r="R462" s="141"/>
      <c r="S462" s="138"/>
      <c r="T462" s="138"/>
      <c r="U462" s="42"/>
      <c r="V462" s="40"/>
      <c r="Y462" s="32"/>
      <c r="Z462" s="34"/>
      <c r="AA462" s="34"/>
      <c r="AB462" s="33"/>
      <c r="AC462" s="34"/>
      <c r="AD462" s="35"/>
      <c r="AE462" s="34"/>
      <c r="AF462" s="34"/>
      <c r="AG462" s="32"/>
      <c r="AH462" s="33" t="s">
        <v>1298</v>
      </c>
      <c r="AI462" s="34"/>
      <c r="AJ462" s="35"/>
      <c r="AM462" s="138" t="s">
        <v>1354</v>
      </c>
      <c r="AN462" s="138">
        <v>12</v>
      </c>
      <c r="AO462" s="141">
        <v>14</v>
      </c>
      <c r="AP462" s="138"/>
      <c r="AQ462" s="141"/>
      <c r="AR462" s="28"/>
      <c r="AS462" s="43">
        <v>17</v>
      </c>
      <c r="AT462" s="28" t="s">
        <v>123</v>
      </c>
      <c r="AU462" s="28" t="s">
        <v>6</v>
      </c>
      <c r="AV462" s="141"/>
      <c r="AY462" s="196" t="s">
        <v>93</v>
      </c>
      <c r="AZ462" s="28">
        <v>0</v>
      </c>
      <c r="BA462" s="141">
        <v>59</v>
      </c>
      <c r="BB462" s="138"/>
      <c r="BC462" s="43"/>
      <c r="BD462" s="141"/>
      <c r="BE462" s="43">
        <v>5950</v>
      </c>
      <c r="BF462" s="141">
        <v>2000</v>
      </c>
      <c r="BG462" s="28"/>
      <c r="BH462" s="28"/>
      <c r="BI462" s="141"/>
      <c r="BJ462" s="28"/>
    </row>
    <row r="463" spans="1:62" x14ac:dyDescent="0.3">
      <c r="A463" s="42"/>
      <c r="B463" s="138"/>
      <c r="C463" s="28"/>
      <c r="D463" s="138"/>
      <c r="E463" s="28"/>
      <c r="F463" s="28"/>
      <c r="G463" s="138"/>
      <c r="H463" s="67"/>
      <c r="I463" s="28"/>
      <c r="J463" s="40">
        <v>30</v>
      </c>
      <c r="L463" s="325"/>
      <c r="M463" s="28"/>
      <c r="N463" s="138"/>
      <c r="O463" s="196"/>
      <c r="P463" s="138"/>
      <c r="Q463" s="196"/>
      <c r="R463" s="141"/>
      <c r="S463" s="138"/>
      <c r="T463" s="138"/>
      <c r="U463" s="42"/>
      <c r="V463" s="40"/>
      <c r="Y463" s="41"/>
      <c r="AB463" s="42"/>
      <c r="AC463" s="28"/>
      <c r="AD463" s="40"/>
      <c r="AG463" s="41"/>
      <c r="AH463" s="42">
        <v>6</v>
      </c>
      <c r="AI463" s="43" t="s">
        <v>1463</v>
      </c>
      <c r="AJ463" s="40" t="s">
        <v>1695</v>
      </c>
      <c r="AM463" s="138" t="s">
        <v>128</v>
      </c>
      <c r="AN463" s="138">
        <v>2</v>
      </c>
      <c r="AO463" s="141">
        <v>3</v>
      </c>
      <c r="AP463" s="138"/>
      <c r="AQ463" s="141"/>
      <c r="AR463" s="28"/>
      <c r="AS463" s="43">
        <v>32</v>
      </c>
      <c r="AT463" s="28" t="s">
        <v>126</v>
      </c>
      <c r="AU463" s="28"/>
      <c r="AV463" s="141"/>
      <c r="AY463" s="196" t="s">
        <v>99</v>
      </c>
      <c r="AZ463" s="43"/>
      <c r="BA463" s="141"/>
      <c r="BB463" s="138"/>
      <c r="BC463" s="43"/>
      <c r="BD463" s="141"/>
      <c r="BE463" s="43">
        <v>73347</v>
      </c>
      <c r="BF463" s="141">
        <v>25000</v>
      </c>
      <c r="BG463" s="43"/>
      <c r="BH463" s="43"/>
      <c r="BI463" s="141"/>
      <c r="BJ463" s="28"/>
    </row>
    <row r="464" spans="1:62" ht="15" thickBot="1" x14ac:dyDescent="0.35">
      <c r="A464" s="278" t="s">
        <v>108</v>
      </c>
      <c r="B464" s="134">
        <v>0</v>
      </c>
      <c r="C464" s="136">
        <v>264</v>
      </c>
      <c r="D464" s="135">
        <v>0</v>
      </c>
      <c r="E464" s="243">
        <v>0</v>
      </c>
      <c r="F464" s="135">
        <v>0</v>
      </c>
      <c r="G464" s="134">
        <v>1</v>
      </c>
      <c r="H464" s="278" t="s">
        <v>104</v>
      </c>
      <c r="I464" s="135"/>
      <c r="J464" s="279"/>
      <c r="M464" s="244"/>
      <c r="N464" s="142"/>
      <c r="O464" s="199"/>
      <c r="P464" s="142"/>
      <c r="Q464" s="199"/>
      <c r="R464" s="146"/>
      <c r="S464" s="142"/>
      <c r="T464" s="142"/>
      <c r="U464" s="244"/>
      <c r="V464" s="245"/>
      <c r="Y464" s="46" t="s">
        <v>1300</v>
      </c>
      <c r="Z464" s="48">
        <v>309</v>
      </c>
      <c r="AA464" s="48">
        <v>315</v>
      </c>
      <c r="AB464" s="47">
        <v>0</v>
      </c>
      <c r="AC464" s="48">
        <v>0</v>
      </c>
      <c r="AD464" s="49">
        <v>0</v>
      </c>
      <c r="AE464" s="48">
        <v>0</v>
      </c>
      <c r="AF464" s="48">
        <v>0</v>
      </c>
      <c r="AG464" s="46">
        <v>0</v>
      </c>
      <c r="AH464" s="47">
        <v>1</v>
      </c>
      <c r="AI464" s="48" t="s">
        <v>141</v>
      </c>
      <c r="AJ464" s="49">
        <v>8</v>
      </c>
      <c r="AM464" s="138" t="s">
        <v>132</v>
      </c>
      <c r="AN464" s="138">
        <v>4</v>
      </c>
      <c r="AO464" s="141">
        <v>0</v>
      </c>
      <c r="AP464" s="138"/>
      <c r="AQ464" s="141"/>
      <c r="AR464" s="28"/>
      <c r="AS464" s="43">
        <v>57</v>
      </c>
      <c r="AT464" s="28" t="s">
        <v>129</v>
      </c>
      <c r="AU464" s="28" t="s">
        <v>6</v>
      </c>
      <c r="AV464" s="141"/>
      <c r="AY464" s="239" t="s">
        <v>84</v>
      </c>
      <c r="AZ464" s="43">
        <v>0</v>
      </c>
      <c r="BA464" s="209">
        <v>59</v>
      </c>
      <c r="BB464" s="138"/>
      <c r="BC464" s="43"/>
      <c r="BD464" s="141"/>
      <c r="BE464" s="43">
        <v>82618</v>
      </c>
      <c r="BF464" s="209">
        <v>27000</v>
      </c>
      <c r="BG464" s="28"/>
      <c r="BH464" s="43"/>
      <c r="BI464" s="141">
        <v>27</v>
      </c>
      <c r="BJ464" s="28"/>
    </row>
    <row r="465" spans="1:62" x14ac:dyDescent="0.3">
      <c r="A465" s="42" t="s">
        <v>109</v>
      </c>
      <c r="B465" s="138">
        <v>3971</v>
      </c>
      <c r="C465" s="141">
        <v>2195</v>
      </c>
      <c r="D465" s="28">
        <v>0</v>
      </c>
      <c r="E465" s="343">
        <v>469</v>
      </c>
      <c r="F465" s="43">
        <v>0</v>
      </c>
      <c r="G465" s="138"/>
      <c r="H465" s="67">
        <v>13</v>
      </c>
      <c r="I465" s="28" t="s">
        <v>114</v>
      </c>
      <c r="J465" s="40"/>
      <c r="M465" s="278"/>
      <c r="N465" s="134"/>
      <c r="O465" s="195"/>
      <c r="P465" s="134"/>
      <c r="Q465" s="195"/>
      <c r="R465" s="136"/>
      <c r="S465" s="134"/>
      <c r="T465" s="134"/>
      <c r="U465" s="197" t="s">
        <v>104</v>
      </c>
      <c r="V465" s="249"/>
      <c r="Y465" s="42"/>
      <c r="Z465" s="33"/>
      <c r="AA465" s="35"/>
      <c r="AB465" s="33"/>
      <c r="AC465" s="34"/>
      <c r="AD465" s="35"/>
      <c r="AE465" s="33"/>
      <c r="AF465" s="35"/>
      <c r="AG465" s="43"/>
      <c r="AH465" s="33" t="s">
        <v>90</v>
      </c>
      <c r="AI465" s="34"/>
      <c r="AJ465" s="35"/>
      <c r="AM465" s="138" t="s">
        <v>115</v>
      </c>
      <c r="AN465" s="138">
        <v>56</v>
      </c>
      <c r="AO465" s="141">
        <v>34</v>
      </c>
      <c r="AP465" s="138"/>
      <c r="AQ465" s="141"/>
      <c r="AR465" s="28"/>
      <c r="AS465" s="28"/>
      <c r="AT465" s="28"/>
      <c r="AU465" s="28"/>
      <c r="AV465" s="141"/>
      <c r="AY465" s="233" t="s">
        <v>137</v>
      </c>
      <c r="AZ465" s="134">
        <v>1526</v>
      </c>
      <c r="BA465" s="136">
        <v>1563</v>
      </c>
      <c r="BB465" s="134"/>
      <c r="BC465" s="135"/>
      <c r="BD465" s="136"/>
      <c r="BE465" s="134"/>
      <c r="BF465" s="136"/>
      <c r="BG465" s="134"/>
      <c r="BH465" s="135" t="s">
        <v>91</v>
      </c>
      <c r="BI465" s="136"/>
      <c r="BJ465" s="28"/>
    </row>
    <row r="466" spans="1:62" x14ac:dyDescent="0.3">
      <c r="A466" s="42" t="s">
        <v>84</v>
      </c>
      <c r="B466" s="138">
        <v>3971</v>
      </c>
      <c r="C466" s="141">
        <v>2459</v>
      </c>
      <c r="D466" s="28">
        <v>0</v>
      </c>
      <c r="E466" s="343">
        <v>0</v>
      </c>
      <c r="F466" s="43">
        <v>0</v>
      </c>
      <c r="G466" s="138"/>
      <c r="H466" s="42"/>
      <c r="I466" s="28"/>
      <c r="J466" s="40"/>
      <c r="M466" s="42" t="s">
        <v>109</v>
      </c>
      <c r="N466" s="138">
        <v>1495</v>
      </c>
      <c r="O466" s="196">
        <v>0</v>
      </c>
      <c r="P466" s="138">
        <v>0</v>
      </c>
      <c r="Q466" s="196">
        <v>0</v>
      </c>
      <c r="R466" s="141">
        <v>0</v>
      </c>
      <c r="S466" s="138">
        <v>0</v>
      </c>
      <c r="T466" s="138">
        <v>0</v>
      </c>
      <c r="U466" s="42"/>
      <c r="V466" s="40"/>
      <c r="Y466" s="42"/>
      <c r="Z466" s="42"/>
      <c r="AA466" s="40"/>
      <c r="AB466" s="42"/>
      <c r="AC466" s="43"/>
      <c r="AD466" s="40"/>
      <c r="AE466" s="42"/>
      <c r="AF466" s="40"/>
      <c r="AG466" s="43"/>
      <c r="AH466" s="67"/>
      <c r="AI466" s="28"/>
      <c r="AJ466" s="40"/>
      <c r="AM466" s="138" t="s">
        <v>81</v>
      </c>
      <c r="AN466" s="138">
        <v>47</v>
      </c>
      <c r="AO466" s="141">
        <v>23</v>
      </c>
      <c r="AP466" s="138"/>
      <c r="AQ466" s="141"/>
      <c r="AR466" s="28"/>
      <c r="AS466" s="28"/>
      <c r="AT466" s="28"/>
      <c r="AU466" s="28"/>
      <c r="AV466" s="141" t="s">
        <v>6</v>
      </c>
      <c r="AY466" s="196" t="s">
        <v>88</v>
      </c>
      <c r="AZ466" s="212">
        <v>430</v>
      </c>
      <c r="BA466" s="141">
        <v>323</v>
      </c>
      <c r="BB466" s="138"/>
      <c r="BC466" s="43"/>
      <c r="BD466" s="141"/>
      <c r="BE466" s="138"/>
      <c r="BF466" s="209"/>
      <c r="BG466" s="212"/>
      <c r="BH466" s="43"/>
      <c r="BI466" s="141"/>
      <c r="BJ466" s="28"/>
    </row>
    <row r="467" spans="1:62" ht="15" thickBot="1" x14ac:dyDescent="0.35">
      <c r="A467" s="42"/>
      <c r="B467" s="138"/>
      <c r="C467" s="141"/>
      <c r="D467" s="28"/>
      <c r="E467" s="28"/>
      <c r="F467" s="28"/>
      <c r="G467" s="138"/>
      <c r="H467" s="42"/>
      <c r="I467" s="28"/>
      <c r="J467" s="40">
        <v>13</v>
      </c>
      <c r="M467" s="244"/>
      <c r="N467" s="142"/>
      <c r="O467" s="199"/>
      <c r="P467" s="142"/>
      <c r="Q467" s="199"/>
      <c r="R467" s="146"/>
      <c r="S467" s="142"/>
      <c r="T467" s="142"/>
      <c r="U467" s="42"/>
      <c r="V467" s="40"/>
      <c r="Y467" s="67" t="s">
        <v>89</v>
      </c>
      <c r="Z467" s="67">
        <v>78</v>
      </c>
      <c r="AA467" s="56">
        <v>84</v>
      </c>
      <c r="AB467" s="42">
        <v>0</v>
      </c>
      <c r="AC467" s="43">
        <v>0</v>
      </c>
      <c r="AD467" s="40">
        <v>0</v>
      </c>
      <c r="AE467" s="42">
        <v>0</v>
      </c>
      <c r="AF467" s="40">
        <v>0</v>
      </c>
      <c r="AG467" s="43">
        <v>0</v>
      </c>
      <c r="AH467" s="67">
        <v>2</v>
      </c>
      <c r="AI467" s="43" t="s">
        <v>98</v>
      </c>
      <c r="AJ467" s="40"/>
      <c r="AM467" s="138" t="s">
        <v>122</v>
      </c>
      <c r="AN467" s="138">
        <v>25</v>
      </c>
      <c r="AO467" s="141">
        <v>18</v>
      </c>
      <c r="AP467" s="138"/>
      <c r="AQ467" s="141"/>
      <c r="AR467" s="28"/>
      <c r="AS467" s="28"/>
      <c r="AT467" s="28"/>
      <c r="AU467" s="28"/>
      <c r="AV467" s="141"/>
      <c r="AY467" s="211" t="s">
        <v>97</v>
      </c>
      <c r="AZ467" s="212">
        <v>2624</v>
      </c>
      <c r="BA467" s="209">
        <v>2672</v>
      </c>
      <c r="BB467" s="138"/>
      <c r="BC467" s="43"/>
      <c r="BD467" s="141"/>
      <c r="BE467" s="138"/>
      <c r="BF467" s="209"/>
      <c r="BG467" s="138">
        <v>20</v>
      </c>
      <c r="BH467" s="43" t="s">
        <v>134</v>
      </c>
      <c r="BI467" s="141"/>
      <c r="BJ467" s="28"/>
    </row>
    <row r="468" spans="1:62" ht="15" thickBot="1" x14ac:dyDescent="0.35">
      <c r="A468" s="278"/>
      <c r="B468" s="134"/>
      <c r="C468" s="242"/>
      <c r="D468" s="135"/>
      <c r="E468" s="135"/>
      <c r="F468" s="135"/>
      <c r="G468" s="134"/>
      <c r="H468" s="278" t="s">
        <v>118</v>
      </c>
      <c r="I468" s="135"/>
      <c r="J468" s="279"/>
      <c r="M468" s="278" t="s">
        <v>93</v>
      </c>
      <c r="N468" s="134">
        <v>0</v>
      </c>
      <c r="O468" s="195">
        <v>464</v>
      </c>
      <c r="P468" s="134">
        <v>0</v>
      </c>
      <c r="Q468" s="195">
        <v>0</v>
      </c>
      <c r="R468" s="136">
        <v>0</v>
      </c>
      <c r="S468" s="134">
        <v>0</v>
      </c>
      <c r="T468" s="134">
        <v>0</v>
      </c>
      <c r="U468" s="33" t="s">
        <v>116</v>
      </c>
      <c r="V468" s="35"/>
      <c r="W468" s="28"/>
      <c r="Y468" s="42" t="s">
        <v>84</v>
      </c>
      <c r="Z468" s="47">
        <v>78</v>
      </c>
      <c r="AA468" s="49">
        <v>84</v>
      </c>
      <c r="AB468" s="47">
        <v>0</v>
      </c>
      <c r="AC468" s="48">
        <v>0</v>
      </c>
      <c r="AD468" s="49">
        <v>0</v>
      </c>
      <c r="AE468" s="47">
        <v>0</v>
      </c>
      <c r="AF468" s="49">
        <v>0</v>
      </c>
      <c r="AG468" s="43">
        <v>0</v>
      </c>
      <c r="AH468" s="72"/>
      <c r="AI468" s="48"/>
      <c r="AJ468" s="49">
        <v>2</v>
      </c>
      <c r="AM468" s="138" t="s">
        <v>230</v>
      </c>
      <c r="AN468" s="138">
        <v>0</v>
      </c>
      <c r="AO468" s="141">
        <v>0</v>
      </c>
      <c r="AP468" s="138"/>
      <c r="AQ468" s="141"/>
      <c r="AR468" s="28"/>
      <c r="AS468" s="28"/>
      <c r="AT468" s="28"/>
      <c r="AU468" s="28"/>
      <c r="AV468" s="141"/>
      <c r="AY468" s="211" t="s">
        <v>113</v>
      </c>
      <c r="AZ468" s="212">
        <v>581</v>
      </c>
      <c r="BA468" s="141">
        <v>656</v>
      </c>
      <c r="BB468" s="138"/>
      <c r="BC468" s="43"/>
      <c r="BD468" s="141"/>
      <c r="BE468" s="138"/>
      <c r="BF468" s="209"/>
      <c r="BG468" s="212">
        <v>2</v>
      </c>
      <c r="BH468" s="28" t="s">
        <v>1464</v>
      </c>
      <c r="BI468" s="141"/>
      <c r="BJ468" s="28"/>
    </row>
    <row r="469" spans="1:62" x14ac:dyDescent="0.3">
      <c r="A469" s="42" t="s">
        <v>785</v>
      </c>
      <c r="B469" s="138">
        <v>2771</v>
      </c>
      <c r="C469" s="209">
        <v>2605</v>
      </c>
      <c r="D469" s="28">
        <v>0</v>
      </c>
      <c r="E469" s="38">
        <v>0</v>
      </c>
      <c r="F469" s="43">
        <v>0</v>
      </c>
      <c r="G469" s="138">
        <v>1</v>
      </c>
      <c r="H469" s="42">
        <v>146</v>
      </c>
      <c r="I469" s="28" t="s">
        <v>101</v>
      </c>
      <c r="J469" s="40"/>
      <c r="M469" s="42" t="s">
        <v>99</v>
      </c>
      <c r="N469" s="138">
        <v>9592</v>
      </c>
      <c r="O469" s="196">
        <v>8577</v>
      </c>
      <c r="P469" s="138">
        <v>0</v>
      </c>
      <c r="Q469" s="196">
        <v>0</v>
      </c>
      <c r="R469" s="141">
        <v>0</v>
      </c>
      <c r="S469" s="138">
        <v>2636</v>
      </c>
      <c r="T469" s="138">
        <v>195</v>
      </c>
      <c r="U469" s="42"/>
      <c r="V469" s="40"/>
      <c r="Y469" s="32"/>
      <c r="Z469" s="28"/>
      <c r="AA469" s="28"/>
      <c r="AB469" s="33"/>
      <c r="AC469" s="34"/>
      <c r="AD469" s="35"/>
      <c r="AE469" s="67"/>
      <c r="AF469" s="56"/>
      <c r="AG469" s="32"/>
      <c r="AH469" s="34"/>
      <c r="AI469" s="34"/>
      <c r="AJ469" s="35"/>
      <c r="AM469" s="138" t="s">
        <v>63</v>
      </c>
      <c r="AN469" s="138">
        <v>38</v>
      </c>
      <c r="AO469" s="141">
        <v>38</v>
      </c>
      <c r="AP469" s="138"/>
      <c r="AQ469" s="141"/>
      <c r="AR469" s="28"/>
      <c r="AS469" s="28"/>
      <c r="AT469" s="28"/>
      <c r="AU469" s="28"/>
      <c r="AV469" s="141"/>
      <c r="AY469" s="211" t="s">
        <v>817</v>
      </c>
      <c r="AZ469" s="212">
        <v>0</v>
      </c>
      <c r="BA469" s="209">
        <v>0</v>
      </c>
      <c r="BB469" s="138"/>
      <c r="BC469" s="43"/>
      <c r="BD469" s="141"/>
      <c r="BE469" s="138"/>
      <c r="BF469" s="209"/>
      <c r="BG469" s="138">
        <v>2</v>
      </c>
      <c r="BH469" s="43" t="s">
        <v>1026</v>
      </c>
      <c r="BI469" s="141"/>
      <c r="BJ469" s="28"/>
    </row>
    <row r="470" spans="1:62" x14ac:dyDescent="0.3">
      <c r="A470" s="42" t="s">
        <v>93</v>
      </c>
      <c r="B470" s="212">
        <v>10326</v>
      </c>
      <c r="C470" s="209">
        <v>10606</v>
      </c>
      <c r="D470" s="28">
        <v>0</v>
      </c>
      <c r="E470" s="38">
        <v>0</v>
      </c>
      <c r="F470" s="43">
        <v>0</v>
      </c>
      <c r="G470" s="212"/>
      <c r="H470" s="42">
        <v>22</v>
      </c>
      <c r="I470" s="28" t="s">
        <v>927</v>
      </c>
      <c r="J470" s="40"/>
      <c r="M470" s="42" t="s">
        <v>120</v>
      </c>
      <c r="N470" s="138">
        <v>247</v>
      </c>
      <c r="O470" s="196">
        <v>15021</v>
      </c>
      <c r="P470" s="138">
        <v>0</v>
      </c>
      <c r="Q470" s="196">
        <v>0</v>
      </c>
      <c r="R470" s="141">
        <v>0</v>
      </c>
      <c r="S470" s="138">
        <v>0</v>
      </c>
      <c r="T470" s="138">
        <v>0</v>
      </c>
      <c r="U470" s="42"/>
      <c r="V470" s="40"/>
      <c r="Y470" s="41"/>
      <c r="Z470" s="43"/>
      <c r="AA470" s="43"/>
      <c r="AB470" s="42"/>
      <c r="AC470" s="43"/>
      <c r="AD470" s="40"/>
      <c r="AE470" s="67"/>
      <c r="AF470" s="56"/>
      <c r="AG470" s="41"/>
      <c r="AH470" s="28"/>
      <c r="AI470" s="28" t="s">
        <v>6</v>
      </c>
      <c r="AJ470" s="40"/>
      <c r="AM470" s="142" t="s">
        <v>84</v>
      </c>
      <c r="AN470" s="142">
        <v>317</v>
      </c>
      <c r="AO470" s="146">
        <v>224</v>
      </c>
      <c r="AP470" s="142"/>
      <c r="AQ470" s="146"/>
      <c r="AR470" s="143"/>
      <c r="AS470" s="143"/>
      <c r="AT470" s="143"/>
      <c r="AU470" s="143"/>
      <c r="AV470" s="146">
        <v>106</v>
      </c>
      <c r="AY470" s="211" t="s">
        <v>230</v>
      </c>
      <c r="AZ470" s="212">
        <v>0</v>
      </c>
      <c r="BA470" s="209">
        <v>15</v>
      </c>
      <c r="BB470" s="138"/>
      <c r="BC470" s="43"/>
      <c r="BD470" s="141"/>
      <c r="BE470" s="138"/>
      <c r="BF470" s="209"/>
      <c r="BG470" s="138">
        <v>61</v>
      </c>
      <c r="BH470" s="43" t="s">
        <v>1305</v>
      </c>
      <c r="BI470" s="141"/>
      <c r="BJ470" s="28"/>
    </row>
    <row r="471" spans="1:62" ht="15" thickBot="1" x14ac:dyDescent="0.35">
      <c r="A471" s="42" t="s">
        <v>120</v>
      </c>
      <c r="B471" s="138">
        <v>8031</v>
      </c>
      <c r="C471" s="141">
        <v>7348</v>
      </c>
      <c r="D471" s="28">
        <v>0</v>
      </c>
      <c r="E471" s="38">
        <v>0</v>
      </c>
      <c r="F471" s="43">
        <v>0</v>
      </c>
      <c r="G471" s="138"/>
      <c r="H471" s="42">
        <v>29</v>
      </c>
      <c r="I471" s="28" t="s">
        <v>1306</v>
      </c>
      <c r="J471" s="40"/>
      <c r="M471" s="244" t="s">
        <v>84</v>
      </c>
      <c r="N471" s="142">
        <v>9839</v>
      </c>
      <c r="O471" s="199">
        <v>24062</v>
      </c>
      <c r="P471" s="142">
        <v>0</v>
      </c>
      <c r="Q471" s="199">
        <v>0</v>
      </c>
      <c r="R471" s="146">
        <v>0</v>
      </c>
      <c r="S471" s="142">
        <v>2636</v>
      </c>
      <c r="T471" s="142">
        <v>195</v>
      </c>
      <c r="U471" s="47"/>
      <c r="V471" s="49"/>
      <c r="Y471" s="41"/>
      <c r="Z471" s="43"/>
      <c r="AA471" s="43"/>
      <c r="AB471" s="42"/>
      <c r="AC471" s="43"/>
      <c r="AD471" s="40"/>
      <c r="AE471" s="67"/>
      <c r="AF471" s="56"/>
      <c r="AG471" s="41"/>
      <c r="AH471" s="43"/>
      <c r="AI471" s="43"/>
      <c r="AJ471" s="40"/>
      <c r="AM471" s="134"/>
      <c r="AN471" s="134"/>
      <c r="AO471" s="136"/>
      <c r="AP471" s="134"/>
      <c r="AQ471" s="136"/>
      <c r="AR471" s="135"/>
      <c r="AS471" s="135"/>
      <c r="AT471" s="135"/>
      <c r="AU471" s="135"/>
      <c r="AV471" s="136"/>
      <c r="AY471" s="211" t="s">
        <v>564</v>
      </c>
      <c r="AZ471" s="212">
        <v>0</v>
      </c>
      <c r="BA471" s="209">
        <v>0</v>
      </c>
      <c r="BB471" s="138"/>
      <c r="BC471" s="43"/>
      <c r="BD471" s="141"/>
      <c r="BE471" s="138"/>
      <c r="BF471" s="209"/>
      <c r="BG471" s="138">
        <v>4</v>
      </c>
      <c r="BH471" s="43" t="s">
        <v>1294</v>
      </c>
      <c r="BI471" s="141"/>
      <c r="BJ471" s="28"/>
    </row>
    <row r="472" spans="1:62" x14ac:dyDescent="0.3">
      <c r="A472" s="67" t="s">
        <v>429</v>
      </c>
      <c r="B472" s="212">
        <v>2154</v>
      </c>
      <c r="C472" s="209">
        <v>2276</v>
      </c>
      <c r="D472" s="43">
        <v>0</v>
      </c>
      <c r="E472" s="38">
        <v>0</v>
      </c>
      <c r="F472" s="43">
        <v>0</v>
      </c>
      <c r="G472" s="138"/>
      <c r="H472" s="42"/>
      <c r="I472" s="28"/>
      <c r="J472" s="40"/>
      <c r="M472" s="278"/>
      <c r="N472" s="134"/>
      <c r="O472" s="195"/>
      <c r="P472" s="134"/>
      <c r="Q472" s="195"/>
      <c r="R472" s="136"/>
      <c r="S472" s="134"/>
      <c r="T472" s="134"/>
      <c r="U472" s="42"/>
      <c r="V472" s="40"/>
      <c r="Y472" s="41"/>
      <c r="Z472" s="43"/>
      <c r="AA472" s="43"/>
      <c r="AB472" s="42"/>
      <c r="AC472" s="43"/>
      <c r="AD472" s="40"/>
      <c r="AE472" s="67"/>
      <c r="AF472" s="56"/>
      <c r="AG472" s="41"/>
      <c r="AH472" s="43"/>
      <c r="AI472" s="43"/>
      <c r="AJ472" s="40"/>
      <c r="AM472" s="138"/>
      <c r="AN472" s="138"/>
      <c r="AO472" s="141"/>
      <c r="AP472" s="138"/>
      <c r="AQ472" s="141"/>
      <c r="AR472" s="28"/>
      <c r="AS472" s="28"/>
      <c r="AT472" s="28"/>
      <c r="AU472" s="28"/>
      <c r="AV472" s="141"/>
      <c r="AY472" s="211" t="s">
        <v>2079</v>
      </c>
      <c r="AZ472" s="212">
        <v>0</v>
      </c>
      <c r="BA472" s="209">
        <v>0</v>
      </c>
      <c r="BB472" s="212"/>
      <c r="BC472" s="43"/>
      <c r="BD472" s="209"/>
      <c r="BE472" s="212"/>
      <c r="BF472" s="209"/>
      <c r="BG472" s="138">
        <v>43</v>
      </c>
      <c r="BH472" s="43" t="s">
        <v>2080</v>
      </c>
      <c r="BI472" s="141"/>
      <c r="BJ472" s="28"/>
    </row>
    <row r="473" spans="1:62" ht="15" thickBot="1" x14ac:dyDescent="0.35">
      <c r="A473" s="244" t="s">
        <v>84</v>
      </c>
      <c r="B473" s="142">
        <v>23282</v>
      </c>
      <c r="C473" s="146">
        <v>22835</v>
      </c>
      <c r="D473" s="143">
        <v>0</v>
      </c>
      <c r="E473" s="345">
        <v>0</v>
      </c>
      <c r="F473" s="143">
        <v>0</v>
      </c>
      <c r="G473" s="142"/>
      <c r="H473" s="244"/>
      <c r="I473" s="143"/>
      <c r="J473" s="245">
        <v>197</v>
      </c>
      <c r="M473" s="42" t="s">
        <v>105</v>
      </c>
      <c r="N473" s="138">
        <v>2320</v>
      </c>
      <c r="O473" s="196">
        <v>0</v>
      </c>
      <c r="P473" s="138">
        <v>0</v>
      </c>
      <c r="Q473" s="196">
        <v>0</v>
      </c>
      <c r="R473" s="141">
        <v>0</v>
      </c>
      <c r="S473" s="138">
        <v>14</v>
      </c>
      <c r="T473" s="138">
        <v>0</v>
      </c>
      <c r="U473" s="42"/>
      <c r="V473" s="40"/>
      <c r="Y473" s="46"/>
      <c r="Z473" s="43"/>
      <c r="AA473" s="43"/>
      <c r="AB473" s="47"/>
      <c r="AC473" s="48"/>
      <c r="AD473" s="49"/>
      <c r="AE473" s="67"/>
      <c r="AF473" s="56"/>
      <c r="AG473" s="46"/>
      <c r="AH473" s="48"/>
      <c r="AI473" s="48"/>
      <c r="AJ473" s="49"/>
      <c r="AM473" s="138"/>
      <c r="AN473" s="138"/>
      <c r="AO473" s="141"/>
      <c r="AP473" s="138"/>
      <c r="AQ473" s="141"/>
      <c r="AR473" s="28"/>
      <c r="AS473" s="28"/>
      <c r="AT473" s="28"/>
      <c r="AU473" s="28"/>
      <c r="AV473" s="141"/>
      <c r="AY473" s="211" t="s">
        <v>89</v>
      </c>
      <c r="AZ473" s="212">
        <v>2456</v>
      </c>
      <c r="BA473" s="209">
        <v>2151</v>
      </c>
      <c r="BB473" s="138"/>
      <c r="BC473" s="28"/>
      <c r="BD473" s="141"/>
      <c r="BE473" s="138"/>
      <c r="BF473" s="141"/>
      <c r="BG473" s="138"/>
      <c r="BH473" s="28"/>
      <c r="BI473" s="141"/>
      <c r="BJ473" s="28"/>
    </row>
    <row r="474" spans="1:62" x14ac:dyDescent="0.3">
      <c r="A474" s="42" t="s">
        <v>93</v>
      </c>
      <c r="B474" s="138">
        <v>7479</v>
      </c>
      <c r="C474" s="209">
        <v>7381</v>
      </c>
      <c r="D474" s="138">
        <v>0</v>
      </c>
      <c r="E474" s="38">
        <v>0</v>
      </c>
      <c r="F474" s="43">
        <v>0</v>
      </c>
      <c r="G474" s="138">
        <v>1</v>
      </c>
      <c r="H474" s="42" t="s">
        <v>116</v>
      </c>
      <c r="I474" s="28"/>
      <c r="J474" s="40"/>
      <c r="M474" s="42" t="s">
        <v>99</v>
      </c>
      <c r="N474" s="138">
        <v>0</v>
      </c>
      <c r="O474" s="196">
        <v>0</v>
      </c>
      <c r="P474" s="138">
        <v>0</v>
      </c>
      <c r="Q474" s="196">
        <v>0</v>
      </c>
      <c r="R474" s="141">
        <v>0</v>
      </c>
      <c r="S474" s="138">
        <v>0</v>
      </c>
      <c r="T474" s="138">
        <v>0</v>
      </c>
      <c r="U474" s="42" t="s">
        <v>135</v>
      </c>
      <c r="V474" s="40"/>
      <c r="Y474" s="42"/>
      <c r="Z474" s="33"/>
      <c r="AA474" s="35"/>
      <c r="AB474" s="34"/>
      <c r="AC474" s="34"/>
      <c r="AD474" s="34"/>
      <c r="AE474" s="33"/>
      <c r="AF474" s="35"/>
      <c r="AG474" s="32"/>
      <c r="AH474" s="34"/>
      <c r="AI474" s="34"/>
      <c r="AJ474" s="35"/>
      <c r="AM474" s="138"/>
      <c r="AN474" s="138"/>
      <c r="AO474" s="141"/>
      <c r="AP474" s="138"/>
      <c r="AQ474" s="141"/>
      <c r="AR474" s="28"/>
      <c r="AS474" s="28"/>
      <c r="AT474" s="28"/>
      <c r="AU474" s="28"/>
      <c r="AV474" s="141"/>
      <c r="AY474" s="211" t="s">
        <v>108</v>
      </c>
      <c r="AZ474" s="138">
        <v>0</v>
      </c>
      <c r="BA474" s="141">
        <v>0</v>
      </c>
      <c r="BB474" s="138"/>
      <c r="BC474" s="28"/>
      <c r="BD474" s="141"/>
      <c r="BE474" s="138"/>
      <c r="BF474" s="141"/>
      <c r="BG474" s="138"/>
      <c r="BH474" s="28"/>
      <c r="BI474" s="141"/>
      <c r="BJ474" s="28"/>
    </row>
    <row r="475" spans="1:62" ht="15" thickBot="1" x14ac:dyDescent="0.35">
      <c r="A475" s="42" t="s">
        <v>99</v>
      </c>
      <c r="B475" s="138">
        <v>9858</v>
      </c>
      <c r="C475" s="209">
        <v>10775</v>
      </c>
      <c r="D475" s="138">
        <v>0</v>
      </c>
      <c r="E475" s="38">
        <v>0</v>
      </c>
      <c r="F475" s="43">
        <v>0</v>
      </c>
      <c r="G475" s="138"/>
      <c r="H475" s="67">
        <v>202</v>
      </c>
      <c r="I475" s="28" t="s">
        <v>188</v>
      </c>
      <c r="J475" s="40"/>
      <c r="M475" s="42"/>
      <c r="N475" s="138"/>
      <c r="O475" s="196"/>
      <c r="P475" s="138"/>
      <c r="Q475" s="196"/>
      <c r="R475" s="141"/>
      <c r="S475" s="138"/>
      <c r="T475" s="138"/>
      <c r="U475" s="42"/>
      <c r="V475" s="40"/>
      <c r="Y475" s="47"/>
      <c r="Z475" s="47"/>
      <c r="AA475" s="49"/>
      <c r="AB475" s="48"/>
      <c r="AC475" s="48"/>
      <c r="AD475" s="48"/>
      <c r="AE475" s="47"/>
      <c r="AF475" s="49"/>
      <c r="AG475" s="46"/>
      <c r="AH475" s="48"/>
      <c r="AI475" s="48"/>
      <c r="AJ475" s="49"/>
      <c r="AM475" s="142"/>
      <c r="AN475" s="142"/>
      <c r="AO475" s="146"/>
      <c r="AP475" s="142"/>
      <c r="AQ475" s="146"/>
      <c r="AR475" s="143"/>
      <c r="AS475" s="143"/>
      <c r="AT475" s="143"/>
      <c r="AU475" s="143"/>
      <c r="AV475" s="146"/>
      <c r="AY475" s="211" t="s">
        <v>102</v>
      </c>
      <c r="AZ475" s="142">
        <v>42</v>
      </c>
      <c r="BA475" s="146">
        <v>31</v>
      </c>
      <c r="BB475" s="142"/>
      <c r="BC475" s="224"/>
      <c r="BD475" s="251"/>
      <c r="BE475" s="142"/>
      <c r="BF475" s="146"/>
      <c r="BG475" s="142"/>
      <c r="BH475" s="143"/>
      <c r="BI475" s="146"/>
      <c r="BJ475" s="28"/>
    </row>
    <row r="476" spans="1:62" x14ac:dyDescent="0.3">
      <c r="A476" s="42" t="s">
        <v>120</v>
      </c>
      <c r="B476" s="138">
        <v>7442</v>
      </c>
      <c r="C476" s="209">
        <v>6510</v>
      </c>
      <c r="D476" s="138">
        <v>0</v>
      </c>
      <c r="E476" s="38">
        <v>0</v>
      </c>
      <c r="F476" s="43">
        <v>0</v>
      </c>
      <c r="G476" s="138"/>
      <c r="H476" s="67"/>
      <c r="I476" s="28"/>
      <c r="J476" s="40"/>
      <c r="M476" s="244" t="s">
        <v>84</v>
      </c>
      <c r="N476" s="142">
        <v>2320</v>
      </c>
      <c r="O476" s="199">
        <v>0</v>
      </c>
      <c r="P476" s="142">
        <v>0</v>
      </c>
      <c r="Q476" s="199">
        <v>0</v>
      </c>
      <c r="R476" s="146">
        <v>0</v>
      </c>
      <c r="S476" s="142">
        <v>14</v>
      </c>
      <c r="T476" s="142">
        <v>0</v>
      </c>
      <c r="U476" s="244"/>
      <c r="V476" s="245"/>
      <c r="Y476" s="33"/>
      <c r="Z476" s="33"/>
      <c r="AA476" s="35"/>
      <c r="AB476" s="34"/>
      <c r="AC476" s="34"/>
      <c r="AD476" s="34"/>
      <c r="AE476" s="33"/>
      <c r="AF476" s="35"/>
      <c r="AG476" s="32"/>
      <c r="AH476" s="34"/>
      <c r="AI476" s="34"/>
      <c r="AJ476" s="35"/>
      <c r="AM476" s="134"/>
      <c r="AN476" s="134"/>
      <c r="AO476" s="136"/>
      <c r="AP476" s="134"/>
      <c r="AQ476" s="136"/>
      <c r="AR476" s="134"/>
      <c r="AS476" s="135" t="s">
        <v>140</v>
      </c>
      <c r="AT476" s="135"/>
      <c r="AU476" s="135"/>
      <c r="AV476" s="136"/>
      <c r="AY476" s="247" t="s">
        <v>84</v>
      </c>
      <c r="AZ476" s="247">
        <v>7659</v>
      </c>
      <c r="BA476" s="248">
        <v>7411</v>
      </c>
      <c r="BB476" s="197"/>
      <c r="BC476" s="198"/>
      <c r="BD476" s="249"/>
      <c r="BE476" s="197"/>
      <c r="BF476" s="249"/>
      <c r="BG476" s="197"/>
      <c r="BH476" s="198"/>
      <c r="BI476" s="249">
        <v>132</v>
      </c>
      <c r="BJ476" s="28"/>
    </row>
    <row r="477" spans="1:62" x14ac:dyDescent="0.3">
      <c r="A477" s="42" t="s">
        <v>84</v>
      </c>
      <c r="B477" s="138">
        <v>24779</v>
      </c>
      <c r="C477" s="28">
        <v>24666</v>
      </c>
      <c r="D477" s="138">
        <v>0</v>
      </c>
      <c r="E477" s="38">
        <v>0</v>
      </c>
      <c r="F477" s="43">
        <v>0</v>
      </c>
      <c r="G477" s="138"/>
      <c r="H477" s="67"/>
      <c r="I477" s="28"/>
      <c r="J477" s="40"/>
      <c r="M477" s="42"/>
      <c r="N477" s="138"/>
      <c r="O477" s="196"/>
      <c r="P477" s="138"/>
      <c r="Q477" s="196"/>
      <c r="R477" s="141"/>
      <c r="S477" s="138"/>
      <c r="T477" s="138"/>
      <c r="U477" s="42"/>
      <c r="V477" s="40"/>
      <c r="Y477" s="42"/>
      <c r="Z477" s="42"/>
      <c r="AA477" s="40"/>
      <c r="AB477" s="43"/>
      <c r="AC477" s="43"/>
      <c r="AD477" s="43"/>
      <c r="AE477" s="42"/>
      <c r="AF477" s="40"/>
      <c r="AG477" s="41"/>
      <c r="AH477" s="28" t="s">
        <v>953</v>
      </c>
      <c r="AI477" s="28"/>
      <c r="AJ477" s="40"/>
      <c r="AM477" s="138" t="s">
        <v>72</v>
      </c>
      <c r="AN477" s="212">
        <v>29</v>
      </c>
      <c r="AO477" s="141">
        <v>34</v>
      </c>
      <c r="AP477" s="138"/>
      <c r="AQ477" s="141"/>
      <c r="AR477" s="138"/>
      <c r="AS477" s="43" t="s">
        <v>841</v>
      </c>
      <c r="AT477" s="43" t="s">
        <v>2081</v>
      </c>
      <c r="AU477" s="43"/>
      <c r="AV477" s="141"/>
      <c r="AY477" s="195" t="s">
        <v>56</v>
      </c>
      <c r="AZ477" s="134"/>
      <c r="BA477" s="136"/>
      <c r="BB477" s="134"/>
      <c r="BC477" s="135"/>
      <c r="BD477" s="136"/>
      <c r="BE477" s="134"/>
      <c r="BF477" s="136"/>
      <c r="BG477" s="134" t="s">
        <v>1025</v>
      </c>
      <c r="BH477" s="135"/>
      <c r="BI477" s="136"/>
      <c r="BJ477" s="28"/>
    </row>
    <row r="478" spans="1:62" x14ac:dyDescent="0.3">
      <c r="A478" s="244"/>
      <c r="B478" s="142"/>
      <c r="C478" s="143"/>
      <c r="D478" s="142"/>
      <c r="E478" s="143"/>
      <c r="F478" s="143"/>
      <c r="G478" s="142"/>
      <c r="H478" s="244"/>
      <c r="I478" s="143"/>
      <c r="J478" s="245">
        <v>202</v>
      </c>
      <c r="M478" s="42"/>
      <c r="N478" s="138"/>
      <c r="O478" s="196"/>
      <c r="P478" s="138"/>
      <c r="Q478" s="196"/>
      <c r="R478" s="141"/>
      <c r="S478" s="138"/>
      <c r="T478" s="138"/>
      <c r="U478" s="42"/>
      <c r="V478" s="40"/>
      <c r="Y478" s="42"/>
      <c r="Z478" s="42"/>
      <c r="AA478" s="40"/>
      <c r="AB478" s="43"/>
      <c r="AC478" s="43"/>
      <c r="AD478" s="43"/>
      <c r="AE478" s="42"/>
      <c r="AF478" s="40"/>
      <c r="AG478" s="41"/>
      <c r="AH478" s="43">
        <v>2</v>
      </c>
      <c r="AI478" s="28" t="s">
        <v>141</v>
      </c>
      <c r="AJ478" s="40"/>
      <c r="AM478" s="138" t="s">
        <v>78</v>
      </c>
      <c r="AN478" s="212">
        <v>101</v>
      </c>
      <c r="AO478" s="141">
        <v>84</v>
      </c>
      <c r="AP478" s="138"/>
      <c r="AQ478" s="141"/>
      <c r="AR478" s="138"/>
      <c r="AS478" s="43" t="s">
        <v>2082</v>
      </c>
      <c r="AT478" s="43" t="s">
        <v>2083</v>
      </c>
      <c r="AU478" s="43"/>
      <c r="AV478" s="141"/>
      <c r="AY478" s="196" t="s">
        <v>64</v>
      </c>
      <c r="AZ478" s="138">
        <v>85</v>
      </c>
      <c r="BA478" s="141">
        <v>77</v>
      </c>
      <c r="BB478" s="138"/>
      <c r="BC478" s="43"/>
      <c r="BD478" s="209"/>
      <c r="BE478" s="138"/>
      <c r="BF478" s="141"/>
      <c r="BG478" s="138">
        <v>8</v>
      </c>
      <c r="BH478" s="28" t="s">
        <v>1026</v>
      </c>
      <c r="BI478" s="141"/>
      <c r="BJ478" s="28"/>
    </row>
    <row r="479" spans="1:62" x14ac:dyDescent="0.3">
      <c r="A479" s="278" t="s">
        <v>105</v>
      </c>
      <c r="B479" s="134">
        <v>1319</v>
      </c>
      <c r="C479" s="135">
        <v>976</v>
      </c>
      <c r="D479" s="134">
        <v>0</v>
      </c>
      <c r="E479" s="243">
        <v>1164</v>
      </c>
      <c r="F479" s="135">
        <v>0</v>
      </c>
      <c r="G479" s="134">
        <v>1</v>
      </c>
      <c r="H479" s="278" t="s">
        <v>162</v>
      </c>
      <c r="I479" s="135"/>
      <c r="J479" s="279"/>
      <c r="M479" s="42"/>
      <c r="N479" s="138"/>
      <c r="O479" s="196"/>
      <c r="P479" s="138"/>
      <c r="Q479" s="196"/>
      <c r="R479" s="141"/>
      <c r="S479" s="138"/>
      <c r="T479" s="138"/>
      <c r="U479" s="42"/>
      <c r="V479" s="40"/>
      <c r="Y479" s="42" t="s">
        <v>1467</v>
      </c>
      <c r="Z479" s="42">
        <v>96</v>
      </c>
      <c r="AA479" s="40">
        <v>16</v>
      </c>
      <c r="AB479" s="43">
        <v>0</v>
      </c>
      <c r="AC479" s="43">
        <v>0</v>
      </c>
      <c r="AD479" s="43">
        <v>0</v>
      </c>
      <c r="AE479" s="42">
        <v>0</v>
      </c>
      <c r="AF479" s="40">
        <v>0</v>
      </c>
      <c r="AG479" s="41">
        <v>0</v>
      </c>
      <c r="AH479" s="43"/>
      <c r="AI479" s="43"/>
      <c r="AJ479" s="40"/>
      <c r="AM479" s="138" t="s">
        <v>67</v>
      </c>
      <c r="AN479" s="212">
        <v>14</v>
      </c>
      <c r="AO479" s="141">
        <v>23</v>
      </c>
      <c r="AP479" s="138"/>
      <c r="AQ479" s="141"/>
      <c r="AR479" s="138"/>
      <c r="AS479" s="43" t="s">
        <v>896</v>
      </c>
      <c r="AT479" s="43" t="s">
        <v>803</v>
      </c>
      <c r="AU479" s="43"/>
      <c r="AV479" s="141"/>
      <c r="AY479" s="239" t="s">
        <v>84</v>
      </c>
      <c r="AZ479" s="142">
        <v>85</v>
      </c>
      <c r="BA479" s="146">
        <v>77</v>
      </c>
      <c r="BB479" s="142"/>
      <c r="BC479" s="143"/>
      <c r="BD479" s="146"/>
      <c r="BE479" s="142"/>
      <c r="BF479" s="146"/>
      <c r="BG479" s="142"/>
      <c r="BH479" s="143"/>
      <c r="BI479" s="146">
        <v>8</v>
      </c>
      <c r="BJ479" s="28"/>
    </row>
    <row r="480" spans="1:62" ht="15" thickBot="1" x14ac:dyDescent="0.35">
      <c r="A480" s="42" t="s">
        <v>99</v>
      </c>
      <c r="B480" s="138">
        <v>949</v>
      </c>
      <c r="C480" s="43">
        <v>890</v>
      </c>
      <c r="D480" s="138">
        <v>0</v>
      </c>
      <c r="E480" s="343">
        <v>1694</v>
      </c>
      <c r="F480" s="43">
        <v>0</v>
      </c>
      <c r="G480" s="138"/>
      <c r="H480" s="42"/>
      <c r="I480" s="28"/>
      <c r="J480" s="40"/>
      <c r="M480" s="42"/>
      <c r="N480" s="138"/>
      <c r="O480" s="196"/>
      <c r="P480" s="138"/>
      <c r="Q480" s="196"/>
      <c r="R480" s="141"/>
      <c r="S480" s="138"/>
      <c r="T480" s="138"/>
      <c r="U480" s="42"/>
      <c r="V480" s="40"/>
      <c r="Y480" s="47" t="s">
        <v>84</v>
      </c>
      <c r="Z480" s="282">
        <v>96</v>
      </c>
      <c r="AA480" s="49">
        <v>16</v>
      </c>
      <c r="AB480" s="51">
        <v>0</v>
      </c>
      <c r="AC480" s="48">
        <v>0</v>
      </c>
      <c r="AD480" s="48">
        <v>0</v>
      </c>
      <c r="AE480" s="47">
        <v>0</v>
      </c>
      <c r="AF480" s="49">
        <v>0</v>
      </c>
      <c r="AG480" s="46">
        <v>0</v>
      </c>
      <c r="AH480" s="48"/>
      <c r="AI480" s="48"/>
      <c r="AJ480" s="49">
        <v>2</v>
      </c>
      <c r="AM480" s="138" t="s">
        <v>115</v>
      </c>
      <c r="AN480" s="212">
        <v>1</v>
      </c>
      <c r="AO480" s="141">
        <v>9</v>
      </c>
      <c r="AP480" s="138"/>
      <c r="AQ480" s="141"/>
      <c r="AR480" s="138"/>
      <c r="AS480" s="43" t="s">
        <v>597</v>
      </c>
      <c r="AT480" s="43" t="s">
        <v>2084</v>
      </c>
      <c r="AU480" s="43"/>
      <c r="AV480" s="141"/>
      <c r="AY480" s="138"/>
      <c r="AZ480" s="134"/>
      <c r="BA480" s="135"/>
      <c r="BB480" s="134"/>
      <c r="BC480" s="135"/>
      <c r="BD480" s="136"/>
      <c r="BE480" s="28"/>
      <c r="BF480" s="141"/>
      <c r="BG480" s="28" t="s">
        <v>994</v>
      </c>
      <c r="BH480" s="28"/>
      <c r="BI480" s="141"/>
      <c r="BJ480" s="28"/>
    </row>
    <row r="481" spans="1:62" x14ac:dyDescent="0.3">
      <c r="A481" s="42"/>
      <c r="B481" s="138"/>
      <c r="C481" s="28"/>
      <c r="D481" s="138"/>
      <c r="E481" s="343"/>
      <c r="F481" s="28"/>
      <c r="G481" s="138"/>
      <c r="H481" s="67">
        <v>43</v>
      </c>
      <c r="I481" s="28" t="s">
        <v>101</v>
      </c>
      <c r="J481" s="40"/>
      <c r="M481" s="42"/>
      <c r="N481" s="138"/>
      <c r="O481" s="196"/>
      <c r="P481" s="138"/>
      <c r="Q481" s="196"/>
      <c r="R481" s="141"/>
      <c r="S481" s="138"/>
      <c r="T481" s="138"/>
      <c r="U481" s="42"/>
      <c r="V481" s="40"/>
      <c r="Y481" s="32"/>
      <c r="Z481" s="33"/>
      <c r="AA481" s="35"/>
      <c r="AB481" s="53"/>
      <c r="AC481" s="123"/>
      <c r="AD481" s="97"/>
      <c r="AE481" s="33"/>
      <c r="AF481" s="35"/>
      <c r="AG481" s="32"/>
      <c r="AH481" s="33" t="s">
        <v>149</v>
      </c>
      <c r="AI481" s="34"/>
      <c r="AJ481" s="35"/>
      <c r="AM481" s="138" t="s">
        <v>81</v>
      </c>
      <c r="AN481" s="212">
        <v>18</v>
      </c>
      <c r="AO481" s="141">
        <v>7</v>
      </c>
      <c r="AP481" s="212"/>
      <c r="AQ481" s="141"/>
      <c r="AR481" s="138"/>
      <c r="AS481" s="43" t="s">
        <v>2085</v>
      </c>
      <c r="AT481" s="43" t="s">
        <v>1388</v>
      </c>
      <c r="AU481" s="43"/>
      <c r="AV481" s="141"/>
      <c r="AY481" s="138" t="s">
        <v>113</v>
      </c>
      <c r="AZ481" s="138">
        <v>457</v>
      </c>
      <c r="BA481" s="28">
        <v>474</v>
      </c>
      <c r="BB481" s="138"/>
      <c r="BC481" s="43"/>
      <c r="BD481" s="209"/>
      <c r="BE481" s="28"/>
      <c r="BF481" s="141"/>
      <c r="BG481" s="43">
        <v>20</v>
      </c>
      <c r="BH481" s="28" t="s">
        <v>1297</v>
      </c>
      <c r="BI481" s="141"/>
      <c r="BJ481" s="28"/>
    </row>
    <row r="482" spans="1:62" ht="15" thickBot="1" x14ac:dyDescent="0.35">
      <c r="A482" s="42" t="s">
        <v>84</v>
      </c>
      <c r="B482" s="142">
        <v>2268</v>
      </c>
      <c r="C482" s="143">
        <v>1866</v>
      </c>
      <c r="D482" s="142">
        <v>0</v>
      </c>
      <c r="E482" s="345">
        <v>2858</v>
      </c>
      <c r="F482" s="143">
        <v>0</v>
      </c>
      <c r="G482" s="142"/>
      <c r="H482" s="244"/>
      <c r="I482" s="143"/>
      <c r="J482" s="245">
        <v>43</v>
      </c>
      <c r="M482" s="47" t="s">
        <v>84</v>
      </c>
      <c r="N482" s="202">
        <v>34368</v>
      </c>
      <c r="O482" s="286">
        <v>87751</v>
      </c>
      <c r="P482" s="202"/>
      <c r="Q482" s="286"/>
      <c r="R482" s="48"/>
      <c r="S482" s="202">
        <v>2650</v>
      </c>
      <c r="T482" s="202">
        <v>195</v>
      </c>
      <c r="U482" s="47"/>
      <c r="V482" s="49"/>
      <c r="Y482" s="41" t="s">
        <v>99</v>
      </c>
      <c r="Z482" s="42"/>
      <c r="AA482" s="40"/>
      <c r="AB482" s="67"/>
      <c r="AC482" s="43"/>
      <c r="AD482" s="56"/>
      <c r="AE482" s="42">
        <v>0</v>
      </c>
      <c r="AF482" s="40">
        <v>473</v>
      </c>
      <c r="AG482" s="41"/>
      <c r="AH482" s="67">
        <v>1</v>
      </c>
      <c r="AI482" s="28" t="s">
        <v>1317</v>
      </c>
      <c r="AJ482" s="40"/>
      <c r="AM482" s="138" t="s">
        <v>230</v>
      </c>
      <c r="AN482" s="212">
        <v>100</v>
      </c>
      <c r="AO482" s="141">
        <v>4</v>
      </c>
      <c r="AP482" s="138"/>
      <c r="AQ482" s="141"/>
      <c r="AR482" s="138"/>
      <c r="AS482" s="43" t="s">
        <v>1776</v>
      </c>
      <c r="AT482" s="43" t="s">
        <v>463</v>
      </c>
      <c r="AU482" s="43"/>
      <c r="AV482" s="141"/>
      <c r="AY482" s="142" t="s">
        <v>84</v>
      </c>
      <c r="AZ482" s="138">
        <v>457</v>
      </c>
      <c r="BA482" s="28">
        <v>474</v>
      </c>
      <c r="BB482" s="142"/>
      <c r="BC482" s="224"/>
      <c r="BD482" s="251"/>
      <c r="BE482" s="143"/>
      <c r="BF482" s="146"/>
      <c r="BG482" s="43">
        <v>26</v>
      </c>
      <c r="BH482" s="43" t="s">
        <v>1292</v>
      </c>
      <c r="BI482" s="146">
        <v>46</v>
      </c>
      <c r="BJ482" s="28"/>
    </row>
    <row r="483" spans="1:62" x14ac:dyDescent="0.3">
      <c r="A483" s="287" t="s">
        <v>181</v>
      </c>
      <c r="B483" s="135">
        <v>2977</v>
      </c>
      <c r="C483" s="135">
        <v>3274</v>
      </c>
      <c r="D483" s="134">
        <v>0</v>
      </c>
      <c r="E483" s="243">
        <v>0</v>
      </c>
      <c r="F483" s="136">
        <v>0</v>
      </c>
      <c r="G483" s="134">
        <v>1</v>
      </c>
      <c r="H483" s="278" t="s">
        <v>182</v>
      </c>
      <c r="I483" s="135"/>
      <c r="J483" s="279"/>
      <c r="Y483" s="41" t="s">
        <v>174</v>
      </c>
      <c r="Z483" s="42"/>
      <c r="AA483" s="40"/>
      <c r="AB483" s="67"/>
      <c r="AC483" s="43"/>
      <c r="AD483" s="56"/>
      <c r="AE483" s="42">
        <v>11047</v>
      </c>
      <c r="AF483" s="40">
        <v>0</v>
      </c>
      <c r="AG483" s="41"/>
      <c r="AH483" s="67"/>
      <c r="AI483" s="43"/>
      <c r="AJ483" s="40"/>
      <c r="AM483" s="138" t="s">
        <v>56</v>
      </c>
      <c r="AN483" s="212">
        <v>4</v>
      </c>
      <c r="AO483" s="141">
        <v>11</v>
      </c>
      <c r="AP483" s="138"/>
      <c r="AQ483" s="141"/>
      <c r="AR483" s="138"/>
      <c r="AS483" s="43" t="s">
        <v>1414</v>
      </c>
      <c r="AT483" s="43" t="s">
        <v>348</v>
      </c>
      <c r="AU483" s="43"/>
      <c r="AV483" s="141"/>
      <c r="AY483" s="134" t="s">
        <v>133</v>
      </c>
      <c r="AZ483" s="240">
        <v>37</v>
      </c>
      <c r="BA483" s="135">
        <v>18</v>
      </c>
      <c r="BB483" s="138"/>
      <c r="BC483" s="343"/>
      <c r="BD483" s="370"/>
      <c r="BE483" s="135"/>
      <c r="BF483" s="136"/>
      <c r="BG483" s="134" t="s">
        <v>140</v>
      </c>
      <c r="BH483" s="135"/>
      <c r="BI483" s="136"/>
      <c r="BJ483" s="28"/>
    </row>
    <row r="484" spans="1:62" ht="15" thickBot="1" x14ac:dyDescent="0.35">
      <c r="A484" s="288"/>
      <c r="B484" s="28"/>
      <c r="C484" s="28"/>
      <c r="D484" s="138"/>
      <c r="E484" s="38"/>
      <c r="F484" s="141"/>
      <c r="G484" s="138"/>
      <c r="H484" s="42"/>
      <c r="I484" s="28"/>
      <c r="J484" s="40"/>
      <c r="Y484" s="62" t="s">
        <v>84</v>
      </c>
      <c r="Z484" s="47"/>
      <c r="AA484" s="49"/>
      <c r="AB484" s="47"/>
      <c r="AC484" s="48"/>
      <c r="AD484" s="49"/>
      <c r="AE484" s="47">
        <v>11047</v>
      </c>
      <c r="AF484" s="49">
        <v>473</v>
      </c>
      <c r="AG484" s="46"/>
      <c r="AH484" s="47"/>
      <c r="AI484" s="48"/>
      <c r="AJ484" s="49">
        <v>1</v>
      </c>
      <c r="AM484" s="138" t="s">
        <v>63</v>
      </c>
      <c r="AN484" s="212">
        <v>5</v>
      </c>
      <c r="AO484" s="141">
        <v>6</v>
      </c>
      <c r="AP484" s="138"/>
      <c r="AQ484" s="141"/>
      <c r="AR484" s="138"/>
      <c r="AS484" s="43" t="s">
        <v>2086</v>
      </c>
      <c r="AT484" s="43" t="s">
        <v>600</v>
      </c>
      <c r="AU484" s="43"/>
      <c r="AV484" s="141"/>
      <c r="AY484" s="138" t="s">
        <v>107</v>
      </c>
      <c r="AZ484" s="212">
        <v>0</v>
      </c>
      <c r="BA484" s="43">
        <v>2</v>
      </c>
      <c r="BB484" s="138"/>
      <c r="BC484" s="43"/>
      <c r="BD484" s="141"/>
      <c r="BE484" s="43"/>
      <c r="BF484" s="141"/>
      <c r="BG484" s="138"/>
      <c r="BH484" s="28"/>
      <c r="BI484" s="141"/>
      <c r="BJ484" s="28"/>
    </row>
    <row r="485" spans="1:62" x14ac:dyDescent="0.3">
      <c r="A485" s="288" t="s">
        <v>84</v>
      </c>
      <c r="B485" s="28">
        <v>2977</v>
      </c>
      <c r="C485" s="43">
        <v>3274</v>
      </c>
      <c r="D485" s="138">
        <v>0</v>
      </c>
      <c r="E485" s="38">
        <v>0</v>
      </c>
      <c r="F485" s="141">
        <v>0</v>
      </c>
      <c r="G485" s="138"/>
      <c r="H485" s="42">
        <v>31</v>
      </c>
      <c r="I485" s="28" t="s">
        <v>101</v>
      </c>
      <c r="J485" s="40"/>
      <c r="Y485" s="32" t="s">
        <v>403</v>
      </c>
      <c r="Z485" s="33"/>
      <c r="AA485" s="35"/>
      <c r="AB485" s="33"/>
      <c r="AC485" s="34"/>
      <c r="AD485" s="35"/>
      <c r="AE485" s="33">
        <v>14604</v>
      </c>
      <c r="AF485" s="35">
        <v>0</v>
      </c>
      <c r="AG485" s="32"/>
      <c r="AH485" s="33" t="s">
        <v>157</v>
      </c>
      <c r="AI485" s="34"/>
      <c r="AJ485" s="35"/>
      <c r="AM485" s="138" t="s">
        <v>122</v>
      </c>
      <c r="AN485" s="212">
        <v>29</v>
      </c>
      <c r="AO485" s="141">
        <v>20</v>
      </c>
      <c r="AP485" s="138"/>
      <c r="AQ485" s="141"/>
      <c r="AR485" s="138"/>
      <c r="AS485" s="43" t="s">
        <v>2087</v>
      </c>
      <c r="AT485" s="43"/>
      <c r="AU485" s="43"/>
      <c r="AV485" s="141"/>
      <c r="AY485" s="138" t="s">
        <v>230</v>
      </c>
      <c r="AZ485" s="212">
        <v>0</v>
      </c>
      <c r="BA485" s="43">
        <v>0</v>
      </c>
      <c r="BB485" s="138"/>
      <c r="BC485" s="43"/>
      <c r="BD485" s="141"/>
      <c r="BE485" s="43"/>
      <c r="BF485" s="141"/>
      <c r="BG485" s="138"/>
      <c r="BH485" s="28"/>
      <c r="BI485" s="141"/>
      <c r="BJ485" s="28"/>
    </row>
    <row r="486" spans="1:62" ht="15" thickBot="1" x14ac:dyDescent="0.35">
      <c r="A486" s="289"/>
      <c r="B486" s="48"/>
      <c r="C486" s="48"/>
      <c r="D486" s="202"/>
      <c r="E486" s="48"/>
      <c r="F486" s="203"/>
      <c r="G486" s="202"/>
      <c r="H486" s="47"/>
      <c r="I486" s="51"/>
      <c r="J486" s="49">
        <v>31</v>
      </c>
      <c r="Y486" s="41" t="s">
        <v>88</v>
      </c>
      <c r="Z486" s="42"/>
      <c r="AA486" s="56"/>
      <c r="AB486" s="67"/>
      <c r="AC486" s="43"/>
      <c r="AD486" s="56"/>
      <c r="AE486" s="42">
        <v>14456</v>
      </c>
      <c r="AF486" s="56">
        <v>0</v>
      </c>
      <c r="AG486" s="41"/>
      <c r="AH486" s="67">
        <v>13</v>
      </c>
      <c r="AI486" s="28" t="s">
        <v>61</v>
      </c>
      <c r="AJ486" s="40"/>
      <c r="AM486" s="138" t="s">
        <v>132</v>
      </c>
      <c r="AN486" s="138">
        <v>0</v>
      </c>
      <c r="AO486" s="141">
        <v>1</v>
      </c>
      <c r="AP486" s="138"/>
      <c r="AQ486" s="141"/>
      <c r="AR486" s="138"/>
      <c r="AS486" s="220" t="s">
        <v>1098</v>
      </c>
      <c r="AT486" s="43"/>
      <c r="AU486" s="371"/>
      <c r="AV486" s="141"/>
      <c r="AY486" s="138" t="s">
        <v>108</v>
      </c>
      <c r="AZ486" s="212">
        <v>0</v>
      </c>
      <c r="BA486" s="28">
        <v>12</v>
      </c>
      <c r="BB486" s="268"/>
      <c r="BC486" s="43"/>
      <c r="BD486" s="141"/>
      <c r="BE486" s="43"/>
      <c r="BF486" s="141"/>
      <c r="BG486" s="212" t="s">
        <v>142</v>
      </c>
      <c r="BH486" s="43"/>
      <c r="BI486" s="209" t="s">
        <v>730</v>
      </c>
      <c r="BJ486" s="28"/>
    </row>
    <row r="487" spans="1:62" ht="15" thickBot="1" x14ac:dyDescent="0.35">
      <c r="A487" s="254" t="s">
        <v>84</v>
      </c>
      <c r="B487" s="274">
        <v>65677</v>
      </c>
      <c r="C487" s="172">
        <v>64149</v>
      </c>
      <c r="D487" s="275">
        <v>0</v>
      </c>
      <c r="E487" s="210">
        <v>3327</v>
      </c>
      <c r="F487" s="253">
        <v>0</v>
      </c>
      <c r="G487" s="171">
        <v>8</v>
      </c>
      <c r="H487" s="171"/>
      <c r="I487" s="170"/>
      <c r="J487" s="172">
        <v>529</v>
      </c>
      <c r="Y487" s="41" t="s">
        <v>1547</v>
      </c>
      <c r="Z487" s="42"/>
      <c r="AA487" s="56"/>
      <c r="AB487" s="67"/>
      <c r="AC487" s="43"/>
      <c r="AD487" s="56"/>
      <c r="AE487" s="42">
        <v>9820</v>
      </c>
      <c r="AF487" s="56">
        <v>0</v>
      </c>
      <c r="AG487" s="41"/>
      <c r="AH487" s="42"/>
      <c r="AI487" s="28"/>
      <c r="AJ487" s="40"/>
      <c r="AM487" s="138" t="s">
        <v>84</v>
      </c>
      <c r="AN487" s="138">
        <v>301</v>
      </c>
      <c r="AO487" s="141">
        <v>199</v>
      </c>
      <c r="AP487" s="138"/>
      <c r="AQ487" s="141"/>
      <c r="AR487" s="142"/>
      <c r="AS487" s="224"/>
      <c r="AT487" s="224"/>
      <c r="AU487" s="143"/>
      <c r="AV487" s="146">
        <v>187</v>
      </c>
      <c r="AY487" s="138" t="s">
        <v>218</v>
      </c>
      <c r="AZ487" s="212">
        <v>38</v>
      </c>
      <c r="BA487" s="28">
        <v>53</v>
      </c>
      <c r="BB487" s="268"/>
      <c r="BC487" s="255"/>
      <c r="BD487" s="141"/>
      <c r="BE487" s="43"/>
      <c r="BF487" s="141"/>
      <c r="BG487" s="212" t="s">
        <v>146</v>
      </c>
      <c r="BH487" s="43"/>
      <c r="BI487" s="372" t="s">
        <v>2083</v>
      </c>
      <c r="BJ487" s="28"/>
    </row>
    <row r="488" spans="1:62" ht="15" thickBot="1" x14ac:dyDescent="0.35">
      <c r="Y488" s="68" t="s">
        <v>99</v>
      </c>
      <c r="Z488" s="42"/>
      <c r="AA488" s="56"/>
      <c r="AB488" s="42"/>
      <c r="AC488" s="43"/>
      <c r="AD488" s="40"/>
      <c r="AE488" s="42">
        <v>46452</v>
      </c>
      <c r="AF488" s="56">
        <v>104831</v>
      </c>
      <c r="AG488" s="41"/>
      <c r="AH488" s="42"/>
      <c r="AI488" s="43"/>
      <c r="AJ488" s="40"/>
      <c r="AM488" s="171" t="s">
        <v>84</v>
      </c>
      <c r="AN488" s="171">
        <v>1982</v>
      </c>
      <c r="AO488" s="172">
        <v>1763</v>
      </c>
      <c r="AP488" s="170"/>
      <c r="AQ488" s="172"/>
      <c r="AR488" s="48"/>
      <c r="AS488" s="48"/>
      <c r="AT488" s="48"/>
      <c r="AU488" s="48"/>
      <c r="AV488" s="49">
        <v>383</v>
      </c>
      <c r="AY488" s="138" t="s">
        <v>211</v>
      </c>
      <c r="AZ488" s="212">
        <v>4</v>
      </c>
      <c r="BA488" s="28">
        <v>0</v>
      </c>
      <c r="BB488" s="268"/>
      <c r="BC488" s="43"/>
      <c r="BD488" s="141"/>
      <c r="BE488" s="43"/>
      <c r="BF488" s="141"/>
      <c r="BG488" s="212"/>
      <c r="BH488" s="43"/>
      <c r="BI488" s="209"/>
      <c r="BJ488" s="28"/>
    </row>
    <row r="489" spans="1:62" x14ac:dyDescent="0.3">
      <c r="U489" s="325"/>
      <c r="V489" s="184"/>
      <c r="Y489" s="68" t="s">
        <v>95</v>
      </c>
      <c r="Z489" s="42"/>
      <c r="AA489" s="56"/>
      <c r="AB489" s="67"/>
      <c r="AC489" s="43"/>
      <c r="AD489" s="56"/>
      <c r="AE489" s="42">
        <v>0</v>
      </c>
      <c r="AF489" s="56">
        <v>404</v>
      </c>
      <c r="AG489" s="41"/>
      <c r="AH489" s="67"/>
      <c r="AI489" s="28"/>
      <c r="AJ489" s="40"/>
      <c r="AM489" s="28"/>
      <c r="AN489" s="28"/>
      <c r="AO489" s="28"/>
      <c r="AP489" s="28"/>
      <c r="AQ489" s="28"/>
      <c r="AR489" s="28"/>
      <c r="AS489" s="43"/>
      <c r="AT489" s="43"/>
      <c r="AU489" s="28"/>
      <c r="AV489" s="28"/>
      <c r="AY489" s="138" t="s">
        <v>564</v>
      </c>
      <c r="AZ489" s="212">
        <v>4</v>
      </c>
      <c r="BA489" s="28">
        <v>8</v>
      </c>
      <c r="BB489" s="268"/>
      <c r="BC489" s="43"/>
      <c r="BD489" s="141"/>
      <c r="BE489" s="43"/>
      <c r="BF489" s="141"/>
      <c r="BG489" s="212" t="s">
        <v>151</v>
      </c>
      <c r="BH489" s="43" t="s">
        <v>2088</v>
      </c>
      <c r="BI489" s="209" t="s">
        <v>304</v>
      </c>
      <c r="BJ489" s="28"/>
    </row>
    <row r="490" spans="1:62" x14ac:dyDescent="0.3">
      <c r="Y490" s="68" t="s">
        <v>85</v>
      </c>
      <c r="Z490" s="67"/>
      <c r="AA490" s="56"/>
      <c r="AB490" s="42"/>
      <c r="AC490" s="43"/>
      <c r="AD490" s="40"/>
      <c r="AE490" s="67">
        <v>0</v>
      </c>
      <c r="AF490" s="56">
        <v>28550</v>
      </c>
      <c r="AG490" s="41"/>
      <c r="AH490" s="42"/>
      <c r="AI490" s="28"/>
      <c r="AJ490" s="40"/>
      <c r="AM490" s="28"/>
      <c r="AN490" s="28"/>
      <c r="AO490" s="28"/>
      <c r="AP490" s="28"/>
      <c r="AQ490" s="28"/>
      <c r="AR490" s="28"/>
      <c r="AS490" s="220"/>
      <c r="AT490" s="220"/>
      <c r="AU490" s="28"/>
      <c r="AV490" s="28"/>
      <c r="AY490" s="138" t="s">
        <v>1385</v>
      </c>
      <c r="AZ490" s="212">
        <v>0</v>
      </c>
      <c r="BA490" s="28">
        <v>0</v>
      </c>
      <c r="BB490" s="268"/>
      <c r="BC490" s="43"/>
      <c r="BD490" s="141"/>
      <c r="BE490" s="43"/>
      <c r="BF490" s="141"/>
      <c r="BG490" s="333" t="s">
        <v>625</v>
      </c>
      <c r="BH490" s="222" t="s">
        <v>2089</v>
      </c>
      <c r="BI490" s="209" t="s">
        <v>2090</v>
      </c>
      <c r="BJ490" s="28"/>
    </row>
    <row r="491" spans="1:62" x14ac:dyDescent="0.3">
      <c r="Y491" s="68" t="s">
        <v>108</v>
      </c>
      <c r="Z491" s="67"/>
      <c r="AA491" s="56"/>
      <c r="AB491" s="67"/>
      <c r="AC491" s="43"/>
      <c r="AD491" s="56"/>
      <c r="AE491" s="67">
        <v>25407</v>
      </c>
      <c r="AF491" s="56">
        <v>28471</v>
      </c>
      <c r="AG491" s="41"/>
      <c r="AH491" s="67"/>
      <c r="AI491" s="28"/>
      <c r="AJ491" s="40"/>
      <c r="AM491" s="28"/>
      <c r="AN491" s="28"/>
      <c r="AO491" s="28"/>
      <c r="AP491" s="28"/>
      <c r="AQ491" s="28"/>
      <c r="AR491" s="28"/>
      <c r="AS491" s="43"/>
      <c r="AT491" s="43"/>
      <c r="AU491" s="28"/>
      <c r="AV491" s="28"/>
      <c r="AY491" s="138" t="s">
        <v>214</v>
      </c>
      <c r="AZ491" s="212">
        <v>0</v>
      </c>
      <c r="BA491" s="28">
        <v>0</v>
      </c>
      <c r="BB491" s="268"/>
      <c r="BC491" s="43"/>
      <c r="BD491" s="141"/>
      <c r="BE491" s="43"/>
      <c r="BF491" s="141"/>
      <c r="BG491" s="212" t="s">
        <v>1438</v>
      </c>
      <c r="BH491" s="220" t="s">
        <v>340</v>
      </c>
      <c r="BI491" s="209" t="s">
        <v>482</v>
      </c>
      <c r="BJ491" s="28"/>
    </row>
    <row r="492" spans="1:62" x14ac:dyDescent="0.3">
      <c r="Y492" s="68" t="s">
        <v>174</v>
      </c>
      <c r="Z492" s="42"/>
      <c r="AA492" s="40"/>
      <c r="AB492" s="42"/>
      <c r="AC492" s="43"/>
      <c r="AD492" s="40"/>
      <c r="AE492" s="42">
        <v>11060</v>
      </c>
      <c r="AF492" s="40">
        <v>0</v>
      </c>
      <c r="AG492" s="41"/>
      <c r="AH492" s="42"/>
      <c r="AI492" s="28"/>
      <c r="AJ492" s="40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Y492" s="138" t="s">
        <v>596</v>
      </c>
      <c r="AZ492" s="212">
        <v>5</v>
      </c>
      <c r="BA492" s="28">
        <v>3</v>
      </c>
      <c r="BB492" s="268"/>
      <c r="BC492" s="43"/>
      <c r="BD492" s="141"/>
      <c r="BE492" s="43"/>
      <c r="BF492" s="141"/>
      <c r="BG492" s="212" t="s">
        <v>179</v>
      </c>
      <c r="BH492" s="43" t="s">
        <v>515</v>
      </c>
      <c r="BI492" s="209" t="s">
        <v>714</v>
      </c>
      <c r="BJ492" s="28"/>
    </row>
    <row r="493" spans="1:62" x14ac:dyDescent="0.3">
      <c r="Y493" s="68" t="s">
        <v>445</v>
      </c>
      <c r="Z493" s="42"/>
      <c r="AA493" s="40"/>
      <c r="AB493" s="42"/>
      <c r="AC493" s="43"/>
      <c r="AD493" s="40"/>
      <c r="AE493" s="42">
        <v>11451</v>
      </c>
      <c r="AF493" s="40">
        <v>0</v>
      </c>
      <c r="AG493" s="41"/>
      <c r="AH493" s="42"/>
      <c r="AI493" s="28"/>
      <c r="AJ493" s="40"/>
      <c r="AS493" s="43"/>
      <c r="AT493" s="43"/>
      <c r="AU493" s="43"/>
      <c r="AV493" s="28"/>
      <c r="AY493" s="138" t="s">
        <v>169</v>
      </c>
      <c r="AZ493" s="212">
        <v>8</v>
      </c>
      <c r="BA493" s="28">
        <v>34</v>
      </c>
      <c r="BB493" s="268"/>
      <c r="BC493" s="270"/>
      <c r="BD493" s="141"/>
      <c r="BE493" s="43"/>
      <c r="BF493" s="141"/>
      <c r="BG493" s="212" t="s">
        <v>510</v>
      </c>
      <c r="BH493" s="43" t="s">
        <v>533</v>
      </c>
      <c r="BI493" s="209" t="s">
        <v>320</v>
      </c>
      <c r="BJ493" s="28"/>
    </row>
    <row r="494" spans="1:62" ht="15" thickBot="1" x14ac:dyDescent="0.35">
      <c r="Y494" s="62" t="s">
        <v>84</v>
      </c>
      <c r="Z494" s="47"/>
      <c r="AA494" s="49"/>
      <c r="AB494" s="47"/>
      <c r="AC494" s="51"/>
      <c r="AD494" s="49"/>
      <c r="AE494" s="47">
        <v>133250</v>
      </c>
      <c r="AF494" s="49">
        <v>162256</v>
      </c>
      <c r="AG494" s="46"/>
      <c r="AH494" s="47"/>
      <c r="AI494" s="48"/>
      <c r="AJ494" s="49">
        <v>13</v>
      </c>
      <c r="AS494" s="28"/>
      <c r="AT494" s="43"/>
      <c r="AU494" s="43"/>
      <c r="AV494" s="28"/>
      <c r="AY494" s="138" t="s">
        <v>85</v>
      </c>
      <c r="AZ494" s="212">
        <v>6</v>
      </c>
      <c r="BA494" s="28">
        <v>6</v>
      </c>
      <c r="BB494" s="268"/>
      <c r="BC494" s="43"/>
      <c r="BD494" s="141"/>
      <c r="BE494" s="43"/>
      <c r="BF494" s="141"/>
      <c r="BG494" s="212" t="s">
        <v>626</v>
      </c>
      <c r="BH494" s="43" t="s">
        <v>347</v>
      </c>
      <c r="BI494" s="209" t="s">
        <v>637</v>
      </c>
      <c r="BJ494" s="28"/>
    </row>
    <row r="495" spans="1:62" x14ac:dyDescent="0.3">
      <c r="Y495" s="32"/>
      <c r="Z495" s="33"/>
      <c r="AA495" s="35"/>
      <c r="AB495" s="33"/>
      <c r="AC495" s="123"/>
      <c r="AD495" s="35"/>
      <c r="AE495" s="33"/>
      <c r="AF495" s="35"/>
      <c r="AG495" s="32"/>
      <c r="AH495" s="33" t="s">
        <v>1326</v>
      </c>
      <c r="AI495" s="34"/>
      <c r="AJ495" s="35"/>
      <c r="AS495" s="43"/>
      <c r="AT495" s="43"/>
      <c r="AU495" s="43"/>
      <c r="AV495" s="28"/>
      <c r="AY495" s="138" t="s">
        <v>113</v>
      </c>
      <c r="AZ495" s="212">
        <v>50</v>
      </c>
      <c r="BA495" s="28">
        <v>119</v>
      </c>
      <c r="BB495" s="268"/>
      <c r="BC495" s="43">
        <v>1</v>
      </c>
      <c r="BD495" s="141"/>
      <c r="BE495" s="43"/>
      <c r="BF495" s="141"/>
      <c r="BG495" s="212" t="s">
        <v>2091</v>
      </c>
      <c r="BH495" s="222" t="s">
        <v>1545</v>
      </c>
      <c r="BI495" s="209" t="s">
        <v>1500</v>
      </c>
      <c r="BJ495" s="28"/>
    </row>
    <row r="496" spans="1:62" x14ac:dyDescent="0.3">
      <c r="Y496" s="41" t="s">
        <v>102</v>
      </c>
      <c r="Z496" s="42">
        <v>579</v>
      </c>
      <c r="AA496" s="40">
        <v>364</v>
      </c>
      <c r="AB496" s="67"/>
      <c r="AC496" s="43"/>
      <c r="AD496" s="56"/>
      <c r="AE496" s="42"/>
      <c r="AF496" s="40"/>
      <c r="AG496" s="41"/>
      <c r="AH496">
        <v>9</v>
      </c>
      <c r="AI496" s="28" t="s">
        <v>145</v>
      </c>
      <c r="AJ496" s="40"/>
      <c r="AS496" s="43"/>
      <c r="AT496" s="28"/>
      <c r="AU496" s="28"/>
      <c r="AV496" s="28"/>
      <c r="AY496" s="138" t="s">
        <v>200</v>
      </c>
      <c r="AZ496" s="212">
        <v>11</v>
      </c>
      <c r="BA496" s="28">
        <v>4</v>
      </c>
      <c r="BB496" s="268"/>
      <c r="BC496" s="270"/>
      <c r="BD496" s="141"/>
      <c r="BE496" s="43"/>
      <c r="BF496" s="141"/>
      <c r="BG496" s="212" t="s">
        <v>2092</v>
      </c>
      <c r="BH496" s="43" t="s">
        <v>791</v>
      </c>
      <c r="BI496" s="373" t="s">
        <v>600</v>
      </c>
      <c r="BJ496" s="28"/>
    </row>
    <row r="497" spans="25:62" ht="15" thickBot="1" x14ac:dyDescent="0.35">
      <c r="Y497" s="46" t="s">
        <v>84</v>
      </c>
      <c r="Z497" s="47">
        <v>579</v>
      </c>
      <c r="AA497" s="49">
        <v>364</v>
      </c>
      <c r="AB497" s="47"/>
      <c r="AC497" s="48"/>
      <c r="AD497" s="49"/>
      <c r="AE497" s="47"/>
      <c r="AF497" s="49"/>
      <c r="AG497" s="46"/>
      <c r="AH497" s="67">
        <v>5</v>
      </c>
      <c r="AI497" s="48" t="s">
        <v>98</v>
      </c>
      <c r="AJ497" s="49">
        <v>14</v>
      </c>
      <c r="AS497" s="43"/>
      <c r="AT497" s="28"/>
      <c r="AU497" s="28"/>
      <c r="AV497" s="28"/>
      <c r="AY497" s="138" t="s">
        <v>605</v>
      </c>
      <c r="AZ497" s="212">
        <v>2</v>
      </c>
      <c r="BA497" s="28">
        <v>1</v>
      </c>
      <c r="BB497" s="268"/>
      <c r="BC497" s="270"/>
      <c r="BD497" s="141"/>
      <c r="BE497" s="43"/>
      <c r="BF497" s="141"/>
      <c r="BG497" s="212" t="s">
        <v>943</v>
      </c>
      <c r="BH497" s="43" t="s">
        <v>1388</v>
      </c>
      <c r="BI497" s="209"/>
      <c r="BJ497" s="28"/>
    </row>
    <row r="498" spans="25:62" ht="15" thickBot="1" x14ac:dyDescent="0.35">
      <c r="Y498" s="254" t="s">
        <v>84</v>
      </c>
      <c r="Z498" s="171">
        <v>3664</v>
      </c>
      <c r="AA498" s="172">
        <v>3301</v>
      </c>
      <c r="AB498" s="271"/>
      <c r="AC498" s="170"/>
      <c r="AD498" s="172"/>
      <c r="AE498" s="47">
        <v>144712</v>
      </c>
      <c r="AF498" s="49">
        <v>162729</v>
      </c>
      <c r="AG498" s="46"/>
      <c r="AH498" s="291" t="s">
        <v>199</v>
      </c>
      <c r="AI498" s="170"/>
      <c r="AJ498" s="172">
        <v>54</v>
      </c>
      <c r="AQ498" s="28"/>
      <c r="AS498" s="43"/>
      <c r="AT498" s="28"/>
      <c r="AU498" s="28"/>
      <c r="AV498" s="28"/>
      <c r="AY498" s="138" t="s">
        <v>523</v>
      </c>
      <c r="AZ498" s="212">
        <v>0</v>
      </c>
      <c r="BA498" s="28">
        <v>9</v>
      </c>
      <c r="BB498" s="268"/>
      <c r="BC498" s="270"/>
      <c r="BD498" s="141"/>
      <c r="BE498" s="43"/>
      <c r="BF498" s="141"/>
      <c r="BG498" s="212" t="s">
        <v>1332</v>
      </c>
      <c r="BH498" s="43" t="s">
        <v>1483</v>
      </c>
      <c r="BI498" s="209"/>
      <c r="BJ498" s="28"/>
    </row>
    <row r="499" spans="25:62" ht="15.6" x14ac:dyDescent="0.3">
      <c r="AQ499" s="28"/>
      <c r="AS499" s="43"/>
      <c r="AT499" s="43"/>
      <c r="AU499" s="43"/>
      <c r="AV499" s="28"/>
      <c r="AY499" s="374" t="s">
        <v>657</v>
      </c>
      <c r="AZ499" s="212">
        <v>0</v>
      </c>
      <c r="BA499" s="28">
        <v>0</v>
      </c>
      <c r="BB499" s="268"/>
      <c r="BC499" s="270"/>
      <c r="BD499" s="141"/>
      <c r="BE499" s="43"/>
      <c r="BF499" s="141"/>
      <c r="BG499" s="212" t="s">
        <v>2093</v>
      </c>
      <c r="BH499" s="258" t="s">
        <v>366</v>
      </c>
      <c r="BI499" s="373"/>
      <c r="BJ499" s="28"/>
    </row>
    <row r="500" spans="25:62" ht="15.6" x14ac:dyDescent="0.3">
      <c r="AE500" s="28"/>
      <c r="AO500" s="28"/>
      <c r="AQ500" s="28"/>
      <c r="AS500" s="43"/>
      <c r="AT500" s="28"/>
      <c r="AU500" s="28"/>
      <c r="AV500" s="28"/>
      <c r="AY500" s="138" t="s">
        <v>139</v>
      </c>
      <c r="AZ500" s="212">
        <v>0</v>
      </c>
      <c r="BA500" s="28">
        <v>2</v>
      </c>
      <c r="BB500" s="268"/>
      <c r="BC500" s="270"/>
      <c r="BD500" s="141"/>
      <c r="BE500" s="43"/>
      <c r="BF500" s="141"/>
      <c r="BG500" s="212" t="s">
        <v>841</v>
      </c>
      <c r="BH500" s="258" t="s">
        <v>2094</v>
      </c>
      <c r="BI500" s="209"/>
      <c r="BJ500" s="28"/>
    </row>
    <row r="501" spans="25:62" x14ac:dyDescent="0.3">
      <c r="AO501" s="28"/>
      <c r="AQ501" s="28"/>
      <c r="AY501" s="138" t="s">
        <v>64</v>
      </c>
      <c r="AZ501" s="212">
        <v>1</v>
      </c>
      <c r="BA501" s="28">
        <v>4</v>
      </c>
      <c r="BB501" s="268"/>
      <c r="BC501" s="270"/>
      <c r="BD501" s="141"/>
      <c r="BE501" s="43"/>
      <c r="BF501" s="141"/>
      <c r="BG501" s="212" t="s">
        <v>1589</v>
      </c>
      <c r="BH501" s="228" t="s">
        <v>1098</v>
      </c>
      <c r="BI501" s="213"/>
      <c r="BJ501" s="28"/>
    </row>
    <row r="502" spans="25:62" ht="15.6" x14ac:dyDescent="0.3">
      <c r="AO502" s="28"/>
      <c r="AQ502" s="28"/>
      <c r="AY502" s="138" t="s">
        <v>526</v>
      </c>
      <c r="AZ502" s="212">
        <v>0</v>
      </c>
      <c r="BA502" s="28">
        <v>0</v>
      </c>
      <c r="BB502" s="268"/>
      <c r="BC502" s="270"/>
      <c r="BD502" s="141"/>
      <c r="BE502" s="43"/>
      <c r="BF502" s="141"/>
      <c r="BG502" s="138"/>
      <c r="BH502" s="258"/>
      <c r="BI502" s="141"/>
      <c r="BJ502" s="28"/>
    </row>
    <row r="503" spans="25:62" ht="16.2" thickBot="1" x14ac:dyDescent="0.35">
      <c r="Y503" s="43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138" t="s">
        <v>384</v>
      </c>
      <c r="AZ503" s="263">
        <v>0</v>
      </c>
      <c r="BA503" s="143">
        <v>1</v>
      </c>
      <c r="BB503" s="375"/>
      <c r="BC503" s="376"/>
      <c r="BD503" s="146"/>
      <c r="BE503" s="224"/>
      <c r="BF503" s="146"/>
      <c r="BG503" s="138"/>
      <c r="BH503" s="258"/>
      <c r="BI503" s="141">
        <v>83</v>
      </c>
      <c r="BJ503" s="28"/>
    </row>
    <row r="504" spans="25:62" ht="15" thickBot="1" x14ac:dyDescent="0.35">
      <c r="Y504" s="28"/>
      <c r="Z504" s="28"/>
      <c r="AA504" s="28"/>
      <c r="AB504" s="28"/>
      <c r="AC504" s="43"/>
      <c r="AD504" s="28"/>
      <c r="AE504" s="28"/>
      <c r="AF504" s="28"/>
      <c r="AG504" s="28"/>
      <c r="AH504" s="28"/>
      <c r="AI504" s="28"/>
      <c r="AJ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43"/>
      <c r="AX504" s="28"/>
      <c r="AY504" s="271" t="s">
        <v>84</v>
      </c>
      <c r="AZ504" s="72">
        <v>166</v>
      </c>
      <c r="BA504" s="357">
        <v>276</v>
      </c>
      <c r="BB504" s="48" t="s">
        <v>84</v>
      </c>
      <c r="BC504" s="48">
        <v>1</v>
      </c>
      <c r="BD504" s="48">
        <v>0</v>
      </c>
      <c r="BE504" s="47">
        <v>82618</v>
      </c>
      <c r="BF504" s="49">
        <v>27000</v>
      </c>
      <c r="BG504" s="351"/>
      <c r="BH504" s="170"/>
      <c r="BI504" s="172">
        <v>310</v>
      </c>
      <c r="BJ504" s="28"/>
    </row>
    <row r="505" spans="25:62" x14ac:dyDescent="0.3">
      <c r="Y505" s="28"/>
      <c r="Z505" s="28"/>
      <c r="AA505" s="28"/>
      <c r="AB505" s="28"/>
      <c r="AC505" s="43"/>
      <c r="AD505" s="28"/>
      <c r="AE505" s="28"/>
      <c r="AF505" s="28"/>
      <c r="AG505" s="28"/>
      <c r="AH505" s="28"/>
      <c r="AI505" s="28"/>
      <c r="AJ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00" t="s">
        <v>223</v>
      </c>
      <c r="AZ505" s="295">
        <v>8603</v>
      </c>
      <c r="BA505" s="296">
        <v>8480</v>
      </c>
      <c r="BB505" s="297"/>
      <c r="BC505" s="34" t="s">
        <v>1503</v>
      </c>
      <c r="BD505" s="34"/>
      <c r="BE505" s="34"/>
      <c r="BF505" s="34"/>
      <c r="BG505" s="298">
        <v>893</v>
      </c>
      <c r="BH505" s="35"/>
      <c r="BI505" s="35"/>
      <c r="BJ505" s="28"/>
    </row>
    <row r="506" spans="25:62" ht="15" thickBot="1" x14ac:dyDescent="0.35">
      <c r="Y506" s="28"/>
      <c r="Z506" s="28"/>
      <c r="AA506" s="28"/>
      <c r="AB506" s="43"/>
      <c r="AC506" s="43"/>
      <c r="AD506" s="43"/>
      <c r="AE506" s="28"/>
      <c r="AF506" s="28"/>
      <c r="AG506" s="28"/>
      <c r="AH506" s="28"/>
      <c r="AI506" s="28"/>
      <c r="AJ506" s="28"/>
      <c r="AM506" s="28"/>
      <c r="AN506" s="28"/>
      <c r="AO506" s="28"/>
      <c r="AP506" s="28"/>
      <c r="AQ506" s="28"/>
      <c r="AR506" s="28"/>
      <c r="AS506" s="28"/>
      <c r="AT506" s="28"/>
      <c r="AU506" s="43"/>
      <c r="AV506" s="28"/>
      <c r="AW506" s="28"/>
      <c r="AX506" s="28"/>
      <c r="AY506" s="138" t="s">
        <v>1340</v>
      </c>
      <c r="AZ506" s="28"/>
      <c r="BA506" s="299">
        <v>83</v>
      </c>
      <c r="BB506" s="47"/>
      <c r="BC506" s="48" t="s">
        <v>1504</v>
      </c>
      <c r="BD506" s="48"/>
      <c r="BE506" s="48"/>
      <c r="BF506" s="48"/>
      <c r="BG506" s="300">
        <v>383</v>
      </c>
      <c r="BH506" s="301">
        <v>1276</v>
      </c>
      <c r="BI506" s="40"/>
      <c r="BJ506" s="28"/>
    </row>
    <row r="507" spans="25:62" ht="15" thickBot="1" x14ac:dyDescent="0.35">
      <c r="Y507" s="28"/>
      <c r="Z507" s="28"/>
      <c r="AA507" s="28"/>
      <c r="AB507" s="28"/>
      <c r="AC507" s="28"/>
      <c r="AD507" s="28"/>
      <c r="AE507" s="28"/>
      <c r="AF507" s="28"/>
      <c r="AG507" s="28"/>
      <c r="AH507" s="43"/>
      <c r="AI507" s="28"/>
      <c r="AJ507" s="28"/>
      <c r="AM507" s="28"/>
      <c r="AN507" s="28"/>
      <c r="AO507" s="28"/>
      <c r="AP507" s="28"/>
      <c r="AQ507" s="43"/>
      <c r="AR507" s="28"/>
      <c r="AS507" s="28"/>
      <c r="AT507" s="28"/>
      <c r="AU507" s="43"/>
      <c r="AV507" s="43"/>
      <c r="AW507" s="28"/>
      <c r="AX507" s="28"/>
      <c r="AY507" s="202" t="s">
        <v>229</v>
      </c>
      <c r="AZ507" s="48"/>
      <c r="BA507" s="302">
        <v>2</v>
      </c>
      <c r="BB507" s="28"/>
      <c r="BC507" s="28"/>
      <c r="BD507" s="28"/>
      <c r="BE507" s="28"/>
      <c r="BF507" s="42"/>
      <c r="BG507" s="28"/>
      <c r="BH507" s="42"/>
      <c r="BI507" s="40"/>
      <c r="BJ507" s="28"/>
    </row>
    <row r="508" spans="25:62" x14ac:dyDescent="0.3">
      <c r="Y508" s="28"/>
      <c r="Z508" s="28"/>
      <c r="AA508" s="28"/>
      <c r="AB508" s="43"/>
      <c r="AC508" s="28"/>
      <c r="AD508" s="28"/>
      <c r="AE508" s="28"/>
      <c r="AF508" s="28"/>
      <c r="AG508" s="28"/>
      <c r="AH508" s="43"/>
      <c r="AI508" s="28"/>
      <c r="AJ508" s="28"/>
      <c r="AM508" s="43"/>
      <c r="AN508" s="43"/>
      <c r="AO508" s="43"/>
      <c r="AP508" s="28"/>
      <c r="AQ508" s="43"/>
      <c r="AR508" s="28"/>
      <c r="AS508" s="28"/>
      <c r="AT508" s="28"/>
      <c r="AU508" s="43"/>
      <c r="AV508" s="43"/>
      <c r="AW508" s="43"/>
      <c r="AX508" s="28"/>
      <c r="AY508" s="200" t="s">
        <v>232</v>
      </c>
      <c r="AZ508" s="34"/>
      <c r="BA508" s="303" t="s">
        <v>233</v>
      </c>
      <c r="BB508" s="34"/>
      <c r="BC508" s="298">
        <v>1982</v>
      </c>
      <c r="BD508" s="35"/>
      <c r="BE508" s="33" t="s">
        <v>234</v>
      </c>
      <c r="BF508" s="34"/>
      <c r="BG508" s="34" t="s">
        <v>233</v>
      </c>
      <c r="BH508" s="34"/>
      <c r="BI508" s="304">
        <v>8603</v>
      </c>
      <c r="BJ508" s="28"/>
    </row>
    <row r="509" spans="25:62" ht="15" thickBot="1" x14ac:dyDescent="0.35">
      <c r="Y509" s="28"/>
      <c r="Z509" s="28"/>
      <c r="AA509" s="28"/>
      <c r="AB509" s="28"/>
      <c r="AC509" s="28"/>
      <c r="AD509" s="28"/>
      <c r="AE509" s="28"/>
      <c r="AF509" s="28"/>
      <c r="AG509" s="28"/>
      <c r="AH509" s="292"/>
      <c r="AI509" s="28"/>
      <c r="AJ509" s="28"/>
      <c r="AM509" s="28"/>
      <c r="AN509" s="28"/>
      <c r="AO509" s="28"/>
      <c r="AP509" s="28"/>
      <c r="AQ509" s="28"/>
      <c r="AR509" s="28"/>
      <c r="AS509" s="28"/>
      <c r="AT509" s="28"/>
      <c r="AU509" s="43"/>
      <c r="AV509" s="43"/>
      <c r="AW509" s="28"/>
      <c r="AX509" s="28"/>
      <c r="AY509" s="202"/>
      <c r="AZ509" s="48"/>
      <c r="BA509" s="48" t="s">
        <v>236</v>
      </c>
      <c r="BB509" s="48"/>
      <c r="BC509" s="300">
        <v>1763</v>
      </c>
      <c r="BD509" s="49"/>
      <c r="BE509" s="42"/>
      <c r="BF509" s="28"/>
      <c r="BG509" s="28" t="s">
        <v>236</v>
      </c>
      <c r="BH509" s="28"/>
      <c r="BI509" s="174">
        <v>8480</v>
      </c>
      <c r="BJ509" s="28"/>
    </row>
    <row r="510" spans="25:62" ht="15" thickBot="1" x14ac:dyDescent="0.35"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M510" s="28"/>
      <c r="AN510" s="28"/>
      <c r="AO510" s="28"/>
      <c r="AP510" s="28"/>
      <c r="AQ510" s="28"/>
      <c r="AR510" s="28"/>
      <c r="AS510" s="43"/>
      <c r="AT510" s="43"/>
      <c r="AU510" s="28"/>
      <c r="AV510" s="28"/>
      <c r="AW510" s="28"/>
      <c r="AX510" s="28"/>
      <c r="AY510" s="210" t="s">
        <v>238</v>
      </c>
      <c r="AZ510" s="170" t="s">
        <v>239</v>
      </c>
      <c r="BA510" s="172"/>
      <c r="BB510" s="171" t="s">
        <v>240</v>
      </c>
      <c r="BC510" s="170" t="s">
        <v>241</v>
      </c>
      <c r="BD510" s="170"/>
      <c r="BE510" s="171"/>
      <c r="BF510" s="170" t="s">
        <v>242</v>
      </c>
      <c r="BG510" s="305" t="s">
        <v>243</v>
      </c>
      <c r="BH510" s="170"/>
      <c r="BI510" s="172"/>
      <c r="BJ510" s="28"/>
    </row>
    <row r="511" spans="25:62" x14ac:dyDescent="0.3">
      <c r="Y511" s="28"/>
      <c r="Z511" s="28"/>
      <c r="AA511" s="28"/>
      <c r="AB511" s="28"/>
      <c r="AC511" s="28"/>
      <c r="AD511" s="28"/>
      <c r="AE511" s="28"/>
      <c r="AF511" s="28"/>
      <c r="AG511" s="28"/>
      <c r="AH511" s="292"/>
      <c r="AI511" s="28"/>
      <c r="AJ511" s="28"/>
      <c r="AM511" s="28"/>
      <c r="AN511" s="43"/>
      <c r="AO511" s="43"/>
      <c r="AP511" s="28"/>
      <c r="AQ511" s="43"/>
      <c r="AR511" s="28"/>
      <c r="AS511" s="43"/>
      <c r="AT511" s="43"/>
      <c r="AU511" s="28"/>
      <c r="AV511" s="28"/>
      <c r="AW511" s="28"/>
      <c r="AX511" s="28"/>
      <c r="AY511" s="200" t="s">
        <v>233</v>
      </c>
      <c r="AZ511" s="34"/>
      <c r="BA511" s="304">
        <v>65677</v>
      </c>
      <c r="BB511" s="306" t="s">
        <v>233</v>
      </c>
      <c r="BC511" s="28"/>
      <c r="BD511" s="174">
        <v>3664</v>
      </c>
      <c r="BE511" s="42" t="s">
        <v>233</v>
      </c>
      <c r="BF511" s="28"/>
      <c r="BG511" s="174">
        <v>12267</v>
      </c>
      <c r="BH511" s="28" t="s">
        <v>245</v>
      </c>
      <c r="BI511" s="174">
        <v>77944</v>
      </c>
      <c r="BJ511" s="28"/>
    </row>
    <row r="512" spans="25:62" ht="15" thickBot="1" x14ac:dyDescent="0.35">
      <c r="AM512" s="28"/>
      <c r="AN512" s="43"/>
      <c r="AO512" s="43"/>
      <c r="AP512" s="28"/>
      <c r="AQ512" s="43"/>
      <c r="AR512" s="28"/>
      <c r="AS512" s="43"/>
      <c r="AT512" s="43"/>
      <c r="AU512" s="28"/>
      <c r="AV512" s="43"/>
      <c r="AW512" s="43"/>
      <c r="AX512" s="28"/>
      <c r="AY512" s="202" t="s">
        <v>236</v>
      </c>
      <c r="AZ512" s="48"/>
      <c r="BA512" s="301">
        <v>64149</v>
      </c>
      <c r="BB512" s="307" t="s">
        <v>236</v>
      </c>
      <c r="BC512" s="48"/>
      <c r="BD512" s="301">
        <v>3301</v>
      </c>
      <c r="BE512" s="42" t="s">
        <v>236</v>
      </c>
      <c r="BF512" s="28"/>
      <c r="BG512" s="174">
        <v>11781</v>
      </c>
      <c r="BH512" s="28"/>
      <c r="BI512" s="174">
        <v>75930</v>
      </c>
      <c r="BJ512" s="140">
        <v>153874</v>
      </c>
    </row>
    <row r="513" spans="2:62" ht="15" thickBot="1" x14ac:dyDescent="0.35">
      <c r="Y513" s="28"/>
      <c r="Z513" s="28"/>
      <c r="AA513" s="28"/>
      <c r="AB513" s="43"/>
      <c r="AC513" s="43"/>
      <c r="AD513" s="43"/>
      <c r="AE513" s="28"/>
      <c r="AF513" s="28"/>
      <c r="AG513" s="28"/>
      <c r="AH513" s="43"/>
      <c r="AI513" s="28"/>
      <c r="AJ513" s="28"/>
      <c r="AM513" s="28"/>
      <c r="AN513" s="43"/>
      <c r="AO513" s="43"/>
      <c r="AP513" s="28"/>
      <c r="AQ513" s="43"/>
      <c r="AR513" s="28"/>
      <c r="AS513" s="43"/>
      <c r="AT513" s="43"/>
      <c r="AU513" s="28"/>
      <c r="AV513" s="43"/>
      <c r="AW513" s="43"/>
      <c r="AX513" s="28"/>
      <c r="AY513" s="377" t="s">
        <v>1505</v>
      </c>
      <c r="AZ513" s="170"/>
      <c r="BA513" s="272"/>
      <c r="BB513" s="271" t="s">
        <v>1506</v>
      </c>
      <c r="BC513" s="170"/>
      <c r="BD513" s="170"/>
      <c r="BE513" s="171"/>
      <c r="BF513" s="170" t="s">
        <v>1507</v>
      </c>
      <c r="BG513" s="170"/>
      <c r="BH513" s="170"/>
      <c r="BI513" s="308"/>
      <c r="BJ513" s="28"/>
    </row>
    <row r="514" spans="2:62" x14ac:dyDescent="0.3"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M514" s="28"/>
      <c r="AN514" s="43"/>
      <c r="AO514" s="43"/>
      <c r="AP514" s="28"/>
      <c r="AQ514" s="28"/>
      <c r="AR514" s="28"/>
      <c r="AS514" s="43"/>
      <c r="AT514" s="43"/>
      <c r="AU514" s="28"/>
      <c r="AV514" s="28"/>
      <c r="AW514" s="28"/>
      <c r="AX514" s="28"/>
      <c r="AY514" s="378" t="s">
        <v>43</v>
      </c>
      <c r="AZ514" s="34" t="s">
        <v>44</v>
      </c>
      <c r="BA514" s="309"/>
      <c r="BB514" s="123" t="s">
        <v>43</v>
      </c>
      <c r="BC514" s="123" t="s">
        <v>44</v>
      </c>
      <c r="BD514" s="35"/>
      <c r="BE514" s="34"/>
      <c r="BF514" s="298"/>
      <c r="BG514" s="298">
        <v>3328</v>
      </c>
      <c r="BH514" s="34"/>
      <c r="BI514" s="35"/>
      <c r="BJ514" s="28"/>
    </row>
    <row r="515" spans="2:62" ht="15" thickBot="1" x14ac:dyDescent="0.35">
      <c r="Y515" s="28"/>
      <c r="Z515" s="28"/>
      <c r="AA515" s="28"/>
      <c r="AB515" s="43"/>
      <c r="AC515" s="28"/>
      <c r="AD515" s="28"/>
      <c r="AE515" s="28"/>
      <c r="AF515" s="28"/>
      <c r="AG515" s="28"/>
      <c r="AH515" s="43"/>
      <c r="AI515" s="28"/>
      <c r="AJ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379">
        <v>179080</v>
      </c>
      <c r="AZ515" s="300">
        <v>250480</v>
      </c>
      <c r="BA515" s="311"/>
      <c r="BB515" s="312">
        <v>85268</v>
      </c>
      <c r="BC515" s="300">
        <v>27195</v>
      </c>
      <c r="BD515" s="49"/>
      <c r="BE515" s="48"/>
      <c r="BF515" s="48"/>
      <c r="BG515" s="48"/>
      <c r="BH515" s="48"/>
      <c r="BI515" s="49"/>
      <c r="BJ515" s="28"/>
    </row>
    <row r="516" spans="2:62" ht="15.6" x14ac:dyDescent="0.3">
      <c r="Y516" s="28"/>
      <c r="Z516" s="28"/>
      <c r="AA516" s="28"/>
      <c r="AB516" s="28"/>
      <c r="AC516" s="28"/>
      <c r="AD516" s="28"/>
      <c r="AE516" s="28"/>
      <c r="AF516" s="28"/>
      <c r="AG516" s="28"/>
      <c r="AH516" s="292"/>
      <c r="AI516" s="28"/>
      <c r="AJ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67"/>
      <c r="AZ516" s="28"/>
      <c r="BA516" s="28"/>
      <c r="BB516" s="343"/>
      <c r="BC516" s="270"/>
      <c r="BD516" s="28"/>
      <c r="BE516" s="43"/>
      <c r="BF516" s="28"/>
      <c r="BG516" s="28"/>
      <c r="BH516" s="258"/>
      <c r="BI516" s="246"/>
      <c r="BJ516" s="28"/>
    </row>
    <row r="517" spans="2:62" ht="15.6" x14ac:dyDescent="0.3"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343"/>
      <c r="BC517" s="270"/>
      <c r="BD517" s="28"/>
      <c r="BE517" s="43"/>
      <c r="BF517" s="28"/>
      <c r="BG517" s="28"/>
      <c r="BH517" s="258"/>
      <c r="BI517" s="28"/>
      <c r="BJ517" s="28"/>
    </row>
    <row r="518" spans="2:62" x14ac:dyDescent="0.3">
      <c r="AM518" s="28"/>
      <c r="AN518" s="28"/>
      <c r="AO518" s="28"/>
      <c r="AP518" s="43"/>
      <c r="AQ518" s="43"/>
      <c r="AR518" s="43"/>
      <c r="AS518" s="28"/>
      <c r="AT518" s="28"/>
      <c r="AU518" s="28"/>
      <c r="AV518" s="28"/>
      <c r="AW518" s="28"/>
      <c r="AX518" s="28"/>
      <c r="AY518" s="28"/>
      <c r="AZ518" s="28"/>
      <c r="BA518" s="28"/>
      <c r="BB518" s="343"/>
      <c r="BC518" s="270"/>
      <c r="BD518" s="28"/>
      <c r="BE518" s="43"/>
      <c r="BF518" s="28"/>
      <c r="BG518" s="28"/>
      <c r="BH518" s="228"/>
      <c r="BI518" s="215"/>
      <c r="BJ518" s="28"/>
    </row>
    <row r="519" spans="2:62" ht="15.6" x14ac:dyDescent="0.3">
      <c r="AM519" s="28"/>
      <c r="AN519" s="28"/>
      <c r="AO519" s="28"/>
      <c r="AP519" s="43"/>
      <c r="AQ519" s="43"/>
      <c r="AR519" s="43"/>
      <c r="AS519" s="28"/>
      <c r="AT519" s="28"/>
      <c r="AU519" s="28"/>
      <c r="AV519" s="43"/>
      <c r="AW519" s="28"/>
      <c r="AX519" s="28"/>
      <c r="AY519" s="28"/>
      <c r="AZ519" s="28"/>
      <c r="BA519" s="28"/>
      <c r="BB519" s="343"/>
      <c r="BC519" s="270"/>
      <c r="BD519" s="28"/>
      <c r="BE519" s="43"/>
      <c r="BF519" s="28"/>
      <c r="BG519" s="28"/>
      <c r="BH519" s="258"/>
      <c r="BI519" s="28"/>
      <c r="BJ519" s="28"/>
    </row>
    <row r="520" spans="2:62" ht="15.6" x14ac:dyDescent="0.3">
      <c r="AE520" s="28"/>
      <c r="AM520" s="28"/>
      <c r="AN520" s="28"/>
      <c r="AO520" s="28"/>
      <c r="AP520" s="43"/>
      <c r="AQ520" s="43"/>
      <c r="AR520" s="43"/>
      <c r="AS520" s="28"/>
      <c r="AT520" s="28"/>
      <c r="AU520" s="28"/>
      <c r="AV520" s="43"/>
      <c r="AW520" s="43"/>
      <c r="AX520" s="28"/>
      <c r="AY520" s="28"/>
      <c r="AZ520" s="28"/>
      <c r="BA520" s="28"/>
      <c r="BB520" s="343"/>
      <c r="BC520" s="270"/>
      <c r="BD520" s="28"/>
      <c r="BE520" s="43"/>
      <c r="BF520" s="28"/>
      <c r="BG520" s="28"/>
      <c r="BH520" s="258"/>
      <c r="BI520" s="28"/>
      <c r="BJ520" s="28"/>
    </row>
    <row r="521" spans="2:62" x14ac:dyDescent="0.3">
      <c r="AM521" s="28"/>
      <c r="AN521" s="43"/>
      <c r="AO521" s="28"/>
      <c r="AP521" s="43"/>
      <c r="AQ521" s="28"/>
      <c r="AR521" s="28"/>
      <c r="AS521" s="28"/>
      <c r="AT521" s="28"/>
      <c r="AU521" s="28"/>
      <c r="AV521" s="28"/>
      <c r="AW521" s="28"/>
      <c r="AX521" s="28"/>
      <c r="AY521" s="43"/>
      <c r="AZ521" s="43"/>
      <c r="BA521" s="186"/>
      <c r="BB521" s="28"/>
      <c r="BC521" s="28"/>
      <c r="BD521" s="28"/>
      <c r="BE521" s="28"/>
      <c r="BF521" s="28"/>
      <c r="BG521" s="43"/>
      <c r="BH521" s="28"/>
      <c r="BI521" s="28"/>
      <c r="BJ521" s="28"/>
    </row>
    <row r="522" spans="2:62" x14ac:dyDescent="0.3">
      <c r="AM522" s="28"/>
      <c r="AN522" s="28"/>
      <c r="AO522" s="28"/>
      <c r="AP522" s="43"/>
      <c r="AQ522" s="43"/>
      <c r="AR522" s="43"/>
      <c r="AS522" s="28"/>
      <c r="AT522" s="28"/>
      <c r="AU522" s="28"/>
      <c r="AV522" s="28"/>
      <c r="AW522" s="28"/>
      <c r="AX522" s="28"/>
      <c r="AY522" s="28"/>
      <c r="AZ522" s="380"/>
      <c r="BA522" s="380"/>
      <c r="BB522" s="361"/>
      <c r="BC522" s="28"/>
      <c r="BD522" s="28"/>
      <c r="BE522" s="28"/>
      <c r="BF522" s="28"/>
      <c r="BG522" s="140"/>
      <c r="BH522" s="28"/>
      <c r="BI522" s="28"/>
      <c r="BJ522" s="28"/>
    </row>
    <row r="523" spans="2:62" x14ac:dyDescent="0.3">
      <c r="Y523" s="43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M523" s="28"/>
      <c r="AN523" s="28"/>
      <c r="AO523" s="28"/>
      <c r="AP523" s="43"/>
      <c r="AQ523" s="43"/>
      <c r="AR523" s="43"/>
      <c r="AS523" s="28"/>
      <c r="AT523" s="28"/>
      <c r="AU523" s="28"/>
      <c r="AV523" s="43"/>
      <c r="AW523" s="28"/>
      <c r="AX523" s="28"/>
      <c r="AY523" s="28"/>
      <c r="AZ523" s="28"/>
      <c r="BA523" s="380"/>
      <c r="BB523" s="28"/>
      <c r="BC523" s="28"/>
      <c r="BD523" s="28"/>
      <c r="BE523" s="28"/>
      <c r="BF523" s="28"/>
      <c r="BG523" s="140"/>
      <c r="BH523" s="140"/>
      <c r="BI523" s="28"/>
      <c r="BJ523" s="28"/>
    </row>
    <row r="524" spans="2:62" x14ac:dyDescent="0.3">
      <c r="Y524" s="28"/>
      <c r="Z524" s="28"/>
      <c r="AA524" s="28"/>
      <c r="AB524" s="28"/>
      <c r="AC524" s="43"/>
      <c r="AD524" s="28"/>
      <c r="AE524" s="28"/>
      <c r="AF524" s="28"/>
      <c r="AG524" s="28"/>
      <c r="AH524" s="28"/>
      <c r="AI524" s="28"/>
      <c r="AJ524" s="28"/>
      <c r="AM524" s="28"/>
      <c r="AN524" s="28"/>
      <c r="AO524" s="28"/>
      <c r="AP524" s="43"/>
      <c r="AQ524" s="43"/>
      <c r="AR524" s="43"/>
      <c r="AS524" s="28"/>
      <c r="AT524" s="28"/>
      <c r="AU524" s="28"/>
      <c r="AV524" s="43"/>
      <c r="AW524" s="43"/>
      <c r="AX524" s="28"/>
      <c r="AY524" s="28"/>
      <c r="AZ524" s="28"/>
      <c r="BA524" s="380"/>
      <c r="BB524" s="28"/>
      <c r="BC524" s="28"/>
      <c r="BD524" s="28"/>
      <c r="BE524" s="28"/>
      <c r="BF524" s="28"/>
      <c r="BG524" s="28"/>
      <c r="BH524" s="28"/>
      <c r="BI524" s="28"/>
      <c r="BJ524" s="28"/>
    </row>
    <row r="525" spans="2:62" x14ac:dyDescent="0.3">
      <c r="Y525" s="43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M525" s="43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178"/>
      <c r="BB525" s="28"/>
      <c r="BC525" s="140"/>
      <c r="BD525" s="28"/>
      <c r="BE525" s="28"/>
      <c r="BF525" s="28"/>
      <c r="BG525" s="28"/>
      <c r="BH525" s="28"/>
      <c r="BI525" s="140"/>
      <c r="BJ525" s="28"/>
    </row>
    <row r="526" spans="2:62" x14ac:dyDescent="0.3">
      <c r="Y526" s="28"/>
      <c r="Z526" s="28"/>
      <c r="AA526" s="28"/>
      <c r="AB526" s="28"/>
      <c r="AC526" s="43"/>
      <c r="AD526" s="28"/>
      <c r="AE526" s="28"/>
      <c r="AF526" s="28"/>
      <c r="AG526" s="28"/>
      <c r="AH526" s="28"/>
      <c r="AI526" s="28"/>
      <c r="AJ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140"/>
      <c r="BD526" s="28"/>
      <c r="BE526" s="28"/>
      <c r="BF526" s="28"/>
      <c r="BG526" s="28"/>
      <c r="BH526" s="28"/>
      <c r="BI526" s="140"/>
      <c r="BJ526" s="28"/>
    </row>
    <row r="527" spans="2:62" x14ac:dyDescent="0.3">
      <c r="Y527" s="28"/>
      <c r="Z527" s="28"/>
      <c r="AA527" s="28"/>
      <c r="AB527" s="43"/>
      <c r="AC527" s="43"/>
      <c r="AD527" s="43"/>
      <c r="AE527" s="28"/>
      <c r="AF527" s="28"/>
      <c r="AG527" s="28"/>
      <c r="AH527" s="43"/>
      <c r="AI527" s="28"/>
      <c r="AJ527" s="28"/>
      <c r="AM527" s="28"/>
      <c r="AN527" s="28"/>
      <c r="AO527" s="43"/>
      <c r="AP527" s="43"/>
      <c r="AQ527" s="43"/>
      <c r="AR527" s="43"/>
      <c r="AS527" s="28"/>
      <c r="AT527" s="43"/>
      <c r="AU527" s="28"/>
      <c r="AV527" s="43"/>
      <c r="AW527" s="28"/>
      <c r="AX527" s="28"/>
      <c r="AY527" s="28"/>
      <c r="AZ527" s="28"/>
      <c r="BA527" s="28"/>
      <c r="BB527" s="28"/>
      <c r="BC527" s="28"/>
      <c r="BD527" s="28"/>
      <c r="BE527" s="28"/>
      <c r="BF527" s="28"/>
      <c r="BG527" s="257"/>
      <c r="BH527" s="28"/>
      <c r="BI527" s="28"/>
      <c r="BJ527" s="28"/>
    </row>
    <row r="528" spans="2:62" ht="21" x14ac:dyDescent="0.4">
      <c r="B528" s="261"/>
      <c r="C528" s="184"/>
      <c r="E528" s="329" t="s">
        <v>1873</v>
      </c>
      <c r="O528" s="261"/>
      <c r="P528" s="184"/>
      <c r="R528" s="329" t="s">
        <v>1873</v>
      </c>
      <c r="AA528" s="261"/>
      <c r="AB528" s="184"/>
      <c r="AD528" s="329" t="s">
        <v>1873</v>
      </c>
      <c r="AO528" s="261"/>
      <c r="AP528" s="184"/>
      <c r="AR528" s="329" t="s">
        <v>1873</v>
      </c>
      <c r="AY528" s="28" t="s">
        <v>6</v>
      </c>
      <c r="AZ528" s="28"/>
      <c r="BA528" s="261"/>
      <c r="BB528" s="184"/>
      <c r="BD528" s="329" t="s">
        <v>1873</v>
      </c>
      <c r="BH528" s="258"/>
      <c r="BI528" s="28"/>
      <c r="BJ528" s="28"/>
    </row>
    <row r="529" spans="1:62" x14ac:dyDescent="0.3">
      <c r="C529" t="s">
        <v>1443</v>
      </c>
      <c r="Q529" t="s">
        <v>1</v>
      </c>
      <c r="AC529" t="s">
        <v>1444</v>
      </c>
      <c r="AP529" s="408" t="s">
        <v>2072</v>
      </c>
      <c r="AQ529" s="408"/>
      <c r="AR529" s="408"/>
      <c r="AS529" s="408"/>
      <c r="BC529" t="s">
        <v>1445</v>
      </c>
      <c r="BF529" s="28"/>
      <c r="BG529" s="28"/>
      <c r="BH529" s="28"/>
      <c r="BI529" s="28"/>
      <c r="BJ529" s="28"/>
    </row>
    <row r="530" spans="1:62" x14ac:dyDescent="0.3">
      <c r="D530" t="s">
        <v>2</v>
      </c>
      <c r="Q530" s="408" t="s">
        <v>1286</v>
      </c>
      <c r="R530" s="408"/>
      <c r="S530" s="408"/>
      <c r="AC530" t="s">
        <v>9</v>
      </c>
      <c r="AQ530" s="408" t="s">
        <v>2</v>
      </c>
      <c r="AR530" s="408"/>
      <c r="BD530" t="s">
        <v>2</v>
      </c>
      <c r="BF530" s="28"/>
      <c r="BG530" s="28"/>
      <c r="BH530" s="28"/>
      <c r="BI530" s="28"/>
      <c r="BJ530" s="28"/>
    </row>
    <row r="531" spans="1:62" x14ac:dyDescent="0.3">
      <c r="C531" t="s">
        <v>7</v>
      </c>
      <c r="P531" t="s">
        <v>1446</v>
      </c>
      <c r="AC531" t="s">
        <v>11</v>
      </c>
      <c r="AO531" s="408" t="s">
        <v>2073</v>
      </c>
      <c r="AP531" s="408"/>
      <c r="AQ531" s="408"/>
      <c r="AR531" s="408"/>
      <c r="AS531" s="408"/>
      <c r="AT531" s="408"/>
      <c r="BB531" t="s">
        <v>1451</v>
      </c>
      <c r="BF531" s="28"/>
      <c r="BG531" s="28"/>
      <c r="BH531" s="28"/>
      <c r="BI531" s="28"/>
      <c r="BJ531" s="28"/>
    </row>
    <row r="532" spans="1:62" x14ac:dyDescent="0.3">
      <c r="B532" s="408" t="s">
        <v>2095</v>
      </c>
      <c r="C532" s="408"/>
      <c r="D532" s="408"/>
      <c r="E532" s="408"/>
      <c r="F532" s="408"/>
      <c r="P532" s="408" t="s">
        <v>2096</v>
      </c>
      <c r="Q532" s="408"/>
      <c r="R532" s="408"/>
      <c r="S532" s="408"/>
      <c r="AC532" s="408" t="s">
        <v>2097</v>
      </c>
      <c r="AD532" s="408"/>
      <c r="AE532" s="408"/>
      <c r="AF532" s="408"/>
      <c r="AP532" s="408" t="s">
        <v>2098</v>
      </c>
      <c r="AQ532" s="408"/>
      <c r="AR532" s="408"/>
      <c r="AS532" s="408"/>
      <c r="AT532" s="408"/>
      <c r="BC532" s="408" t="s">
        <v>2098</v>
      </c>
      <c r="BD532" s="408"/>
      <c r="BE532" s="408"/>
      <c r="BF532" s="408"/>
      <c r="BJ532" s="28"/>
    </row>
    <row r="533" spans="1:62" ht="15" thickBot="1" x14ac:dyDescent="0.35">
      <c r="A533" s="344"/>
      <c r="B533" s="410" t="s">
        <v>2076</v>
      </c>
      <c r="C533" s="410"/>
      <c r="D533" s="410"/>
      <c r="E533" s="410"/>
      <c r="F533" s="410"/>
      <c r="G533" s="410"/>
      <c r="H533" s="344"/>
      <c r="I533" s="368" t="s">
        <v>949</v>
      </c>
      <c r="J533" s="344"/>
      <c r="N533" s="344"/>
      <c r="O533" s="410" t="s">
        <v>2076</v>
      </c>
      <c r="P533" s="410"/>
      <c r="Q533" s="410"/>
      <c r="R533" s="410"/>
      <c r="S533" s="410"/>
      <c r="T533" s="410"/>
      <c r="U533" s="410"/>
      <c r="V533" t="s">
        <v>15</v>
      </c>
      <c r="AA533" s="410" t="s">
        <v>2076</v>
      </c>
      <c r="AB533" s="410"/>
      <c r="AC533" s="410"/>
      <c r="AD533" s="410"/>
      <c r="AE533" s="410"/>
      <c r="AF533" s="410"/>
      <c r="AG533" s="410"/>
      <c r="AH533" s="410"/>
      <c r="AI533" s="28" t="s">
        <v>25</v>
      </c>
      <c r="AM533" s="328"/>
      <c r="AN533" s="328"/>
      <c r="AO533" s="328"/>
      <c r="AP533" s="328" t="s">
        <v>2076</v>
      </c>
      <c r="AQ533" s="328"/>
      <c r="AR533" s="328"/>
      <c r="AS533" s="328"/>
      <c r="AT533" s="328"/>
      <c r="AU533" s="328"/>
      <c r="AV533" s="194" t="s">
        <v>951</v>
      </c>
      <c r="AY533" s="344"/>
      <c r="AZ533" s="328"/>
      <c r="BA533" s="328"/>
      <c r="BB533" s="328"/>
      <c r="BC533" s="328" t="s">
        <v>2076</v>
      </c>
      <c r="BD533" s="328"/>
      <c r="BE533" s="328"/>
      <c r="BF533" s="328"/>
      <c r="BG533" s="328"/>
      <c r="BH533" s="328"/>
      <c r="BI533" s="369" t="s">
        <v>950</v>
      </c>
      <c r="BJ533" s="28"/>
    </row>
    <row r="534" spans="1:62" ht="15" thickBot="1" x14ac:dyDescent="0.35">
      <c r="A534" s="32" t="s">
        <v>17</v>
      </c>
      <c r="B534" s="34" t="s">
        <v>18</v>
      </c>
      <c r="C534" s="201"/>
      <c r="D534" s="34" t="s">
        <v>19</v>
      </c>
      <c r="E534" s="34"/>
      <c r="F534" s="34"/>
      <c r="G534" s="200"/>
      <c r="H534" s="33" t="s">
        <v>21</v>
      </c>
      <c r="I534" s="34"/>
      <c r="J534" s="35"/>
      <c r="M534" s="32" t="s">
        <v>17</v>
      </c>
      <c r="N534" s="33" t="s">
        <v>22</v>
      </c>
      <c r="O534" s="34"/>
      <c r="P534" s="34" t="s">
        <v>1452</v>
      </c>
      <c r="Q534" s="34" t="s">
        <v>1453</v>
      </c>
      <c r="R534" s="34"/>
      <c r="S534" s="34"/>
      <c r="T534" s="35"/>
      <c r="U534" s="33" t="s">
        <v>21</v>
      </c>
      <c r="V534" s="35"/>
      <c r="Y534" s="33" t="s">
        <v>34</v>
      </c>
      <c r="Z534" s="200" t="s">
        <v>35</v>
      </c>
      <c r="AA534" s="201"/>
      <c r="AB534" s="34" t="s">
        <v>1454</v>
      </c>
      <c r="AC534" s="34" t="s">
        <v>51</v>
      </c>
      <c r="AD534" s="34"/>
      <c r="AE534" s="200" t="s">
        <v>37</v>
      </c>
      <c r="AF534" s="201" t="s">
        <v>1288</v>
      </c>
      <c r="AG534" s="34" t="s">
        <v>30</v>
      </c>
      <c r="AH534" s="200" t="s">
        <v>38</v>
      </c>
      <c r="AI534" s="34"/>
      <c r="AJ534" s="35"/>
      <c r="AM534" s="134" t="s">
        <v>17</v>
      </c>
      <c r="AN534" s="134" t="s">
        <v>39</v>
      </c>
      <c r="AO534" s="136"/>
      <c r="AP534" s="134" t="s">
        <v>29</v>
      </c>
      <c r="AQ534" s="136" t="s">
        <v>30</v>
      </c>
      <c r="AR534" s="135" t="s">
        <v>40</v>
      </c>
      <c r="AS534" s="135"/>
      <c r="AT534" s="135"/>
      <c r="AU534" s="135"/>
      <c r="AV534" s="136"/>
      <c r="AY534" s="195" t="s">
        <v>17</v>
      </c>
      <c r="AZ534" s="134" t="s">
        <v>27</v>
      </c>
      <c r="BA534" s="135"/>
      <c r="BB534" s="134" t="s">
        <v>28</v>
      </c>
      <c r="BC534" s="135"/>
      <c r="BD534" s="136"/>
      <c r="BE534" s="134" t="s">
        <v>1459</v>
      </c>
      <c r="BF534" s="136"/>
      <c r="BG534" s="135" t="s">
        <v>31</v>
      </c>
      <c r="BH534" s="135"/>
      <c r="BI534" s="136"/>
      <c r="BJ534" s="28"/>
    </row>
    <row r="535" spans="1:62" ht="15" thickBot="1" x14ac:dyDescent="0.35">
      <c r="A535" s="41" t="s">
        <v>32</v>
      </c>
      <c r="B535" s="28"/>
      <c r="C535" s="141"/>
      <c r="D535" s="28"/>
      <c r="E535" s="28"/>
      <c r="F535" s="28"/>
      <c r="G535" s="138"/>
      <c r="H535" s="42" t="s">
        <v>33</v>
      </c>
      <c r="I535" s="28"/>
      <c r="J535" s="40"/>
      <c r="M535" s="41"/>
      <c r="N535" s="42" t="s">
        <v>1456</v>
      </c>
      <c r="O535" s="28"/>
      <c r="P535" s="28"/>
      <c r="Q535" s="28"/>
      <c r="R535" s="28"/>
      <c r="S535" s="28" t="s">
        <v>1457</v>
      </c>
      <c r="T535" s="40"/>
      <c r="U535" s="42" t="s">
        <v>33</v>
      </c>
      <c r="V535" s="40"/>
      <c r="Y535" s="47" t="s">
        <v>50</v>
      </c>
      <c r="Z535" s="202" t="s">
        <v>43</v>
      </c>
      <c r="AA535" s="48" t="s">
        <v>44</v>
      </c>
      <c r="AB535" s="276" t="s">
        <v>1458</v>
      </c>
      <c r="AC535" s="48" t="s">
        <v>46</v>
      </c>
      <c r="AD535" s="48" t="s">
        <v>52</v>
      </c>
      <c r="AE535" s="202" t="s">
        <v>43</v>
      </c>
      <c r="AF535" s="203" t="s">
        <v>44</v>
      </c>
      <c r="AG535" s="48" t="s">
        <v>43</v>
      </c>
      <c r="AH535" s="202" t="s">
        <v>53</v>
      </c>
      <c r="AI535" s="48"/>
      <c r="AJ535" s="49"/>
      <c r="AM535" s="138" t="s">
        <v>42</v>
      </c>
      <c r="AN535" s="138" t="s">
        <v>43</v>
      </c>
      <c r="AO535" s="141" t="s">
        <v>44</v>
      </c>
      <c r="AP535" s="138" t="s">
        <v>43</v>
      </c>
      <c r="AQ535" s="141" t="s">
        <v>44</v>
      </c>
      <c r="AR535" s="28"/>
      <c r="AS535" s="28"/>
      <c r="AT535" s="28"/>
      <c r="AU535" s="28"/>
      <c r="AV535" s="141"/>
      <c r="AY535" s="196"/>
      <c r="AZ535" s="138"/>
      <c r="BA535" s="28"/>
      <c r="BB535" s="138"/>
      <c r="BC535" s="28"/>
      <c r="BD535" s="141"/>
      <c r="BE535" s="138"/>
      <c r="BF535" s="141"/>
      <c r="BG535" s="28" t="s">
        <v>41</v>
      </c>
      <c r="BH535" s="28"/>
      <c r="BI535" s="141"/>
      <c r="BJ535" s="28"/>
    </row>
    <row r="536" spans="1:62" ht="15" thickBot="1" x14ac:dyDescent="0.35">
      <c r="A536" s="46" t="s">
        <v>42</v>
      </c>
      <c r="B536" s="171" t="s">
        <v>43</v>
      </c>
      <c r="C536" s="172" t="s">
        <v>44</v>
      </c>
      <c r="D536" s="170" t="s">
        <v>45</v>
      </c>
      <c r="E536" s="170" t="s">
        <v>46</v>
      </c>
      <c r="F536" s="170" t="s">
        <v>47</v>
      </c>
      <c r="G536" s="254" t="s">
        <v>1460</v>
      </c>
      <c r="H536" s="47" t="s">
        <v>49</v>
      </c>
      <c r="I536" s="48"/>
      <c r="J536" s="49"/>
      <c r="M536" s="46" t="s">
        <v>50</v>
      </c>
      <c r="N536" s="47" t="s">
        <v>43</v>
      </c>
      <c r="O536" s="48" t="s">
        <v>44</v>
      </c>
      <c r="P536" s="171" t="s">
        <v>51</v>
      </c>
      <c r="Q536" s="170" t="s">
        <v>43</v>
      </c>
      <c r="R536" s="172" t="s">
        <v>44</v>
      </c>
      <c r="S536" s="48" t="s">
        <v>43</v>
      </c>
      <c r="T536" s="49" t="s">
        <v>44</v>
      </c>
      <c r="U536" s="47" t="s">
        <v>49</v>
      </c>
      <c r="V536" s="49"/>
      <c r="Y536" s="33"/>
      <c r="Z536" s="33"/>
      <c r="AA536" s="35"/>
      <c r="AB536" s="34"/>
      <c r="AC536" s="34"/>
      <c r="AD536" s="34"/>
      <c r="AE536" s="33"/>
      <c r="AF536" s="35"/>
      <c r="AG536" s="32"/>
      <c r="AH536" s="33" t="s">
        <v>62</v>
      </c>
      <c r="AI536" s="34"/>
      <c r="AJ536" s="35"/>
      <c r="AM536" s="134"/>
      <c r="AN536" s="134"/>
      <c r="AO536" s="136"/>
      <c r="AP536" s="134"/>
      <c r="AQ536" s="136"/>
      <c r="AR536" s="135"/>
      <c r="AS536" s="135" t="s">
        <v>91</v>
      </c>
      <c r="AT536" s="135"/>
      <c r="AU536" s="135"/>
      <c r="AV536" s="136"/>
      <c r="AY536" s="199" t="s">
        <v>42</v>
      </c>
      <c r="AZ536" s="142" t="s">
        <v>43</v>
      </c>
      <c r="BA536" s="143" t="s">
        <v>44</v>
      </c>
      <c r="BB536" s="142" t="s">
        <v>45</v>
      </c>
      <c r="BC536" s="143" t="s">
        <v>46</v>
      </c>
      <c r="BD536" s="146" t="s">
        <v>52</v>
      </c>
      <c r="BE536" s="142" t="s">
        <v>43</v>
      </c>
      <c r="BF536" s="146"/>
      <c r="BG536" s="143" t="s">
        <v>54</v>
      </c>
      <c r="BH536" s="143"/>
      <c r="BI536" s="146"/>
      <c r="BJ536" s="28"/>
    </row>
    <row r="537" spans="1:62" x14ac:dyDescent="0.3">
      <c r="A537" s="42"/>
      <c r="B537" s="138"/>
      <c r="C537" s="141"/>
      <c r="D537" s="138"/>
      <c r="E537" s="28"/>
      <c r="F537" s="28"/>
      <c r="G537" s="138"/>
      <c r="H537" s="33" t="s">
        <v>396</v>
      </c>
      <c r="I537" s="34"/>
      <c r="J537" s="35"/>
      <c r="M537" s="42"/>
      <c r="N537" s="138"/>
      <c r="O537" s="196"/>
      <c r="P537" s="138"/>
      <c r="Q537" s="196"/>
      <c r="R537" s="141"/>
      <c r="S537" s="138"/>
      <c r="T537" s="138"/>
      <c r="U537" s="33" t="s">
        <v>396</v>
      </c>
      <c r="V537" s="35"/>
      <c r="Y537" s="42"/>
      <c r="Z537" s="42"/>
      <c r="AA537" s="40"/>
      <c r="AB537" s="28"/>
      <c r="AC537" s="28"/>
      <c r="AD537" s="28"/>
      <c r="AE537" s="42"/>
      <c r="AF537" s="40"/>
      <c r="AG537" s="41"/>
      <c r="AH537" s="42">
        <v>4</v>
      </c>
      <c r="AI537" s="28" t="s">
        <v>1290</v>
      </c>
      <c r="AJ537" s="40"/>
      <c r="AM537" s="138" t="s">
        <v>78</v>
      </c>
      <c r="AN537" s="138">
        <v>0</v>
      </c>
      <c r="AO537" s="141">
        <v>2</v>
      </c>
      <c r="AP537" s="138"/>
      <c r="AQ537" s="141"/>
      <c r="AR537" s="28"/>
      <c r="AS537" s="43">
        <v>104</v>
      </c>
      <c r="AT537" s="28" t="s">
        <v>1026</v>
      </c>
      <c r="AU537" s="43"/>
      <c r="AV537" s="141"/>
      <c r="AY537" s="195"/>
      <c r="AZ537" s="134"/>
      <c r="BA537" s="136"/>
      <c r="BB537" s="134"/>
      <c r="BC537" s="135"/>
      <c r="BD537" s="136"/>
      <c r="BE537" s="134"/>
      <c r="BF537" s="136"/>
      <c r="BG537" s="134" t="s">
        <v>58</v>
      </c>
      <c r="BH537" s="135"/>
      <c r="BI537" s="136"/>
    </row>
    <row r="538" spans="1:62" x14ac:dyDescent="0.3">
      <c r="A538" s="42" t="s">
        <v>59</v>
      </c>
      <c r="B538" s="212">
        <v>2141</v>
      </c>
      <c r="C538" s="141">
        <v>2438</v>
      </c>
      <c r="D538" s="138">
        <v>0</v>
      </c>
      <c r="E538" s="38">
        <v>0</v>
      </c>
      <c r="F538" s="43">
        <v>0</v>
      </c>
      <c r="G538" s="138">
        <v>1</v>
      </c>
      <c r="H538" s="42">
        <v>9</v>
      </c>
      <c r="I538" s="28" t="s">
        <v>61</v>
      </c>
      <c r="J538" s="40"/>
      <c r="M538" s="42" t="s">
        <v>59</v>
      </c>
      <c r="N538" s="138">
        <v>26483</v>
      </c>
      <c r="O538" s="196">
        <v>46722</v>
      </c>
      <c r="P538" s="138">
        <v>0</v>
      </c>
      <c r="Q538" s="196">
        <v>0</v>
      </c>
      <c r="R538" s="141">
        <v>0</v>
      </c>
      <c r="S538" s="138">
        <v>0</v>
      </c>
      <c r="T538" s="138">
        <v>0</v>
      </c>
      <c r="U538" s="42"/>
      <c r="V538" s="40"/>
      <c r="Y538" s="42" t="s">
        <v>59</v>
      </c>
      <c r="Z538" s="42">
        <v>2469</v>
      </c>
      <c r="AA538" s="40">
        <v>2676</v>
      </c>
      <c r="AB538" s="28">
        <v>0</v>
      </c>
      <c r="AC538" s="43">
        <v>0</v>
      </c>
      <c r="AD538" s="43">
        <v>0</v>
      </c>
      <c r="AE538" s="42">
        <v>0</v>
      </c>
      <c r="AF538" s="40">
        <v>0</v>
      </c>
      <c r="AG538" s="41">
        <v>0</v>
      </c>
      <c r="AH538" s="42">
        <v>5</v>
      </c>
      <c r="AI538" s="28" t="s">
        <v>66</v>
      </c>
      <c r="AJ538" s="40"/>
      <c r="AM538" s="138" t="s">
        <v>56</v>
      </c>
      <c r="AN538" s="138">
        <v>1639</v>
      </c>
      <c r="AO538" s="141">
        <v>1617</v>
      </c>
      <c r="AP538" s="138"/>
      <c r="AQ538" s="141"/>
      <c r="AR538" s="28"/>
      <c r="AS538" s="43"/>
      <c r="AT538" s="28"/>
      <c r="AU538" s="43"/>
      <c r="AV538" s="141"/>
      <c r="AY538" s="196" t="s">
        <v>85</v>
      </c>
      <c r="AZ538" s="138">
        <v>12</v>
      </c>
      <c r="BA538" s="141">
        <v>0</v>
      </c>
      <c r="BB538" s="138">
        <v>0</v>
      </c>
      <c r="BC538" s="43">
        <v>0</v>
      </c>
      <c r="BD538" s="209">
        <v>0</v>
      </c>
      <c r="BE538" s="138">
        <v>0</v>
      </c>
      <c r="BF538" s="141">
        <v>0</v>
      </c>
      <c r="BG538" s="212">
        <v>13</v>
      </c>
      <c r="BH538" s="28" t="s">
        <v>65</v>
      </c>
      <c r="BI538" s="141"/>
    </row>
    <row r="539" spans="1:62" ht="15" thickBot="1" x14ac:dyDescent="0.35">
      <c r="A539" s="42" t="s">
        <v>6</v>
      </c>
      <c r="B539" s="142"/>
      <c r="C539" s="146"/>
      <c r="D539" s="138"/>
      <c r="E539" s="28"/>
      <c r="F539" s="28"/>
      <c r="G539" s="138"/>
      <c r="H539" s="42"/>
      <c r="I539" s="28"/>
      <c r="J539" s="40">
        <v>9</v>
      </c>
      <c r="M539" s="244"/>
      <c r="N539" s="142"/>
      <c r="O539" s="199"/>
      <c r="P539" s="142"/>
      <c r="Q539" s="199"/>
      <c r="R539" s="146"/>
      <c r="S539" s="142"/>
      <c r="T539" s="142"/>
      <c r="U539" s="244"/>
      <c r="V539" s="245"/>
      <c r="Y539" s="42"/>
      <c r="Z539" s="42"/>
      <c r="AA539" s="40"/>
      <c r="AB539" s="28"/>
      <c r="AC539" s="28"/>
      <c r="AD539" s="28"/>
      <c r="AE539" s="42"/>
      <c r="AF539" s="40"/>
      <c r="AG539" s="41"/>
      <c r="AH539" s="47"/>
      <c r="AI539" s="48"/>
      <c r="AJ539" s="49">
        <v>9</v>
      </c>
      <c r="AM539" s="142" t="s">
        <v>84</v>
      </c>
      <c r="AN539" s="142">
        <v>1639</v>
      </c>
      <c r="AO539" s="146">
        <v>1619</v>
      </c>
      <c r="AP539" s="142"/>
      <c r="AQ539" s="146"/>
      <c r="AR539" s="143"/>
      <c r="AS539" s="143"/>
      <c r="AT539" s="143"/>
      <c r="AU539" s="143"/>
      <c r="AV539" s="146">
        <v>104</v>
      </c>
      <c r="AY539" s="196" t="s">
        <v>64</v>
      </c>
      <c r="AZ539" s="138">
        <v>180</v>
      </c>
      <c r="BA539" s="141">
        <v>200</v>
      </c>
      <c r="BB539" s="138">
        <v>0</v>
      </c>
      <c r="BC539" s="43">
        <v>0</v>
      </c>
      <c r="BD539" s="209">
        <v>0</v>
      </c>
      <c r="BE539" s="138">
        <v>0</v>
      </c>
      <c r="BF539" s="141">
        <v>0</v>
      </c>
      <c r="BG539" s="138">
        <v>1</v>
      </c>
      <c r="BH539" s="28" t="s">
        <v>69</v>
      </c>
      <c r="BI539" s="141"/>
    </row>
    <row r="540" spans="1:62" x14ac:dyDescent="0.3">
      <c r="A540" s="278"/>
      <c r="B540" s="134"/>
      <c r="C540" s="135"/>
      <c r="D540" s="134"/>
      <c r="E540" s="135"/>
      <c r="F540" s="135"/>
      <c r="G540" s="134"/>
      <c r="H540" s="278" t="s">
        <v>2077</v>
      </c>
      <c r="I540" s="135"/>
      <c r="J540" s="279"/>
      <c r="M540" s="278"/>
      <c r="N540" s="134"/>
      <c r="O540" s="195"/>
      <c r="P540" s="134"/>
      <c r="Q540" s="195"/>
      <c r="R540" s="136"/>
      <c r="S540" s="134"/>
      <c r="T540" s="134"/>
      <c r="U540" s="278"/>
      <c r="V540" s="279"/>
      <c r="Y540" s="32"/>
      <c r="Z540" s="33"/>
      <c r="AA540" s="35"/>
      <c r="AB540" s="33"/>
      <c r="AC540" s="34"/>
      <c r="AD540" s="35"/>
      <c r="AE540" s="33"/>
      <c r="AF540" s="35"/>
      <c r="AG540" s="32"/>
      <c r="AH540" s="33" t="s">
        <v>1461</v>
      </c>
      <c r="AI540" s="34"/>
      <c r="AJ540" s="35"/>
      <c r="AM540" s="134"/>
      <c r="AN540" s="134"/>
      <c r="AO540" s="136"/>
      <c r="AP540" s="134"/>
      <c r="AQ540" s="136"/>
      <c r="AR540" s="135"/>
      <c r="AS540" s="135"/>
      <c r="AT540" s="135"/>
      <c r="AU540" s="135"/>
      <c r="AV540" s="136"/>
      <c r="AY540" s="211" t="s">
        <v>84</v>
      </c>
      <c r="AZ540" s="142">
        <v>192</v>
      </c>
      <c r="BA540" s="146">
        <v>200</v>
      </c>
      <c r="BB540" s="142">
        <v>0</v>
      </c>
      <c r="BC540" s="143">
        <v>0</v>
      </c>
      <c r="BD540" s="146">
        <v>0</v>
      </c>
      <c r="BE540" s="142">
        <v>0</v>
      </c>
      <c r="BF540" s="146">
        <v>0</v>
      </c>
      <c r="BG540" s="142"/>
      <c r="BH540" s="143"/>
      <c r="BI540" s="146">
        <v>14</v>
      </c>
      <c r="BJ540" s="28"/>
    </row>
    <row r="541" spans="1:62" x14ac:dyDescent="0.3">
      <c r="A541" s="42" t="s">
        <v>74</v>
      </c>
      <c r="B541" s="138">
        <v>2085</v>
      </c>
      <c r="C541" s="28">
        <v>1992</v>
      </c>
      <c r="D541" s="138">
        <v>0</v>
      </c>
      <c r="E541" s="38">
        <v>0</v>
      </c>
      <c r="F541" s="43">
        <v>0</v>
      </c>
      <c r="G541" s="138">
        <v>1</v>
      </c>
      <c r="H541" s="42">
        <v>11</v>
      </c>
      <c r="I541" s="28" t="s">
        <v>436</v>
      </c>
      <c r="J541" s="40"/>
      <c r="M541" s="42"/>
      <c r="N541" s="138"/>
      <c r="O541" s="196"/>
      <c r="P541" s="138"/>
      <c r="Q541" s="196"/>
      <c r="R541" s="141"/>
      <c r="S541" s="138"/>
      <c r="T541" s="138"/>
      <c r="U541" s="42" t="s">
        <v>80</v>
      </c>
      <c r="V541" s="40"/>
      <c r="Y541" s="41" t="s">
        <v>108</v>
      </c>
      <c r="Z541" s="67">
        <v>0</v>
      </c>
      <c r="AA541" s="40">
        <v>0</v>
      </c>
      <c r="AB541" s="67"/>
      <c r="AC541" s="43"/>
      <c r="AD541" s="40"/>
      <c r="AE541" s="42"/>
      <c r="AF541" s="40"/>
      <c r="AG541" s="41"/>
      <c r="AH541" s="67">
        <v>1</v>
      </c>
      <c r="AI541" s="43" t="s">
        <v>1296</v>
      </c>
      <c r="AJ541" s="40" t="s">
        <v>2099</v>
      </c>
      <c r="AM541" s="138" t="s">
        <v>56</v>
      </c>
      <c r="AN541" s="138">
        <v>12</v>
      </c>
      <c r="AO541" s="141">
        <v>11</v>
      </c>
      <c r="AP541" s="138"/>
      <c r="AQ541" s="141"/>
      <c r="AR541" s="28"/>
      <c r="AS541" s="28" t="s">
        <v>110</v>
      </c>
      <c r="AT541" s="28" t="s">
        <v>111</v>
      </c>
      <c r="AU541" s="28" t="s">
        <v>112</v>
      </c>
      <c r="AV541" s="141"/>
      <c r="AY541" s="195"/>
      <c r="AZ541" s="135"/>
      <c r="BA541" s="136"/>
      <c r="BB541" s="240"/>
      <c r="BC541" s="241"/>
      <c r="BD541" s="242"/>
      <c r="BE541" s="134"/>
      <c r="BF541" s="136"/>
      <c r="BG541" s="135"/>
      <c r="BH541" s="135" t="s">
        <v>92</v>
      </c>
      <c r="BI541" s="136"/>
    </row>
    <row r="542" spans="1:62" x14ac:dyDescent="0.3">
      <c r="A542" s="42"/>
      <c r="B542" s="138"/>
      <c r="C542" s="28"/>
      <c r="D542" s="138"/>
      <c r="E542" s="28"/>
      <c r="F542" s="28"/>
      <c r="G542" s="138"/>
      <c r="H542" s="67">
        <v>7</v>
      </c>
      <c r="I542" s="43" t="s">
        <v>127</v>
      </c>
      <c r="J542" s="40"/>
      <c r="M542" s="42" t="s">
        <v>74</v>
      </c>
      <c r="N542" s="138">
        <v>8608</v>
      </c>
      <c r="O542" s="196">
        <v>2282</v>
      </c>
      <c r="P542" s="138">
        <v>0</v>
      </c>
      <c r="Q542" s="196">
        <v>0</v>
      </c>
      <c r="R542" s="141">
        <v>0</v>
      </c>
      <c r="S542" s="138">
        <v>28</v>
      </c>
      <c r="T542" s="138">
        <v>0</v>
      </c>
      <c r="U542" s="42"/>
      <c r="V542" s="40"/>
      <c r="Y542" s="41" t="s">
        <v>99</v>
      </c>
      <c r="Z542" s="42">
        <v>39</v>
      </c>
      <c r="AA542" s="40">
        <v>0</v>
      </c>
      <c r="AB542" s="42">
        <v>0</v>
      </c>
      <c r="AC542" s="28">
        <v>0</v>
      </c>
      <c r="AD542" s="56">
        <v>0</v>
      </c>
      <c r="AE542" s="67">
        <v>0</v>
      </c>
      <c r="AF542" s="56">
        <v>0</v>
      </c>
      <c r="AG542" s="68">
        <v>0</v>
      </c>
      <c r="AH542" s="67"/>
      <c r="AI542" s="43" t="s">
        <v>141</v>
      </c>
      <c r="AJ542" s="40"/>
      <c r="AM542" s="138" t="s">
        <v>72</v>
      </c>
      <c r="AN542" s="138">
        <v>3</v>
      </c>
      <c r="AO542" s="141">
        <v>4</v>
      </c>
      <c r="AP542" s="138"/>
      <c r="AQ542" s="141"/>
      <c r="AR542" s="43"/>
      <c r="AS542" s="28"/>
      <c r="AT542" s="28"/>
      <c r="AU542" s="28"/>
      <c r="AV542" s="141"/>
      <c r="AY542" s="196"/>
      <c r="AZ542" s="28"/>
      <c r="BA542" s="141"/>
      <c r="BB542" s="138"/>
      <c r="BC542" s="43"/>
      <c r="BD542" s="141"/>
      <c r="BE542" s="138"/>
      <c r="BF542" s="141"/>
      <c r="BG542" s="43">
        <v>4</v>
      </c>
      <c r="BH542" s="43" t="s">
        <v>1297</v>
      </c>
      <c r="BI542" s="141"/>
    </row>
    <row r="543" spans="1:62" x14ac:dyDescent="0.3">
      <c r="A543" s="244"/>
      <c r="B543" s="142"/>
      <c r="C543" s="143"/>
      <c r="D543" s="142"/>
      <c r="E543" s="143"/>
      <c r="F543" s="143"/>
      <c r="G543" s="142"/>
      <c r="H543" s="244"/>
      <c r="I543" s="143"/>
      <c r="J543" s="245">
        <v>18</v>
      </c>
      <c r="M543" s="244"/>
      <c r="N543" s="142"/>
      <c r="O543" s="199"/>
      <c r="P543" s="142"/>
      <c r="Q543" s="199"/>
      <c r="R543" s="146"/>
      <c r="S543" s="142"/>
      <c r="T543" s="142"/>
      <c r="U543" s="244"/>
      <c r="V543" s="245"/>
      <c r="Y543" s="68" t="s">
        <v>107</v>
      </c>
      <c r="Z543" s="42">
        <v>107</v>
      </c>
      <c r="AA543" s="40">
        <v>0</v>
      </c>
      <c r="AB543" s="42">
        <v>0</v>
      </c>
      <c r="AC543" s="28">
        <v>0</v>
      </c>
      <c r="AD543" s="40">
        <v>0</v>
      </c>
      <c r="AE543" s="42">
        <v>0</v>
      </c>
      <c r="AF543" s="40">
        <v>0</v>
      </c>
      <c r="AG543" s="41">
        <v>0</v>
      </c>
      <c r="AH543" s="42"/>
      <c r="AI543" s="28"/>
      <c r="AJ543" s="40"/>
      <c r="AM543" s="138" t="s">
        <v>78</v>
      </c>
      <c r="AN543" s="138">
        <v>120</v>
      </c>
      <c r="AO543" s="141">
        <v>28</v>
      </c>
      <c r="AP543" s="138"/>
      <c r="AQ543" s="141"/>
      <c r="AR543" s="28"/>
      <c r="AS543" s="43"/>
      <c r="AT543" s="28"/>
      <c r="AU543" s="28"/>
      <c r="AV543" s="141"/>
      <c r="AY543" s="196"/>
      <c r="AZ543" s="28"/>
      <c r="BA543" s="141"/>
      <c r="BB543" s="212"/>
      <c r="BC543" s="43"/>
      <c r="BD543" s="209"/>
      <c r="BE543" s="212"/>
      <c r="BF543" s="141"/>
      <c r="BG543" s="43">
        <v>22</v>
      </c>
      <c r="BH543" s="43" t="s">
        <v>2033</v>
      </c>
      <c r="BI543" s="141"/>
      <c r="BJ543" s="28"/>
    </row>
    <row r="544" spans="1:62" ht="15" thickBot="1" x14ac:dyDescent="0.35">
      <c r="A544" s="278"/>
      <c r="B544" s="134"/>
      <c r="C544" s="135"/>
      <c r="D544" s="134"/>
      <c r="E544" s="135"/>
      <c r="F544" s="135"/>
      <c r="G544" s="134"/>
      <c r="H544" s="278" t="s">
        <v>87</v>
      </c>
      <c r="I544" s="135"/>
      <c r="J544" s="279"/>
      <c r="M544" s="278"/>
      <c r="N544" s="134"/>
      <c r="O544" s="195"/>
      <c r="P544" s="134"/>
      <c r="Q544" s="195"/>
      <c r="R544" s="136"/>
      <c r="S544" s="134"/>
      <c r="T544" s="134"/>
      <c r="U544" s="278" t="s">
        <v>6</v>
      </c>
      <c r="V544" s="279"/>
      <c r="Y544" s="62" t="s">
        <v>84</v>
      </c>
      <c r="Z544" s="47">
        <v>146</v>
      </c>
      <c r="AA544" s="49">
        <v>0</v>
      </c>
      <c r="AB544" s="47"/>
      <c r="AC544" s="48"/>
      <c r="AD544" s="49"/>
      <c r="AE544" s="47"/>
      <c r="AF544" s="49"/>
      <c r="AG544" s="46"/>
      <c r="AH544" s="47"/>
      <c r="AI544" s="51"/>
      <c r="AJ544" s="49">
        <v>1</v>
      </c>
      <c r="AM544" s="138" t="s">
        <v>67</v>
      </c>
      <c r="AN544" s="138">
        <v>96</v>
      </c>
      <c r="AO544" s="141">
        <v>61</v>
      </c>
      <c r="AP544" s="138"/>
      <c r="AQ544" s="141"/>
      <c r="AR544" s="28"/>
      <c r="AS544" s="28"/>
      <c r="AT544" s="28"/>
      <c r="AU544" s="28"/>
      <c r="AV544" s="141"/>
      <c r="AY544" s="196"/>
      <c r="AZ544" s="43"/>
      <c r="BA544" s="141"/>
      <c r="BB544" s="138"/>
      <c r="BC544" s="43"/>
      <c r="BD544" s="141"/>
      <c r="BE544" s="212"/>
      <c r="BF544" s="141"/>
      <c r="BG544" s="43"/>
      <c r="BH544" s="43"/>
      <c r="BI544" s="141"/>
    </row>
    <row r="545" spans="1:62" x14ac:dyDescent="0.3">
      <c r="A545" s="42" t="s">
        <v>93</v>
      </c>
      <c r="B545" s="138">
        <v>4293</v>
      </c>
      <c r="C545" s="28">
        <v>5472</v>
      </c>
      <c r="D545" s="138">
        <v>0</v>
      </c>
      <c r="E545" s="38">
        <v>0</v>
      </c>
      <c r="F545" s="43">
        <v>0</v>
      </c>
      <c r="G545" s="138">
        <v>1</v>
      </c>
      <c r="H545" s="67">
        <v>31</v>
      </c>
      <c r="I545" s="28" t="s">
        <v>101</v>
      </c>
      <c r="J545" s="40"/>
      <c r="M545" s="42"/>
      <c r="N545" s="138"/>
      <c r="O545" s="196"/>
      <c r="P545" s="138"/>
      <c r="Q545" s="196"/>
      <c r="R545" s="141"/>
      <c r="S545" s="138"/>
      <c r="T545" s="138"/>
      <c r="U545" s="42"/>
      <c r="V545" s="40"/>
      <c r="Y545" s="32"/>
      <c r="Z545" s="34"/>
      <c r="AA545" s="34"/>
      <c r="AB545" s="33"/>
      <c r="AC545" s="34"/>
      <c r="AD545" s="35"/>
      <c r="AE545" s="34"/>
      <c r="AF545" s="34"/>
      <c r="AG545" s="32"/>
      <c r="AH545" s="33" t="s">
        <v>1298</v>
      </c>
      <c r="AI545" s="34"/>
      <c r="AJ545" s="35"/>
      <c r="AM545" s="138" t="s">
        <v>132</v>
      </c>
      <c r="AN545" s="138">
        <v>3</v>
      </c>
      <c r="AO545" s="141">
        <v>2</v>
      </c>
      <c r="AP545" s="138"/>
      <c r="AQ545" s="141"/>
      <c r="AR545" s="28"/>
      <c r="AS545" s="43">
        <v>24</v>
      </c>
      <c r="AT545" s="28" t="s">
        <v>123</v>
      </c>
      <c r="AU545" s="28" t="s">
        <v>6</v>
      </c>
      <c r="AV545" s="141"/>
      <c r="AY545" s="196"/>
      <c r="AZ545" s="28"/>
      <c r="BA545" s="141"/>
      <c r="BB545" s="138"/>
      <c r="BC545" s="43"/>
      <c r="BD545" s="141"/>
      <c r="BE545" s="43"/>
      <c r="BF545" s="141"/>
      <c r="BG545" s="28"/>
      <c r="BH545" s="28"/>
      <c r="BI545" s="141"/>
      <c r="BJ545" s="28"/>
    </row>
    <row r="546" spans="1:62" x14ac:dyDescent="0.3">
      <c r="A546" s="42"/>
      <c r="B546" s="138"/>
      <c r="C546" s="28"/>
      <c r="D546" s="138"/>
      <c r="E546" s="28"/>
      <c r="F546" s="28"/>
      <c r="G546" s="138"/>
      <c r="H546" s="67"/>
      <c r="I546" s="28"/>
      <c r="J546" s="40">
        <v>31</v>
      </c>
      <c r="M546" s="42"/>
      <c r="N546" s="138"/>
      <c r="O546" s="196"/>
      <c r="P546" s="138"/>
      <c r="Q546" s="196"/>
      <c r="R546" s="141"/>
      <c r="S546" s="138"/>
      <c r="T546" s="138"/>
      <c r="U546" s="42"/>
      <c r="V546" s="40"/>
      <c r="Y546" s="41"/>
      <c r="AB546" s="42"/>
      <c r="AC546" s="28"/>
      <c r="AD546" s="40"/>
      <c r="AG546" s="41"/>
      <c r="AH546" s="42">
        <v>9</v>
      </c>
      <c r="AI546" s="43" t="s">
        <v>1463</v>
      </c>
      <c r="AJ546" s="40"/>
      <c r="AM546" s="138" t="s">
        <v>2100</v>
      </c>
      <c r="AN546" s="138">
        <v>52</v>
      </c>
      <c r="AO546" s="141">
        <v>31</v>
      </c>
      <c r="AP546" s="138"/>
      <c r="AQ546" s="141"/>
      <c r="AR546" s="28"/>
      <c r="AS546" s="43">
        <v>60</v>
      </c>
      <c r="AT546" s="28" t="s">
        <v>126</v>
      </c>
      <c r="AU546" s="28"/>
      <c r="AV546" s="141"/>
      <c r="AY546" s="196" t="s">
        <v>99</v>
      </c>
      <c r="AZ546" s="43">
        <v>0</v>
      </c>
      <c r="BA546" s="141">
        <v>0</v>
      </c>
      <c r="BB546" s="138">
        <v>0</v>
      </c>
      <c r="BC546" s="43">
        <v>0</v>
      </c>
      <c r="BD546" s="141">
        <v>0</v>
      </c>
      <c r="BE546" s="43">
        <v>77422</v>
      </c>
      <c r="BF546" s="141">
        <v>26000</v>
      </c>
      <c r="BG546" s="43"/>
      <c r="BH546" s="43"/>
      <c r="BI546" s="141"/>
      <c r="BJ546" s="28"/>
    </row>
    <row r="547" spans="1:62" ht="15" thickBot="1" x14ac:dyDescent="0.35">
      <c r="A547" s="278" t="s">
        <v>108</v>
      </c>
      <c r="B547" s="134">
        <v>0</v>
      </c>
      <c r="C547" s="136">
        <v>1029</v>
      </c>
      <c r="D547" s="135">
        <v>0</v>
      </c>
      <c r="E547" s="243">
        <v>0</v>
      </c>
      <c r="F547" s="135">
        <v>0</v>
      </c>
      <c r="G547" s="134">
        <v>1</v>
      </c>
      <c r="H547" s="278" t="s">
        <v>104</v>
      </c>
      <c r="I547" s="135"/>
      <c r="J547" s="279"/>
      <c r="M547" s="244"/>
      <c r="N547" s="142"/>
      <c r="O547" s="199"/>
      <c r="P547" s="142"/>
      <c r="Q547" s="199"/>
      <c r="R547" s="146"/>
      <c r="S547" s="142"/>
      <c r="T547" s="142"/>
      <c r="U547" s="244"/>
      <c r="V547" s="245"/>
      <c r="Y547" s="46" t="s">
        <v>1300</v>
      </c>
      <c r="Z547" s="48">
        <v>350</v>
      </c>
      <c r="AA547" s="48">
        <v>360</v>
      </c>
      <c r="AB547" s="47">
        <v>0</v>
      </c>
      <c r="AC547" s="48">
        <v>0</v>
      </c>
      <c r="AD547" s="49">
        <v>0</v>
      </c>
      <c r="AE547" s="48">
        <v>0</v>
      </c>
      <c r="AF547" s="48">
        <v>0</v>
      </c>
      <c r="AG547" s="46">
        <v>0</v>
      </c>
      <c r="AH547" s="47">
        <v>1</v>
      </c>
      <c r="AI547" s="48" t="s">
        <v>433</v>
      </c>
      <c r="AJ547" s="49">
        <v>10</v>
      </c>
      <c r="AM547" s="138" t="s">
        <v>81</v>
      </c>
      <c r="AN547" s="138">
        <v>5</v>
      </c>
      <c r="AO547" s="141">
        <v>11</v>
      </c>
      <c r="AP547" s="138"/>
      <c r="AQ547" s="141"/>
      <c r="AR547" s="28"/>
      <c r="AS547" s="43">
        <v>38</v>
      </c>
      <c r="AT547" s="28" t="s">
        <v>129</v>
      </c>
      <c r="AU547" s="28" t="s">
        <v>6</v>
      </c>
      <c r="AV547" s="141"/>
      <c r="AY547" s="239" t="s">
        <v>84</v>
      </c>
      <c r="AZ547" s="43">
        <v>0</v>
      </c>
      <c r="BA547" s="209">
        <v>0</v>
      </c>
      <c r="BB547" s="138">
        <v>0</v>
      </c>
      <c r="BC547" s="43">
        <v>0</v>
      </c>
      <c r="BD547" s="141">
        <v>0</v>
      </c>
      <c r="BE547" s="43">
        <v>77422</v>
      </c>
      <c r="BF547" s="209">
        <v>26000</v>
      </c>
      <c r="BG547" s="28"/>
      <c r="BH547" s="43"/>
      <c r="BI547" s="141">
        <v>26</v>
      </c>
      <c r="BJ547" s="28"/>
    </row>
    <row r="548" spans="1:62" x14ac:dyDescent="0.3">
      <c r="A548" s="42" t="s">
        <v>109</v>
      </c>
      <c r="B548" s="138">
        <v>3155</v>
      </c>
      <c r="C548" s="141">
        <v>2729</v>
      </c>
      <c r="D548" s="28">
        <v>0</v>
      </c>
      <c r="E548" s="343">
        <v>367</v>
      </c>
      <c r="F548" s="43">
        <v>0</v>
      </c>
      <c r="G548" s="138"/>
      <c r="H548" s="67">
        <v>13</v>
      </c>
      <c r="I548" s="28" t="s">
        <v>114</v>
      </c>
      <c r="J548" s="40"/>
      <c r="M548" s="278"/>
      <c r="N548" s="134"/>
      <c r="O548" s="195"/>
      <c r="P548" s="134"/>
      <c r="Q548" s="195"/>
      <c r="R548" s="136"/>
      <c r="S548" s="134"/>
      <c r="T548" s="134"/>
      <c r="U548" s="278" t="s">
        <v>104</v>
      </c>
      <c r="V548" s="279"/>
      <c r="Y548" s="42"/>
      <c r="Z548" s="33"/>
      <c r="AA548" s="35"/>
      <c r="AB548" s="33"/>
      <c r="AC548" s="34"/>
      <c r="AD548" s="35"/>
      <c r="AE548" s="33"/>
      <c r="AF548" s="35"/>
      <c r="AG548" s="43"/>
      <c r="AH548" s="33" t="s">
        <v>90</v>
      </c>
      <c r="AI548" s="34"/>
      <c r="AJ548" s="35"/>
      <c r="AM548" s="138" t="s">
        <v>1599</v>
      </c>
      <c r="AN548" s="138">
        <v>5</v>
      </c>
      <c r="AO548" s="141">
        <v>0</v>
      </c>
      <c r="AP548" s="138"/>
      <c r="AQ548" s="141"/>
      <c r="AR548" s="28"/>
      <c r="AS548" s="28"/>
      <c r="AT548" s="28"/>
      <c r="AU548" s="28"/>
      <c r="AV548" s="141"/>
      <c r="AY548" s="233"/>
      <c r="AZ548" s="134"/>
      <c r="BA548" s="136"/>
      <c r="BB548" s="134"/>
      <c r="BC548" s="135"/>
      <c r="BD548" s="136"/>
      <c r="BE548" s="134"/>
      <c r="BF548" s="136"/>
      <c r="BG548" s="134"/>
      <c r="BH548" s="135" t="s">
        <v>91</v>
      </c>
      <c r="BI548" s="136"/>
      <c r="BJ548" s="28"/>
    </row>
    <row r="549" spans="1:62" x14ac:dyDescent="0.3">
      <c r="A549" s="42" t="s">
        <v>84</v>
      </c>
      <c r="B549" s="138">
        <v>3155</v>
      </c>
      <c r="C549" s="141">
        <v>3758</v>
      </c>
      <c r="D549" s="28">
        <v>0</v>
      </c>
      <c r="E549" s="343">
        <v>0</v>
      </c>
      <c r="F549" s="43">
        <v>0</v>
      </c>
      <c r="G549" s="138"/>
      <c r="H549" s="42"/>
      <c r="I549" s="28"/>
      <c r="J549" s="40"/>
      <c r="M549" s="42" t="s">
        <v>109</v>
      </c>
      <c r="N549" s="138">
        <v>1465</v>
      </c>
      <c r="O549" s="196">
        <v>0</v>
      </c>
      <c r="P549" s="138">
        <v>0</v>
      </c>
      <c r="Q549" s="196">
        <v>0</v>
      </c>
      <c r="R549" s="141">
        <v>0</v>
      </c>
      <c r="S549" s="138">
        <v>0</v>
      </c>
      <c r="T549" s="138">
        <v>0</v>
      </c>
      <c r="U549" s="42"/>
      <c r="V549" s="40"/>
      <c r="Y549" s="42"/>
      <c r="Z549" s="42"/>
      <c r="AA549" s="40"/>
      <c r="AB549" s="42"/>
      <c r="AC549" s="43"/>
      <c r="AD549" s="40"/>
      <c r="AE549" s="42"/>
      <c r="AF549" s="40"/>
      <c r="AG549" s="43"/>
      <c r="AH549" s="67"/>
      <c r="AI549" s="28"/>
      <c r="AJ549" s="40"/>
      <c r="AM549" s="138" t="s">
        <v>2101</v>
      </c>
      <c r="AN549" s="138">
        <v>35</v>
      </c>
      <c r="AO549" s="141">
        <v>28</v>
      </c>
      <c r="AP549" s="138"/>
      <c r="AQ549" s="141"/>
      <c r="AR549" s="28"/>
      <c r="AS549" s="28"/>
      <c r="AT549" s="28"/>
      <c r="AU549" s="28"/>
      <c r="AV549" s="141" t="s">
        <v>6</v>
      </c>
      <c r="AY549" s="196"/>
      <c r="AZ549" s="212"/>
      <c r="BA549" s="141"/>
      <c r="BB549" s="138"/>
      <c r="BC549" s="43"/>
      <c r="BD549" s="141"/>
      <c r="BE549" s="138"/>
      <c r="BF549" s="209"/>
      <c r="BG549" s="212"/>
      <c r="BH549" s="43"/>
      <c r="BI549" s="141"/>
      <c r="BJ549" s="28"/>
    </row>
    <row r="550" spans="1:62" x14ac:dyDescent="0.3">
      <c r="A550" s="42"/>
      <c r="B550" s="138"/>
      <c r="C550" s="141"/>
      <c r="D550" s="28"/>
      <c r="E550" s="28"/>
      <c r="F550" s="28"/>
      <c r="G550" s="138"/>
      <c r="H550" s="42"/>
      <c r="I550" s="28"/>
      <c r="J550" s="40">
        <v>13</v>
      </c>
      <c r="M550" s="244"/>
      <c r="N550" s="142"/>
      <c r="O550" s="199"/>
      <c r="P550" s="142"/>
      <c r="Q550" s="199"/>
      <c r="R550" s="146"/>
      <c r="S550" s="142"/>
      <c r="T550" s="142"/>
      <c r="U550" s="244"/>
      <c r="V550" s="245"/>
      <c r="Y550" s="67" t="s">
        <v>89</v>
      </c>
      <c r="Z550" s="67">
        <v>81</v>
      </c>
      <c r="AA550" s="56">
        <v>80</v>
      </c>
      <c r="AB550" s="42">
        <v>0</v>
      </c>
      <c r="AC550" s="43">
        <v>0</v>
      </c>
      <c r="AD550" s="40">
        <v>0</v>
      </c>
      <c r="AE550" s="42">
        <v>0</v>
      </c>
      <c r="AF550" s="40">
        <v>0</v>
      </c>
      <c r="AG550" s="43">
        <v>0</v>
      </c>
      <c r="AH550" s="67">
        <v>2</v>
      </c>
      <c r="AI550" s="43" t="s">
        <v>98</v>
      </c>
      <c r="AJ550" s="40"/>
      <c r="AM550" s="138"/>
      <c r="AN550" s="138"/>
      <c r="AO550" s="141"/>
      <c r="AP550" s="138"/>
      <c r="AQ550" s="141"/>
      <c r="AR550" s="28"/>
      <c r="AS550" s="28"/>
      <c r="AT550" s="28"/>
      <c r="AU550" s="28"/>
      <c r="AV550" s="141"/>
      <c r="AY550" s="211"/>
      <c r="AZ550" s="212"/>
      <c r="BA550" s="209"/>
      <c r="BB550" s="138"/>
      <c r="BC550" s="43"/>
      <c r="BD550" s="141"/>
      <c r="BE550" s="138"/>
      <c r="BF550" s="209"/>
      <c r="BG550" s="138"/>
      <c r="BH550" s="43"/>
      <c r="BI550" s="141"/>
      <c r="BJ550" s="28"/>
    </row>
    <row r="551" spans="1:62" ht="15" thickBot="1" x14ac:dyDescent="0.35">
      <c r="A551" s="278"/>
      <c r="B551" s="134"/>
      <c r="C551" s="242"/>
      <c r="D551" s="135"/>
      <c r="E551" s="135"/>
      <c r="F551" s="135"/>
      <c r="G551" s="134"/>
      <c r="H551" s="278" t="s">
        <v>118</v>
      </c>
      <c r="I551" s="135"/>
      <c r="J551" s="279"/>
      <c r="M551" s="278" t="s">
        <v>93</v>
      </c>
      <c r="N551" s="134">
        <v>0</v>
      </c>
      <c r="O551" s="195">
        <v>0</v>
      </c>
      <c r="P551" s="134">
        <v>0</v>
      </c>
      <c r="Q551" s="195">
        <v>0</v>
      </c>
      <c r="R551" s="136">
        <v>0</v>
      </c>
      <c r="S551" s="134">
        <v>0</v>
      </c>
      <c r="T551" s="134">
        <v>0</v>
      </c>
      <c r="U551" s="278" t="s">
        <v>116</v>
      </c>
      <c r="V551" s="279"/>
      <c r="Y551" s="42" t="s">
        <v>84</v>
      </c>
      <c r="Z551" s="47">
        <v>81</v>
      </c>
      <c r="AA551" s="49">
        <v>80</v>
      </c>
      <c r="AB551" s="47">
        <v>0</v>
      </c>
      <c r="AC551" s="48">
        <v>0</v>
      </c>
      <c r="AD551" s="49">
        <v>0</v>
      </c>
      <c r="AE551" s="47">
        <v>0</v>
      </c>
      <c r="AF551" s="49">
        <v>0</v>
      </c>
      <c r="AG551" s="43">
        <v>0</v>
      </c>
      <c r="AH551" s="72"/>
      <c r="AI551" s="48"/>
      <c r="AJ551" s="49">
        <v>2</v>
      </c>
      <c r="AM551" s="138" t="s">
        <v>230</v>
      </c>
      <c r="AN551" s="138">
        <v>0</v>
      </c>
      <c r="AO551" s="141">
        <v>0</v>
      </c>
      <c r="AP551" s="138"/>
      <c r="AQ551" s="141"/>
      <c r="AR551" s="28"/>
      <c r="AS551" s="28"/>
      <c r="AT551" s="28"/>
      <c r="AU551" s="28"/>
      <c r="AV551" s="141"/>
      <c r="AY551" s="211"/>
      <c r="AZ551" s="212"/>
      <c r="BA551" s="141"/>
      <c r="BB551" s="138"/>
      <c r="BC551" s="43"/>
      <c r="BD551" s="141"/>
      <c r="BE551" s="138"/>
      <c r="BF551" s="209"/>
      <c r="BG551" s="212"/>
      <c r="BH551" s="28"/>
      <c r="BI551" s="141"/>
      <c r="BJ551" s="28"/>
    </row>
    <row r="552" spans="1:62" x14ac:dyDescent="0.3">
      <c r="A552" s="42" t="s">
        <v>785</v>
      </c>
      <c r="B552" s="138">
        <v>2266</v>
      </c>
      <c r="C552" s="209">
        <v>2549</v>
      </c>
      <c r="D552" s="28">
        <v>0</v>
      </c>
      <c r="E552" s="38">
        <v>0</v>
      </c>
      <c r="F552" s="43">
        <v>0</v>
      </c>
      <c r="G552" s="138">
        <v>1</v>
      </c>
      <c r="H552" s="42">
        <v>148</v>
      </c>
      <c r="I552" s="28" t="s">
        <v>101</v>
      </c>
      <c r="J552" s="40"/>
      <c r="M552" s="42" t="s">
        <v>99</v>
      </c>
      <c r="N552" s="138">
        <v>4536</v>
      </c>
      <c r="O552" s="196">
        <v>9622</v>
      </c>
      <c r="P552" s="138">
        <v>0</v>
      </c>
      <c r="Q552" s="196">
        <v>0</v>
      </c>
      <c r="R552" s="141">
        <v>0</v>
      </c>
      <c r="S552" s="138">
        <v>0</v>
      </c>
      <c r="T552" s="138">
        <v>0</v>
      </c>
      <c r="U552" s="42"/>
      <c r="V552" s="40"/>
      <c r="Y552" s="32"/>
      <c r="Z552" s="28"/>
      <c r="AA552" s="28"/>
      <c r="AB552" s="33"/>
      <c r="AC552" s="34"/>
      <c r="AD552" s="35"/>
      <c r="AE552" s="67"/>
      <c r="AF552" s="56"/>
      <c r="AG552" s="32"/>
      <c r="AH552" s="34"/>
      <c r="AI552" s="34"/>
      <c r="AJ552" s="35"/>
      <c r="AM552" s="138" t="s">
        <v>63</v>
      </c>
      <c r="AN552" s="138">
        <v>64</v>
      </c>
      <c r="AO552" s="141">
        <v>51</v>
      </c>
      <c r="AP552" s="138"/>
      <c r="AQ552" s="141"/>
      <c r="AR552" s="28"/>
      <c r="AS552" s="28"/>
      <c r="AT552" s="28"/>
      <c r="AU552" s="28"/>
      <c r="AV552" s="141"/>
      <c r="AY552" s="211" t="s">
        <v>137</v>
      </c>
      <c r="AZ552" s="212">
        <v>2121</v>
      </c>
      <c r="BA552" s="209">
        <v>1984</v>
      </c>
      <c r="BB552" s="138"/>
      <c r="BC552" s="43"/>
      <c r="BD552" s="141"/>
      <c r="BE552" s="138"/>
      <c r="BF552" s="209"/>
      <c r="BG552" s="138">
        <v>106</v>
      </c>
      <c r="BH552" s="43" t="s">
        <v>1026</v>
      </c>
      <c r="BI552" s="141"/>
      <c r="BJ552" s="28"/>
    </row>
    <row r="553" spans="1:62" x14ac:dyDescent="0.3">
      <c r="A553" s="42" t="s">
        <v>93</v>
      </c>
      <c r="B553" s="212">
        <v>11009</v>
      </c>
      <c r="C553" s="209">
        <v>12754</v>
      </c>
      <c r="D553" s="28">
        <v>0</v>
      </c>
      <c r="E553" s="38">
        <v>0</v>
      </c>
      <c r="F553" s="43">
        <v>0</v>
      </c>
      <c r="G553" s="212"/>
      <c r="H553" s="42">
        <v>25</v>
      </c>
      <c r="I553" s="28" t="s">
        <v>927</v>
      </c>
      <c r="J553" s="40"/>
      <c r="M553" s="42" t="s">
        <v>120</v>
      </c>
      <c r="N553" s="138">
        <v>682</v>
      </c>
      <c r="O553" s="196">
        <v>10371</v>
      </c>
      <c r="P553" s="138">
        <v>0</v>
      </c>
      <c r="Q553" s="196">
        <v>0</v>
      </c>
      <c r="R553" s="141">
        <v>0</v>
      </c>
      <c r="S553" s="138">
        <v>4757</v>
      </c>
      <c r="T553" s="138">
        <v>268</v>
      </c>
      <c r="U553" s="42"/>
      <c r="V553" s="40"/>
      <c r="Y553" s="41"/>
      <c r="Z553" s="43"/>
      <c r="AA553" s="43"/>
      <c r="AB553" s="42"/>
      <c r="AC553" s="43"/>
      <c r="AD553" s="40"/>
      <c r="AE553" s="67"/>
      <c r="AF553" s="56"/>
      <c r="AG553" s="41"/>
      <c r="AH553" s="28"/>
      <c r="AI553" s="28" t="s">
        <v>6</v>
      </c>
      <c r="AJ553" s="40"/>
      <c r="AM553" s="142" t="s">
        <v>84</v>
      </c>
      <c r="AN553" s="142">
        <v>395</v>
      </c>
      <c r="AO553" s="146">
        <v>227</v>
      </c>
      <c r="AP553" s="142"/>
      <c r="AQ553" s="146"/>
      <c r="AR553" s="143"/>
      <c r="AS553" s="143"/>
      <c r="AT553" s="143"/>
      <c r="AU553" s="143"/>
      <c r="AV553" s="146">
        <v>122</v>
      </c>
      <c r="AY553" s="211" t="s">
        <v>88</v>
      </c>
      <c r="AZ553" s="212">
        <v>282</v>
      </c>
      <c r="BA553" s="209">
        <v>471</v>
      </c>
      <c r="BB553" s="138"/>
      <c r="BC553" s="43"/>
      <c r="BD553" s="141"/>
      <c r="BE553" s="138"/>
      <c r="BF553" s="209"/>
      <c r="BG553" s="138">
        <v>56</v>
      </c>
      <c r="BH553" s="43" t="s">
        <v>1305</v>
      </c>
      <c r="BI553" s="141"/>
      <c r="BJ553" s="28"/>
    </row>
    <row r="554" spans="1:62" x14ac:dyDescent="0.3">
      <c r="A554" s="42" t="s">
        <v>120</v>
      </c>
      <c r="B554" s="138">
        <v>8662</v>
      </c>
      <c r="C554" s="141">
        <v>9424</v>
      </c>
      <c r="D554" s="28">
        <v>0</v>
      </c>
      <c r="E554" s="38">
        <v>0</v>
      </c>
      <c r="F554" s="43">
        <v>0</v>
      </c>
      <c r="G554" s="138"/>
      <c r="H554" s="42">
        <v>31</v>
      </c>
      <c r="I554" s="28" t="s">
        <v>1306</v>
      </c>
      <c r="J554" s="40"/>
      <c r="M554" s="244" t="s">
        <v>84</v>
      </c>
      <c r="N554" s="142">
        <v>5218</v>
      </c>
      <c r="O554" s="199">
        <v>19993</v>
      </c>
      <c r="P554" s="142">
        <v>0</v>
      </c>
      <c r="Q554" s="199">
        <v>0</v>
      </c>
      <c r="R554" s="146">
        <v>0</v>
      </c>
      <c r="S554" s="142">
        <v>4757</v>
      </c>
      <c r="T554" s="142">
        <v>268</v>
      </c>
      <c r="U554" s="244"/>
      <c r="V554" s="245"/>
      <c r="Y554" s="41"/>
      <c r="Z554" s="43"/>
      <c r="AA554" s="43"/>
      <c r="AB554" s="42"/>
      <c r="AC554" s="43"/>
      <c r="AD554" s="40"/>
      <c r="AE554" s="67"/>
      <c r="AF554" s="56"/>
      <c r="AG554" s="41"/>
      <c r="AH554" s="43"/>
      <c r="AI554" s="43"/>
      <c r="AJ554" s="40"/>
      <c r="AM554" s="134"/>
      <c r="AN554" s="134"/>
      <c r="AO554" s="136"/>
      <c r="AP554" s="134"/>
      <c r="AQ554" s="136"/>
      <c r="AR554" s="135"/>
      <c r="AS554" s="135"/>
      <c r="AT554" s="135"/>
      <c r="AU554" s="135"/>
      <c r="AV554" s="136"/>
      <c r="AY554" s="211" t="s">
        <v>97</v>
      </c>
      <c r="AZ554" s="212">
        <v>2873</v>
      </c>
      <c r="BA554" s="209">
        <v>3173</v>
      </c>
      <c r="BB554" s="138"/>
      <c r="BC554" s="43"/>
      <c r="BD554" s="141"/>
      <c r="BE554" s="138"/>
      <c r="BF554" s="209"/>
      <c r="BG554" s="138">
        <v>67</v>
      </c>
      <c r="BH554" s="43" t="s">
        <v>2102</v>
      </c>
      <c r="BI554" s="141"/>
      <c r="BJ554" s="28"/>
    </row>
    <row r="555" spans="1:62" x14ac:dyDescent="0.3">
      <c r="A555" s="67" t="s">
        <v>429</v>
      </c>
      <c r="B555" s="212">
        <v>2424</v>
      </c>
      <c r="C555" s="209">
        <v>2723</v>
      </c>
      <c r="D555" s="43">
        <v>0</v>
      </c>
      <c r="E555" s="38">
        <v>0</v>
      </c>
      <c r="F555" s="43">
        <v>0</v>
      </c>
      <c r="G555" s="138"/>
      <c r="H555" s="42"/>
      <c r="I555" s="28"/>
      <c r="J555" s="40"/>
      <c r="M555" s="278"/>
      <c r="N555" s="134"/>
      <c r="O555" s="195"/>
      <c r="P555" s="134"/>
      <c r="Q555" s="195"/>
      <c r="R555" s="136"/>
      <c r="S555" s="134"/>
      <c r="T555" s="134"/>
      <c r="U555" s="278"/>
      <c r="V555" s="279"/>
      <c r="Y555" s="41"/>
      <c r="Z555" s="43"/>
      <c r="AA555" s="43"/>
      <c r="AB555" s="42"/>
      <c r="AC555" s="43"/>
      <c r="AD555" s="40"/>
      <c r="AE555" s="67"/>
      <c r="AF555" s="56"/>
      <c r="AG555" s="41"/>
      <c r="AH555" s="43"/>
      <c r="AI555" s="43"/>
      <c r="AJ555" s="40"/>
      <c r="AM555" s="138"/>
      <c r="AN555" s="138"/>
      <c r="AO555" s="141"/>
      <c r="AP555" s="138"/>
      <c r="AQ555" s="141"/>
      <c r="AR555" s="28"/>
      <c r="AS555" s="28"/>
      <c r="AT555" s="28"/>
      <c r="AU555" s="28"/>
      <c r="AV555" s="141"/>
      <c r="AY555" s="211" t="s">
        <v>113</v>
      </c>
      <c r="AZ555" s="212">
        <v>651</v>
      </c>
      <c r="BA555" s="209">
        <v>636</v>
      </c>
      <c r="BB555" s="212"/>
      <c r="BC555" s="43"/>
      <c r="BD555" s="209"/>
      <c r="BE555" s="212"/>
      <c r="BF555" s="209"/>
      <c r="BG555" s="138"/>
      <c r="BH555" s="43"/>
      <c r="BI555" s="141"/>
      <c r="BJ555" s="28"/>
    </row>
    <row r="556" spans="1:62" ht="15" thickBot="1" x14ac:dyDescent="0.35">
      <c r="A556" s="244" t="s">
        <v>84</v>
      </c>
      <c r="B556" s="142">
        <v>24361</v>
      </c>
      <c r="C556" s="146">
        <v>27450</v>
      </c>
      <c r="D556" s="143">
        <v>0</v>
      </c>
      <c r="E556" s="345">
        <v>0</v>
      </c>
      <c r="F556" s="143">
        <v>0</v>
      </c>
      <c r="G556" s="142"/>
      <c r="H556" s="244"/>
      <c r="I556" s="143"/>
      <c r="J556" s="245">
        <v>204</v>
      </c>
      <c r="M556" s="42" t="s">
        <v>105</v>
      </c>
      <c r="N556" s="138">
        <v>297</v>
      </c>
      <c r="O556" s="196">
        <v>0</v>
      </c>
      <c r="P556" s="138">
        <v>0</v>
      </c>
      <c r="Q556" s="196">
        <v>0</v>
      </c>
      <c r="R556" s="141">
        <v>0</v>
      </c>
      <c r="S556" s="138">
        <v>7</v>
      </c>
      <c r="T556" s="138">
        <v>0</v>
      </c>
      <c r="U556" s="42"/>
      <c r="V556" s="40"/>
      <c r="Y556" s="46"/>
      <c r="Z556" s="43"/>
      <c r="AA556" s="43"/>
      <c r="AB556" s="47"/>
      <c r="AC556" s="48"/>
      <c r="AD556" s="49"/>
      <c r="AE556" s="67"/>
      <c r="AF556" s="56"/>
      <c r="AG556" s="46"/>
      <c r="AH556" s="48"/>
      <c r="AI556" s="48"/>
      <c r="AJ556" s="49"/>
      <c r="AM556" s="138"/>
      <c r="AN556" s="138"/>
      <c r="AO556" s="141"/>
      <c r="AP556" s="138"/>
      <c r="AQ556" s="141"/>
      <c r="AR556" s="28"/>
      <c r="AS556" s="28"/>
      <c r="AT556" s="28"/>
      <c r="AU556" s="28"/>
      <c r="AV556" s="141"/>
      <c r="AY556" s="211" t="s">
        <v>817</v>
      </c>
      <c r="AZ556" s="212">
        <v>0</v>
      </c>
      <c r="BA556" s="209">
        <v>0</v>
      </c>
      <c r="BB556" s="138"/>
      <c r="BC556" s="28"/>
      <c r="BD556" s="141"/>
      <c r="BE556" s="138"/>
      <c r="BF556" s="141"/>
      <c r="BG556" s="138"/>
      <c r="BH556" s="28"/>
      <c r="BI556" s="141"/>
      <c r="BJ556" s="28"/>
    </row>
    <row r="557" spans="1:62" x14ac:dyDescent="0.3">
      <c r="A557" s="42" t="s">
        <v>93</v>
      </c>
      <c r="B557" s="138">
        <v>7557</v>
      </c>
      <c r="C557" s="209">
        <v>8277</v>
      </c>
      <c r="D557" s="138">
        <v>0</v>
      </c>
      <c r="E557" s="38">
        <v>0</v>
      </c>
      <c r="F557" s="43">
        <v>0</v>
      </c>
      <c r="G557" s="138">
        <v>1</v>
      </c>
      <c r="H557" s="42" t="s">
        <v>116</v>
      </c>
      <c r="I557" s="28"/>
      <c r="J557" s="40"/>
      <c r="M557" s="42" t="s">
        <v>99</v>
      </c>
      <c r="N557" s="138">
        <v>0</v>
      </c>
      <c r="O557" s="196">
        <v>0</v>
      </c>
      <c r="P557" s="138">
        <v>0</v>
      </c>
      <c r="Q557" s="196">
        <v>0</v>
      </c>
      <c r="R557" s="141">
        <v>0</v>
      </c>
      <c r="S557" s="138">
        <v>0</v>
      </c>
      <c r="T557" s="138">
        <v>0</v>
      </c>
      <c r="U557" s="42" t="s">
        <v>135</v>
      </c>
      <c r="V557" s="40"/>
      <c r="Y557" s="42"/>
      <c r="Z557" s="33"/>
      <c r="AA557" s="35"/>
      <c r="AB557" s="34"/>
      <c r="AC557" s="34"/>
      <c r="AD557" s="34"/>
      <c r="AE557" s="33"/>
      <c r="AF557" s="35"/>
      <c r="AG557" s="32"/>
      <c r="AH557" s="34"/>
      <c r="AI557" s="34"/>
      <c r="AJ557" s="35"/>
      <c r="AM557" s="138"/>
      <c r="AN557" s="138"/>
      <c r="AO557" s="141"/>
      <c r="AP557" s="138"/>
      <c r="AQ557" s="141"/>
      <c r="AR557" s="28"/>
      <c r="AS557" s="28"/>
      <c r="AT557" s="28"/>
      <c r="AU557" s="28"/>
      <c r="AV557" s="141"/>
      <c r="AY557" s="211" t="s">
        <v>89</v>
      </c>
      <c r="AZ557" s="138">
        <v>2775</v>
      </c>
      <c r="BA557" s="141">
        <v>2696</v>
      </c>
      <c r="BB557" s="138"/>
      <c r="BC557" s="28"/>
      <c r="BD557" s="141"/>
      <c r="BE557" s="138"/>
      <c r="BF557" s="141"/>
      <c r="BG557" s="138"/>
      <c r="BH557" s="28"/>
      <c r="BI557" s="141"/>
      <c r="BJ557" s="28"/>
    </row>
    <row r="558" spans="1:62" ht="15" thickBot="1" x14ac:dyDescent="0.35">
      <c r="A558" s="42" t="s">
        <v>99</v>
      </c>
      <c r="B558" s="138">
        <v>11200</v>
      </c>
      <c r="C558" s="209">
        <v>11896</v>
      </c>
      <c r="D558" s="138">
        <v>0</v>
      </c>
      <c r="E558" s="38">
        <v>0</v>
      </c>
      <c r="F558" s="43">
        <v>0</v>
      </c>
      <c r="G558" s="138"/>
      <c r="H558" s="67">
        <v>190</v>
      </c>
      <c r="I558" s="28" t="s">
        <v>188</v>
      </c>
      <c r="J558" s="40"/>
      <c r="M558" s="42"/>
      <c r="N558" s="138"/>
      <c r="O558" s="196"/>
      <c r="P558" s="138"/>
      <c r="Q558" s="196"/>
      <c r="R558" s="141"/>
      <c r="S558" s="138"/>
      <c r="T558" s="138"/>
      <c r="U558" s="42"/>
      <c r="V558" s="40"/>
      <c r="Y558" s="47"/>
      <c r="Z558" s="47"/>
      <c r="AA558" s="49"/>
      <c r="AB558" s="48"/>
      <c r="AC558" s="48"/>
      <c r="AD558" s="48"/>
      <c r="AE558" s="47"/>
      <c r="AF558" s="49"/>
      <c r="AG558" s="46"/>
      <c r="AH558" s="48"/>
      <c r="AI558" s="48"/>
      <c r="AJ558" s="49"/>
      <c r="AM558" s="142"/>
      <c r="AN558" s="142"/>
      <c r="AO558" s="146"/>
      <c r="AP558" s="142"/>
      <c r="AQ558" s="146"/>
      <c r="AR558" s="143"/>
      <c r="AS558" s="143"/>
      <c r="AT558" s="143"/>
      <c r="AU558" s="143"/>
      <c r="AV558" s="146"/>
      <c r="AY558" s="211" t="s">
        <v>133</v>
      </c>
      <c r="AZ558" s="142">
        <v>107</v>
      </c>
      <c r="BA558" s="146">
        <v>0</v>
      </c>
      <c r="BB558" s="142"/>
      <c r="BC558" s="224"/>
      <c r="BD558" s="251"/>
      <c r="BE558" s="142"/>
      <c r="BF558" s="146"/>
      <c r="BG558" s="142"/>
      <c r="BH558" s="143"/>
      <c r="BI558" s="146"/>
      <c r="BJ558" s="28"/>
    </row>
    <row r="559" spans="1:62" x14ac:dyDescent="0.3">
      <c r="A559" s="42" t="s">
        <v>120</v>
      </c>
      <c r="B559" s="138">
        <v>6383</v>
      </c>
      <c r="C559" s="209">
        <v>6765</v>
      </c>
      <c r="D559" s="138">
        <v>0</v>
      </c>
      <c r="E559" s="38">
        <v>0</v>
      </c>
      <c r="F559" s="43">
        <v>0</v>
      </c>
      <c r="G559" s="138"/>
      <c r="H559" s="67"/>
      <c r="I559" s="28"/>
      <c r="J559" s="40"/>
      <c r="M559" s="244" t="s">
        <v>84</v>
      </c>
      <c r="N559" s="142">
        <v>297</v>
      </c>
      <c r="O559" s="199">
        <v>0</v>
      </c>
      <c r="P559" s="142">
        <v>0</v>
      </c>
      <c r="Q559" s="199">
        <v>0</v>
      </c>
      <c r="R559" s="146">
        <v>0</v>
      </c>
      <c r="S559" s="142">
        <v>7</v>
      </c>
      <c r="T559" s="142">
        <v>0</v>
      </c>
      <c r="U559" s="244"/>
      <c r="V559" s="245"/>
      <c r="Y559" s="33"/>
      <c r="Z559" s="33"/>
      <c r="AA559" s="35"/>
      <c r="AB559" s="34"/>
      <c r="AC559" s="34"/>
      <c r="AD559" s="34"/>
      <c r="AE559" s="33"/>
      <c r="AF559" s="35"/>
      <c r="AG559" s="32"/>
      <c r="AH559" s="34"/>
      <c r="AI559" s="34"/>
      <c r="AJ559" s="35"/>
      <c r="AM559" s="134"/>
      <c r="AN559" s="134"/>
      <c r="AO559" s="136"/>
      <c r="AP559" s="134"/>
      <c r="AQ559" s="136"/>
      <c r="AR559" s="134"/>
      <c r="AS559" s="135" t="s">
        <v>140</v>
      </c>
      <c r="AT559" s="135"/>
      <c r="AU559" s="135"/>
      <c r="AV559" s="136"/>
      <c r="AY559" s="247" t="s">
        <v>84</v>
      </c>
      <c r="AZ559" s="247">
        <v>8809</v>
      </c>
      <c r="BA559" s="248">
        <v>8960</v>
      </c>
      <c r="BB559" s="197"/>
      <c r="BC559" s="198"/>
      <c r="BD559" s="249"/>
      <c r="BE559" s="197"/>
      <c r="BF559" s="249"/>
      <c r="BG559" s="197"/>
      <c r="BH559" s="198"/>
      <c r="BI559" s="249">
        <v>229</v>
      </c>
      <c r="BJ559" s="28"/>
    </row>
    <row r="560" spans="1:62" x14ac:dyDescent="0.3">
      <c r="A560" s="42" t="s">
        <v>2103</v>
      </c>
      <c r="B560" s="138">
        <v>136</v>
      </c>
      <c r="C560" s="28">
        <v>0</v>
      </c>
      <c r="D560" s="138">
        <v>0</v>
      </c>
      <c r="E560" s="38">
        <v>0</v>
      </c>
      <c r="F560" s="43">
        <v>0</v>
      </c>
      <c r="G560" s="138"/>
      <c r="H560" s="67"/>
      <c r="I560" s="28"/>
      <c r="J560" s="40"/>
      <c r="M560" s="42"/>
      <c r="N560" s="138"/>
      <c r="O560" s="196"/>
      <c r="P560" s="138"/>
      <c r="Q560" s="196"/>
      <c r="R560" s="141"/>
      <c r="S560" s="138"/>
      <c r="T560" s="138"/>
      <c r="U560" s="42"/>
      <c r="V560" s="40"/>
      <c r="Y560" s="42"/>
      <c r="Z560" s="42"/>
      <c r="AA560" s="40"/>
      <c r="AB560" s="43"/>
      <c r="AC560" s="43"/>
      <c r="AD560" s="43"/>
      <c r="AE560" s="42"/>
      <c r="AF560" s="40"/>
      <c r="AG560" s="41"/>
      <c r="AH560" s="28" t="s">
        <v>953</v>
      </c>
      <c r="AI560" s="28"/>
      <c r="AJ560" s="40"/>
      <c r="AM560" s="138"/>
      <c r="AN560" s="212"/>
      <c r="AO560" s="141"/>
      <c r="AP560" s="138"/>
      <c r="AQ560" s="141"/>
      <c r="AR560" s="138"/>
      <c r="AS560" s="43" t="s">
        <v>873</v>
      </c>
      <c r="AT560" s="43"/>
      <c r="AU560" s="43"/>
      <c r="AV560" s="141"/>
      <c r="AY560" s="195"/>
      <c r="AZ560" s="134"/>
      <c r="BA560" s="136"/>
      <c r="BB560" s="134"/>
      <c r="BC560" s="135"/>
      <c r="BD560" s="136"/>
      <c r="BE560" s="134"/>
      <c r="BF560" s="136"/>
      <c r="BG560" s="134" t="s">
        <v>1025</v>
      </c>
      <c r="BH560" s="135"/>
      <c r="BI560" s="136"/>
      <c r="BJ560" s="28"/>
    </row>
    <row r="561" spans="1:62" x14ac:dyDescent="0.3">
      <c r="A561" s="244" t="s">
        <v>84</v>
      </c>
      <c r="B561" s="142">
        <v>25276</v>
      </c>
      <c r="C561" s="143">
        <v>26938</v>
      </c>
      <c r="D561" s="142"/>
      <c r="E561" s="143"/>
      <c r="F561" s="143"/>
      <c r="G561" s="142"/>
      <c r="H561" s="244"/>
      <c r="I561" s="143"/>
      <c r="J561" s="245">
        <v>190</v>
      </c>
      <c r="M561" s="42"/>
      <c r="N561" s="138"/>
      <c r="O561" s="196"/>
      <c r="P561" s="138"/>
      <c r="Q561" s="196"/>
      <c r="R561" s="141"/>
      <c r="S561" s="138"/>
      <c r="T561" s="138"/>
      <c r="U561" s="42"/>
      <c r="V561" s="40"/>
      <c r="Y561" s="42"/>
      <c r="Z561" s="42"/>
      <c r="AA561" s="40"/>
      <c r="AB561" s="43"/>
      <c r="AC561" s="43"/>
      <c r="AD561" s="43"/>
      <c r="AE561" s="42"/>
      <c r="AF561" s="40"/>
      <c r="AG561" s="41"/>
      <c r="AH561" s="43"/>
      <c r="AI561" s="28" t="s">
        <v>141</v>
      </c>
      <c r="AJ561" s="40"/>
      <c r="AM561" s="138" t="s">
        <v>122</v>
      </c>
      <c r="AN561" s="212">
        <v>13</v>
      </c>
      <c r="AO561" s="141">
        <v>34</v>
      </c>
      <c r="AP561" s="138"/>
      <c r="AQ561" s="141"/>
      <c r="AR561" s="138"/>
      <c r="AS561" s="43" t="s">
        <v>1056</v>
      </c>
      <c r="AT561" s="43" t="s">
        <v>2104</v>
      </c>
      <c r="AU561" s="43"/>
      <c r="AV561" s="141"/>
      <c r="AY561" s="196" t="s">
        <v>64</v>
      </c>
      <c r="AZ561" s="138">
        <v>112</v>
      </c>
      <c r="BA561" s="141">
        <v>118</v>
      </c>
      <c r="BB561" s="138">
        <v>0</v>
      </c>
      <c r="BC561" s="43">
        <v>0</v>
      </c>
      <c r="BD561" s="209">
        <v>0</v>
      </c>
      <c r="BE561" s="138">
        <v>0</v>
      </c>
      <c r="BF561" s="141">
        <v>0</v>
      </c>
      <c r="BG561" s="138">
        <v>9</v>
      </c>
      <c r="BH561" s="28" t="s">
        <v>1026</v>
      </c>
      <c r="BI561" s="141"/>
      <c r="BJ561" s="28"/>
    </row>
    <row r="562" spans="1:62" x14ac:dyDescent="0.3">
      <c r="A562" s="278" t="s">
        <v>105</v>
      </c>
      <c r="B562" s="134">
        <v>1149</v>
      </c>
      <c r="C562" s="135">
        <v>1272</v>
      </c>
      <c r="D562" s="134">
        <v>0</v>
      </c>
      <c r="E562" s="243">
        <v>1507</v>
      </c>
      <c r="F562" s="135">
        <v>0</v>
      </c>
      <c r="G562" s="134">
        <v>1</v>
      </c>
      <c r="H562" s="278" t="s">
        <v>162</v>
      </c>
      <c r="I562" s="135"/>
      <c r="J562" s="279"/>
      <c r="M562" s="42"/>
      <c r="N562" s="138"/>
      <c r="O562" s="196"/>
      <c r="P562" s="138"/>
      <c r="Q562" s="196"/>
      <c r="R562" s="141"/>
      <c r="S562" s="138"/>
      <c r="T562" s="138"/>
      <c r="U562" s="42"/>
      <c r="V562" s="40"/>
      <c r="Y562" s="42"/>
      <c r="Z562" s="42"/>
      <c r="AA562" s="40"/>
      <c r="AB562" s="43"/>
      <c r="AC562" s="43"/>
      <c r="AD562" s="43"/>
      <c r="AE562" s="42"/>
      <c r="AF562" s="40"/>
      <c r="AG562" s="41"/>
      <c r="AH562" s="43"/>
      <c r="AI562" s="43"/>
      <c r="AJ562" s="40"/>
      <c r="AM562" s="138" t="s">
        <v>72</v>
      </c>
      <c r="AN562" s="212">
        <v>24</v>
      </c>
      <c r="AO562" s="141">
        <v>39</v>
      </c>
      <c r="AP562" s="138"/>
      <c r="AQ562" s="141"/>
      <c r="AR562" s="138"/>
      <c r="AS562" s="43" t="s">
        <v>330</v>
      </c>
      <c r="AT562" s="43" t="s">
        <v>2105</v>
      </c>
      <c r="AU562" s="43"/>
      <c r="AV562" s="141"/>
      <c r="AY562" s="239" t="s">
        <v>84</v>
      </c>
      <c r="AZ562" s="142">
        <v>112</v>
      </c>
      <c r="BA562" s="146">
        <v>118</v>
      </c>
      <c r="BB562" s="142">
        <v>0</v>
      </c>
      <c r="BC562" s="143">
        <v>0</v>
      </c>
      <c r="BD562" s="146">
        <v>0</v>
      </c>
      <c r="BE562" s="142">
        <v>0</v>
      </c>
      <c r="BF562" s="146">
        <v>0</v>
      </c>
      <c r="BG562" s="142"/>
      <c r="BH562" s="143"/>
      <c r="BI562" s="146">
        <v>9</v>
      </c>
      <c r="BJ562" s="28"/>
    </row>
    <row r="563" spans="1:62" ht="15" thickBot="1" x14ac:dyDescent="0.35">
      <c r="A563" s="42" t="s">
        <v>99</v>
      </c>
      <c r="B563" s="138">
        <v>506</v>
      </c>
      <c r="C563" s="43">
        <v>1031</v>
      </c>
      <c r="D563" s="138">
        <v>0</v>
      </c>
      <c r="E563" s="343">
        <v>1469</v>
      </c>
      <c r="F563" s="43">
        <v>0</v>
      </c>
      <c r="G563" s="138"/>
      <c r="H563" s="42"/>
      <c r="I563" s="28"/>
      <c r="J563" s="40"/>
      <c r="M563" s="42"/>
      <c r="N563" s="138"/>
      <c r="O563" s="196"/>
      <c r="P563" s="138"/>
      <c r="Q563" s="196"/>
      <c r="R563" s="141"/>
      <c r="S563" s="138"/>
      <c r="T563" s="138"/>
      <c r="U563" s="42"/>
      <c r="V563" s="40"/>
      <c r="Y563" s="47" t="s">
        <v>84</v>
      </c>
      <c r="Z563" s="282"/>
      <c r="AA563" s="49"/>
      <c r="AB563" s="51"/>
      <c r="AC563" s="48"/>
      <c r="AD563" s="48"/>
      <c r="AE563" s="47"/>
      <c r="AF563" s="49"/>
      <c r="AG563" s="46"/>
      <c r="AH563" s="48"/>
      <c r="AI563" s="48"/>
      <c r="AJ563" s="49">
        <v>0</v>
      </c>
      <c r="AM563" s="138" t="s">
        <v>78</v>
      </c>
      <c r="AN563" s="212">
        <v>57</v>
      </c>
      <c r="AO563" s="141">
        <v>63</v>
      </c>
      <c r="AP563" s="138"/>
      <c r="AQ563" s="141"/>
      <c r="AR563" s="138"/>
      <c r="AS563" s="43" t="s">
        <v>2106</v>
      </c>
      <c r="AT563" s="43" t="s">
        <v>761</v>
      </c>
      <c r="AU563" s="43"/>
      <c r="AV563" s="141"/>
      <c r="AY563" s="138"/>
      <c r="AZ563" s="134"/>
      <c r="BA563" s="135"/>
      <c r="BB563" s="134"/>
      <c r="BC563" s="135"/>
      <c r="BD563" s="136"/>
      <c r="BE563" s="28"/>
      <c r="BF563" s="141"/>
      <c r="BG563" s="28" t="s">
        <v>994</v>
      </c>
      <c r="BH563" s="28"/>
      <c r="BI563" s="141"/>
      <c r="BJ563" s="28"/>
    </row>
    <row r="564" spans="1:62" x14ac:dyDescent="0.3">
      <c r="A564" s="42"/>
      <c r="B564" s="138"/>
      <c r="C564" s="28"/>
      <c r="D564" s="138"/>
      <c r="E564" s="343"/>
      <c r="F564" s="28"/>
      <c r="G564" s="138"/>
      <c r="H564" s="67">
        <v>44</v>
      </c>
      <c r="I564" s="28" t="s">
        <v>101</v>
      </c>
      <c r="J564" s="40"/>
      <c r="M564" s="42"/>
      <c r="N564" s="138"/>
      <c r="O564" s="196"/>
      <c r="P564" s="138"/>
      <c r="Q564" s="196"/>
      <c r="R564" s="141"/>
      <c r="S564" s="138"/>
      <c r="T564" s="138"/>
      <c r="U564" s="42"/>
      <c r="V564" s="40"/>
      <c r="Y564" s="32"/>
      <c r="Z564" s="33"/>
      <c r="AA564" s="35"/>
      <c r="AB564" s="53"/>
      <c r="AC564" s="123"/>
      <c r="AD564" s="97"/>
      <c r="AE564" s="33"/>
      <c r="AF564" s="35"/>
      <c r="AG564" s="32"/>
      <c r="AH564" s="33" t="s">
        <v>149</v>
      </c>
      <c r="AI564" s="34"/>
      <c r="AJ564" s="35"/>
      <c r="AM564" s="138" t="s">
        <v>230</v>
      </c>
      <c r="AN564" s="212">
        <v>0</v>
      </c>
      <c r="AO564" s="141">
        <v>0</v>
      </c>
      <c r="AP564" s="212"/>
      <c r="AQ564" s="141"/>
      <c r="AR564" s="138"/>
      <c r="AS564" s="43" t="s">
        <v>2107</v>
      </c>
      <c r="AT564" s="43"/>
      <c r="AU564" s="43"/>
      <c r="AV564" s="141"/>
      <c r="AY564" s="138" t="s">
        <v>113</v>
      </c>
      <c r="AZ564" s="138">
        <v>417</v>
      </c>
      <c r="BA564" s="28">
        <v>534</v>
      </c>
      <c r="BB564" s="138">
        <v>0</v>
      </c>
      <c r="BC564" s="43">
        <v>0</v>
      </c>
      <c r="BD564" s="209">
        <v>0</v>
      </c>
      <c r="BE564" s="43">
        <v>0</v>
      </c>
      <c r="BF564" s="141">
        <v>0</v>
      </c>
      <c r="BG564" s="43">
        <v>14</v>
      </c>
      <c r="BH564" s="28" t="s">
        <v>1297</v>
      </c>
      <c r="BI564" s="141"/>
      <c r="BJ564" s="28"/>
    </row>
    <row r="565" spans="1:62" ht="15" thickBot="1" x14ac:dyDescent="0.35">
      <c r="A565" s="42" t="s">
        <v>84</v>
      </c>
      <c r="B565" s="142">
        <v>1655</v>
      </c>
      <c r="C565" s="143">
        <v>2303</v>
      </c>
      <c r="D565" s="142">
        <v>0</v>
      </c>
      <c r="E565" s="345">
        <v>2976</v>
      </c>
      <c r="F565" s="143">
        <v>0</v>
      </c>
      <c r="G565" s="142"/>
      <c r="H565" s="244"/>
      <c r="I565" s="143"/>
      <c r="J565" s="245">
        <v>44</v>
      </c>
      <c r="M565" s="47" t="s">
        <v>84</v>
      </c>
      <c r="N565" s="202">
        <v>42071</v>
      </c>
      <c r="O565" s="286">
        <v>68997</v>
      </c>
      <c r="P565" s="202">
        <v>0</v>
      </c>
      <c r="Q565" s="286">
        <v>0</v>
      </c>
      <c r="R565" s="48">
        <v>0</v>
      </c>
      <c r="S565" s="202">
        <v>4792</v>
      </c>
      <c r="T565" s="202">
        <v>268</v>
      </c>
      <c r="U565" s="47"/>
      <c r="V565" s="49"/>
      <c r="Y565" s="41" t="s">
        <v>99</v>
      </c>
      <c r="Z565" s="42">
        <v>0</v>
      </c>
      <c r="AA565" s="40">
        <v>0</v>
      </c>
      <c r="AB565" s="67">
        <v>0</v>
      </c>
      <c r="AC565" s="43">
        <v>0</v>
      </c>
      <c r="AD565" s="56">
        <v>0</v>
      </c>
      <c r="AE565" s="42">
        <v>0</v>
      </c>
      <c r="AF565" s="40">
        <v>4785</v>
      </c>
      <c r="AG565" s="41">
        <v>0</v>
      </c>
      <c r="AH565" s="67">
        <v>4</v>
      </c>
      <c r="AI565" s="28" t="s">
        <v>1317</v>
      </c>
      <c r="AJ565" s="40"/>
      <c r="AM565" s="138" t="s">
        <v>56</v>
      </c>
      <c r="AN565" s="212">
        <v>43</v>
      </c>
      <c r="AO565" s="141">
        <v>14</v>
      </c>
      <c r="AP565" s="138"/>
      <c r="AQ565" s="141"/>
      <c r="AR565" s="138"/>
      <c r="AS565" s="43" t="s">
        <v>1851</v>
      </c>
      <c r="AT565" s="43"/>
      <c r="AU565" s="43"/>
      <c r="AV565" s="141"/>
      <c r="AY565" s="142" t="s">
        <v>84</v>
      </c>
      <c r="AZ565" s="138">
        <v>417</v>
      </c>
      <c r="BA565" s="28">
        <v>534</v>
      </c>
      <c r="BB565" s="138">
        <v>0</v>
      </c>
      <c r="BC565" s="43">
        <v>0</v>
      </c>
      <c r="BD565" s="209">
        <v>0</v>
      </c>
      <c r="BE565" s="143">
        <v>0</v>
      </c>
      <c r="BF565" s="146">
        <v>0</v>
      </c>
      <c r="BG565" s="43">
        <v>35</v>
      </c>
      <c r="BH565" s="43" t="s">
        <v>1292</v>
      </c>
      <c r="BI565" s="146">
        <v>49</v>
      </c>
      <c r="BJ565" s="28"/>
    </row>
    <row r="566" spans="1:62" x14ac:dyDescent="0.3">
      <c r="A566" s="287" t="s">
        <v>181</v>
      </c>
      <c r="B566" s="135">
        <v>3818</v>
      </c>
      <c r="C566" s="135">
        <v>4499</v>
      </c>
      <c r="D566" s="134">
        <v>0</v>
      </c>
      <c r="E566" s="243">
        <v>0</v>
      </c>
      <c r="F566" s="136">
        <v>0</v>
      </c>
      <c r="G566" s="134">
        <v>1</v>
      </c>
      <c r="H566" s="278" t="s">
        <v>182</v>
      </c>
      <c r="I566" s="135"/>
      <c r="J566" s="279"/>
      <c r="Y566" s="41" t="s">
        <v>174</v>
      </c>
      <c r="Z566" s="42">
        <v>0</v>
      </c>
      <c r="AA566" s="40">
        <v>0</v>
      </c>
      <c r="AB566" s="67">
        <v>0</v>
      </c>
      <c r="AC566" s="43">
        <v>0</v>
      </c>
      <c r="AD566" s="56">
        <v>0</v>
      </c>
      <c r="AE566" s="42">
        <v>35391</v>
      </c>
      <c r="AF566" s="40">
        <v>0</v>
      </c>
      <c r="AG566" s="41">
        <v>0</v>
      </c>
      <c r="AH566" s="67"/>
      <c r="AI566" s="43"/>
      <c r="AJ566" s="40"/>
      <c r="AM566" s="138" t="s">
        <v>67</v>
      </c>
      <c r="AN566" s="212">
        <v>22</v>
      </c>
      <c r="AO566" s="141">
        <v>17</v>
      </c>
      <c r="AP566" s="138"/>
      <c r="AQ566" s="141"/>
      <c r="AR566" s="138"/>
      <c r="AS566" s="43" t="s">
        <v>2108</v>
      </c>
      <c r="AT566" s="43"/>
      <c r="AU566" s="43"/>
      <c r="AV566" s="141"/>
      <c r="AY566" s="134" t="s">
        <v>214</v>
      </c>
      <c r="AZ566" s="240">
        <v>3</v>
      </c>
      <c r="BA566" s="135">
        <v>18</v>
      </c>
      <c r="BB566" s="134"/>
      <c r="BC566" s="243"/>
      <c r="BD566" s="381"/>
      <c r="BE566" s="135"/>
      <c r="BF566" s="136"/>
      <c r="BG566" s="134" t="s">
        <v>140</v>
      </c>
      <c r="BH566" s="135"/>
      <c r="BI566" s="136"/>
      <c r="BJ566" s="28"/>
    </row>
    <row r="567" spans="1:62" ht="15" thickBot="1" x14ac:dyDescent="0.35">
      <c r="A567" s="288"/>
      <c r="B567" s="28"/>
      <c r="C567" s="28"/>
      <c r="D567" s="138"/>
      <c r="E567" s="38"/>
      <c r="F567" s="141"/>
      <c r="G567" s="138"/>
      <c r="H567" s="42"/>
      <c r="I567" s="28"/>
      <c r="J567" s="40"/>
      <c r="Y567" s="62" t="s">
        <v>84</v>
      </c>
      <c r="Z567" s="47">
        <v>0</v>
      </c>
      <c r="AA567" s="49">
        <v>0</v>
      </c>
      <c r="AB567" s="47">
        <v>0</v>
      </c>
      <c r="AC567" s="48">
        <v>0</v>
      </c>
      <c r="AD567" s="49">
        <v>0</v>
      </c>
      <c r="AE567" s="47">
        <v>35391</v>
      </c>
      <c r="AF567" s="49">
        <v>4785</v>
      </c>
      <c r="AG567" s="46">
        <v>0</v>
      </c>
      <c r="AH567" s="47"/>
      <c r="AI567" s="48"/>
      <c r="AJ567" s="49">
        <v>4</v>
      </c>
      <c r="AM567" s="138" t="s">
        <v>115</v>
      </c>
      <c r="AN567" s="212">
        <v>5</v>
      </c>
      <c r="AO567" s="141">
        <v>9</v>
      </c>
      <c r="AP567" s="138"/>
      <c r="AQ567" s="141"/>
      <c r="AR567" s="138"/>
      <c r="AS567" s="43" t="s">
        <v>345</v>
      </c>
      <c r="AT567" s="43"/>
      <c r="AU567" s="43"/>
      <c r="AV567" s="141"/>
      <c r="AY567" s="138" t="s">
        <v>852</v>
      </c>
      <c r="AZ567" s="212">
        <v>0</v>
      </c>
      <c r="BA567" s="43">
        <v>0</v>
      </c>
      <c r="BB567" s="138"/>
      <c r="BC567" s="43"/>
      <c r="BD567" s="141"/>
      <c r="BE567" s="43"/>
      <c r="BF567" s="141"/>
      <c r="BG567" s="138"/>
      <c r="BH567" s="28"/>
      <c r="BI567" s="141"/>
      <c r="BJ567" s="28"/>
    </row>
    <row r="568" spans="1:62" x14ac:dyDescent="0.3">
      <c r="A568" s="288" t="s">
        <v>84</v>
      </c>
      <c r="B568" s="28">
        <v>3818</v>
      </c>
      <c r="C568" s="43">
        <v>4499</v>
      </c>
      <c r="D568" s="138">
        <v>0</v>
      </c>
      <c r="E568" s="38">
        <v>0</v>
      </c>
      <c r="F568" s="141">
        <v>0</v>
      </c>
      <c r="G568" s="138"/>
      <c r="H568" s="42">
        <v>31</v>
      </c>
      <c r="I568" s="28" t="s">
        <v>101</v>
      </c>
      <c r="J568" s="40"/>
      <c r="Y568" s="32" t="s">
        <v>99</v>
      </c>
      <c r="Z568" s="33">
        <v>0</v>
      </c>
      <c r="AA568" s="35"/>
      <c r="AB568" s="33">
        <v>0</v>
      </c>
      <c r="AC568" s="34">
        <v>0</v>
      </c>
      <c r="AD568" s="35">
        <v>0</v>
      </c>
      <c r="AE568" s="33">
        <v>140119</v>
      </c>
      <c r="AF568" s="35">
        <v>18381</v>
      </c>
      <c r="AG568" s="32">
        <v>0</v>
      </c>
      <c r="AH568" s="33" t="s">
        <v>157</v>
      </c>
      <c r="AI568" s="34"/>
      <c r="AJ568" s="35"/>
      <c r="AM568" s="138" t="s">
        <v>81</v>
      </c>
      <c r="AN568" s="212">
        <v>0</v>
      </c>
      <c r="AO568" s="141">
        <v>9</v>
      </c>
      <c r="AP568" s="138"/>
      <c r="AQ568" s="141"/>
      <c r="AR568" s="138"/>
      <c r="AS568" s="43" t="s">
        <v>814</v>
      </c>
      <c r="AT568" s="43"/>
      <c r="AU568" s="43"/>
      <c r="AV568" s="141"/>
      <c r="AY568" s="138" t="s">
        <v>596</v>
      </c>
      <c r="AZ568" s="212">
        <v>5</v>
      </c>
      <c r="BA568" s="43">
        <v>2</v>
      </c>
      <c r="BB568" s="138"/>
      <c r="BC568" s="43"/>
      <c r="BD568" s="141"/>
      <c r="BE568" s="43"/>
      <c r="BF568" s="141"/>
      <c r="BG568" s="138"/>
      <c r="BH568" s="28"/>
      <c r="BI568" s="141"/>
      <c r="BJ568" s="28"/>
    </row>
    <row r="569" spans="1:62" ht="15" thickBot="1" x14ac:dyDescent="0.35">
      <c r="A569" s="289"/>
      <c r="B569" s="48"/>
      <c r="C569" s="48"/>
      <c r="D569" s="202"/>
      <c r="E569" s="48"/>
      <c r="F569" s="203"/>
      <c r="G569" s="202"/>
      <c r="H569" s="47"/>
      <c r="I569" s="51"/>
      <c r="J569" s="49">
        <v>31</v>
      </c>
      <c r="Y569" s="41" t="s">
        <v>95</v>
      </c>
      <c r="Z569" s="42">
        <v>0</v>
      </c>
      <c r="AA569" s="56">
        <v>0</v>
      </c>
      <c r="AB569" s="67">
        <v>0</v>
      </c>
      <c r="AC569" s="43">
        <v>0</v>
      </c>
      <c r="AD569" s="56">
        <v>0</v>
      </c>
      <c r="AE569" s="42">
        <v>0</v>
      </c>
      <c r="AF569" s="56">
        <v>362</v>
      </c>
      <c r="AG569" s="41">
        <v>0</v>
      </c>
      <c r="AH569" s="67">
        <v>15</v>
      </c>
      <c r="AI569" s="28" t="s">
        <v>61</v>
      </c>
      <c r="AJ569" s="40"/>
      <c r="AM569" s="138" t="s">
        <v>63</v>
      </c>
      <c r="AN569" s="138">
        <v>15</v>
      </c>
      <c r="AO569" s="141">
        <v>1</v>
      </c>
      <c r="AP569" s="138"/>
      <c r="AQ569" s="141"/>
      <c r="AR569" s="138"/>
      <c r="AS569" s="220" t="s">
        <v>2109</v>
      </c>
      <c r="AT569" s="43"/>
      <c r="AU569" s="371"/>
      <c r="AV569" s="141"/>
      <c r="AY569" s="138" t="s">
        <v>169</v>
      </c>
      <c r="AZ569" s="212">
        <v>0</v>
      </c>
      <c r="BA569" s="43">
        <v>2</v>
      </c>
      <c r="BB569" s="382"/>
      <c r="BC569" s="43"/>
      <c r="BD569" s="141"/>
      <c r="BE569" s="43"/>
      <c r="BF569" s="141"/>
      <c r="BG569" s="212" t="s">
        <v>142</v>
      </c>
      <c r="BH569" s="43"/>
      <c r="BI569" s="209" t="s">
        <v>1414</v>
      </c>
      <c r="BJ569" s="28"/>
    </row>
    <row r="570" spans="1:62" ht="15" thickBot="1" x14ac:dyDescent="0.35">
      <c r="A570" s="254" t="s">
        <v>84</v>
      </c>
      <c r="B570" s="274">
        <v>66784</v>
      </c>
      <c r="C570" s="172">
        <v>74850</v>
      </c>
      <c r="D570" s="275">
        <v>0</v>
      </c>
      <c r="E570" s="210">
        <v>3343</v>
      </c>
      <c r="F570" s="253">
        <v>0</v>
      </c>
      <c r="G570" s="171">
        <v>8</v>
      </c>
      <c r="H570" s="171"/>
      <c r="I570" s="170"/>
      <c r="J570" s="172">
        <v>540</v>
      </c>
      <c r="Y570" s="41" t="s">
        <v>1547</v>
      </c>
      <c r="Z570" s="42">
        <v>0</v>
      </c>
      <c r="AA570" s="56"/>
      <c r="AB570" s="67">
        <v>0</v>
      </c>
      <c r="AC570" s="43">
        <v>0</v>
      </c>
      <c r="AD570" s="56">
        <v>0</v>
      </c>
      <c r="AE570" s="42">
        <v>0</v>
      </c>
      <c r="AF570" s="56">
        <v>326</v>
      </c>
      <c r="AG570" s="41">
        <v>0</v>
      </c>
      <c r="AH570" s="42"/>
      <c r="AI570" s="28"/>
      <c r="AJ570" s="40"/>
      <c r="AM570" s="138" t="s">
        <v>84</v>
      </c>
      <c r="AN570" s="138">
        <v>179</v>
      </c>
      <c r="AO570" s="141">
        <v>186</v>
      </c>
      <c r="AP570" s="138"/>
      <c r="AQ570" s="141"/>
      <c r="AR570" s="142"/>
      <c r="AS570" s="224" t="s">
        <v>803</v>
      </c>
      <c r="AT570" s="224"/>
      <c r="AU570" s="143"/>
      <c r="AV570" s="146">
        <v>133</v>
      </c>
      <c r="AY570" s="138" t="s">
        <v>211</v>
      </c>
      <c r="AZ570" s="212">
        <v>0</v>
      </c>
      <c r="BA570" s="43">
        <v>0</v>
      </c>
      <c r="BB570" s="268"/>
      <c r="BC570" s="255"/>
      <c r="BD570" s="141"/>
      <c r="BE570" s="43"/>
      <c r="BF570" s="141"/>
      <c r="BG570" s="212" t="s">
        <v>146</v>
      </c>
      <c r="BH570" s="43"/>
      <c r="BI570" s="372" t="s">
        <v>2083</v>
      </c>
      <c r="BJ570" s="28"/>
    </row>
    <row r="571" spans="1:62" ht="15" thickBot="1" x14ac:dyDescent="0.35">
      <c r="Y571" s="68" t="s">
        <v>85</v>
      </c>
      <c r="Z571" s="42">
        <v>0</v>
      </c>
      <c r="AA571" s="56">
        <v>0</v>
      </c>
      <c r="AB571" s="42">
        <v>0</v>
      </c>
      <c r="AC571" s="43">
        <v>0</v>
      </c>
      <c r="AD571" s="40">
        <v>0</v>
      </c>
      <c r="AE571" s="42">
        <v>0</v>
      </c>
      <c r="AF571" s="56">
        <v>847</v>
      </c>
      <c r="AG571" s="41">
        <v>0</v>
      </c>
      <c r="AH571" s="42"/>
      <c r="AI571" s="43"/>
      <c r="AJ571" s="40"/>
      <c r="AM571" s="171" t="s">
        <v>84</v>
      </c>
      <c r="AN571" s="171">
        <v>2213</v>
      </c>
      <c r="AO571" s="172">
        <v>2032</v>
      </c>
      <c r="AP571" s="170"/>
      <c r="AQ571" s="172"/>
      <c r="AR571" s="48"/>
      <c r="AS571" s="48"/>
      <c r="AT571" s="48"/>
      <c r="AU571" s="48"/>
      <c r="AV571" s="49">
        <v>359</v>
      </c>
      <c r="AY571" s="138" t="s">
        <v>113</v>
      </c>
      <c r="AZ571" s="212">
        <v>56</v>
      </c>
      <c r="BA571" s="43">
        <v>47</v>
      </c>
      <c r="BB571" s="268"/>
      <c r="BC571" s="43"/>
      <c r="BD571" s="141"/>
      <c r="BE571" s="43"/>
      <c r="BF571" s="141"/>
      <c r="BG571" s="212"/>
      <c r="BH571" s="43"/>
      <c r="BI571" s="209"/>
      <c r="BJ571" s="28"/>
    </row>
    <row r="572" spans="1:62" x14ac:dyDescent="0.3">
      <c r="V572" s="184"/>
      <c r="Y572" s="68" t="s">
        <v>174</v>
      </c>
      <c r="Z572" s="42">
        <v>0</v>
      </c>
      <c r="AA572" s="56">
        <v>0</v>
      </c>
      <c r="AB572" s="67">
        <v>0</v>
      </c>
      <c r="AC572" s="43">
        <v>0</v>
      </c>
      <c r="AD572" s="56">
        <v>0</v>
      </c>
      <c r="AE572" s="42">
        <v>0</v>
      </c>
      <c r="AF572" s="56">
        <v>14204</v>
      </c>
      <c r="AG572" s="41">
        <v>0</v>
      </c>
      <c r="AH572" s="67"/>
      <c r="AI572" s="28"/>
      <c r="AJ572" s="40"/>
      <c r="AM572" s="28"/>
      <c r="AN572" s="28"/>
      <c r="AO572" s="28"/>
      <c r="AP572" s="28"/>
      <c r="AQ572" s="28"/>
      <c r="AR572" s="28"/>
      <c r="AS572" s="43"/>
      <c r="AT572" s="43"/>
      <c r="AU572" s="28"/>
      <c r="AV572" s="28"/>
      <c r="AY572" s="138" t="s">
        <v>1041</v>
      </c>
      <c r="AZ572" s="212">
        <v>0</v>
      </c>
      <c r="BA572" s="43">
        <v>0</v>
      </c>
      <c r="BB572" s="268"/>
      <c r="BC572" s="43">
        <v>8</v>
      </c>
      <c r="BD572" s="141"/>
      <c r="BE572" s="43"/>
      <c r="BF572" s="141"/>
      <c r="BG572" s="212" t="s">
        <v>151</v>
      </c>
      <c r="BH572" s="43"/>
      <c r="BI572" s="209"/>
      <c r="BJ572" s="28"/>
    </row>
    <row r="573" spans="1:62" x14ac:dyDescent="0.3">
      <c r="Y573" s="68" t="s">
        <v>133</v>
      </c>
      <c r="Z573" s="67">
        <v>0</v>
      </c>
      <c r="AA573" s="56">
        <v>0</v>
      </c>
      <c r="AB573" s="42">
        <v>0</v>
      </c>
      <c r="AC573" s="43">
        <v>0</v>
      </c>
      <c r="AD573" s="40">
        <v>0</v>
      </c>
      <c r="AE573" s="67">
        <v>0</v>
      </c>
      <c r="AF573" s="56">
        <v>13374</v>
      </c>
      <c r="AG573" s="41">
        <v>0</v>
      </c>
      <c r="AH573" s="42"/>
      <c r="AI573" s="28"/>
      <c r="AJ573" s="40"/>
      <c r="AM573" s="28"/>
      <c r="AN573" s="28"/>
      <c r="AO573" s="28"/>
      <c r="AP573" s="28"/>
      <c r="AQ573" s="28"/>
      <c r="AR573" s="28"/>
      <c r="AS573" s="220"/>
      <c r="AT573" s="220"/>
      <c r="AU573" s="28"/>
      <c r="AV573" s="28"/>
      <c r="AY573" s="138" t="s">
        <v>218</v>
      </c>
      <c r="AZ573" s="212">
        <v>26</v>
      </c>
      <c r="BA573" s="43">
        <v>30</v>
      </c>
      <c r="BB573" s="268"/>
      <c r="BC573" s="43"/>
      <c r="BD573" s="141"/>
      <c r="BE573" s="43"/>
      <c r="BF573" s="141"/>
      <c r="BG573" s="333" t="s">
        <v>802</v>
      </c>
      <c r="BH573" s="222" t="s">
        <v>180</v>
      </c>
      <c r="BI573" s="209" t="s">
        <v>2110</v>
      </c>
      <c r="BJ573" s="28"/>
    </row>
    <row r="574" spans="1:62" x14ac:dyDescent="0.3">
      <c r="Y574" s="68" t="s">
        <v>105</v>
      </c>
      <c r="Z574" s="67">
        <v>0</v>
      </c>
      <c r="AA574" s="56"/>
      <c r="AB574" s="67">
        <v>0</v>
      </c>
      <c r="AC574" s="43">
        <v>0</v>
      </c>
      <c r="AD574" s="56">
        <v>0</v>
      </c>
      <c r="AE574" s="67">
        <v>12439</v>
      </c>
      <c r="AF574" s="56">
        <v>8300</v>
      </c>
      <c r="AG574" s="41">
        <v>0</v>
      </c>
      <c r="AH574" s="67"/>
      <c r="AI574" s="28"/>
      <c r="AJ574" s="40"/>
      <c r="AM574" s="28"/>
      <c r="AN574" s="28"/>
      <c r="AO574" s="28"/>
      <c r="AP574" s="28"/>
      <c r="AQ574" s="28"/>
      <c r="AR574" s="28"/>
      <c r="AS574" s="43"/>
      <c r="AT574" s="43"/>
      <c r="AU574" s="28"/>
      <c r="AV574" s="28"/>
      <c r="AY574" s="138" t="s">
        <v>97</v>
      </c>
      <c r="AZ574" s="212">
        <v>0</v>
      </c>
      <c r="BA574" s="43">
        <v>2</v>
      </c>
      <c r="BB574" s="268"/>
      <c r="BC574" s="43"/>
      <c r="BD574" s="141"/>
      <c r="BE574" s="43"/>
      <c r="BF574" s="141"/>
      <c r="BG574" s="212" t="s">
        <v>1733</v>
      </c>
      <c r="BH574" s="220" t="s">
        <v>2111</v>
      </c>
      <c r="BI574" s="209"/>
      <c r="BJ574" s="28"/>
    </row>
    <row r="575" spans="1:62" x14ac:dyDescent="0.3">
      <c r="Y575" s="68" t="s">
        <v>108</v>
      </c>
      <c r="Z575" s="42">
        <v>0</v>
      </c>
      <c r="AA575" s="40">
        <v>0</v>
      </c>
      <c r="AB575" s="42">
        <v>0</v>
      </c>
      <c r="AC575" s="43">
        <v>0</v>
      </c>
      <c r="AD575" s="40">
        <v>0</v>
      </c>
      <c r="AE575" s="42">
        <v>28153</v>
      </c>
      <c r="AF575" s="40">
        <v>26754</v>
      </c>
      <c r="AG575" s="41">
        <v>0</v>
      </c>
      <c r="AH575" s="42"/>
      <c r="AI575" s="28"/>
      <c r="AJ575" s="40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Y575" s="138" t="s">
        <v>523</v>
      </c>
      <c r="AZ575" s="212">
        <v>0</v>
      </c>
      <c r="BA575" s="43">
        <v>1</v>
      </c>
      <c r="BB575" s="268"/>
      <c r="BC575" s="43"/>
      <c r="BD575" s="141"/>
      <c r="BE575" s="43"/>
      <c r="BF575" s="141"/>
      <c r="BG575" s="212" t="s">
        <v>943</v>
      </c>
      <c r="BH575" s="43" t="s">
        <v>803</v>
      </c>
      <c r="BI575" s="209"/>
      <c r="BJ575" s="28"/>
    </row>
    <row r="576" spans="1:62" x14ac:dyDescent="0.3">
      <c r="Y576" s="68" t="s">
        <v>445</v>
      </c>
      <c r="Z576" s="42">
        <v>0</v>
      </c>
      <c r="AA576" s="40">
        <v>0</v>
      </c>
      <c r="AB576" s="42">
        <v>0</v>
      </c>
      <c r="AC576" s="43">
        <v>0</v>
      </c>
      <c r="AD576" s="40">
        <v>0</v>
      </c>
      <c r="AE576" s="42">
        <v>5863</v>
      </c>
      <c r="AF576" s="40">
        <v>0</v>
      </c>
      <c r="AG576" s="41">
        <v>0</v>
      </c>
      <c r="AH576" s="42"/>
      <c r="AI576" s="28"/>
      <c r="AJ576" s="40"/>
      <c r="AS576" s="43"/>
      <c r="AT576" s="43"/>
      <c r="AU576" s="43"/>
      <c r="AV576" s="28"/>
      <c r="AY576" s="138" t="s">
        <v>99</v>
      </c>
      <c r="AZ576" s="212">
        <v>0</v>
      </c>
      <c r="BA576" s="43">
        <v>2</v>
      </c>
      <c r="BB576" s="268"/>
      <c r="BC576" s="270"/>
      <c r="BD576" s="141"/>
      <c r="BE576" s="43"/>
      <c r="BF576" s="141"/>
      <c r="BG576" s="212" t="s">
        <v>207</v>
      </c>
      <c r="BH576" s="43" t="s">
        <v>2112</v>
      </c>
      <c r="BI576" s="209"/>
      <c r="BJ576" s="28"/>
    </row>
    <row r="577" spans="25:62" ht="15" thickBot="1" x14ac:dyDescent="0.35">
      <c r="Y577" s="62" t="s">
        <v>84</v>
      </c>
      <c r="Z577" s="47">
        <v>0</v>
      </c>
      <c r="AA577" s="49">
        <v>0</v>
      </c>
      <c r="AB577" s="47">
        <v>0</v>
      </c>
      <c r="AC577" s="51">
        <v>0</v>
      </c>
      <c r="AD577" s="49"/>
      <c r="AE577" s="47">
        <v>186574</v>
      </c>
      <c r="AF577" s="49">
        <v>82548</v>
      </c>
      <c r="AG577" s="46">
        <v>0</v>
      </c>
      <c r="AH577" s="47"/>
      <c r="AI577" s="48"/>
      <c r="AJ577" s="49">
        <v>15</v>
      </c>
      <c r="AS577" s="28"/>
      <c r="AT577" s="43"/>
      <c r="AU577" s="43"/>
      <c r="AV577" s="28"/>
      <c r="AY577" s="138" t="s">
        <v>250</v>
      </c>
      <c r="AZ577" s="212">
        <v>0</v>
      </c>
      <c r="BA577" s="43">
        <v>1</v>
      </c>
      <c r="BB577" s="268"/>
      <c r="BC577" s="43"/>
      <c r="BD577" s="141"/>
      <c r="BE577" s="43"/>
      <c r="BF577" s="141"/>
      <c r="BG577" s="212" t="s">
        <v>734</v>
      </c>
      <c r="BH577" s="43" t="s">
        <v>309</v>
      </c>
      <c r="BI577" s="209"/>
      <c r="BJ577" s="28"/>
    </row>
    <row r="578" spans="25:62" x14ac:dyDescent="0.3">
      <c r="Y578" s="32"/>
      <c r="Z578" s="33"/>
      <c r="AA578" s="35"/>
      <c r="AB578" s="33"/>
      <c r="AC578" s="123"/>
      <c r="AD578" s="35"/>
      <c r="AE578" s="33"/>
      <c r="AF578" s="35"/>
      <c r="AG578" s="32"/>
      <c r="AH578" s="33" t="s">
        <v>1326</v>
      </c>
      <c r="AI578" s="34"/>
      <c r="AJ578" s="35"/>
      <c r="AS578" s="43"/>
      <c r="AT578" s="43"/>
      <c r="AU578" s="43"/>
      <c r="AV578" s="28"/>
      <c r="AY578" s="138" t="s">
        <v>200</v>
      </c>
      <c r="AZ578" s="212">
        <v>4</v>
      </c>
      <c r="BA578" s="43">
        <v>5</v>
      </c>
      <c r="BB578" s="268"/>
      <c r="BC578" s="43">
        <v>2</v>
      </c>
      <c r="BD578" s="141"/>
      <c r="BE578" s="43"/>
      <c r="BF578" s="141"/>
      <c r="BG578" s="212" t="s">
        <v>725</v>
      </c>
      <c r="BH578" s="222" t="s">
        <v>325</v>
      </c>
      <c r="BI578" s="209"/>
      <c r="BJ578" s="28"/>
    </row>
    <row r="579" spans="25:62" x14ac:dyDescent="0.3">
      <c r="Y579" s="41" t="s">
        <v>102</v>
      </c>
      <c r="Z579" s="42">
        <v>495</v>
      </c>
      <c r="AA579" s="40">
        <v>571</v>
      </c>
      <c r="AB579" s="67">
        <v>0</v>
      </c>
      <c r="AC579" s="43">
        <v>0</v>
      </c>
      <c r="AD579" s="56">
        <v>0</v>
      </c>
      <c r="AE579" s="42">
        <v>0</v>
      </c>
      <c r="AF579" s="40">
        <v>0</v>
      </c>
      <c r="AG579" s="41"/>
      <c r="AH579">
        <v>9</v>
      </c>
      <c r="AI579" s="28" t="s">
        <v>145</v>
      </c>
      <c r="AJ579" s="40"/>
      <c r="AS579" s="43"/>
      <c r="AT579" s="28"/>
      <c r="AU579" s="28"/>
      <c r="AV579" s="28"/>
      <c r="AY579" s="138" t="s">
        <v>502</v>
      </c>
      <c r="AZ579" s="212">
        <v>4</v>
      </c>
      <c r="BA579" s="43">
        <v>0</v>
      </c>
      <c r="BB579" s="268"/>
      <c r="BC579" s="270"/>
      <c r="BD579" s="141"/>
      <c r="BE579" s="43"/>
      <c r="BF579" s="141"/>
      <c r="BG579" s="212" t="s">
        <v>513</v>
      </c>
      <c r="BH579" s="43" t="s">
        <v>2113</v>
      </c>
      <c r="BI579" s="373"/>
      <c r="BJ579" s="28"/>
    </row>
    <row r="580" spans="25:62" ht="15" thickBot="1" x14ac:dyDescent="0.35">
      <c r="Y580" s="46" t="s">
        <v>84</v>
      </c>
      <c r="Z580" s="47">
        <v>495</v>
      </c>
      <c r="AA580" s="49">
        <v>571</v>
      </c>
      <c r="AB580" s="47">
        <v>0</v>
      </c>
      <c r="AC580" s="48">
        <v>0</v>
      </c>
      <c r="AD580" s="49">
        <v>0</v>
      </c>
      <c r="AE580" s="47">
        <v>0</v>
      </c>
      <c r="AF580" s="49">
        <v>0</v>
      </c>
      <c r="AG580" s="46"/>
      <c r="AH580" s="67">
        <v>5</v>
      </c>
      <c r="AI580" s="48" t="s">
        <v>98</v>
      </c>
      <c r="AJ580" s="49">
        <v>14</v>
      </c>
      <c r="AS580" s="43"/>
      <c r="AT580" s="28"/>
      <c r="AU580" s="28"/>
      <c r="AV580" s="28"/>
      <c r="AY580" s="138" t="s">
        <v>139</v>
      </c>
      <c r="AZ580" s="212">
        <v>5</v>
      </c>
      <c r="BA580" s="43">
        <v>5</v>
      </c>
      <c r="BB580" s="268"/>
      <c r="BC580" s="270"/>
      <c r="BD580" s="141"/>
      <c r="BE580" s="43"/>
      <c r="BF580" s="141"/>
      <c r="BG580" s="212" t="s">
        <v>330</v>
      </c>
      <c r="BH580" s="43" t="s">
        <v>310</v>
      </c>
      <c r="BI580" s="209"/>
      <c r="BJ580" s="28"/>
    </row>
    <row r="581" spans="25:62" ht="15" thickBot="1" x14ac:dyDescent="0.35">
      <c r="Y581" s="254" t="s">
        <v>84</v>
      </c>
      <c r="Z581" s="171">
        <v>3541</v>
      </c>
      <c r="AA581" s="172">
        <v>3687</v>
      </c>
      <c r="AB581" s="271">
        <v>0</v>
      </c>
      <c r="AC581" s="170">
        <v>0</v>
      </c>
      <c r="AD581" s="172">
        <v>0</v>
      </c>
      <c r="AE581" s="47">
        <v>221965</v>
      </c>
      <c r="AF581" s="49">
        <v>87333</v>
      </c>
      <c r="AG581" s="46"/>
      <c r="AH581" s="291" t="s">
        <v>199</v>
      </c>
      <c r="AI581" s="170"/>
      <c r="AJ581" s="172">
        <v>55</v>
      </c>
      <c r="AQ581" s="28"/>
      <c r="AS581" s="43"/>
      <c r="AT581" s="28"/>
      <c r="AU581" s="28"/>
      <c r="AV581" s="28"/>
      <c r="AY581" s="138" t="s">
        <v>862</v>
      </c>
      <c r="AZ581" s="212">
        <v>0</v>
      </c>
      <c r="BA581" s="43">
        <v>0</v>
      </c>
      <c r="BB581" s="268"/>
      <c r="BC581" s="270"/>
      <c r="BD581" s="141"/>
      <c r="BE581" s="43"/>
      <c r="BF581" s="141"/>
      <c r="BG581" s="212" t="s">
        <v>345</v>
      </c>
      <c r="BH581" s="43" t="s">
        <v>2114</v>
      </c>
      <c r="BI581" s="209"/>
      <c r="BJ581" s="28"/>
    </row>
    <row r="582" spans="25:62" ht="15.6" x14ac:dyDescent="0.3">
      <c r="AQ582" s="28"/>
      <c r="AS582" s="43"/>
      <c r="AT582" s="43"/>
      <c r="AU582" s="43"/>
      <c r="AV582" s="28"/>
      <c r="AY582" s="374" t="s">
        <v>133</v>
      </c>
      <c r="AZ582" s="212">
        <v>3</v>
      </c>
      <c r="BA582" s="43">
        <v>12</v>
      </c>
      <c r="BB582" s="268"/>
      <c r="BC582" s="270"/>
      <c r="BD582" s="141"/>
      <c r="BE582" s="43"/>
      <c r="BF582" s="141"/>
      <c r="BG582" s="212" t="s">
        <v>1438</v>
      </c>
      <c r="BH582" s="258"/>
      <c r="BI582" s="373"/>
      <c r="BJ582" s="28"/>
    </row>
    <row r="583" spans="25:62" ht="15.6" x14ac:dyDescent="0.3">
      <c r="AE583" s="28"/>
      <c r="AO583" s="28"/>
      <c r="AQ583" s="28"/>
      <c r="AS583" s="43"/>
      <c r="AT583" s="28"/>
      <c r="AU583" s="28"/>
      <c r="AV583" s="28"/>
      <c r="AY583" s="138" t="s">
        <v>2115</v>
      </c>
      <c r="AZ583" s="212">
        <v>4</v>
      </c>
      <c r="BA583" s="43">
        <v>4</v>
      </c>
      <c r="BB583" s="268"/>
      <c r="BC583" s="270"/>
      <c r="BD583" s="141"/>
      <c r="BE583" s="43"/>
      <c r="BF583" s="141"/>
      <c r="BG583" s="212" t="s">
        <v>2116</v>
      </c>
      <c r="BH583" s="258"/>
      <c r="BI583" s="209"/>
      <c r="BJ583" s="28"/>
    </row>
    <row r="584" spans="25:62" x14ac:dyDescent="0.3">
      <c r="AO584" s="28"/>
      <c r="AQ584" s="28"/>
      <c r="AY584" s="138" t="s">
        <v>2117</v>
      </c>
      <c r="AZ584" s="212">
        <v>0</v>
      </c>
      <c r="BA584" s="43">
        <v>0</v>
      </c>
      <c r="BB584" s="268"/>
      <c r="BC584" s="270"/>
      <c r="BD584" s="141"/>
      <c r="BE584" s="43"/>
      <c r="BF584" s="141"/>
      <c r="BG584" s="212" t="s">
        <v>1098</v>
      </c>
      <c r="BH584" s="228"/>
      <c r="BI584" s="213"/>
      <c r="BJ584" s="28"/>
    </row>
    <row r="585" spans="25:62" ht="15.6" x14ac:dyDescent="0.3">
      <c r="AO585" s="28"/>
      <c r="AQ585" s="28"/>
      <c r="AY585" s="138" t="s">
        <v>220</v>
      </c>
      <c r="AZ585" s="212">
        <v>1</v>
      </c>
      <c r="BA585" s="43">
        <v>1</v>
      </c>
      <c r="BB585" s="268"/>
      <c r="BC585" s="270"/>
      <c r="BD585" s="141"/>
      <c r="BE585" s="43"/>
      <c r="BF585" s="141"/>
      <c r="BG585" s="138" t="s">
        <v>2118</v>
      </c>
      <c r="BH585" s="258"/>
      <c r="BI585" s="141"/>
      <c r="BJ585" s="28"/>
    </row>
    <row r="586" spans="25:62" ht="16.2" thickBot="1" x14ac:dyDescent="0.35">
      <c r="Y586" s="43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138" t="s">
        <v>93</v>
      </c>
      <c r="AZ586" s="263">
        <v>0</v>
      </c>
      <c r="BA586" s="143">
        <v>0</v>
      </c>
      <c r="BB586" s="375"/>
      <c r="BC586" s="376"/>
      <c r="BD586" s="146"/>
      <c r="BE586" s="224"/>
      <c r="BF586" s="146"/>
      <c r="BG586" s="138"/>
      <c r="BH586" s="258"/>
      <c r="BI586" s="141">
        <v>61</v>
      </c>
      <c r="BJ586" s="28"/>
    </row>
    <row r="587" spans="25:62" ht="15" thickBot="1" x14ac:dyDescent="0.35">
      <c r="Y587" s="28"/>
      <c r="Z587" s="28"/>
      <c r="AA587" s="28"/>
      <c r="AB587" s="28"/>
      <c r="AC587" s="43"/>
      <c r="AD587" s="28"/>
      <c r="AE587" s="28"/>
      <c r="AF587" s="28"/>
      <c r="AG587" s="28"/>
      <c r="AH587" s="28"/>
      <c r="AI587" s="28"/>
      <c r="AJ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43"/>
      <c r="AX587" s="28"/>
      <c r="AY587" s="271" t="s">
        <v>84</v>
      </c>
      <c r="AZ587" s="72">
        <v>111</v>
      </c>
      <c r="BA587" s="357">
        <v>132</v>
      </c>
      <c r="BB587" s="48" t="s">
        <v>84</v>
      </c>
      <c r="BC587" s="48">
        <v>10</v>
      </c>
      <c r="BD587" s="48">
        <v>0</v>
      </c>
      <c r="BE587" s="47">
        <v>77422</v>
      </c>
      <c r="BF587" s="49">
        <v>26000</v>
      </c>
      <c r="BG587" s="351"/>
      <c r="BH587" s="170"/>
      <c r="BI587" s="172">
        <v>388</v>
      </c>
      <c r="BJ587" s="28"/>
    </row>
    <row r="588" spans="25:62" x14ac:dyDescent="0.3">
      <c r="Y588" s="28"/>
      <c r="Z588" s="28"/>
      <c r="AA588" s="28"/>
      <c r="AB588" s="28"/>
      <c r="AC588" s="43"/>
      <c r="AD588" s="28"/>
      <c r="AE588" s="28"/>
      <c r="AF588" s="28"/>
      <c r="AG588" s="28"/>
      <c r="AH588" s="28"/>
      <c r="AI588" s="28"/>
      <c r="AJ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00" t="s">
        <v>223</v>
      </c>
      <c r="AZ588" s="295">
        <v>9641</v>
      </c>
      <c r="BA588" s="296">
        <v>9944</v>
      </c>
      <c r="BB588" s="297"/>
      <c r="BC588" s="34" t="s">
        <v>1503</v>
      </c>
      <c r="BD588" s="34"/>
      <c r="BE588" s="34"/>
      <c r="BF588" s="34"/>
      <c r="BG588" s="298">
        <v>983</v>
      </c>
      <c r="BH588" s="35"/>
      <c r="BI588" s="35"/>
      <c r="BJ588" s="28"/>
    </row>
    <row r="589" spans="25:62" ht="15" thickBot="1" x14ac:dyDescent="0.35">
      <c r="Y589" s="28"/>
      <c r="Z589" s="28"/>
      <c r="AA589" s="28"/>
      <c r="AB589" s="43"/>
      <c r="AC589" s="43"/>
      <c r="AD589" s="43"/>
      <c r="AE589" s="28"/>
      <c r="AF589" s="28"/>
      <c r="AG589" s="28"/>
      <c r="AH589" s="28"/>
      <c r="AI589" s="28"/>
      <c r="AJ589" s="28"/>
      <c r="AM589" s="28"/>
      <c r="AN589" s="28"/>
      <c r="AO589" s="28"/>
      <c r="AP589" s="28"/>
      <c r="AQ589" s="28"/>
      <c r="AR589" s="28"/>
      <c r="AS589" s="28"/>
      <c r="AT589" s="28"/>
      <c r="AU589" s="43"/>
      <c r="AV589" s="28"/>
      <c r="AW589" s="28"/>
      <c r="AX589" s="28"/>
      <c r="AY589" s="138" t="s">
        <v>1340</v>
      </c>
      <c r="AZ589" s="28"/>
      <c r="BA589" s="299">
        <v>61</v>
      </c>
      <c r="BB589" s="47"/>
      <c r="BC589" s="48" t="s">
        <v>1504</v>
      </c>
      <c r="BD589" s="48"/>
      <c r="BE589" s="48"/>
      <c r="BF589" s="48"/>
      <c r="BG589" s="300">
        <v>359</v>
      </c>
      <c r="BH589" s="301">
        <v>1342</v>
      </c>
      <c r="BI589" s="40"/>
      <c r="BJ589" s="28"/>
    </row>
    <row r="590" spans="25:62" ht="15" thickBot="1" x14ac:dyDescent="0.35">
      <c r="Y590" s="28"/>
      <c r="Z590" s="28"/>
      <c r="AA590" s="28"/>
      <c r="AB590" s="28"/>
      <c r="AC590" s="28"/>
      <c r="AD590" s="28"/>
      <c r="AE590" s="28"/>
      <c r="AF590" s="28"/>
      <c r="AG590" s="28"/>
      <c r="AH590" s="43"/>
      <c r="AI590" s="28"/>
      <c r="AJ590" s="28"/>
      <c r="AM590" s="28"/>
      <c r="AN590" s="28"/>
      <c r="AO590" s="28"/>
      <c r="AP590" s="28"/>
      <c r="AQ590" s="43"/>
      <c r="AR590" s="28"/>
      <c r="AS590" s="28"/>
      <c r="AT590" s="28"/>
      <c r="AU590" s="43"/>
      <c r="AV590" s="43"/>
      <c r="AW590" s="28"/>
      <c r="AX590" s="28"/>
      <c r="AY590" s="202" t="s">
        <v>229</v>
      </c>
      <c r="AZ590" s="48"/>
      <c r="BA590" s="302">
        <v>5</v>
      </c>
      <c r="BB590" s="28"/>
      <c r="BC590" s="28"/>
      <c r="BD590" s="28"/>
      <c r="BE590" s="28"/>
      <c r="BF590" s="42"/>
      <c r="BG590" s="28"/>
      <c r="BH590" s="42"/>
      <c r="BI590" s="40"/>
      <c r="BJ590" s="28"/>
    </row>
    <row r="591" spans="25:62" x14ac:dyDescent="0.3">
      <c r="Y591" s="28"/>
      <c r="Z591" s="28"/>
      <c r="AA591" s="28"/>
      <c r="AB591" s="43"/>
      <c r="AC591" s="28"/>
      <c r="AD591" s="28"/>
      <c r="AE591" s="28"/>
      <c r="AF591" s="28"/>
      <c r="AG591" s="28"/>
      <c r="AH591" s="43"/>
      <c r="AI591" s="28"/>
      <c r="AJ591" s="28"/>
      <c r="AM591" s="43"/>
      <c r="AN591" s="43"/>
      <c r="AO591" s="43"/>
      <c r="AP591" s="28"/>
      <c r="AQ591" s="43"/>
      <c r="AR591" s="28"/>
      <c r="AS591" s="28"/>
      <c r="AT591" s="28"/>
      <c r="AU591" s="43"/>
      <c r="AV591" s="43"/>
      <c r="AW591" s="43"/>
      <c r="AX591" s="28"/>
      <c r="AY591" s="200" t="s">
        <v>232</v>
      </c>
      <c r="AZ591" s="34"/>
      <c r="BA591" s="303" t="s">
        <v>233</v>
      </c>
      <c r="BB591" s="34"/>
      <c r="BC591" s="298">
        <v>2213</v>
      </c>
      <c r="BD591" s="35"/>
      <c r="BE591" s="33" t="s">
        <v>234</v>
      </c>
      <c r="BF591" s="34"/>
      <c r="BG591" s="34" t="s">
        <v>233</v>
      </c>
      <c r="BH591" s="34"/>
      <c r="BI591" s="304">
        <v>9641</v>
      </c>
      <c r="BJ591" s="28"/>
    </row>
    <row r="592" spans="25:62" ht="15" thickBot="1" x14ac:dyDescent="0.35">
      <c r="Y592" s="28"/>
      <c r="Z592" s="28"/>
      <c r="AA592" s="28"/>
      <c r="AB592" s="28"/>
      <c r="AC592" s="28"/>
      <c r="AD592" s="28"/>
      <c r="AE592" s="28"/>
      <c r="AF592" s="28"/>
      <c r="AG592" s="28"/>
      <c r="AH592" s="292"/>
      <c r="AI592" s="28"/>
      <c r="AJ592" s="28"/>
      <c r="AM592" s="28"/>
      <c r="AN592" s="28"/>
      <c r="AO592" s="28"/>
      <c r="AP592" s="28"/>
      <c r="AQ592" s="28"/>
      <c r="AR592" s="28"/>
      <c r="AS592" s="28"/>
      <c r="AT592" s="28"/>
      <c r="AU592" s="43"/>
      <c r="AV592" s="43"/>
      <c r="AW592" s="28"/>
      <c r="AX592" s="28"/>
      <c r="AY592" s="202"/>
      <c r="AZ592" s="48"/>
      <c r="BA592" s="48" t="s">
        <v>236</v>
      </c>
      <c r="BB592" s="48"/>
      <c r="BC592" s="300">
        <v>2032</v>
      </c>
      <c r="BD592" s="49"/>
      <c r="BE592" s="42"/>
      <c r="BF592" s="28"/>
      <c r="BG592" s="28" t="s">
        <v>236</v>
      </c>
      <c r="BH592" s="28"/>
      <c r="BI592" s="174">
        <v>9944</v>
      </c>
      <c r="BJ592" s="28"/>
    </row>
    <row r="593" spans="2:62" ht="15" thickBot="1" x14ac:dyDescent="0.35"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M593" s="28"/>
      <c r="AN593" s="28"/>
      <c r="AO593" s="28"/>
      <c r="AP593" s="28"/>
      <c r="AQ593" s="28"/>
      <c r="AR593" s="28"/>
      <c r="AS593" s="43"/>
      <c r="AT593" s="43"/>
      <c r="AU593" s="28"/>
      <c r="AV593" s="28"/>
      <c r="AW593" s="28"/>
      <c r="AX593" s="28"/>
      <c r="AY593" s="210" t="s">
        <v>238</v>
      </c>
      <c r="AZ593" s="170" t="s">
        <v>239</v>
      </c>
      <c r="BA593" s="172"/>
      <c r="BB593" s="171" t="s">
        <v>240</v>
      </c>
      <c r="BC593" s="170" t="s">
        <v>241</v>
      </c>
      <c r="BD593" s="170"/>
      <c r="BE593" s="171"/>
      <c r="BF593" s="170" t="s">
        <v>242</v>
      </c>
      <c r="BG593" s="305" t="s">
        <v>243</v>
      </c>
      <c r="BH593" s="170"/>
      <c r="BI593" s="172"/>
      <c r="BJ593" s="28"/>
    </row>
    <row r="594" spans="2:62" x14ac:dyDescent="0.3">
      <c r="Y594" s="28"/>
      <c r="Z594" s="28"/>
      <c r="AA594" s="28"/>
      <c r="AB594" s="28"/>
      <c r="AC594" s="28"/>
      <c r="AD594" s="28"/>
      <c r="AE594" s="28"/>
      <c r="AF594" s="28"/>
      <c r="AG594" s="28"/>
      <c r="AH594" s="292"/>
      <c r="AI594" s="28"/>
      <c r="AJ594" s="28"/>
      <c r="AM594" s="28"/>
      <c r="AN594" s="43"/>
      <c r="AO594" s="43"/>
      <c r="AP594" s="28"/>
      <c r="AQ594" s="43"/>
      <c r="AR594" s="28"/>
      <c r="AS594" s="43"/>
      <c r="AT594" s="43"/>
      <c r="AU594" s="28"/>
      <c r="AV594" s="28"/>
      <c r="AW594" s="28"/>
      <c r="AX594" s="28"/>
      <c r="AY594" s="200" t="s">
        <v>233</v>
      </c>
      <c r="AZ594" s="34"/>
      <c r="BA594" s="304">
        <v>66784</v>
      </c>
      <c r="BB594" s="306" t="s">
        <v>233</v>
      </c>
      <c r="BC594" s="28"/>
      <c r="BD594" s="174">
        <v>3541</v>
      </c>
      <c r="BE594" s="42" t="s">
        <v>233</v>
      </c>
      <c r="BF594" s="28"/>
      <c r="BG594" s="174">
        <v>13182</v>
      </c>
      <c r="BH594" s="28" t="s">
        <v>245</v>
      </c>
      <c r="BI594" s="174">
        <v>79966</v>
      </c>
      <c r="BJ594" s="28"/>
    </row>
    <row r="595" spans="2:62" ht="15" thickBot="1" x14ac:dyDescent="0.35">
      <c r="AM595" s="28"/>
      <c r="AN595" s="43"/>
      <c r="AO595" s="43"/>
      <c r="AP595" s="28"/>
      <c r="AQ595" s="43"/>
      <c r="AR595" s="28"/>
      <c r="AS595" s="43"/>
      <c r="AT595" s="43"/>
      <c r="AU595" s="28"/>
      <c r="AV595" s="43"/>
      <c r="AW595" s="43"/>
      <c r="AX595" s="28"/>
      <c r="AY595" s="202" t="s">
        <v>236</v>
      </c>
      <c r="AZ595" s="48"/>
      <c r="BA595" s="301">
        <v>74850</v>
      </c>
      <c r="BB595" s="307" t="s">
        <v>236</v>
      </c>
      <c r="BC595" s="48"/>
      <c r="BD595" s="301">
        <v>3687</v>
      </c>
      <c r="BE595" s="42" t="s">
        <v>236</v>
      </c>
      <c r="BF595" s="28"/>
      <c r="BG595" s="174">
        <v>13631</v>
      </c>
      <c r="BH595" s="28"/>
      <c r="BI595" s="174">
        <v>88481</v>
      </c>
      <c r="BJ595" s="140">
        <v>168447</v>
      </c>
    </row>
    <row r="596" spans="2:62" ht="15" thickBot="1" x14ac:dyDescent="0.35">
      <c r="Y596" s="28"/>
      <c r="Z596" s="28"/>
      <c r="AA596" s="28"/>
      <c r="AB596" s="43"/>
      <c r="AC596" s="43"/>
      <c r="AD596" s="43"/>
      <c r="AE596" s="28"/>
      <c r="AF596" s="28"/>
      <c r="AG596" s="28"/>
      <c r="AH596" s="43"/>
      <c r="AI596" s="28"/>
      <c r="AJ596" s="28"/>
      <c r="AM596" s="28"/>
      <c r="AN596" s="43"/>
      <c r="AO596" s="43"/>
      <c r="AP596" s="28"/>
      <c r="AQ596" s="43"/>
      <c r="AR596" s="28"/>
      <c r="AS596" s="43"/>
      <c r="AT596" s="43"/>
      <c r="AU596" s="28"/>
      <c r="AV596" s="43"/>
      <c r="AW596" s="43"/>
      <c r="AX596" s="28"/>
      <c r="AY596" s="377" t="s">
        <v>1505</v>
      </c>
      <c r="AZ596" s="170"/>
      <c r="BA596" s="272"/>
      <c r="BB596" s="271" t="s">
        <v>1506</v>
      </c>
      <c r="BC596" s="170"/>
      <c r="BD596" s="170"/>
      <c r="BE596" s="171"/>
      <c r="BF596" s="170" t="s">
        <v>1507</v>
      </c>
      <c r="BG596" s="170"/>
      <c r="BH596" s="170"/>
      <c r="BI596" s="308"/>
      <c r="BJ596" s="28"/>
    </row>
    <row r="597" spans="2:62" x14ac:dyDescent="0.3"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M597" s="28"/>
      <c r="AN597" s="43"/>
      <c r="AO597" s="43"/>
      <c r="AP597" s="28"/>
      <c r="AQ597" s="28"/>
      <c r="AR597" s="28"/>
      <c r="AS597" s="43"/>
      <c r="AT597" s="43"/>
      <c r="AU597" s="28"/>
      <c r="AV597" s="28"/>
      <c r="AW597" s="28"/>
      <c r="AX597" s="28"/>
      <c r="AY597" s="378" t="s">
        <v>43</v>
      </c>
      <c r="AZ597" s="34" t="s">
        <v>44</v>
      </c>
      <c r="BA597" s="309"/>
      <c r="BB597" s="123" t="s">
        <v>43</v>
      </c>
      <c r="BC597" s="123" t="s">
        <v>44</v>
      </c>
      <c r="BD597" s="35"/>
      <c r="BE597" s="34"/>
      <c r="BF597" s="298"/>
      <c r="BG597" s="298">
        <v>3353</v>
      </c>
      <c r="BH597" s="34"/>
      <c r="BI597" s="35"/>
      <c r="BJ597" s="28"/>
    </row>
    <row r="598" spans="2:62" ht="15" thickBot="1" x14ac:dyDescent="0.35">
      <c r="Y598" s="28"/>
      <c r="Z598" s="28"/>
      <c r="AA598" s="28"/>
      <c r="AB598" s="43"/>
      <c r="AC598" s="28"/>
      <c r="AD598" s="28"/>
      <c r="AE598" s="28"/>
      <c r="AF598" s="28"/>
      <c r="AG598" s="28"/>
      <c r="AH598" s="43"/>
      <c r="AI598" s="28"/>
      <c r="AJ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379">
        <v>264036</v>
      </c>
      <c r="AZ598" s="300">
        <v>156330</v>
      </c>
      <c r="BA598" s="311"/>
      <c r="BB598" s="312">
        <v>82214</v>
      </c>
      <c r="BC598" s="300">
        <v>26268</v>
      </c>
      <c r="BD598" s="49"/>
      <c r="BE598" s="48"/>
      <c r="BF598" s="48"/>
      <c r="BG598" s="48"/>
      <c r="BH598" s="48"/>
      <c r="BI598" s="49"/>
      <c r="BJ598" s="28"/>
    </row>
    <row r="604" spans="2:62" ht="21" x14ac:dyDescent="0.4">
      <c r="B604" s="261"/>
      <c r="C604" s="184"/>
      <c r="E604" s="329" t="s">
        <v>1873</v>
      </c>
      <c r="O604" s="261"/>
      <c r="P604" s="184"/>
      <c r="R604" s="329" t="s">
        <v>1873</v>
      </c>
      <c r="AA604" s="261"/>
      <c r="AB604" s="184"/>
      <c r="AD604" s="329" t="s">
        <v>1873</v>
      </c>
      <c r="AO604" s="261"/>
      <c r="AP604" s="184"/>
      <c r="AR604" s="329" t="s">
        <v>1873</v>
      </c>
      <c r="AY604" s="28" t="s">
        <v>6</v>
      </c>
      <c r="AZ604" s="28"/>
      <c r="BA604" s="261"/>
      <c r="BB604" s="184"/>
      <c r="BD604" s="329" t="s">
        <v>1873</v>
      </c>
      <c r="BH604" s="258"/>
      <c r="BI604" s="28"/>
      <c r="BJ604" s="28"/>
    </row>
    <row r="605" spans="2:62" x14ac:dyDescent="0.3">
      <c r="C605" t="s">
        <v>1443</v>
      </c>
      <c r="Q605" t="s">
        <v>1</v>
      </c>
      <c r="AC605" t="s">
        <v>1444</v>
      </c>
      <c r="AP605" s="408" t="s">
        <v>2119</v>
      </c>
      <c r="AQ605" s="408"/>
      <c r="AR605" s="408"/>
      <c r="AS605" s="408"/>
      <c r="BC605" t="s">
        <v>1445</v>
      </c>
      <c r="BF605" s="28"/>
      <c r="BG605" s="28"/>
      <c r="BH605" s="28"/>
      <c r="BI605" s="28"/>
      <c r="BJ605" s="28"/>
    </row>
    <row r="606" spans="2:62" x14ac:dyDescent="0.3">
      <c r="D606" t="s">
        <v>2</v>
      </c>
      <c r="Q606" s="408" t="s">
        <v>1286</v>
      </c>
      <c r="R606" s="408"/>
      <c r="S606" s="408"/>
      <c r="AC606" t="s">
        <v>9</v>
      </c>
      <c r="AQ606" s="408" t="s">
        <v>2120</v>
      </c>
      <c r="AR606" s="408"/>
      <c r="BD606" t="s">
        <v>2</v>
      </c>
      <c r="BF606" s="28"/>
      <c r="BG606" s="28"/>
      <c r="BH606" s="28"/>
      <c r="BI606" s="28"/>
      <c r="BJ606" s="28"/>
    </row>
    <row r="607" spans="2:62" x14ac:dyDescent="0.3">
      <c r="C607" t="s">
        <v>7</v>
      </c>
      <c r="P607" t="s">
        <v>1446</v>
      </c>
      <c r="AC607" t="s">
        <v>11</v>
      </c>
      <c r="AO607" s="408" t="s">
        <v>2073</v>
      </c>
      <c r="AP607" s="408"/>
      <c r="AQ607" s="408"/>
      <c r="AR607" s="408"/>
      <c r="AS607" s="408"/>
      <c r="AT607" s="408"/>
      <c r="BB607" t="s">
        <v>1451</v>
      </c>
      <c r="BF607" s="28"/>
      <c r="BG607" s="28"/>
      <c r="BH607" s="28"/>
      <c r="BI607" s="28"/>
      <c r="BJ607" s="28"/>
    </row>
    <row r="608" spans="2:62" x14ac:dyDescent="0.3">
      <c r="B608" s="408" t="s">
        <v>2121</v>
      </c>
      <c r="C608" s="408"/>
      <c r="D608" s="408"/>
      <c r="E608" s="408"/>
      <c r="F608" s="408"/>
      <c r="P608" s="408" t="s">
        <v>2122</v>
      </c>
      <c r="Q608" s="408"/>
      <c r="R608" s="408"/>
      <c r="S608" s="408"/>
      <c r="AC608" s="408" t="s">
        <v>2122</v>
      </c>
      <c r="AD608" s="408"/>
      <c r="AE608" s="408"/>
      <c r="AF608" s="408"/>
      <c r="AP608" s="408" t="s">
        <v>2122</v>
      </c>
      <c r="AQ608" s="408"/>
      <c r="AR608" s="408"/>
      <c r="AS608" s="408"/>
      <c r="AT608" s="408"/>
      <c r="BC608" s="408" t="s">
        <v>2122</v>
      </c>
      <c r="BD608" s="408"/>
      <c r="BE608" s="408"/>
      <c r="BF608" s="408"/>
      <c r="BJ608" s="28"/>
    </row>
    <row r="609" spans="1:62" ht="15" thickBot="1" x14ac:dyDescent="0.35">
      <c r="A609" s="344"/>
      <c r="B609" s="410" t="s">
        <v>2076</v>
      </c>
      <c r="C609" s="410"/>
      <c r="D609" s="410"/>
      <c r="E609" s="410"/>
      <c r="F609" s="410"/>
      <c r="G609" s="410"/>
      <c r="H609" s="344"/>
      <c r="I609" s="368" t="s">
        <v>949</v>
      </c>
      <c r="J609" s="344"/>
      <c r="N609" s="344"/>
      <c r="O609" s="410" t="s">
        <v>2076</v>
      </c>
      <c r="P609" s="410"/>
      <c r="Q609" s="410"/>
      <c r="R609" s="410"/>
      <c r="S609" s="410"/>
      <c r="T609" s="410"/>
      <c r="U609" s="410"/>
      <c r="V609" t="s">
        <v>15</v>
      </c>
      <c r="AA609" s="410" t="s">
        <v>2076</v>
      </c>
      <c r="AB609" s="410"/>
      <c r="AC609" s="410"/>
      <c r="AD609" s="410"/>
      <c r="AE609" s="410"/>
      <c r="AF609" s="410"/>
      <c r="AG609" s="410"/>
      <c r="AH609" s="410"/>
      <c r="AI609" s="28" t="s">
        <v>25</v>
      </c>
      <c r="AM609" s="328"/>
      <c r="AN609" s="328"/>
      <c r="AO609" s="328"/>
      <c r="AP609" s="328" t="s">
        <v>2076</v>
      </c>
      <c r="AQ609" s="328"/>
      <c r="AR609" s="328"/>
      <c r="AS609" s="328"/>
      <c r="AT609" s="328"/>
      <c r="AU609" s="328"/>
      <c r="AV609" s="194" t="s">
        <v>951</v>
      </c>
      <c r="AY609" s="344"/>
      <c r="AZ609" s="328"/>
      <c r="BA609" s="328"/>
      <c r="BB609" s="328"/>
      <c r="BC609" s="328" t="s">
        <v>2076</v>
      </c>
      <c r="BD609" s="328"/>
      <c r="BE609" s="328"/>
      <c r="BF609" s="328"/>
      <c r="BG609" s="328"/>
      <c r="BH609" s="328"/>
      <c r="BI609" s="369" t="s">
        <v>950</v>
      </c>
      <c r="BJ609" s="28"/>
    </row>
    <row r="610" spans="1:62" ht="15" thickBot="1" x14ac:dyDescent="0.35">
      <c r="A610" s="32" t="s">
        <v>17</v>
      </c>
      <c r="B610" s="34" t="s">
        <v>18</v>
      </c>
      <c r="C610" s="201"/>
      <c r="D610" s="34" t="s">
        <v>19</v>
      </c>
      <c r="E610" s="34"/>
      <c r="F610" s="34"/>
      <c r="G610" s="200"/>
      <c r="H610" s="33" t="s">
        <v>21</v>
      </c>
      <c r="I610" s="34"/>
      <c r="J610" s="35"/>
      <c r="M610" s="32" t="s">
        <v>17</v>
      </c>
      <c r="N610" s="33" t="s">
        <v>22</v>
      </c>
      <c r="O610" s="34"/>
      <c r="P610" s="34" t="s">
        <v>1452</v>
      </c>
      <c r="Q610" s="34" t="s">
        <v>1453</v>
      </c>
      <c r="R610" s="34"/>
      <c r="S610" s="34"/>
      <c r="T610" s="35"/>
      <c r="U610" s="33" t="s">
        <v>21</v>
      </c>
      <c r="V610" s="35"/>
      <c r="Y610" s="33" t="s">
        <v>34</v>
      </c>
      <c r="Z610" s="200" t="s">
        <v>35</v>
      </c>
      <c r="AA610" s="201"/>
      <c r="AB610" s="34" t="s">
        <v>1454</v>
      </c>
      <c r="AC610" s="34" t="s">
        <v>51</v>
      </c>
      <c r="AD610" s="34"/>
      <c r="AE610" s="200" t="s">
        <v>37</v>
      </c>
      <c r="AF610" s="201" t="s">
        <v>1288</v>
      </c>
      <c r="AG610" s="34" t="s">
        <v>30</v>
      </c>
      <c r="AH610" s="200" t="s">
        <v>38</v>
      </c>
      <c r="AI610" s="34"/>
      <c r="AJ610" s="35"/>
      <c r="AM610" s="134" t="s">
        <v>17</v>
      </c>
      <c r="AN610" s="134" t="s">
        <v>39</v>
      </c>
      <c r="AO610" s="136"/>
      <c r="AP610" s="134" t="s">
        <v>29</v>
      </c>
      <c r="AQ610" s="136" t="s">
        <v>30</v>
      </c>
      <c r="AR610" s="135" t="s">
        <v>40</v>
      </c>
      <c r="AS610" s="135"/>
      <c r="AT610" s="135"/>
      <c r="AU610" s="135"/>
      <c r="AV610" s="136"/>
      <c r="AY610" s="195" t="s">
        <v>17</v>
      </c>
      <c r="AZ610" s="134" t="s">
        <v>27</v>
      </c>
      <c r="BA610" s="135"/>
      <c r="BB610" s="134" t="s">
        <v>28</v>
      </c>
      <c r="BC610" s="135"/>
      <c r="BD610" s="136"/>
      <c r="BE610" s="134" t="s">
        <v>1459</v>
      </c>
      <c r="BF610" s="136"/>
      <c r="BG610" s="135" t="s">
        <v>31</v>
      </c>
      <c r="BH610" s="135"/>
      <c r="BI610" s="136"/>
      <c r="BJ610" s="28"/>
    </row>
    <row r="611" spans="1:62" ht="15" thickBot="1" x14ac:dyDescent="0.35">
      <c r="A611" s="41" t="s">
        <v>32</v>
      </c>
      <c r="B611" s="28"/>
      <c r="C611" s="141"/>
      <c r="D611" s="28"/>
      <c r="E611" s="28"/>
      <c r="F611" s="28"/>
      <c r="G611" s="138"/>
      <c r="H611" s="42" t="s">
        <v>33</v>
      </c>
      <c r="I611" s="28"/>
      <c r="J611" s="40"/>
      <c r="M611" s="41"/>
      <c r="N611" s="42" t="s">
        <v>1456</v>
      </c>
      <c r="O611" s="28"/>
      <c r="P611" s="28"/>
      <c r="Q611" s="28"/>
      <c r="R611" s="28"/>
      <c r="S611" s="28" t="s">
        <v>1457</v>
      </c>
      <c r="T611" s="40"/>
      <c r="U611" s="42" t="s">
        <v>33</v>
      </c>
      <c r="V611" s="40"/>
      <c r="Y611" s="47" t="s">
        <v>50</v>
      </c>
      <c r="Z611" s="202" t="s">
        <v>43</v>
      </c>
      <c r="AA611" s="48" t="s">
        <v>44</v>
      </c>
      <c r="AB611" s="276" t="s">
        <v>1458</v>
      </c>
      <c r="AC611" s="48" t="s">
        <v>46</v>
      </c>
      <c r="AD611" s="48" t="s">
        <v>52</v>
      </c>
      <c r="AE611" s="202" t="s">
        <v>43</v>
      </c>
      <c r="AF611" s="203" t="s">
        <v>44</v>
      </c>
      <c r="AG611" s="48" t="s">
        <v>43</v>
      </c>
      <c r="AH611" s="202" t="s">
        <v>53</v>
      </c>
      <c r="AI611" s="48"/>
      <c r="AJ611" s="49"/>
      <c r="AM611" s="138" t="s">
        <v>42</v>
      </c>
      <c r="AN611" s="138" t="s">
        <v>43</v>
      </c>
      <c r="AO611" s="141" t="s">
        <v>44</v>
      </c>
      <c r="AP611" s="138" t="s">
        <v>43</v>
      </c>
      <c r="AQ611" s="141" t="s">
        <v>44</v>
      </c>
      <c r="AR611" s="28"/>
      <c r="AS611" s="28"/>
      <c r="AT611" s="28"/>
      <c r="AU611" s="28"/>
      <c r="AV611" s="141"/>
      <c r="AY611" s="196"/>
      <c r="AZ611" s="138"/>
      <c r="BA611" s="28"/>
      <c r="BB611" s="138"/>
      <c r="BC611" s="28"/>
      <c r="BD611" s="141"/>
      <c r="BE611" s="138"/>
      <c r="BF611" s="141"/>
      <c r="BG611" s="28" t="s">
        <v>41</v>
      </c>
      <c r="BH611" s="28"/>
      <c r="BI611" s="141"/>
      <c r="BJ611" s="28"/>
    </row>
    <row r="612" spans="1:62" ht="15" thickBot="1" x14ac:dyDescent="0.35">
      <c r="A612" s="46" t="s">
        <v>42</v>
      </c>
      <c r="B612" s="171" t="s">
        <v>43</v>
      </c>
      <c r="C612" s="172" t="s">
        <v>44</v>
      </c>
      <c r="D612" s="170" t="s">
        <v>45</v>
      </c>
      <c r="E612" s="170" t="s">
        <v>46</v>
      </c>
      <c r="F612" s="170" t="s">
        <v>47</v>
      </c>
      <c r="G612" s="254" t="s">
        <v>1460</v>
      </c>
      <c r="H612" s="47" t="s">
        <v>49</v>
      </c>
      <c r="I612" s="48"/>
      <c r="J612" s="49"/>
      <c r="M612" s="46" t="s">
        <v>50</v>
      </c>
      <c r="N612" s="47" t="s">
        <v>43</v>
      </c>
      <c r="O612" s="48" t="s">
        <v>44</v>
      </c>
      <c r="P612" s="171" t="s">
        <v>51</v>
      </c>
      <c r="Q612" s="170" t="s">
        <v>43</v>
      </c>
      <c r="R612" s="172" t="s">
        <v>44</v>
      </c>
      <c r="S612" s="48" t="s">
        <v>43</v>
      </c>
      <c r="T612" s="49" t="s">
        <v>44</v>
      </c>
      <c r="U612" s="47" t="s">
        <v>49</v>
      </c>
      <c r="V612" s="49"/>
      <c r="Y612" s="33"/>
      <c r="Z612" s="33"/>
      <c r="AA612" s="35"/>
      <c r="AB612" s="34"/>
      <c r="AC612" s="34"/>
      <c r="AD612" s="34"/>
      <c r="AE612" s="33"/>
      <c r="AF612" s="35"/>
      <c r="AG612" s="32"/>
      <c r="AH612" s="33" t="s">
        <v>62</v>
      </c>
      <c r="AI612" s="34"/>
      <c r="AJ612" s="35"/>
      <c r="AM612" s="134"/>
      <c r="AN612" s="134"/>
      <c r="AO612" s="136"/>
      <c r="AP612" s="134"/>
      <c r="AQ612" s="136"/>
      <c r="AR612" s="135"/>
      <c r="AS612" s="135" t="s">
        <v>91</v>
      </c>
      <c r="AT612" s="135"/>
      <c r="AU612" s="135"/>
      <c r="AV612" s="136"/>
      <c r="AY612" s="199" t="s">
        <v>42</v>
      </c>
      <c r="AZ612" s="142" t="s">
        <v>43</v>
      </c>
      <c r="BA612" s="143" t="s">
        <v>44</v>
      </c>
      <c r="BB612" s="142" t="s">
        <v>45</v>
      </c>
      <c r="BC612" s="143" t="s">
        <v>46</v>
      </c>
      <c r="BD612" s="146" t="s">
        <v>52</v>
      </c>
      <c r="BE612" s="142" t="s">
        <v>43</v>
      </c>
      <c r="BF612" s="146" t="s">
        <v>44</v>
      </c>
      <c r="BG612" s="143" t="s">
        <v>54</v>
      </c>
      <c r="BH612" s="143"/>
      <c r="BI612" s="146"/>
      <c r="BJ612" s="28"/>
    </row>
    <row r="613" spans="1:62" x14ac:dyDescent="0.3">
      <c r="A613" s="42"/>
      <c r="B613" s="138"/>
      <c r="C613" s="141"/>
      <c r="D613" s="138"/>
      <c r="E613" s="28"/>
      <c r="F613" s="28"/>
      <c r="G613" s="138"/>
      <c r="H613" s="33" t="s">
        <v>396</v>
      </c>
      <c r="I613" s="34"/>
      <c r="J613" s="35"/>
      <c r="M613" s="42"/>
      <c r="N613" s="138"/>
      <c r="O613" s="196"/>
      <c r="P613" s="138"/>
      <c r="Q613" s="196"/>
      <c r="R613" s="141"/>
      <c r="S613" s="138"/>
      <c r="T613" s="138"/>
      <c r="U613" s="33" t="s">
        <v>396</v>
      </c>
      <c r="V613" s="35"/>
      <c r="Y613" s="42"/>
      <c r="Z613" s="42"/>
      <c r="AA613" s="40"/>
      <c r="AB613" s="28"/>
      <c r="AC613" s="28"/>
      <c r="AD613" s="28"/>
      <c r="AE613" s="42"/>
      <c r="AF613" s="40"/>
      <c r="AG613" s="41"/>
      <c r="AH613" s="42">
        <v>2</v>
      </c>
      <c r="AI613" s="28" t="s">
        <v>1290</v>
      </c>
      <c r="AJ613" s="40"/>
      <c r="AM613" s="138"/>
      <c r="AN613" s="138"/>
      <c r="AO613" s="141"/>
      <c r="AP613" s="138"/>
      <c r="AQ613" s="141"/>
      <c r="AR613" s="28"/>
      <c r="AS613" s="43">
        <v>91</v>
      </c>
      <c r="AT613" s="28" t="s">
        <v>1026</v>
      </c>
      <c r="AU613" s="43"/>
      <c r="AV613" s="141"/>
      <c r="AY613" s="195"/>
      <c r="AZ613" s="134"/>
      <c r="BA613" s="136"/>
      <c r="BB613" s="134"/>
      <c r="BC613" s="135"/>
      <c r="BD613" s="136"/>
      <c r="BE613" s="134"/>
      <c r="BF613" s="136"/>
      <c r="BG613" s="134" t="s">
        <v>58</v>
      </c>
      <c r="BH613" s="135"/>
      <c r="BI613" s="136"/>
    </row>
    <row r="614" spans="1:62" x14ac:dyDescent="0.3">
      <c r="A614" s="42" t="s">
        <v>59</v>
      </c>
      <c r="B614" s="212">
        <v>1213</v>
      </c>
      <c r="C614" s="141">
        <v>1437</v>
      </c>
      <c r="D614" s="138">
        <v>0</v>
      </c>
      <c r="E614" s="38">
        <v>0</v>
      </c>
      <c r="F614" s="43">
        <v>0</v>
      </c>
      <c r="G614" s="138">
        <v>1</v>
      </c>
      <c r="H614" s="42">
        <v>6</v>
      </c>
      <c r="I614" s="28" t="s">
        <v>61</v>
      </c>
      <c r="J614" s="40"/>
      <c r="M614" s="42" t="s">
        <v>59</v>
      </c>
      <c r="N614" s="138">
        <v>14357</v>
      </c>
      <c r="O614" s="196">
        <v>13256</v>
      </c>
      <c r="P614" s="138">
        <v>0</v>
      </c>
      <c r="Q614" s="196">
        <v>0</v>
      </c>
      <c r="R614" s="141">
        <v>0</v>
      </c>
      <c r="S614" s="138">
        <v>0</v>
      </c>
      <c r="T614" s="138">
        <v>0</v>
      </c>
      <c r="U614" s="42"/>
      <c r="V614" s="40"/>
      <c r="Y614" s="42" t="s">
        <v>59</v>
      </c>
      <c r="Z614" s="42">
        <v>1416</v>
      </c>
      <c r="AA614" s="40">
        <v>1564</v>
      </c>
      <c r="AB614" s="28">
        <v>0</v>
      </c>
      <c r="AC614" s="43">
        <v>0</v>
      </c>
      <c r="AD614" s="43">
        <v>0</v>
      </c>
      <c r="AE614" s="42">
        <v>1345</v>
      </c>
      <c r="AF614" s="40">
        <v>0</v>
      </c>
      <c r="AG614" s="41">
        <v>0</v>
      </c>
      <c r="AH614" s="42">
        <v>3</v>
      </c>
      <c r="AI614" s="28" t="s">
        <v>66</v>
      </c>
      <c r="AJ614" s="40"/>
      <c r="AM614" s="138" t="s">
        <v>56</v>
      </c>
      <c r="AN614" s="138">
        <v>1274</v>
      </c>
      <c r="AO614" s="141">
        <v>1275</v>
      </c>
      <c r="AP614" s="138"/>
      <c r="AQ614" s="141"/>
      <c r="AR614" s="28"/>
      <c r="AS614" s="43"/>
      <c r="AT614" s="28"/>
      <c r="AU614" s="43"/>
      <c r="AV614" s="141"/>
      <c r="AY614" s="196"/>
      <c r="AZ614" s="138"/>
      <c r="BA614" s="141"/>
      <c r="BB614" s="138"/>
      <c r="BC614" s="43"/>
      <c r="BD614" s="209"/>
      <c r="BE614" s="138"/>
      <c r="BF614" s="141"/>
      <c r="BG614" s="212">
        <v>11</v>
      </c>
      <c r="BH614" s="28" t="s">
        <v>65</v>
      </c>
      <c r="BI614" s="141"/>
    </row>
    <row r="615" spans="1:62" ht="15" thickBot="1" x14ac:dyDescent="0.35">
      <c r="A615" s="42" t="s">
        <v>6</v>
      </c>
      <c r="B615" s="142"/>
      <c r="C615" s="146"/>
      <c r="D615" s="138"/>
      <c r="E615" s="28"/>
      <c r="F615" s="28"/>
      <c r="G615" s="138"/>
      <c r="H615" s="42"/>
      <c r="I615" s="28"/>
      <c r="J615" s="40">
        <v>6</v>
      </c>
      <c r="M615" s="244"/>
      <c r="N615" s="142"/>
      <c r="O615" s="199"/>
      <c r="P615" s="142"/>
      <c r="Q615" s="199"/>
      <c r="R615" s="146"/>
      <c r="S615" s="142"/>
      <c r="T615" s="142"/>
      <c r="U615" s="244"/>
      <c r="V615" s="245"/>
      <c r="Y615" s="42"/>
      <c r="Z615" s="42"/>
      <c r="AA615" s="40"/>
      <c r="AB615" s="28"/>
      <c r="AC615" s="28"/>
      <c r="AD615" s="28"/>
      <c r="AE615" s="42"/>
      <c r="AF615" s="40"/>
      <c r="AG615" s="41"/>
      <c r="AH615" s="47"/>
      <c r="AI615" s="48"/>
      <c r="AJ615" s="49">
        <v>5</v>
      </c>
      <c r="AM615" s="142" t="s">
        <v>84</v>
      </c>
      <c r="AN615" s="142">
        <v>1274</v>
      </c>
      <c r="AO615" s="146">
        <v>1275</v>
      </c>
      <c r="AP615" s="142"/>
      <c r="AQ615" s="146"/>
      <c r="AR615" s="143"/>
      <c r="AS615" s="143"/>
      <c r="AT615" s="143"/>
      <c r="AU615" s="143"/>
      <c r="AV615" s="146">
        <v>91</v>
      </c>
      <c r="AY615" s="196" t="s">
        <v>64</v>
      </c>
      <c r="AZ615" s="138">
        <v>106</v>
      </c>
      <c r="BA615" s="141">
        <v>166</v>
      </c>
      <c r="BB615" s="138">
        <v>0</v>
      </c>
      <c r="BC615" s="43">
        <v>0</v>
      </c>
      <c r="BD615" s="209">
        <v>0</v>
      </c>
      <c r="BE615" s="138">
        <v>0</v>
      </c>
      <c r="BF615" s="141">
        <v>0</v>
      </c>
      <c r="BG615" s="138">
        <v>1</v>
      </c>
      <c r="BH615" s="28" t="s">
        <v>69</v>
      </c>
      <c r="BI615" s="141"/>
    </row>
    <row r="616" spans="1:62" x14ac:dyDescent="0.3">
      <c r="A616" s="278"/>
      <c r="B616" s="134"/>
      <c r="C616" s="135"/>
      <c r="D616" s="134"/>
      <c r="E616" s="135"/>
      <c r="F616" s="135"/>
      <c r="G616" s="134"/>
      <c r="H616" s="278" t="s">
        <v>2077</v>
      </c>
      <c r="I616" s="135"/>
      <c r="J616" s="279"/>
      <c r="M616" s="278"/>
      <c r="N616" s="134"/>
      <c r="O616" s="195"/>
      <c r="P616" s="134"/>
      <c r="Q616" s="195"/>
      <c r="R616" s="136"/>
      <c r="S616" s="134"/>
      <c r="T616" s="134"/>
      <c r="U616" s="278"/>
      <c r="V616" s="279"/>
      <c r="Y616" s="32"/>
      <c r="Z616" s="33"/>
      <c r="AA616" s="35"/>
      <c r="AB616" s="33"/>
      <c r="AC616" s="34"/>
      <c r="AD616" s="35"/>
      <c r="AE616" s="33"/>
      <c r="AF616" s="35"/>
      <c r="AG616" s="32"/>
      <c r="AH616" s="33" t="s">
        <v>1461</v>
      </c>
      <c r="AI616" s="34"/>
      <c r="AJ616" s="35"/>
      <c r="AM616" s="134"/>
      <c r="AN616" s="134"/>
      <c r="AO616" s="136"/>
      <c r="AP616" s="134"/>
      <c r="AQ616" s="136"/>
      <c r="AR616" s="135"/>
      <c r="AS616" s="135"/>
      <c r="AT616" s="135"/>
      <c r="AU616" s="135"/>
      <c r="AV616" s="136"/>
      <c r="AY616" s="211" t="s">
        <v>84</v>
      </c>
      <c r="AZ616" s="142">
        <v>106</v>
      </c>
      <c r="BA616" s="146">
        <v>166</v>
      </c>
      <c r="BB616" s="142">
        <v>0</v>
      </c>
      <c r="BC616" s="143">
        <v>0</v>
      </c>
      <c r="BD616" s="146">
        <v>0</v>
      </c>
      <c r="BE616" s="142">
        <v>0</v>
      </c>
      <c r="BF616" s="146">
        <v>0</v>
      </c>
      <c r="BG616" s="142">
        <v>1</v>
      </c>
      <c r="BH616" s="143" t="s">
        <v>1045</v>
      </c>
      <c r="BI616" s="146">
        <v>13</v>
      </c>
      <c r="BJ616" s="28"/>
    </row>
    <row r="617" spans="1:62" x14ac:dyDescent="0.3">
      <c r="A617" s="42" t="s">
        <v>74</v>
      </c>
      <c r="B617" s="138">
        <v>1840</v>
      </c>
      <c r="C617" s="28">
        <v>2213</v>
      </c>
      <c r="D617" s="138">
        <v>0</v>
      </c>
      <c r="E617" s="38">
        <v>0</v>
      </c>
      <c r="F617" s="43">
        <v>0</v>
      </c>
      <c r="G617" s="138">
        <v>1</v>
      </c>
      <c r="H617" s="42">
        <v>17</v>
      </c>
      <c r="I617" s="28" t="s">
        <v>436</v>
      </c>
      <c r="J617" s="40"/>
      <c r="M617" s="42"/>
      <c r="N617" s="138"/>
      <c r="O617" s="196"/>
      <c r="P617" s="138"/>
      <c r="Q617" s="196"/>
      <c r="R617" s="141"/>
      <c r="S617" s="138"/>
      <c r="T617" s="138"/>
      <c r="U617" s="42" t="s">
        <v>80</v>
      </c>
      <c r="V617" s="40"/>
      <c r="Y617" s="41" t="s">
        <v>108</v>
      </c>
      <c r="Z617" s="67">
        <v>0</v>
      </c>
      <c r="AA617" s="40">
        <v>0</v>
      </c>
      <c r="AB617" s="67">
        <v>0</v>
      </c>
      <c r="AC617" s="43">
        <v>0</v>
      </c>
      <c r="AD617" s="40">
        <v>0</v>
      </c>
      <c r="AE617" s="42">
        <v>0</v>
      </c>
      <c r="AF617" s="40">
        <v>0</v>
      </c>
      <c r="AG617" s="41">
        <v>0</v>
      </c>
      <c r="AH617" s="67">
        <v>1</v>
      </c>
      <c r="AI617" s="43" t="s">
        <v>359</v>
      </c>
      <c r="AJ617" s="40"/>
      <c r="AM617" s="138"/>
      <c r="AN617" s="138"/>
      <c r="AO617" s="141"/>
      <c r="AP617" s="138"/>
      <c r="AQ617" s="141"/>
      <c r="AR617" s="28"/>
      <c r="AS617" s="28" t="s">
        <v>110</v>
      </c>
      <c r="AT617" s="28" t="s">
        <v>111</v>
      </c>
      <c r="AU617" s="28" t="s">
        <v>112</v>
      </c>
      <c r="AV617" s="141"/>
      <c r="AY617" s="195"/>
      <c r="AZ617" s="135"/>
      <c r="BA617" s="136"/>
      <c r="BB617" s="240"/>
      <c r="BC617" s="241"/>
      <c r="BD617" s="242"/>
      <c r="BE617" s="134"/>
      <c r="BF617" s="136"/>
      <c r="BG617" s="135"/>
      <c r="BH617" s="135" t="s">
        <v>92</v>
      </c>
      <c r="BI617" s="136"/>
    </row>
    <row r="618" spans="1:62" x14ac:dyDescent="0.3">
      <c r="A618" s="42"/>
      <c r="B618" s="138"/>
      <c r="C618" s="28"/>
      <c r="D618" s="138"/>
      <c r="E618" s="28"/>
      <c r="F618" s="28"/>
      <c r="G618" s="138"/>
      <c r="H618" s="67"/>
      <c r="I618" s="43"/>
      <c r="J618" s="40"/>
      <c r="M618" s="42" t="s">
        <v>74</v>
      </c>
      <c r="N618" s="138">
        <v>16465</v>
      </c>
      <c r="O618" s="196">
        <v>3416</v>
      </c>
      <c r="P618" s="138">
        <v>0</v>
      </c>
      <c r="Q618" s="196">
        <v>0</v>
      </c>
      <c r="R618" s="141">
        <v>0</v>
      </c>
      <c r="S618" s="138">
        <v>0</v>
      </c>
      <c r="T618" s="138">
        <v>0</v>
      </c>
      <c r="U618" s="42"/>
      <c r="V618" s="40"/>
      <c r="Y618" s="41" t="s">
        <v>99</v>
      </c>
      <c r="Z618" s="42">
        <v>0</v>
      </c>
      <c r="AA618" s="40">
        <v>0</v>
      </c>
      <c r="AB618" s="42">
        <v>0</v>
      </c>
      <c r="AC618" s="28">
        <v>0</v>
      </c>
      <c r="AD618" s="56">
        <v>0</v>
      </c>
      <c r="AE618" s="67">
        <v>0</v>
      </c>
      <c r="AF618" s="56">
        <v>0</v>
      </c>
      <c r="AG618" s="68">
        <v>0</v>
      </c>
      <c r="AH618" s="67"/>
      <c r="AI618" s="43"/>
      <c r="AJ618" s="40"/>
      <c r="AM618" s="138"/>
      <c r="AN618" s="138"/>
      <c r="AO618" s="141"/>
      <c r="AP618" s="138"/>
      <c r="AQ618" s="141"/>
      <c r="AR618" s="43"/>
      <c r="AS618" s="28"/>
      <c r="AT618" s="28"/>
      <c r="AU618" s="28"/>
      <c r="AV618" s="141"/>
      <c r="AY618" s="196"/>
      <c r="AZ618" s="28"/>
      <c r="BA618" s="141"/>
      <c r="BB618" s="138"/>
      <c r="BC618" s="43"/>
      <c r="BD618" s="141"/>
      <c r="BE618" s="138"/>
      <c r="BF618" s="141"/>
      <c r="BG618" s="43">
        <v>12</v>
      </c>
      <c r="BH618" s="43" t="s">
        <v>1297</v>
      </c>
      <c r="BI618" s="141"/>
    </row>
    <row r="619" spans="1:62" x14ac:dyDescent="0.3">
      <c r="A619" s="244"/>
      <c r="B619" s="142"/>
      <c r="C619" s="143"/>
      <c r="D619" s="142"/>
      <c r="E619" s="143"/>
      <c r="F619" s="143"/>
      <c r="G619" s="142"/>
      <c r="H619" s="244"/>
      <c r="I619" s="143"/>
      <c r="J619" s="245">
        <v>17</v>
      </c>
      <c r="M619" s="244"/>
      <c r="N619" s="142"/>
      <c r="O619" s="199"/>
      <c r="P619" s="142"/>
      <c r="Q619" s="199"/>
      <c r="R619" s="146"/>
      <c r="S619" s="142"/>
      <c r="T619" s="142"/>
      <c r="U619" s="244"/>
      <c r="V619" s="245"/>
      <c r="Y619" s="68" t="s">
        <v>107</v>
      </c>
      <c r="Z619" s="42">
        <v>0</v>
      </c>
      <c r="AA619" s="40">
        <v>0</v>
      </c>
      <c r="AB619" s="42">
        <v>0</v>
      </c>
      <c r="AC619" s="28">
        <v>0</v>
      </c>
      <c r="AD619" s="40">
        <v>0</v>
      </c>
      <c r="AE619" s="42">
        <v>0</v>
      </c>
      <c r="AF619" s="40">
        <v>0</v>
      </c>
      <c r="AG619" s="41">
        <v>0</v>
      </c>
      <c r="AH619" s="42"/>
      <c r="AI619" s="28"/>
      <c r="AJ619" s="40"/>
      <c r="AM619" s="138" t="s">
        <v>72</v>
      </c>
      <c r="AN619" s="138">
        <v>8</v>
      </c>
      <c r="AO619" s="141">
        <v>7</v>
      </c>
      <c r="AP619" s="138"/>
      <c r="AQ619" s="141"/>
      <c r="AR619" s="28"/>
      <c r="AS619" s="43"/>
      <c r="AT619" s="28"/>
      <c r="AU619" s="28"/>
      <c r="AV619" s="141"/>
      <c r="AY619" s="196"/>
      <c r="AZ619" s="28"/>
      <c r="BA619" s="141"/>
      <c r="BB619" s="212"/>
      <c r="BC619" s="43"/>
      <c r="BD619" s="209"/>
      <c r="BE619" s="212"/>
      <c r="BF619" s="141"/>
      <c r="BG619" s="43">
        <v>16</v>
      </c>
      <c r="BH619" s="43" t="s">
        <v>2033</v>
      </c>
      <c r="BI619" s="141"/>
      <c r="BJ619" s="28"/>
    </row>
    <row r="620" spans="1:62" ht="15" thickBot="1" x14ac:dyDescent="0.35">
      <c r="A620" s="278"/>
      <c r="B620" s="134"/>
      <c r="C620" s="135"/>
      <c r="D620" s="134"/>
      <c r="E620" s="135"/>
      <c r="F620" s="135"/>
      <c r="G620" s="134"/>
      <c r="H620" s="278" t="s">
        <v>87</v>
      </c>
      <c r="I620" s="135"/>
      <c r="J620" s="279"/>
      <c r="M620" s="278"/>
      <c r="N620" s="134"/>
      <c r="O620" s="195"/>
      <c r="P620" s="134"/>
      <c r="Q620" s="195"/>
      <c r="R620" s="136"/>
      <c r="S620" s="134"/>
      <c r="T620" s="134"/>
      <c r="U620" s="278" t="s">
        <v>6</v>
      </c>
      <c r="V620" s="279"/>
      <c r="Y620" s="62" t="s">
        <v>84</v>
      </c>
      <c r="Z620" s="47">
        <v>0</v>
      </c>
      <c r="AA620" s="49">
        <v>0</v>
      </c>
      <c r="AB620" s="47">
        <v>0</v>
      </c>
      <c r="AC620" s="48">
        <v>0</v>
      </c>
      <c r="AD620" s="49">
        <v>0</v>
      </c>
      <c r="AE620" s="47">
        <v>0</v>
      </c>
      <c r="AF620" s="49">
        <v>0</v>
      </c>
      <c r="AG620" s="46">
        <v>0</v>
      </c>
      <c r="AH620" s="47"/>
      <c r="AI620" s="51"/>
      <c r="AJ620" s="49">
        <v>1</v>
      </c>
      <c r="AM620" s="138" t="s">
        <v>78</v>
      </c>
      <c r="AN620" s="138">
        <v>33</v>
      </c>
      <c r="AO620" s="141">
        <v>33</v>
      </c>
      <c r="AP620" s="138"/>
      <c r="AQ620" s="141"/>
      <c r="AR620" s="28"/>
      <c r="AS620" s="28"/>
      <c r="AT620" s="28"/>
      <c r="AU620" s="28"/>
      <c r="AV620" s="141"/>
      <c r="AY620" s="196"/>
      <c r="AZ620" s="43"/>
      <c r="BA620" s="141"/>
      <c r="BB620" s="138"/>
      <c r="BC620" s="43"/>
      <c r="BD620" s="141"/>
      <c r="BE620" s="212"/>
      <c r="BF620" s="141"/>
      <c r="BG620" s="43"/>
      <c r="BH620" s="43"/>
      <c r="BI620" s="141"/>
    </row>
    <row r="621" spans="1:62" x14ac:dyDescent="0.3">
      <c r="A621" s="42" t="s">
        <v>93</v>
      </c>
      <c r="B621" s="138">
        <v>2671</v>
      </c>
      <c r="C621" s="28">
        <v>3995</v>
      </c>
      <c r="D621" s="138">
        <v>0</v>
      </c>
      <c r="E621" s="38">
        <v>0</v>
      </c>
      <c r="F621" s="43">
        <v>0</v>
      </c>
      <c r="G621" s="138">
        <v>1</v>
      </c>
      <c r="H621" s="67">
        <v>24</v>
      </c>
      <c r="I621" s="28" t="s">
        <v>101</v>
      </c>
      <c r="J621" s="40"/>
      <c r="M621" s="42"/>
      <c r="N621" s="138"/>
      <c r="O621" s="196"/>
      <c r="P621" s="138"/>
      <c r="Q621" s="196"/>
      <c r="R621" s="141"/>
      <c r="S621" s="138"/>
      <c r="T621" s="138"/>
      <c r="U621" s="42"/>
      <c r="V621" s="40"/>
      <c r="Y621" s="32"/>
      <c r="Z621" s="34"/>
      <c r="AA621" s="34"/>
      <c r="AB621" s="33"/>
      <c r="AC621" s="34"/>
      <c r="AD621" s="35"/>
      <c r="AE621" s="34"/>
      <c r="AF621" s="34"/>
      <c r="AG621" s="32"/>
      <c r="AH621" s="33" t="s">
        <v>1298</v>
      </c>
      <c r="AI621" s="34"/>
      <c r="AJ621" s="35"/>
      <c r="AM621" s="138" t="s">
        <v>67</v>
      </c>
      <c r="AN621" s="138">
        <v>54</v>
      </c>
      <c r="AO621" s="141">
        <v>27</v>
      </c>
      <c r="AP621" s="138"/>
      <c r="AQ621" s="141"/>
      <c r="AR621" s="28"/>
      <c r="AS621" s="43">
        <v>20</v>
      </c>
      <c r="AT621" s="28" t="s">
        <v>123</v>
      </c>
      <c r="AU621" s="28" t="s">
        <v>6</v>
      </c>
      <c r="AV621" s="141"/>
      <c r="AY621" s="196" t="s">
        <v>99</v>
      </c>
      <c r="AZ621" s="28">
        <v>0</v>
      </c>
      <c r="BA621" s="141">
        <v>0</v>
      </c>
      <c r="BB621" s="138">
        <v>0</v>
      </c>
      <c r="BC621" s="43">
        <v>0</v>
      </c>
      <c r="BD621" s="141">
        <v>0</v>
      </c>
      <c r="BE621" s="43">
        <v>75345</v>
      </c>
      <c r="BF621" s="141">
        <v>26000</v>
      </c>
      <c r="BG621" s="28"/>
      <c r="BH621" s="28"/>
      <c r="BI621" s="141"/>
      <c r="BJ621" s="28"/>
    </row>
    <row r="622" spans="1:62" x14ac:dyDescent="0.3">
      <c r="A622" s="42"/>
      <c r="B622" s="138"/>
      <c r="C622" s="28"/>
      <c r="D622" s="138"/>
      <c r="E622" s="28"/>
      <c r="F622" s="28"/>
      <c r="G622" s="138"/>
      <c r="H622" s="67"/>
      <c r="I622" s="28"/>
      <c r="J622" s="40">
        <v>24</v>
      </c>
      <c r="M622" s="42"/>
      <c r="N622" s="138"/>
      <c r="O622" s="196"/>
      <c r="P622" s="138"/>
      <c r="Q622" s="196"/>
      <c r="R622" s="141"/>
      <c r="S622" s="138"/>
      <c r="T622" s="138"/>
      <c r="U622" s="42"/>
      <c r="V622" s="40"/>
      <c r="Y622" s="41"/>
      <c r="AB622" s="42"/>
      <c r="AC622" s="28"/>
      <c r="AD622" s="40"/>
      <c r="AG622" s="41"/>
      <c r="AH622" s="42">
        <v>3</v>
      </c>
      <c r="AI622" s="43" t="s">
        <v>1463</v>
      </c>
      <c r="AJ622" s="40"/>
      <c r="AM622" s="138" t="s">
        <v>128</v>
      </c>
      <c r="AN622" s="138">
        <v>4</v>
      </c>
      <c r="AO622" s="141">
        <v>4</v>
      </c>
      <c r="AP622" s="138"/>
      <c r="AQ622" s="141"/>
      <c r="AR622" s="28"/>
      <c r="AS622" s="43">
        <v>23</v>
      </c>
      <c r="AT622" s="28" t="s">
        <v>126</v>
      </c>
      <c r="AU622" s="28"/>
      <c r="AV622" s="141"/>
      <c r="AY622" s="196" t="s">
        <v>64</v>
      </c>
      <c r="AZ622" s="43">
        <v>0</v>
      </c>
      <c r="BA622" s="141">
        <v>0</v>
      </c>
      <c r="BB622" s="138">
        <v>0</v>
      </c>
      <c r="BC622" s="43">
        <v>0</v>
      </c>
      <c r="BD622" s="141">
        <v>0</v>
      </c>
      <c r="BE622" s="43">
        <v>6930</v>
      </c>
      <c r="BF622" s="141">
        <v>1000</v>
      </c>
      <c r="BG622" s="43"/>
      <c r="BH622" s="43"/>
      <c r="BI622" s="141"/>
      <c r="BJ622" s="28"/>
    </row>
    <row r="623" spans="1:62" ht="15" thickBot="1" x14ac:dyDescent="0.35">
      <c r="A623" s="278" t="s">
        <v>108</v>
      </c>
      <c r="B623" s="134">
        <v>0</v>
      </c>
      <c r="C623" s="136">
        <v>0</v>
      </c>
      <c r="D623" s="135">
        <v>0</v>
      </c>
      <c r="E623" s="243">
        <v>0</v>
      </c>
      <c r="F623" s="135">
        <v>0</v>
      </c>
      <c r="G623" s="134">
        <v>1</v>
      </c>
      <c r="H623" s="278" t="s">
        <v>104</v>
      </c>
      <c r="I623" s="135"/>
      <c r="J623" s="279"/>
      <c r="M623" s="244"/>
      <c r="N623" s="142"/>
      <c r="O623" s="199"/>
      <c r="P623" s="142"/>
      <c r="Q623" s="199"/>
      <c r="R623" s="146"/>
      <c r="S623" s="142"/>
      <c r="T623" s="142"/>
      <c r="U623" s="244"/>
      <c r="V623" s="245"/>
      <c r="Y623" s="46" t="s">
        <v>1300</v>
      </c>
      <c r="Z623" s="48">
        <v>294</v>
      </c>
      <c r="AA623" s="48">
        <v>406</v>
      </c>
      <c r="AB623" s="47">
        <v>0</v>
      </c>
      <c r="AC623" s="48">
        <v>0</v>
      </c>
      <c r="AD623" s="49">
        <v>0</v>
      </c>
      <c r="AE623" s="48">
        <v>0</v>
      </c>
      <c r="AF623" s="48">
        <v>0</v>
      </c>
      <c r="AG623" s="46">
        <v>0</v>
      </c>
      <c r="AH623" s="47">
        <v>6</v>
      </c>
      <c r="AI623" s="48" t="s">
        <v>141</v>
      </c>
      <c r="AJ623" s="49">
        <v>9</v>
      </c>
      <c r="AM623" s="138" t="s">
        <v>132</v>
      </c>
      <c r="AN623" s="138">
        <v>4</v>
      </c>
      <c r="AO623" s="141">
        <v>2</v>
      </c>
      <c r="AP623" s="138"/>
      <c r="AQ623" s="141"/>
      <c r="AR623" s="28"/>
      <c r="AS623" s="43">
        <v>45</v>
      </c>
      <c r="AT623" s="28" t="s">
        <v>129</v>
      </c>
      <c r="AU623" s="28" t="s">
        <v>6</v>
      </c>
      <c r="AV623" s="141"/>
      <c r="AY623" s="239" t="s">
        <v>84</v>
      </c>
      <c r="AZ623" s="43">
        <v>0</v>
      </c>
      <c r="BA623" s="209">
        <v>0</v>
      </c>
      <c r="BB623" s="138">
        <v>0</v>
      </c>
      <c r="BC623" s="43">
        <v>0</v>
      </c>
      <c r="BD623" s="141">
        <v>0</v>
      </c>
      <c r="BE623" s="43">
        <v>82275</v>
      </c>
      <c r="BF623" s="209">
        <v>27000</v>
      </c>
      <c r="BG623" s="28"/>
      <c r="BH623" s="43"/>
      <c r="BI623" s="141">
        <v>28</v>
      </c>
      <c r="BJ623" s="28"/>
    </row>
    <row r="624" spans="1:62" x14ac:dyDescent="0.3">
      <c r="A624" s="42" t="s">
        <v>109</v>
      </c>
      <c r="B624" s="138">
        <v>1303</v>
      </c>
      <c r="C624" s="141">
        <v>2875</v>
      </c>
      <c r="D624" s="28">
        <v>0</v>
      </c>
      <c r="E624" s="343">
        <v>237</v>
      </c>
      <c r="F624" s="43">
        <v>0</v>
      </c>
      <c r="G624" s="138"/>
      <c r="H624" s="67">
        <v>9</v>
      </c>
      <c r="I624" s="28" t="s">
        <v>114</v>
      </c>
      <c r="J624" s="40"/>
      <c r="M624" s="278"/>
      <c r="N624" s="134"/>
      <c r="O624" s="195"/>
      <c r="P624" s="134"/>
      <c r="Q624" s="195"/>
      <c r="R624" s="136"/>
      <c r="S624" s="134"/>
      <c r="T624" s="134"/>
      <c r="U624" s="278" t="s">
        <v>104</v>
      </c>
      <c r="V624" s="279"/>
      <c r="Y624" s="42"/>
      <c r="Z624" s="33"/>
      <c r="AA624" s="35"/>
      <c r="AB624" s="33"/>
      <c r="AC624" s="34"/>
      <c r="AD624" s="35"/>
      <c r="AE624" s="33"/>
      <c r="AF624" s="35"/>
      <c r="AG624" s="43"/>
      <c r="AH624" s="33" t="s">
        <v>90</v>
      </c>
      <c r="AI624" s="34"/>
      <c r="AJ624" s="35"/>
      <c r="AM624" s="138" t="s">
        <v>115</v>
      </c>
      <c r="AN624" s="138">
        <v>64</v>
      </c>
      <c r="AO624" s="141">
        <v>40</v>
      </c>
      <c r="AP624" s="138"/>
      <c r="AQ624" s="141"/>
      <c r="AR624" s="28"/>
      <c r="AS624" s="28"/>
      <c r="AT624" s="28"/>
      <c r="AU624" s="28"/>
      <c r="AV624" s="141"/>
      <c r="AY624" s="233"/>
      <c r="AZ624" s="134"/>
      <c r="BA624" s="136"/>
      <c r="BB624" s="134"/>
      <c r="BC624" s="135"/>
      <c r="BD624" s="136"/>
      <c r="BE624" s="134"/>
      <c r="BF624" s="136"/>
      <c r="BG624" s="134"/>
      <c r="BH624" s="135" t="s">
        <v>91</v>
      </c>
      <c r="BI624" s="136"/>
      <c r="BJ624" s="28"/>
    </row>
    <row r="625" spans="1:62" x14ac:dyDescent="0.3">
      <c r="A625" s="42" t="s">
        <v>84</v>
      </c>
      <c r="B625" s="138">
        <v>1303</v>
      </c>
      <c r="C625" s="141">
        <v>2875</v>
      </c>
      <c r="D625" s="28">
        <v>0</v>
      </c>
      <c r="E625" s="343">
        <v>0</v>
      </c>
      <c r="F625" s="43">
        <v>0</v>
      </c>
      <c r="G625" s="138"/>
      <c r="H625" s="42"/>
      <c r="I625" s="28"/>
      <c r="J625" s="40"/>
      <c r="M625" s="42" t="s">
        <v>109</v>
      </c>
      <c r="N625" s="138">
        <v>0</v>
      </c>
      <c r="O625" s="196">
        <v>0</v>
      </c>
      <c r="P625" s="138">
        <v>0</v>
      </c>
      <c r="Q625" s="196">
        <v>0</v>
      </c>
      <c r="R625" s="141">
        <v>0</v>
      </c>
      <c r="S625" s="138">
        <v>0</v>
      </c>
      <c r="T625" s="138">
        <v>0</v>
      </c>
      <c r="U625" s="42"/>
      <c r="V625" s="40"/>
      <c r="Y625" s="42"/>
      <c r="Z625" s="42"/>
      <c r="AA625" s="40"/>
      <c r="AB625" s="42"/>
      <c r="AC625" s="43"/>
      <c r="AD625" s="40"/>
      <c r="AE625" s="42"/>
      <c r="AF625" s="40"/>
      <c r="AG625" s="43"/>
      <c r="AH625" s="67"/>
      <c r="AI625" s="28"/>
      <c r="AJ625" s="40"/>
      <c r="AM625" s="138" t="s">
        <v>81</v>
      </c>
      <c r="AN625" s="138">
        <v>16</v>
      </c>
      <c r="AO625" s="141">
        <v>12</v>
      </c>
      <c r="AP625" s="138"/>
      <c r="AQ625" s="141"/>
      <c r="AR625" s="28"/>
      <c r="AS625" s="28"/>
      <c r="AT625" s="28"/>
      <c r="AU625" s="28"/>
      <c r="AV625" s="141" t="s">
        <v>6</v>
      </c>
      <c r="AY625" s="196"/>
      <c r="AZ625" s="212"/>
      <c r="BA625" s="141"/>
      <c r="BB625" s="138"/>
      <c r="BC625" s="43"/>
      <c r="BD625" s="141"/>
      <c r="BE625" s="138"/>
      <c r="BF625" s="209"/>
      <c r="BG625" s="212"/>
      <c r="BH625" s="43"/>
      <c r="BI625" s="141"/>
      <c r="BJ625" s="28"/>
    </row>
    <row r="626" spans="1:62" x14ac:dyDescent="0.3">
      <c r="A626" s="42"/>
      <c r="B626" s="138"/>
      <c r="C626" s="141"/>
      <c r="D626" s="28"/>
      <c r="E626" s="28"/>
      <c r="F626" s="28"/>
      <c r="G626" s="138"/>
      <c r="H626" s="42"/>
      <c r="I626" s="28"/>
      <c r="J626" s="40">
        <v>9</v>
      </c>
      <c r="M626" s="244"/>
      <c r="N626" s="142"/>
      <c r="O626" s="199"/>
      <c r="P626" s="142"/>
      <c r="Q626" s="199"/>
      <c r="R626" s="146"/>
      <c r="S626" s="142"/>
      <c r="T626" s="142"/>
      <c r="U626" s="244"/>
      <c r="V626" s="245"/>
      <c r="Y626" s="67" t="s">
        <v>89</v>
      </c>
      <c r="Z626" s="67">
        <v>30</v>
      </c>
      <c r="AA626" s="56">
        <v>39</v>
      </c>
      <c r="AB626" s="42">
        <v>0</v>
      </c>
      <c r="AC626" s="43">
        <v>0</v>
      </c>
      <c r="AD626" s="40">
        <v>0</v>
      </c>
      <c r="AE626" s="42">
        <v>0</v>
      </c>
      <c r="AF626" s="40">
        <v>0</v>
      </c>
      <c r="AG626" s="43">
        <v>0</v>
      </c>
      <c r="AH626" s="67">
        <v>1</v>
      </c>
      <c r="AI626" s="43" t="s">
        <v>98</v>
      </c>
      <c r="AJ626" s="40"/>
      <c r="AM626" s="138" t="s">
        <v>122</v>
      </c>
      <c r="AN626" s="138"/>
      <c r="AO626" s="141">
        <v>3</v>
      </c>
      <c r="AP626" s="138"/>
      <c r="AQ626" s="141"/>
      <c r="AR626" s="28"/>
      <c r="AS626" s="28"/>
      <c r="AT626" s="28"/>
      <c r="AU626" s="28"/>
      <c r="AV626" s="141"/>
      <c r="AY626" s="211"/>
      <c r="AZ626" s="212"/>
      <c r="BA626" s="209"/>
      <c r="BB626" s="138"/>
      <c r="BC626" s="43"/>
      <c r="BD626" s="141"/>
      <c r="BE626" s="138"/>
      <c r="BF626" s="209"/>
      <c r="BG626" s="138"/>
      <c r="BH626" s="43"/>
      <c r="BI626" s="141"/>
      <c r="BJ626" s="28"/>
    </row>
    <row r="627" spans="1:62" ht="15" thickBot="1" x14ac:dyDescent="0.35">
      <c r="A627" s="278"/>
      <c r="B627" s="134"/>
      <c r="C627" s="242"/>
      <c r="D627" s="135"/>
      <c r="E627" s="135"/>
      <c r="F627" s="135"/>
      <c r="G627" s="134"/>
      <c r="H627" s="278" t="s">
        <v>118</v>
      </c>
      <c r="I627" s="135"/>
      <c r="J627" s="279"/>
      <c r="M627" s="278" t="s">
        <v>93</v>
      </c>
      <c r="N627" s="134"/>
      <c r="O627" s="195">
        <v>0</v>
      </c>
      <c r="P627" s="134">
        <v>0</v>
      </c>
      <c r="Q627" s="195">
        <v>0</v>
      </c>
      <c r="R627" s="136">
        <v>0</v>
      </c>
      <c r="S627" s="134">
        <v>0</v>
      </c>
      <c r="T627" s="134">
        <v>0</v>
      </c>
      <c r="U627" s="278" t="s">
        <v>116</v>
      </c>
      <c r="V627" s="279"/>
      <c r="Y627" s="42" t="s">
        <v>84</v>
      </c>
      <c r="Z627" s="47">
        <v>30</v>
      </c>
      <c r="AA627" s="49">
        <v>39</v>
      </c>
      <c r="AB627" s="47">
        <v>0</v>
      </c>
      <c r="AC627" s="48">
        <v>0</v>
      </c>
      <c r="AD627" s="49">
        <v>0</v>
      </c>
      <c r="AE627" s="47">
        <v>0</v>
      </c>
      <c r="AF627" s="49">
        <v>0</v>
      </c>
      <c r="AG627" s="43">
        <v>0</v>
      </c>
      <c r="AH627" s="72"/>
      <c r="AI627" s="48"/>
      <c r="AJ627" s="49">
        <v>1</v>
      </c>
      <c r="AM627" s="138" t="s">
        <v>63</v>
      </c>
      <c r="AN627" s="138">
        <v>20</v>
      </c>
      <c r="AO627" s="141">
        <v>17</v>
      </c>
      <c r="AP627" s="138"/>
      <c r="AQ627" s="141"/>
      <c r="AR627" s="28"/>
      <c r="AS627" s="28"/>
      <c r="AT627" s="28"/>
      <c r="AU627" s="28"/>
      <c r="AV627" s="141"/>
      <c r="AY627" s="211"/>
      <c r="AZ627" s="212"/>
      <c r="BA627" s="141"/>
      <c r="BB627" s="138"/>
      <c r="BC627" s="43"/>
      <c r="BD627" s="141"/>
      <c r="BE627" s="138"/>
      <c r="BF627" s="209"/>
      <c r="BG627" s="212"/>
      <c r="BH627" s="28"/>
      <c r="BI627" s="141"/>
      <c r="BJ627" s="28"/>
    </row>
    <row r="628" spans="1:62" x14ac:dyDescent="0.3">
      <c r="A628" s="42" t="s">
        <v>785</v>
      </c>
      <c r="B628" s="138">
        <v>961</v>
      </c>
      <c r="C628" s="209">
        <v>1200</v>
      </c>
      <c r="D628" s="28">
        <v>0</v>
      </c>
      <c r="E628" s="38">
        <v>0</v>
      </c>
      <c r="F628" s="43">
        <v>0</v>
      </c>
      <c r="G628" s="138">
        <v>1</v>
      </c>
      <c r="H628" s="42">
        <v>91</v>
      </c>
      <c r="I628" s="28" t="s">
        <v>101</v>
      </c>
      <c r="J628" s="40"/>
      <c r="M628" s="42" t="s">
        <v>99</v>
      </c>
      <c r="N628" s="138">
        <v>5653</v>
      </c>
      <c r="O628" s="196">
        <v>7945</v>
      </c>
      <c r="P628" s="138">
        <v>0</v>
      </c>
      <c r="Q628" s="196">
        <v>0</v>
      </c>
      <c r="R628" s="141">
        <v>0</v>
      </c>
      <c r="S628" s="138">
        <v>5906</v>
      </c>
      <c r="T628" s="138">
        <v>154</v>
      </c>
      <c r="U628" s="42"/>
      <c r="V628" s="40"/>
      <c r="Y628" s="32"/>
      <c r="Z628" s="28"/>
      <c r="AA628" s="28"/>
      <c r="AB628" s="33"/>
      <c r="AC628" s="34"/>
      <c r="AD628" s="35"/>
      <c r="AE628" s="67"/>
      <c r="AF628" s="56"/>
      <c r="AG628" s="32"/>
      <c r="AH628" s="34"/>
      <c r="AI628" s="34"/>
      <c r="AJ628" s="35"/>
      <c r="AM628" s="138"/>
      <c r="AN628" s="138"/>
      <c r="AO628" s="141"/>
      <c r="AP628" s="138"/>
      <c r="AQ628" s="141"/>
      <c r="AR628" s="28"/>
      <c r="AS628" s="28"/>
      <c r="AT628" s="28"/>
      <c r="AU628" s="28"/>
      <c r="AV628" s="141"/>
      <c r="AY628" s="211" t="s">
        <v>137</v>
      </c>
      <c r="AZ628" s="212">
        <v>1975</v>
      </c>
      <c r="BA628" s="209">
        <v>1918</v>
      </c>
      <c r="BB628" s="138">
        <v>0</v>
      </c>
      <c r="BC628" s="43">
        <v>0</v>
      </c>
      <c r="BD628" s="141">
        <v>0</v>
      </c>
      <c r="BE628" s="138">
        <v>0</v>
      </c>
      <c r="BF628" s="209">
        <v>0</v>
      </c>
      <c r="BG628" s="138">
        <v>97</v>
      </c>
      <c r="BH628" s="43" t="s">
        <v>1026</v>
      </c>
      <c r="BI628" s="141"/>
      <c r="BJ628" s="28"/>
    </row>
    <row r="629" spans="1:62" x14ac:dyDescent="0.3">
      <c r="A629" s="42" t="s">
        <v>93</v>
      </c>
      <c r="B629" s="212">
        <v>7335</v>
      </c>
      <c r="C629" s="209">
        <v>8369</v>
      </c>
      <c r="D629" s="28">
        <v>0</v>
      </c>
      <c r="E629" s="38">
        <v>0</v>
      </c>
      <c r="F629" s="43">
        <v>0</v>
      </c>
      <c r="G629" s="212"/>
      <c r="H629" s="42">
        <v>28</v>
      </c>
      <c r="I629" s="28" t="s">
        <v>927</v>
      </c>
      <c r="J629" s="40"/>
      <c r="M629" s="42" t="s">
        <v>120</v>
      </c>
      <c r="N629" s="138">
        <v>104</v>
      </c>
      <c r="O629" s="196">
        <v>6895</v>
      </c>
      <c r="P629" s="138">
        <v>0</v>
      </c>
      <c r="Q629" s="196">
        <v>0</v>
      </c>
      <c r="R629" s="141">
        <v>0</v>
      </c>
      <c r="S629" s="138"/>
      <c r="T629" s="138"/>
      <c r="U629" s="42"/>
      <c r="V629" s="40"/>
      <c r="Y629" s="41"/>
      <c r="Z629" s="43"/>
      <c r="AA629" s="43"/>
      <c r="AB629" s="42"/>
      <c r="AC629" s="43"/>
      <c r="AD629" s="40"/>
      <c r="AE629" s="67"/>
      <c r="AF629" s="56"/>
      <c r="AG629" s="41"/>
      <c r="AH629" s="28"/>
      <c r="AI629" s="28" t="s">
        <v>6</v>
      </c>
      <c r="AJ629" s="40"/>
      <c r="AM629" s="142" t="s">
        <v>84</v>
      </c>
      <c r="AN629" s="142">
        <v>203</v>
      </c>
      <c r="AO629" s="146">
        <v>145</v>
      </c>
      <c r="AP629" s="142"/>
      <c r="AQ629" s="146"/>
      <c r="AR629" s="143"/>
      <c r="AS629" s="143"/>
      <c r="AT629" s="143"/>
      <c r="AU629" s="143"/>
      <c r="AV629" s="146">
        <v>88</v>
      </c>
      <c r="AY629" s="211" t="s">
        <v>88</v>
      </c>
      <c r="AZ629" s="212">
        <v>244</v>
      </c>
      <c r="BA629" s="209">
        <v>239</v>
      </c>
      <c r="BB629" s="138">
        <v>0</v>
      </c>
      <c r="BC629" s="43">
        <v>0</v>
      </c>
      <c r="BD629" s="141">
        <v>0</v>
      </c>
      <c r="BE629" s="138">
        <v>0</v>
      </c>
      <c r="BF629" s="209">
        <v>0</v>
      </c>
      <c r="BG629" s="138">
        <v>1</v>
      </c>
      <c r="BH629" s="43" t="s">
        <v>1294</v>
      </c>
      <c r="BI629" s="141"/>
      <c r="BJ629" s="28"/>
    </row>
    <row r="630" spans="1:62" x14ac:dyDescent="0.3">
      <c r="A630" s="42" t="s">
        <v>120</v>
      </c>
      <c r="B630" s="138">
        <v>5032</v>
      </c>
      <c r="C630" s="141">
        <v>5906</v>
      </c>
      <c r="D630" s="28">
        <v>0</v>
      </c>
      <c r="E630" s="38">
        <v>0</v>
      </c>
      <c r="F630" s="43">
        <v>0</v>
      </c>
      <c r="G630" s="138"/>
      <c r="H630" s="42">
        <v>29</v>
      </c>
      <c r="I630" s="28" t="s">
        <v>1306</v>
      </c>
      <c r="J630" s="40"/>
      <c r="M630" s="244" t="s">
        <v>84</v>
      </c>
      <c r="N630" s="142">
        <v>5757</v>
      </c>
      <c r="O630" s="199">
        <v>14840</v>
      </c>
      <c r="P630" s="142">
        <v>0</v>
      </c>
      <c r="Q630" s="199">
        <v>0</v>
      </c>
      <c r="R630" s="146">
        <v>0</v>
      </c>
      <c r="S630" s="142">
        <v>5906</v>
      </c>
      <c r="T630" s="142">
        <v>154</v>
      </c>
      <c r="U630" s="244"/>
      <c r="V630" s="245"/>
      <c r="Y630" s="41"/>
      <c r="Z630" s="43"/>
      <c r="AA630" s="43"/>
      <c r="AB630" s="42"/>
      <c r="AC630" s="43"/>
      <c r="AD630" s="40"/>
      <c r="AE630" s="67"/>
      <c r="AF630" s="56"/>
      <c r="AG630" s="41"/>
      <c r="AH630" s="43"/>
      <c r="AI630" s="43"/>
      <c r="AJ630" s="40"/>
      <c r="AM630" s="134"/>
      <c r="AN630" s="134"/>
      <c r="AO630" s="136"/>
      <c r="AP630" s="134"/>
      <c r="AQ630" s="136"/>
      <c r="AR630" s="135"/>
      <c r="AS630" s="135"/>
      <c r="AT630" s="135"/>
      <c r="AU630" s="135"/>
      <c r="AV630" s="136"/>
      <c r="AY630" s="211" t="s">
        <v>97</v>
      </c>
      <c r="AZ630" s="212">
        <v>2682</v>
      </c>
      <c r="BA630" s="209">
        <v>2446</v>
      </c>
      <c r="BB630" s="138">
        <v>0</v>
      </c>
      <c r="BC630" s="43">
        <v>0</v>
      </c>
      <c r="BD630" s="141">
        <v>0</v>
      </c>
      <c r="BE630" s="138">
        <v>0</v>
      </c>
      <c r="BF630" s="209">
        <v>0</v>
      </c>
      <c r="BG630" s="138">
        <v>57</v>
      </c>
      <c r="BH630" s="43" t="s">
        <v>359</v>
      </c>
      <c r="BI630" s="141"/>
      <c r="BJ630" s="28"/>
    </row>
    <row r="631" spans="1:62" x14ac:dyDescent="0.3">
      <c r="A631" s="67" t="s">
        <v>429</v>
      </c>
      <c r="B631" s="212">
        <v>1757</v>
      </c>
      <c r="C631" s="209">
        <v>2137</v>
      </c>
      <c r="D631" s="43">
        <v>0</v>
      </c>
      <c r="E631" s="38">
        <v>0</v>
      </c>
      <c r="F631" s="43">
        <v>0</v>
      </c>
      <c r="G631" s="138"/>
      <c r="H631" s="42"/>
      <c r="I631" s="28"/>
      <c r="J631" s="40"/>
      <c r="M631" s="278"/>
      <c r="N631" s="134"/>
      <c r="O631" s="195"/>
      <c r="P631" s="134"/>
      <c r="Q631" s="195"/>
      <c r="R631" s="136"/>
      <c r="S631" s="134"/>
      <c r="T631" s="134"/>
      <c r="U631" s="278"/>
      <c r="V631" s="279"/>
      <c r="Y631" s="41"/>
      <c r="Z631" s="43"/>
      <c r="AA631" s="43"/>
      <c r="AB631" s="42"/>
      <c r="AC631" s="43"/>
      <c r="AD631" s="40"/>
      <c r="AE631" s="67"/>
      <c r="AF631" s="56"/>
      <c r="AG631" s="41"/>
      <c r="AH631" s="43"/>
      <c r="AI631" s="43"/>
      <c r="AJ631" s="40"/>
      <c r="AM631" s="138"/>
      <c r="AN631" s="138"/>
      <c r="AO631" s="141"/>
      <c r="AP631" s="138"/>
      <c r="AQ631" s="141"/>
      <c r="AR631" s="28"/>
      <c r="AS631" s="28"/>
      <c r="AT631" s="28"/>
      <c r="AU631" s="28"/>
      <c r="AV631" s="141"/>
      <c r="AY631" s="211" t="s">
        <v>113</v>
      </c>
      <c r="AZ631" s="212">
        <v>527</v>
      </c>
      <c r="BA631" s="209">
        <v>563</v>
      </c>
      <c r="BB631" s="212">
        <v>0</v>
      </c>
      <c r="BC631" s="43">
        <v>0</v>
      </c>
      <c r="BD631" s="209">
        <v>0</v>
      </c>
      <c r="BE631" s="212">
        <v>0</v>
      </c>
      <c r="BF631" s="209">
        <v>0</v>
      </c>
      <c r="BG631" s="138">
        <v>55</v>
      </c>
      <c r="BH631" s="43" t="s">
        <v>1292</v>
      </c>
      <c r="BI631" s="141"/>
      <c r="BJ631" s="28"/>
    </row>
    <row r="632" spans="1:62" ht="15" thickBot="1" x14ac:dyDescent="0.35">
      <c r="A632" s="244" t="s">
        <v>84</v>
      </c>
      <c r="B632" s="142">
        <v>15085</v>
      </c>
      <c r="C632" s="146">
        <v>17612</v>
      </c>
      <c r="D632" s="143">
        <v>0</v>
      </c>
      <c r="E632" s="345">
        <v>0</v>
      </c>
      <c r="F632" s="143">
        <v>0</v>
      </c>
      <c r="G632" s="142"/>
      <c r="H632" s="244"/>
      <c r="I632" s="143"/>
      <c r="J632" s="245">
        <v>148</v>
      </c>
      <c r="M632" s="42" t="s">
        <v>105</v>
      </c>
      <c r="N632" s="138">
        <v>1457</v>
      </c>
      <c r="O632" s="196">
        <v>0</v>
      </c>
      <c r="P632" s="138">
        <v>0</v>
      </c>
      <c r="Q632" s="196">
        <v>0</v>
      </c>
      <c r="R632" s="141">
        <v>0</v>
      </c>
      <c r="S632" s="138">
        <v>21</v>
      </c>
      <c r="T632" s="138">
        <v>0</v>
      </c>
      <c r="U632" s="42"/>
      <c r="V632" s="40"/>
      <c r="Y632" s="46"/>
      <c r="Z632" s="43"/>
      <c r="AA632" s="43"/>
      <c r="AB632" s="47"/>
      <c r="AC632" s="48"/>
      <c r="AD632" s="49"/>
      <c r="AE632" s="67"/>
      <c r="AF632" s="56"/>
      <c r="AG632" s="46"/>
      <c r="AH632" s="48"/>
      <c r="AI632" s="48"/>
      <c r="AJ632" s="49"/>
      <c r="AM632" s="138"/>
      <c r="AN632" s="138"/>
      <c r="AO632" s="141"/>
      <c r="AP632" s="138"/>
      <c r="AQ632" s="141"/>
      <c r="AR632" s="28"/>
      <c r="AS632" s="28"/>
      <c r="AT632" s="28"/>
      <c r="AU632" s="28"/>
      <c r="AV632" s="141"/>
      <c r="AY632" s="211" t="s">
        <v>108</v>
      </c>
      <c r="AZ632" s="212">
        <v>0</v>
      </c>
      <c r="BA632" s="209">
        <v>0</v>
      </c>
      <c r="BB632" s="138">
        <v>0</v>
      </c>
      <c r="BC632" s="43">
        <v>0</v>
      </c>
      <c r="BD632" s="141">
        <v>0</v>
      </c>
      <c r="BE632" s="138">
        <v>0</v>
      </c>
      <c r="BF632" s="141">
        <v>0</v>
      </c>
      <c r="BG632" s="138"/>
      <c r="BH632" s="28"/>
      <c r="BI632" s="141"/>
      <c r="BJ632" s="28"/>
    </row>
    <row r="633" spans="1:62" x14ac:dyDescent="0.3">
      <c r="A633" s="42" t="s">
        <v>93</v>
      </c>
      <c r="B633" s="138">
        <v>6297</v>
      </c>
      <c r="C633" s="209">
        <v>5853</v>
      </c>
      <c r="D633" s="138">
        <v>0</v>
      </c>
      <c r="E633" s="38">
        <v>0</v>
      </c>
      <c r="F633" s="43">
        <v>0</v>
      </c>
      <c r="G633" s="138">
        <v>1</v>
      </c>
      <c r="H633" s="42" t="s">
        <v>116</v>
      </c>
      <c r="I633" s="28"/>
      <c r="J633" s="40"/>
      <c r="M633" s="42" t="s">
        <v>99</v>
      </c>
      <c r="N633" s="138">
        <v>0</v>
      </c>
      <c r="O633" s="196">
        <v>0</v>
      </c>
      <c r="P633" s="138">
        <v>0</v>
      </c>
      <c r="Q633" s="196">
        <v>0</v>
      </c>
      <c r="R633" s="141">
        <v>0</v>
      </c>
      <c r="S633" s="138">
        <v>0</v>
      </c>
      <c r="T633" s="138">
        <v>0</v>
      </c>
      <c r="U633" s="42" t="s">
        <v>135</v>
      </c>
      <c r="V633" s="40"/>
      <c r="Y633" s="42"/>
      <c r="Z633" s="33"/>
      <c r="AA633" s="35"/>
      <c r="AB633" s="34"/>
      <c r="AC633" s="34"/>
      <c r="AD633" s="34"/>
      <c r="AE633" s="33"/>
      <c r="AF633" s="35"/>
      <c r="AG633" s="32"/>
      <c r="AH633" s="34"/>
      <c r="AI633" s="34"/>
      <c r="AJ633" s="35"/>
      <c r="AM633" s="138"/>
      <c r="AN633" s="138"/>
      <c r="AO633" s="141"/>
      <c r="AP633" s="138"/>
      <c r="AQ633" s="141"/>
      <c r="AR633" s="28"/>
      <c r="AS633" s="28"/>
      <c r="AT633" s="28"/>
      <c r="AU633" s="28"/>
      <c r="AV633" s="141"/>
      <c r="AY633" s="211" t="s">
        <v>89</v>
      </c>
      <c r="AZ633" s="138">
        <v>2247</v>
      </c>
      <c r="BA633" s="141">
        <v>2321</v>
      </c>
      <c r="BB633" s="138">
        <v>0</v>
      </c>
      <c r="BC633" s="43">
        <v>0</v>
      </c>
      <c r="BD633" s="141">
        <v>0</v>
      </c>
      <c r="BE633" s="138">
        <v>0</v>
      </c>
      <c r="BF633" s="141">
        <v>0</v>
      </c>
      <c r="BG633" s="138"/>
      <c r="BH633" s="28"/>
      <c r="BI633" s="141"/>
      <c r="BJ633" s="28"/>
    </row>
    <row r="634" spans="1:62" ht="15" thickBot="1" x14ac:dyDescent="0.35">
      <c r="A634" s="42" t="s">
        <v>99</v>
      </c>
      <c r="B634" s="138">
        <v>7318</v>
      </c>
      <c r="C634" s="209">
        <v>7919</v>
      </c>
      <c r="D634" s="138">
        <v>0</v>
      </c>
      <c r="E634" s="38">
        <v>0</v>
      </c>
      <c r="F634" s="43">
        <v>0</v>
      </c>
      <c r="G634" s="138"/>
      <c r="H634" s="67">
        <v>146</v>
      </c>
      <c r="I634" s="28" t="s">
        <v>188</v>
      </c>
      <c r="J634" s="40"/>
      <c r="M634" s="42"/>
      <c r="N634" s="138"/>
      <c r="O634" s="196"/>
      <c r="P634" s="138"/>
      <c r="Q634" s="196"/>
      <c r="R634" s="141"/>
      <c r="S634" s="138"/>
      <c r="T634" s="138"/>
      <c r="U634" s="42"/>
      <c r="V634" s="40"/>
      <c r="Y634" s="47"/>
      <c r="Z634" s="47"/>
      <c r="AA634" s="49"/>
      <c r="AB634" s="48"/>
      <c r="AC634" s="48"/>
      <c r="AD634" s="48"/>
      <c r="AE634" s="47"/>
      <c r="AF634" s="49"/>
      <c r="AG634" s="46"/>
      <c r="AH634" s="48"/>
      <c r="AI634" s="48"/>
      <c r="AJ634" s="49"/>
      <c r="AM634" s="142"/>
      <c r="AN634" s="142"/>
      <c r="AO634" s="146"/>
      <c r="AP634" s="142"/>
      <c r="AQ634" s="146"/>
      <c r="AR634" s="143"/>
      <c r="AS634" s="143"/>
      <c r="AT634" s="143"/>
      <c r="AU634" s="143"/>
      <c r="AV634" s="146"/>
      <c r="AY634" s="211" t="s">
        <v>133</v>
      </c>
      <c r="AZ634" s="142">
        <v>0</v>
      </c>
      <c r="BA634" s="146">
        <v>0</v>
      </c>
      <c r="BB634" s="142">
        <v>0</v>
      </c>
      <c r="BC634" s="224">
        <v>0</v>
      </c>
      <c r="BD634" s="251">
        <v>0</v>
      </c>
      <c r="BE634" s="142">
        <v>0</v>
      </c>
      <c r="BF634" s="146">
        <v>0</v>
      </c>
      <c r="BG634" s="142"/>
      <c r="BH634" s="143"/>
      <c r="BI634" s="146"/>
      <c r="BJ634" s="28"/>
    </row>
    <row r="635" spans="1:62" x14ac:dyDescent="0.3">
      <c r="A635" s="42" t="s">
        <v>120</v>
      </c>
      <c r="B635" s="138">
        <v>3754</v>
      </c>
      <c r="C635" s="209">
        <v>4060</v>
      </c>
      <c r="D635" s="138">
        <v>0</v>
      </c>
      <c r="E635" s="38">
        <v>0</v>
      </c>
      <c r="F635" s="43">
        <v>0</v>
      </c>
      <c r="G635" s="138"/>
      <c r="H635" s="67"/>
      <c r="I635" s="28"/>
      <c r="J635" s="40"/>
      <c r="M635" s="244" t="s">
        <v>84</v>
      </c>
      <c r="N635" s="142">
        <v>1457</v>
      </c>
      <c r="O635" s="199">
        <v>0</v>
      </c>
      <c r="P635" s="142">
        <v>0</v>
      </c>
      <c r="Q635" s="199">
        <v>0</v>
      </c>
      <c r="R635" s="146">
        <v>0</v>
      </c>
      <c r="S635" s="142">
        <v>21</v>
      </c>
      <c r="T635" s="142">
        <v>0</v>
      </c>
      <c r="U635" s="244"/>
      <c r="V635" s="245"/>
      <c r="Y635" s="33"/>
      <c r="Z635" s="33"/>
      <c r="AA635" s="35"/>
      <c r="AB635" s="34"/>
      <c r="AC635" s="34"/>
      <c r="AD635" s="34"/>
      <c r="AE635" s="33"/>
      <c r="AF635" s="35"/>
      <c r="AG635" s="32"/>
      <c r="AH635" s="34"/>
      <c r="AI635" s="34"/>
      <c r="AJ635" s="35"/>
      <c r="AM635" s="134"/>
      <c r="AN635" s="134"/>
      <c r="AO635" s="136"/>
      <c r="AP635" s="134"/>
      <c r="AQ635" s="136"/>
      <c r="AR635" s="134"/>
      <c r="AS635" s="135" t="s">
        <v>140</v>
      </c>
      <c r="AT635" s="135"/>
      <c r="AU635" s="135"/>
      <c r="AV635" s="136"/>
      <c r="AY635" s="247" t="s">
        <v>84</v>
      </c>
      <c r="AZ635" s="247">
        <v>7675</v>
      </c>
      <c r="BA635" s="248">
        <v>7487</v>
      </c>
      <c r="BB635" s="197">
        <v>0</v>
      </c>
      <c r="BC635" s="198">
        <v>0</v>
      </c>
      <c r="BD635" s="249">
        <v>0</v>
      </c>
      <c r="BE635" s="197">
        <v>0</v>
      </c>
      <c r="BF635" s="249">
        <v>0</v>
      </c>
      <c r="BG635" s="197"/>
      <c r="BH635" s="198"/>
      <c r="BI635" s="249">
        <v>210</v>
      </c>
      <c r="BJ635" s="28"/>
    </row>
    <row r="636" spans="1:62" x14ac:dyDescent="0.3">
      <c r="A636" s="42"/>
      <c r="B636" s="138"/>
      <c r="C636" s="28"/>
      <c r="D636" s="138">
        <v>0</v>
      </c>
      <c r="E636" s="38">
        <v>0</v>
      </c>
      <c r="F636" s="43">
        <v>0</v>
      </c>
      <c r="G636" s="138"/>
      <c r="H636" s="67"/>
      <c r="I636" s="28"/>
      <c r="J636" s="40"/>
      <c r="M636" s="42"/>
      <c r="N636" s="138"/>
      <c r="O636" s="196"/>
      <c r="P636" s="138"/>
      <c r="Q636" s="196"/>
      <c r="R636" s="141"/>
      <c r="S636" s="138"/>
      <c r="T636" s="138"/>
      <c r="U636" s="42"/>
      <c r="V636" s="40"/>
      <c r="Y636" s="42"/>
      <c r="Z636" s="42"/>
      <c r="AA636" s="40"/>
      <c r="AB636" s="43"/>
      <c r="AC636" s="43"/>
      <c r="AD636" s="43"/>
      <c r="AE636" s="42"/>
      <c r="AF636" s="40"/>
      <c r="AG636" s="41"/>
      <c r="AH636" s="28" t="s">
        <v>953</v>
      </c>
      <c r="AI636" s="28"/>
      <c r="AJ636" s="40"/>
      <c r="AM636" s="138" t="s">
        <v>132</v>
      </c>
      <c r="AN636" s="212">
        <v>1</v>
      </c>
      <c r="AO636" s="141">
        <v>1</v>
      </c>
      <c r="AP636" s="138"/>
      <c r="AQ636" s="141"/>
      <c r="AR636" s="138">
        <v>6</v>
      </c>
      <c r="AS636" s="43" t="s">
        <v>1999</v>
      </c>
      <c r="AT636" s="43"/>
      <c r="AU636" s="43"/>
      <c r="AV636" s="141"/>
      <c r="AY636" s="195"/>
      <c r="AZ636" s="134"/>
      <c r="BA636" s="136"/>
      <c r="BB636" s="134"/>
      <c r="BC636" s="135"/>
      <c r="BD636" s="136"/>
      <c r="BE636" s="134"/>
      <c r="BF636" s="136"/>
      <c r="BG636" s="134" t="s">
        <v>1025</v>
      </c>
      <c r="BH636" s="135"/>
      <c r="BI636" s="136"/>
      <c r="BJ636" s="28"/>
    </row>
    <row r="637" spans="1:62" x14ac:dyDescent="0.3">
      <c r="A637" s="244" t="s">
        <v>84</v>
      </c>
      <c r="B637" s="142">
        <v>17369</v>
      </c>
      <c r="C637" s="143">
        <v>17832</v>
      </c>
      <c r="D637" s="142"/>
      <c r="E637" s="143"/>
      <c r="F637" s="143"/>
      <c r="G637" s="142"/>
      <c r="H637" s="244"/>
      <c r="I637" s="143"/>
      <c r="J637" s="245">
        <v>146</v>
      </c>
      <c r="M637" s="42"/>
      <c r="N637" s="138"/>
      <c r="O637" s="196"/>
      <c r="P637" s="138"/>
      <c r="Q637" s="196"/>
      <c r="R637" s="141"/>
      <c r="S637" s="138"/>
      <c r="T637" s="138"/>
      <c r="U637" s="42"/>
      <c r="V637" s="40"/>
      <c r="Y637" s="42"/>
      <c r="Z637" s="42"/>
      <c r="AA637" s="40"/>
      <c r="AB637" s="43"/>
      <c r="AC637" s="43"/>
      <c r="AD637" s="43"/>
      <c r="AE637" s="42"/>
      <c r="AF637" s="40"/>
      <c r="AG637" s="41"/>
      <c r="AH637" s="43"/>
      <c r="AI637" s="28" t="s">
        <v>141</v>
      </c>
      <c r="AJ637" s="40"/>
      <c r="AM637" s="138" t="s">
        <v>122</v>
      </c>
      <c r="AN637" s="212">
        <v>15</v>
      </c>
      <c r="AO637" s="141">
        <v>0</v>
      </c>
      <c r="AP637" s="138"/>
      <c r="AQ637" s="141"/>
      <c r="AR637" s="138">
        <v>1</v>
      </c>
      <c r="AS637" s="43" t="s">
        <v>2123</v>
      </c>
      <c r="AT637" s="43" t="s">
        <v>2104</v>
      </c>
      <c r="AU637" s="43"/>
      <c r="AV637" s="141"/>
      <c r="AY637" s="196" t="s">
        <v>64</v>
      </c>
      <c r="AZ637" s="138">
        <v>113</v>
      </c>
      <c r="BA637" s="141">
        <v>117</v>
      </c>
      <c r="BB637" s="138">
        <v>0</v>
      </c>
      <c r="BC637" s="43">
        <v>0</v>
      </c>
      <c r="BD637" s="209">
        <v>0</v>
      </c>
      <c r="BE637" s="138">
        <v>0</v>
      </c>
      <c r="BF637" s="141">
        <v>0</v>
      </c>
      <c r="BG637" s="138">
        <v>9</v>
      </c>
      <c r="BH637" s="28" t="s">
        <v>1026</v>
      </c>
      <c r="BI637" s="141"/>
      <c r="BJ637" s="28"/>
    </row>
    <row r="638" spans="1:62" x14ac:dyDescent="0.3">
      <c r="A638" s="278" t="s">
        <v>105</v>
      </c>
      <c r="B638" s="134">
        <v>957</v>
      </c>
      <c r="C638" s="135">
        <v>1261</v>
      </c>
      <c r="D638" s="134">
        <v>0</v>
      </c>
      <c r="E638" s="243">
        <v>623</v>
      </c>
      <c r="F638" s="135">
        <v>0</v>
      </c>
      <c r="G638" s="134">
        <v>1</v>
      </c>
      <c r="H638" s="278" t="s">
        <v>162</v>
      </c>
      <c r="I638" s="135"/>
      <c r="J638" s="279"/>
      <c r="M638" s="42"/>
      <c r="N638" s="138"/>
      <c r="O638" s="196"/>
      <c r="P638" s="138"/>
      <c r="Q638" s="196"/>
      <c r="R638" s="141"/>
      <c r="S638" s="138"/>
      <c r="T638" s="138"/>
      <c r="U638" s="42"/>
      <c r="V638" s="40"/>
      <c r="Y638" s="42"/>
      <c r="Z638" s="42"/>
      <c r="AA638" s="40"/>
      <c r="AB638" s="43"/>
      <c r="AC638" s="43"/>
      <c r="AD638" s="43"/>
      <c r="AE638" s="42"/>
      <c r="AF638" s="40"/>
      <c r="AG638" s="41"/>
      <c r="AH638" s="43"/>
      <c r="AI638" s="43"/>
      <c r="AJ638" s="40"/>
      <c r="AM638" s="138" t="s">
        <v>72</v>
      </c>
      <c r="AN638" s="212">
        <v>27</v>
      </c>
      <c r="AO638" s="141">
        <v>25</v>
      </c>
      <c r="AP638" s="138"/>
      <c r="AQ638" s="141"/>
      <c r="AR638" s="138">
        <v>1</v>
      </c>
      <c r="AS638" s="43" t="s">
        <v>433</v>
      </c>
      <c r="AT638" s="43" t="s">
        <v>2124</v>
      </c>
      <c r="AU638" s="43"/>
      <c r="AV638" s="141"/>
      <c r="AY638" s="239" t="s">
        <v>84</v>
      </c>
      <c r="AZ638" s="142">
        <v>113</v>
      </c>
      <c r="BA638" s="146">
        <v>117</v>
      </c>
      <c r="BB638" s="142">
        <v>0</v>
      </c>
      <c r="BC638" s="143">
        <v>0</v>
      </c>
      <c r="BD638" s="146">
        <v>0</v>
      </c>
      <c r="BE638" s="142">
        <v>0</v>
      </c>
      <c r="BF638" s="146">
        <v>0</v>
      </c>
      <c r="BG638" s="142"/>
      <c r="BH638" s="143"/>
      <c r="BI638" s="146">
        <v>9</v>
      </c>
      <c r="BJ638" s="28"/>
    </row>
    <row r="639" spans="1:62" ht="15" thickBot="1" x14ac:dyDescent="0.35">
      <c r="A639" s="42" t="s">
        <v>99</v>
      </c>
      <c r="B639" s="138">
        <v>158</v>
      </c>
      <c r="C639" s="43">
        <v>176</v>
      </c>
      <c r="D639" s="138">
        <v>0</v>
      </c>
      <c r="E639" s="343">
        <v>756</v>
      </c>
      <c r="F639" s="43">
        <v>0</v>
      </c>
      <c r="G639" s="138"/>
      <c r="H639" s="42"/>
      <c r="I639" s="28"/>
      <c r="J639" s="40"/>
      <c r="M639" s="42"/>
      <c r="N639" s="138"/>
      <c r="O639" s="196"/>
      <c r="P639" s="138"/>
      <c r="Q639" s="196"/>
      <c r="R639" s="141"/>
      <c r="S639" s="138"/>
      <c r="T639" s="138"/>
      <c r="U639" s="42"/>
      <c r="V639" s="40"/>
      <c r="Y639" s="47" t="s">
        <v>84</v>
      </c>
      <c r="Z639" s="282"/>
      <c r="AA639" s="49"/>
      <c r="AB639" s="51"/>
      <c r="AC639" s="48"/>
      <c r="AD639" s="48"/>
      <c r="AE639" s="47"/>
      <c r="AF639" s="49"/>
      <c r="AG639" s="46"/>
      <c r="AH639" s="48"/>
      <c r="AI639" s="48"/>
      <c r="AJ639" s="49">
        <v>0</v>
      </c>
      <c r="AM639" s="138" t="s">
        <v>78</v>
      </c>
      <c r="AN639" s="212">
        <v>54</v>
      </c>
      <c r="AO639" s="141">
        <v>51</v>
      </c>
      <c r="AP639" s="138"/>
      <c r="AQ639" s="141"/>
      <c r="AR639" s="138">
        <v>15</v>
      </c>
      <c r="AS639" s="43" t="s">
        <v>2007</v>
      </c>
      <c r="AT639" s="43" t="s">
        <v>2125</v>
      </c>
      <c r="AU639" s="43"/>
      <c r="AV639" s="141"/>
      <c r="AY639" s="138"/>
      <c r="AZ639" s="134"/>
      <c r="BA639" s="135"/>
      <c r="BB639" s="134"/>
      <c r="BC639" s="135"/>
      <c r="BD639" s="136"/>
      <c r="BE639" s="28"/>
      <c r="BF639" s="141"/>
      <c r="BG639" s="28" t="s">
        <v>994</v>
      </c>
      <c r="BH639" s="28"/>
      <c r="BI639" s="141"/>
      <c r="BJ639" s="28"/>
    </row>
    <row r="640" spans="1:62" x14ac:dyDescent="0.3">
      <c r="A640" s="42"/>
      <c r="B640" s="138"/>
      <c r="C640" s="28"/>
      <c r="D640" s="138"/>
      <c r="E640" s="343"/>
      <c r="F640" s="28"/>
      <c r="G640" s="138"/>
      <c r="H640" s="67">
        <v>30</v>
      </c>
      <c r="I640" s="28" t="s">
        <v>101</v>
      </c>
      <c r="J640" s="40"/>
      <c r="M640" s="42"/>
      <c r="N640" s="138"/>
      <c r="O640" s="196"/>
      <c r="P640" s="138"/>
      <c r="Q640" s="196"/>
      <c r="R640" s="141"/>
      <c r="S640" s="138"/>
      <c r="T640" s="138"/>
      <c r="U640" s="42"/>
      <c r="V640" s="40"/>
      <c r="Y640" s="32"/>
      <c r="Z640" s="33"/>
      <c r="AA640" s="35"/>
      <c r="AB640" s="53"/>
      <c r="AC640" s="123"/>
      <c r="AD640" s="97"/>
      <c r="AE640" s="33"/>
      <c r="AF640" s="35"/>
      <c r="AG640" s="32"/>
      <c r="AH640" s="33" t="s">
        <v>149</v>
      </c>
      <c r="AI640" s="34"/>
      <c r="AJ640" s="35"/>
      <c r="AM640" s="138" t="s">
        <v>230</v>
      </c>
      <c r="AN640" s="212">
        <v>2</v>
      </c>
      <c r="AO640" s="141">
        <v>3</v>
      </c>
      <c r="AP640" s="212"/>
      <c r="AQ640" s="141"/>
      <c r="AR640" s="138">
        <v>25</v>
      </c>
      <c r="AS640" s="43" t="s">
        <v>1991</v>
      </c>
      <c r="AT640" s="43"/>
      <c r="AU640" s="43"/>
      <c r="AV640" s="141"/>
      <c r="AY640" s="138" t="s">
        <v>113</v>
      </c>
      <c r="AZ640" s="138">
        <v>485</v>
      </c>
      <c r="BA640" s="28">
        <v>492</v>
      </c>
      <c r="BB640" s="138">
        <v>0</v>
      </c>
      <c r="BC640" s="43">
        <v>0</v>
      </c>
      <c r="BD640" s="209">
        <v>0</v>
      </c>
      <c r="BE640" s="43">
        <v>0</v>
      </c>
      <c r="BF640" s="141">
        <v>0</v>
      </c>
      <c r="BG640" s="43">
        <v>20</v>
      </c>
      <c r="BH640" s="28" t="s">
        <v>1297</v>
      </c>
      <c r="BI640" s="141"/>
      <c r="BJ640" s="28"/>
    </row>
    <row r="641" spans="1:62" ht="15" thickBot="1" x14ac:dyDescent="0.35">
      <c r="A641" s="42" t="s">
        <v>84</v>
      </c>
      <c r="B641" s="142">
        <v>1115</v>
      </c>
      <c r="C641" s="143">
        <v>1437</v>
      </c>
      <c r="D641" s="142">
        <v>0</v>
      </c>
      <c r="E641" s="345">
        <v>1379</v>
      </c>
      <c r="F641" s="143">
        <v>0</v>
      </c>
      <c r="G641" s="142"/>
      <c r="H641" s="244"/>
      <c r="I641" s="143"/>
      <c r="J641" s="245">
        <v>30</v>
      </c>
      <c r="M641" s="47" t="s">
        <v>84</v>
      </c>
      <c r="N641" s="202">
        <v>38036</v>
      </c>
      <c r="O641" s="286">
        <v>31512</v>
      </c>
      <c r="P641" s="202">
        <v>0</v>
      </c>
      <c r="Q641" s="286">
        <v>0</v>
      </c>
      <c r="R641" s="48">
        <v>0</v>
      </c>
      <c r="S641" s="202">
        <v>5927</v>
      </c>
      <c r="T641" s="202">
        <v>154</v>
      </c>
      <c r="U641" s="47"/>
      <c r="V641" s="49"/>
      <c r="Y641" s="41" t="s">
        <v>99</v>
      </c>
      <c r="Z641" s="42">
        <v>0</v>
      </c>
      <c r="AA641" s="40">
        <v>0</v>
      </c>
      <c r="AB641" s="67">
        <v>0</v>
      </c>
      <c r="AC641" s="43">
        <v>0</v>
      </c>
      <c r="AD641" s="56">
        <v>0</v>
      </c>
      <c r="AE641" s="42">
        <v>0</v>
      </c>
      <c r="AF641" s="40">
        <v>4987</v>
      </c>
      <c r="AG641" s="41">
        <v>0</v>
      </c>
      <c r="AH641" s="67">
        <v>4</v>
      </c>
      <c r="AI641" s="28" t="s">
        <v>1317</v>
      </c>
      <c r="AJ641" s="40"/>
      <c r="AM641" s="138" t="s">
        <v>56</v>
      </c>
      <c r="AN641" s="212">
        <v>3</v>
      </c>
      <c r="AO641" s="141">
        <v>14</v>
      </c>
      <c r="AP641" s="138"/>
      <c r="AQ641" s="141"/>
      <c r="AR641" s="138">
        <v>1</v>
      </c>
      <c r="AS641" s="43" t="s">
        <v>1990</v>
      </c>
      <c r="AT641" s="43"/>
      <c r="AU641" s="43"/>
      <c r="AV641" s="141"/>
      <c r="AY641" s="142" t="s">
        <v>84</v>
      </c>
      <c r="AZ641" s="138">
        <v>485</v>
      </c>
      <c r="BA641" s="28">
        <v>492</v>
      </c>
      <c r="BB641" s="138">
        <v>0</v>
      </c>
      <c r="BC641" s="43">
        <v>0</v>
      </c>
      <c r="BD641" s="209">
        <v>0</v>
      </c>
      <c r="BE641" s="143">
        <v>0</v>
      </c>
      <c r="BF641" s="146">
        <v>0</v>
      </c>
      <c r="BG641" s="43">
        <v>27</v>
      </c>
      <c r="BH641" s="43" t="s">
        <v>1292</v>
      </c>
      <c r="BI641" s="146">
        <v>47</v>
      </c>
      <c r="BJ641" s="28"/>
    </row>
    <row r="642" spans="1:62" x14ac:dyDescent="0.3">
      <c r="A642" s="287" t="s">
        <v>181</v>
      </c>
      <c r="B642" s="135">
        <v>2422</v>
      </c>
      <c r="C642" s="135">
        <v>2464</v>
      </c>
      <c r="D642" s="134">
        <v>0</v>
      </c>
      <c r="E642" s="243">
        <v>0</v>
      </c>
      <c r="F642" s="136">
        <v>0</v>
      </c>
      <c r="G642" s="134">
        <v>1</v>
      </c>
      <c r="H642" s="278" t="s">
        <v>182</v>
      </c>
      <c r="I642" s="135"/>
      <c r="J642" s="279"/>
      <c r="Y642" s="41" t="s">
        <v>174</v>
      </c>
      <c r="Z642" s="42">
        <v>0</v>
      </c>
      <c r="AA642" s="40">
        <v>0</v>
      </c>
      <c r="AB642" s="67">
        <v>0</v>
      </c>
      <c r="AC642" s="43">
        <v>0</v>
      </c>
      <c r="AD642" s="56">
        <v>0</v>
      </c>
      <c r="AE642" s="42">
        <v>38278</v>
      </c>
      <c r="AF642" s="40">
        <v>0</v>
      </c>
      <c r="AG642" s="41">
        <v>0</v>
      </c>
      <c r="AH642" s="67"/>
      <c r="AI642" s="43"/>
      <c r="AJ642" s="40"/>
      <c r="AM642" s="138" t="s">
        <v>67</v>
      </c>
      <c r="AN642" s="212">
        <v>14</v>
      </c>
      <c r="AO642" s="141">
        <v>16</v>
      </c>
      <c r="AP642" s="138"/>
      <c r="AQ642" s="141"/>
      <c r="AR642" s="138">
        <v>6</v>
      </c>
      <c r="AS642" s="43" t="s">
        <v>2126</v>
      </c>
      <c r="AT642" s="43"/>
      <c r="AU642" s="43"/>
      <c r="AV642" s="141"/>
      <c r="AY642" s="134" t="s">
        <v>113</v>
      </c>
      <c r="AZ642" s="240">
        <v>39</v>
      </c>
      <c r="BA642" s="135">
        <v>42</v>
      </c>
      <c r="BB642" s="134"/>
      <c r="BC642" s="243"/>
      <c r="BD642" s="381"/>
      <c r="BE642" s="135"/>
      <c r="BF642" s="136"/>
      <c r="BG642" s="134" t="s">
        <v>140</v>
      </c>
      <c r="BH642" s="135"/>
      <c r="BI642" s="136"/>
      <c r="BJ642" s="28"/>
    </row>
    <row r="643" spans="1:62" ht="15" thickBot="1" x14ac:dyDescent="0.35">
      <c r="A643" s="288"/>
      <c r="B643" s="28"/>
      <c r="C643" s="28"/>
      <c r="D643" s="138"/>
      <c r="E643" s="38"/>
      <c r="F643" s="141"/>
      <c r="G643" s="138"/>
      <c r="H643" s="42"/>
      <c r="I643" s="28"/>
      <c r="J643" s="40"/>
      <c r="Y643" s="62" t="s">
        <v>84</v>
      </c>
      <c r="Z643" s="47">
        <v>0</v>
      </c>
      <c r="AA643" s="49">
        <v>0</v>
      </c>
      <c r="AB643" s="47">
        <v>0</v>
      </c>
      <c r="AC643" s="48">
        <v>0</v>
      </c>
      <c r="AD643" s="49">
        <v>0</v>
      </c>
      <c r="AE643" s="47">
        <v>38278</v>
      </c>
      <c r="AF643" s="49">
        <v>4987</v>
      </c>
      <c r="AG643" s="46">
        <v>0</v>
      </c>
      <c r="AH643" s="47"/>
      <c r="AI643" s="48"/>
      <c r="AJ643" s="49">
        <v>4</v>
      </c>
      <c r="AM643" s="138" t="s">
        <v>115</v>
      </c>
      <c r="AN643" s="212">
        <v>4</v>
      </c>
      <c r="AO643" s="141">
        <v>13</v>
      </c>
      <c r="AP643" s="138"/>
      <c r="AQ643" s="141"/>
      <c r="AR643" s="138">
        <v>4</v>
      </c>
      <c r="AS643" s="43" t="s">
        <v>682</v>
      </c>
      <c r="AT643" s="43"/>
      <c r="AU643" s="43"/>
      <c r="AV643" s="141"/>
      <c r="AY643" s="138" t="s">
        <v>133</v>
      </c>
      <c r="AZ643" s="212">
        <v>15</v>
      </c>
      <c r="BA643" s="43">
        <v>12</v>
      </c>
      <c r="BB643" s="138"/>
      <c r="BC643" s="43"/>
      <c r="BD643" s="141"/>
      <c r="BE643" s="43"/>
      <c r="BF643" s="141"/>
      <c r="BG643" s="138"/>
      <c r="BH643" s="28"/>
      <c r="BI643" s="141"/>
      <c r="BJ643" s="28"/>
    </row>
    <row r="644" spans="1:62" x14ac:dyDescent="0.3">
      <c r="A644" s="288" t="s">
        <v>84</v>
      </c>
      <c r="B644" s="28">
        <v>2422</v>
      </c>
      <c r="C644" s="43">
        <v>2464</v>
      </c>
      <c r="D644" s="138">
        <v>0</v>
      </c>
      <c r="E644" s="38">
        <v>0</v>
      </c>
      <c r="F644" s="141">
        <v>0</v>
      </c>
      <c r="G644" s="138"/>
      <c r="H644" s="42">
        <v>23</v>
      </c>
      <c r="I644" s="28" t="s">
        <v>727</v>
      </c>
      <c r="J644" s="40"/>
      <c r="Y644" s="32" t="s">
        <v>1118</v>
      </c>
      <c r="Z644" s="33">
        <v>0</v>
      </c>
      <c r="AA644" s="35">
        <v>0</v>
      </c>
      <c r="AB644" s="33">
        <v>0</v>
      </c>
      <c r="AC644" s="34">
        <v>0</v>
      </c>
      <c r="AD644" s="35">
        <v>0</v>
      </c>
      <c r="AE644" s="33">
        <v>4954</v>
      </c>
      <c r="AF644" s="35">
        <v>0</v>
      </c>
      <c r="AG644" s="32">
        <v>0</v>
      </c>
      <c r="AH644" s="33" t="s">
        <v>157</v>
      </c>
      <c r="AI644" s="34"/>
      <c r="AJ644" s="35"/>
      <c r="AM644" s="138" t="s">
        <v>81</v>
      </c>
      <c r="AN644" s="212">
        <v>0</v>
      </c>
      <c r="AO644" s="141">
        <v>6</v>
      </c>
      <c r="AP644" s="138"/>
      <c r="AQ644" s="141"/>
      <c r="AR644" s="138">
        <v>52</v>
      </c>
      <c r="AS644" s="43" t="s">
        <v>215</v>
      </c>
      <c r="AT644" s="43"/>
      <c r="AU644" s="43"/>
      <c r="AV644" s="141"/>
      <c r="AY644" s="138" t="s">
        <v>196</v>
      </c>
      <c r="AZ644" s="212">
        <v>0</v>
      </c>
      <c r="BA644" s="43">
        <v>0</v>
      </c>
      <c r="BB644" s="138"/>
      <c r="BC644" s="43"/>
      <c r="BD644" s="141"/>
      <c r="BE644" s="43"/>
      <c r="BF644" s="141"/>
      <c r="BG644" s="138"/>
      <c r="BH644" s="28"/>
      <c r="BI644" s="141"/>
      <c r="BJ644" s="28"/>
    </row>
    <row r="645" spans="1:62" ht="15" thickBot="1" x14ac:dyDescent="0.35">
      <c r="A645" s="289"/>
      <c r="B645" s="48"/>
      <c r="C645" s="48"/>
      <c r="D645" s="202"/>
      <c r="E645" s="48"/>
      <c r="F645" s="203"/>
      <c r="G645" s="202"/>
      <c r="H645" s="47">
        <v>3</v>
      </c>
      <c r="I645" s="51" t="s">
        <v>1464</v>
      </c>
      <c r="J645" s="49">
        <v>26</v>
      </c>
      <c r="Y645" s="41" t="s">
        <v>95</v>
      </c>
      <c r="Z645" s="42">
        <v>0</v>
      </c>
      <c r="AA645" s="56">
        <v>0</v>
      </c>
      <c r="AB645" s="67">
        <v>0</v>
      </c>
      <c r="AC645" s="43">
        <v>0</v>
      </c>
      <c r="AD645" s="56">
        <v>0</v>
      </c>
      <c r="AE645" s="42">
        <v>19090</v>
      </c>
      <c r="AF645" s="56">
        <v>0</v>
      </c>
      <c r="AG645" s="41">
        <v>0</v>
      </c>
      <c r="AH645" s="67">
        <v>11</v>
      </c>
      <c r="AI645" s="28" t="s">
        <v>61</v>
      </c>
      <c r="AJ645" s="40"/>
      <c r="AM645" s="138" t="s">
        <v>63</v>
      </c>
      <c r="AN645" s="138">
        <v>11</v>
      </c>
      <c r="AO645" s="141">
        <v>10</v>
      </c>
      <c r="AP645" s="138"/>
      <c r="AQ645" s="141"/>
      <c r="AR645" s="138"/>
      <c r="AS645" s="220"/>
      <c r="AT645" s="43"/>
      <c r="AU645" s="371"/>
      <c r="AV645" s="141"/>
      <c r="AY645" s="138" t="s">
        <v>218</v>
      </c>
      <c r="AZ645" s="212">
        <v>1</v>
      </c>
      <c r="BA645" s="43">
        <v>19</v>
      </c>
      <c r="BB645" s="382"/>
      <c r="BC645" s="43"/>
      <c r="BD645" s="141"/>
      <c r="BE645" s="43"/>
      <c r="BF645" s="141"/>
      <c r="BG645" s="212" t="s">
        <v>142</v>
      </c>
      <c r="BH645" s="43"/>
      <c r="BI645" s="209" t="s">
        <v>2127</v>
      </c>
      <c r="BJ645" s="28"/>
    </row>
    <row r="646" spans="1:62" ht="15" thickBot="1" x14ac:dyDescent="0.35">
      <c r="A646" s="254" t="s">
        <v>84</v>
      </c>
      <c r="B646" s="274">
        <v>43018</v>
      </c>
      <c r="C646" s="172">
        <v>49865</v>
      </c>
      <c r="D646" s="275">
        <v>0</v>
      </c>
      <c r="E646" s="210">
        <v>1616</v>
      </c>
      <c r="F646" s="253">
        <v>0</v>
      </c>
      <c r="G646" s="171">
        <v>8</v>
      </c>
      <c r="H646" s="171"/>
      <c r="I646" s="170"/>
      <c r="J646" s="172">
        <v>406</v>
      </c>
      <c r="Y646" s="41" t="s">
        <v>88</v>
      </c>
      <c r="Z646" s="42">
        <v>0</v>
      </c>
      <c r="AA646" s="56"/>
      <c r="AB646" s="67">
        <v>0</v>
      </c>
      <c r="AC646" s="43">
        <v>0</v>
      </c>
      <c r="AD646" s="56">
        <v>0</v>
      </c>
      <c r="AE646" s="42">
        <v>10980</v>
      </c>
      <c r="AF646" s="56">
        <v>0</v>
      </c>
      <c r="AG646" s="41">
        <v>0</v>
      </c>
      <c r="AH646" s="42"/>
      <c r="AI646" s="28"/>
      <c r="AJ646" s="40"/>
      <c r="AM646" s="138" t="s">
        <v>84</v>
      </c>
      <c r="AN646" s="138">
        <v>131</v>
      </c>
      <c r="AO646" s="141">
        <v>139</v>
      </c>
      <c r="AP646" s="138"/>
      <c r="AQ646" s="141"/>
      <c r="AR646" s="142"/>
      <c r="AS646" s="224"/>
      <c r="AT646" s="224"/>
      <c r="AU646" s="143"/>
      <c r="AV646" s="146">
        <v>125</v>
      </c>
      <c r="AY646" s="138" t="s">
        <v>214</v>
      </c>
      <c r="AZ646" s="212">
        <v>0</v>
      </c>
      <c r="BA646" s="43">
        <v>4</v>
      </c>
      <c r="BB646" s="268"/>
      <c r="BC646" s="255"/>
      <c r="BD646" s="141"/>
      <c r="BE646" s="43"/>
      <c r="BF646" s="141"/>
      <c r="BG646" s="212" t="s">
        <v>146</v>
      </c>
      <c r="BH646" s="43"/>
      <c r="BI646" s="372" t="s">
        <v>2083</v>
      </c>
      <c r="BJ646" s="28"/>
    </row>
    <row r="647" spans="1:62" ht="15" thickBot="1" x14ac:dyDescent="0.35">
      <c r="Y647" s="68" t="s">
        <v>99</v>
      </c>
      <c r="Z647" s="42">
        <v>0</v>
      </c>
      <c r="AA647" s="56">
        <v>0</v>
      </c>
      <c r="AB647" s="42">
        <v>0</v>
      </c>
      <c r="AC647" s="43">
        <v>0</v>
      </c>
      <c r="AD647" s="40">
        <v>0</v>
      </c>
      <c r="AE647" s="42">
        <v>106453</v>
      </c>
      <c r="AF647" s="56">
        <v>4707</v>
      </c>
      <c r="AG647" s="41">
        <v>0</v>
      </c>
      <c r="AH647" s="42"/>
      <c r="AI647" s="43"/>
      <c r="AJ647" s="40"/>
      <c r="AM647" s="171" t="s">
        <v>84</v>
      </c>
      <c r="AN647" s="171">
        <v>1608</v>
      </c>
      <c r="AO647" s="172">
        <v>1559</v>
      </c>
      <c r="AP647" s="170"/>
      <c r="AQ647" s="172"/>
      <c r="AR647" s="48"/>
      <c r="AS647" s="48"/>
      <c r="AT647" s="48"/>
      <c r="AU647" s="48"/>
      <c r="AV647" s="49">
        <v>304</v>
      </c>
      <c r="AY647" s="138" t="s">
        <v>158</v>
      </c>
      <c r="AZ647" s="212">
        <v>5</v>
      </c>
      <c r="BA647" s="43">
        <v>5</v>
      </c>
      <c r="BB647" s="268"/>
      <c r="BC647" s="43"/>
      <c r="BD647" s="141"/>
      <c r="BE647" s="43"/>
      <c r="BF647" s="141"/>
      <c r="BG647" s="212"/>
      <c r="BH647" s="43"/>
      <c r="BI647" s="209"/>
      <c r="BJ647" s="28"/>
    </row>
    <row r="648" spans="1:62" x14ac:dyDescent="0.3">
      <c r="V648" s="184"/>
      <c r="Y648" s="68" t="s">
        <v>85</v>
      </c>
      <c r="Z648" s="42">
        <v>0</v>
      </c>
      <c r="AA648" s="56">
        <v>0</v>
      </c>
      <c r="AB648" s="67">
        <v>0</v>
      </c>
      <c r="AC648" s="43">
        <v>0</v>
      </c>
      <c r="AD648" s="56">
        <v>0</v>
      </c>
      <c r="AE648" s="42">
        <v>0</v>
      </c>
      <c r="AF648" s="56">
        <v>15248</v>
      </c>
      <c r="AG648" s="41">
        <v>0</v>
      </c>
      <c r="AH648" s="67"/>
      <c r="AI648" s="28"/>
      <c r="AJ648" s="40"/>
      <c r="AM648" s="28"/>
      <c r="AN648" s="28"/>
      <c r="AO648" s="28"/>
      <c r="AP648" s="28"/>
      <c r="AQ648" s="28"/>
      <c r="AR648" s="28"/>
      <c r="AS648" s="43"/>
      <c r="AT648" s="43"/>
      <c r="AU648" s="28"/>
      <c r="AV648" s="28"/>
      <c r="AY648" s="138" t="s">
        <v>211</v>
      </c>
      <c r="AZ648" s="212">
        <v>0</v>
      </c>
      <c r="BA648" s="43">
        <v>0</v>
      </c>
      <c r="BB648" s="268"/>
      <c r="BC648" s="43"/>
      <c r="BD648" s="141"/>
      <c r="BE648" s="43"/>
      <c r="BF648" s="141"/>
      <c r="BG648" s="212" t="s">
        <v>151</v>
      </c>
      <c r="BH648" s="43"/>
      <c r="BI648" s="209"/>
      <c r="BJ648" s="28"/>
    </row>
    <row r="649" spans="1:62" x14ac:dyDescent="0.3">
      <c r="Y649" s="68" t="s">
        <v>105</v>
      </c>
      <c r="Z649" s="67">
        <v>0</v>
      </c>
      <c r="AA649" s="56">
        <v>0</v>
      </c>
      <c r="AB649" s="42">
        <v>0</v>
      </c>
      <c r="AC649" s="43">
        <v>0</v>
      </c>
      <c r="AD649" s="40">
        <v>0</v>
      </c>
      <c r="AE649" s="67">
        <v>0</v>
      </c>
      <c r="AF649" s="56">
        <v>2480</v>
      </c>
      <c r="AG649" s="41">
        <v>0</v>
      </c>
      <c r="AH649" s="42"/>
      <c r="AI649" s="28"/>
      <c r="AJ649" s="40"/>
      <c r="AM649" s="28"/>
      <c r="AN649" s="28"/>
      <c r="AO649" s="28"/>
      <c r="AP649" s="28"/>
      <c r="AQ649" s="28"/>
      <c r="AR649" s="28"/>
      <c r="AS649" s="220"/>
      <c r="AT649" s="220"/>
      <c r="AU649" s="28"/>
      <c r="AV649" s="28"/>
      <c r="AY649" s="138" t="s">
        <v>596</v>
      </c>
      <c r="AZ649" s="212">
        <v>5</v>
      </c>
      <c r="BA649" s="43">
        <v>5</v>
      </c>
      <c r="BB649" s="268"/>
      <c r="BC649" s="43"/>
      <c r="BD649" s="141"/>
      <c r="BE649" s="43"/>
      <c r="BF649" s="141"/>
      <c r="BG649" s="333" t="s">
        <v>2128</v>
      </c>
      <c r="BH649" s="383" t="s">
        <v>180</v>
      </c>
      <c r="BI649" s="209" t="s">
        <v>2129</v>
      </c>
      <c r="BJ649" s="28"/>
    </row>
    <row r="650" spans="1:62" x14ac:dyDescent="0.3">
      <c r="Y650" s="68" t="s">
        <v>174</v>
      </c>
      <c r="Z650" s="67">
        <v>0</v>
      </c>
      <c r="AA650" s="56"/>
      <c r="AB650" s="67">
        <v>0</v>
      </c>
      <c r="AC650" s="43">
        <v>0</v>
      </c>
      <c r="AD650" s="56">
        <v>0</v>
      </c>
      <c r="AE650" s="67">
        <v>0</v>
      </c>
      <c r="AF650" s="56">
        <v>1776</v>
      </c>
      <c r="AG650" s="41">
        <v>0</v>
      </c>
      <c r="AH650" s="67"/>
      <c r="AI650" s="28"/>
      <c r="AJ650" s="40"/>
      <c r="AM650" s="28"/>
      <c r="AN650" s="28"/>
      <c r="AO650" s="28"/>
      <c r="AP650" s="28"/>
      <c r="AQ650" s="28"/>
      <c r="AR650" s="28"/>
      <c r="AS650" s="43"/>
      <c r="AT650" s="43"/>
      <c r="AU650" s="28"/>
      <c r="AV650" s="28"/>
      <c r="AY650" s="138" t="s">
        <v>200</v>
      </c>
      <c r="AZ650" s="212">
        <v>7</v>
      </c>
      <c r="BA650" s="43">
        <v>4</v>
      </c>
      <c r="BB650" s="268"/>
      <c r="BC650" s="43"/>
      <c r="BD650" s="141"/>
      <c r="BE650" s="43"/>
      <c r="BF650" s="141"/>
      <c r="BG650" s="212" t="s">
        <v>2130</v>
      </c>
      <c r="BH650" s="220" t="s">
        <v>1779</v>
      </c>
      <c r="BI650" s="209" t="s">
        <v>515</v>
      </c>
      <c r="BJ650" s="28"/>
    </row>
    <row r="651" spans="1:62" x14ac:dyDescent="0.3">
      <c r="Y651" s="68" t="s">
        <v>133</v>
      </c>
      <c r="Z651" s="42">
        <v>0</v>
      </c>
      <c r="AA651" s="40">
        <v>0</v>
      </c>
      <c r="AB651" s="42">
        <v>0</v>
      </c>
      <c r="AC651" s="43">
        <v>0</v>
      </c>
      <c r="AD651" s="40">
        <v>0</v>
      </c>
      <c r="AE651" s="42">
        <v>0</v>
      </c>
      <c r="AF651" s="40">
        <v>3815</v>
      </c>
      <c r="AG651" s="41">
        <v>0</v>
      </c>
      <c r="AH651" s="42"/>
      <c r="AI651" s="28"/>
      <c r="AJ651" s="40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Y651" s="138" t="s">
        <v>88</v>
      </c>
      <c r="AZ651" s="212">
        <v>0</v>
      </c>
      <c r="BA651" s="43">
        <v>0</v>
      </c>
      <c r="BB651" s="268"/>
      <c r="BC651" s="43"/>
      <c r="BD651" s="141"/>
      <c r="BE651" s="43"/>
      <c r="BF651" s="141"/>
      <c r="BG651" s="212" t="s">
        <v>1384</v>
      </c>
      <c r="BH651" s="43" t="s">
        <v>603</v>
      </c>
      <c r="BI651" s="209"/>
      <c r="BJ651" s="28"/>
    </row>
    <row r="652" spans="1:62" x14ac:dyDescent="0.3">
      <c r="Y652" s="68" t="s">
        <v>108</v>
      </c>
      <c r="Z652" s="42">
        <v>0</v>
      </c>
      <c r="AA652" s="40">
        <v>0</v>
      </c>
      <c r="AB652" s="42">
        <v>0</v>
      </c>
      <c r="AC652" s="43">
        <v>0</v>
      </c>
      <c r="AD652" s="40">
        <v>0</v>
      </c>
      <c r="AE652" s="42">
        <v>14794</v>
      </c>
      <c r="AF652" s="40">
        <v>8769</v>
      </c>
      <c r="AG652" s="41">
        <v>0</v>
      </c>
      <c r="AH652" s="42"/>
      <c r="AI652" s="28"/>
      <c r="AJ652" s="40"/>
      <c r="AS652" s="43"/>
      <c r="AT652" s="43"/>
      <c r="AU652" s="43"/>
      <c r="AV652" s="28"/>
      <c r="AY652" s="138" t="s">
        <v>1095</v>
      </c>
      <c r="AZ652" s="212">
        <v>0</v>
      </c>
      <c r="BA652" s="43">
        <v>0</v>
      </c>
      <c r="BB652" s="268"/>
      <c r="BC652" s="270"/>
      <c r="BD652" s="141"/>
      <c r="BE652" s="43"/>
      <c r="BF652" s="141"/>
      <c r="BG652" s="212" t="s">
        <v>2131</v>
      </c>
      <c r="BH652" s="43" t="s">
        <v>2132</v>
      </c>
      <c r="BI652" s="209"/>
      <c r="BJ652" s="28"/>
    </row>
    <row r="653" spans="1:62" ht="15" thickBot="1" x14ac:dyDescent="0.35">
      <c r="Y653" s="62" t="s">
        <v>84</v>
      </c>
      <c r="Z653" s="47">
        <v>0</v>
      </c>
      <c r="AA653" s="49">
        <v>0</v>
      </c>
      <c r="AB653" s="47">
        <v>0</v>
      </c>
      <c r="AC653" s="51">
        <v>0</v>
      </c>
      <c r="AD653" s="49"/>
      <c r="AE653" s="47">
        <v>156271</v>
      </c>
      <c r="AF653" s="49">
        <v>36795</v>
      </c>
      <c r="AG653" s="46">
        <v>0</v>
      </c>
      <c r="AH653" s="47"/>
      <c r="AI653" s="48"/>
      <c r="AJ653" s="49">
        <v>11</v>
      </c>
      <c r="AS653" s="28"/>
      <c r="AT653" s="43"/>
      <c r="AU653" s="43"/>
      <c r="AV653" s="28"/>
      <c r="AY653" s="138" t="s">
        <v>678</v>
      </c>
      <c r="AZ653" s="212">
        <v>0</v>
      </c>
      <c r="BA653" s="43">
        <v>0</v>
      </c>
      <c r="BB653" s="268"/>
      <c r="BC653" s="43"/>
      <c r="BD653" s="141"/>
      <c r="BE653" s="43"/>
      <c r="BF653" s="141"/>
      <c r="BG653" s="212" t="s">
        <v>2133</v>
      </c>
      <c r="BH653" s="43" t="s">
        <v>309</v>
      </c>
      <c r="BI653" s="209"/>
      <c r="BJ653" s="28"/>
    </row>
    <row r="654" spans="1:62" x14ac:dyDescent="0.3">
      <c r="Y654" s="32"/>
      <c r="Z654" s="33"/>
      <c r="AA654" s="35"/>
      <c r="AB654" s="33"/>
      <c r="AC654" s="123"/>
      <c r="AD654" s="35"/>
      <c r="AE654" s="33"/>
      <c r="AF654" s="35"/>
      <c r="AG654" s="32"/>
      <c r="AH654" s="33" t="s">
        <v>1326</v>
      </c>
      <c r="AI654" s="34"/>
      <c r="AJ654" s="35"/>
      <c r="AS654" s="43"/>
      <c r="AT654" s="43"/>
      <c r="AU654" s="43"/>
      <c r="AV654" s="28"/>
      <c r="AY654" s="138" t="s">
        <v>64</v>
      </c>
      <c r="AZ654" s="212">
        <v>0</v>
      </c>
      <c r="BA654" s="43">
        <v>0</v>
      </c>
      <c r="BB654" s="268"/>
      <c r="BC654" s="43"/>
      <c r="BD654" s="141"/>
      <c r="BE654" s="43"/>
      <c r="BF654" s="141"/>
      <c r="BG654" s="212" t="s">
        <v>1331</v>
      </c>
      <c r="BH654" s="222" t="s">
        <v>544</v>
      </c>
      <c r="BI654" s="209"/>
      <c r="BJ654" s="28"/>
    </row>
    <row r="655" spans="1:62" x14ac:dyDescent="0.3">
      <c r="Y655" s="41" t="s">
        <v>102</v>
      </c>
      <c r="Z655" s="42">
        <v>258</v>
      </c>
      <c r="AA655" s="40">
        <v>368</v>
      </c>
      <c r="AB655" s="67">
        <v>0</v>
      </c>
      <c r="AC655" s="43">
        <v>0</v>
      </c>
      <c r="AD655" s="56">
        <v>0</v>
      </c>
      <c r="AE655" s="42">
        <v>0</v>
      </c>
      <c r="AF655" s="40">
        <v>0</v>
      </c>
      <c r="AG655" s="41"/>
      <c r="AH655" s="43">
        <v>3</v>
      </c>
      <c r="AI655" s="28" t="s">
        <v>145</v>
      </c>
      <c r="AJ655" s="40"/>
      <c r="AS655" s="43"/>
      <c r="AT655" s="28"/>
      <c r="AU655" s="28"/>
      <c r="AV655" s="28"/>
      <c r="AY655" s="138" t="s">
        <v>139</v>
      </c>
      <c r="AZ655" s="212">
        <v>0</v>
      </c>
      <c r="BA655" s="43">
        <v>2</v>
      </c>
      <c r="BB655" s="268"/>
      <c r="BC655" s="270"/>
      <c r="BD655" s="141"/>
      <c r="BE655" s="43"/>
      <c r="BF655" s="141"/>
      <c r="BG655" s="212" t="s">
        <v>2134</v>
      </c>
      <c r="BH655" s="43" t="s">
        <v>2113</v>
      </c>
      <c r="BI655" s="373"/>
      <c r="BJ655" s="28"/>
    </row>
    <row r="656" spans="1:62" ht="15" thickBot="1" x14ac:dyDescent="0.35">
      <c r="Y656" s="46" t="s">
        <v>84</v>
      </c>
      <c r="Z656" s="47">
        <v>258</v>
      </c>
      <c r="AA656" s="49">
        <v>368</v>
      </c>
      <c r="AB656" s="47">
        <v>0</v>
      </c>
      <c r="AC656" s="48">
        <v>0</v>
      </c>
      <c r="AD656" s="49">
        <v>0</v>
      </c>
      <c r="AE656" s="47">
        <v>0</v>
      </c>
      <c r="AF656" s="49">
        <v>0</v>
      </c>
      <c r="AG656" s="46"/>
      <c r="AH656" s="67">
        <v>5</v>
      </c>
      <c r="AI656" s="48" t="s">
        <v>98</v>
      </c>
      <c r="AJ656" s="49">
        <v>8</v>
      </c>
      <c r="AS656" s="43"/>
      <c r="AT656" s="28"/>
      <c r="AU656" s="28"/>
      <c r="AV656" s="28"/>
      <c r="AY656" s="138" t="s">
        <v>862</v>
      </c>
      <c r="AZ656" s="212">
        <v>0</v>
      </c>
      <c r="BA656" s="43">
        <v>0</v>
      </c>
      <c r="BB656" s="268"/>
      <c r="BC656" s="270"/>
      <c r="BD656" s="141"/>
      <c r="BE656" s="43"/>
      <c r="BF656" s="141"/>
      <c r="BG656" s="212" t="s">
        <v>2094</v>
      </c>
      <c r="BH656" s="43" t="s">
        <v>310</v>
      </c>
      <c r="BI656" s="209"/>
      <c r="BJ656" s="28"/>
    </row>
    <row r="657" spans="25:62" ht="15" thickBot="1" x14ac:dyDescent="0.35">
      <c r="Y657" s="254" t="s">
        <v>84</v>
      </c>
      <c r="Z657" s="171">
        <v>1998</v>
      </c>
      <c r="AA657" s="172">
        <v>2377</v>
      </c>
      <c r="AB657" s="271">
        <v>0</v>
      </c>
      <c r="AC657" s="170">
        <v>0</v>
      </c>
      <c r="AD657" s="172">
        <v>0</v>
      </c>
      <c r="AE657" s="47">
        <v>195894</v>
      </c>
      <c r="AF657" s="49">
        <v>41782</v>
      </c>
      <c r="AG657" s="46"/>
      <c r="AH657" s="291" t="s">
        <v>199</v>
      </c>
      <c r="AI657" s="170"/>
      <c r="AJ657" s="172">
        <v>39</v>
      </c>
      <c r="AQ657" s="28"/>
      <c r="AS657" s="43"/>
      <c r="AT657" s="28"/>
      <c r="AU657" s="28"/>
      <c r="AV657" s="28"/>
      <c r="AY657" s="138" t="s">
        <v>108</v>
      </c>
      <c r="AZ657" s="212">
        <v>0</v>
      </c>
      <c r="BA657" s="43">
        <v>0</v>
      </c>
      <c r="BB657" s="268"/>
      <c r="BC657" s="270"/>
      <c r="BD657" s="141"/>
      <c r="BE657" s="43"/>
      <c r="BF657" s="141"/>
      <c r="BG657" s="212" t="s">
        <v>758</v>
      </c>
      <c r="BH657" s="43" t="s">
        <v>1841</v>
      </c>
      <c r="BI657" s="209"/>
      <c r="BJ657" s="28"/>
    </row>
    <row r="658" spans="25:62" ht="15.6" x14ac:dyDescent="0.3">
      <c r="AQ658" s="28"/>
      <c r="AS658" s="43"/>
      <c r="AT658" s="43"/>
      <c r="AU658" s="43"/>
      <c r="AV658" s="28"/>
      <c r="AY658" s="374" t="s">
        <v>99</v>
      </c>
      <c r="AZ658" s="212">
        <v>0</v>
      </c>
      <c r="BA658" s="43">
        <v>2</v>
      </c>
      <c r="BB658" s="268"/>
      <c r="BC658" s="270"/>
      <c r="BD658" s="141"/>
      <c r="BE658" s="43"/>
      <c r="BF658" s="141"/>
      <c r="BG658" s="212" t="s">
        <v>1383</v>
      </c>
      <c r="BH658" s="258" t="s">
        <v>1788</v>
      </c>
      <c r="BI658" s="373"/>
      <c r="BJ658" s="28"/>
    </row>
    <row r="659" spans="25:62" ht="15.6" x14ac:dyDescent="0.3">
      <c r="AE659" s="28"/>
      <c r="AO659" s="28"/>
      <c r="AQ659" s="28"/>
      <c r="AS659" s="43"/>
      <c r="AT659" s="28"/>
      <c r="AU659" s="28"/>
      <c r="AV659" s="28"/>
      <c r="AY659" s="138" t="s">
        <v>120</v>
      </c>
      <c r="AZ659" s="212">
        <v>0</v>
      </c>
      <c r="BA659" s="43">
        <v>3</v>
      </c>
      <c r="BB659" s="268"/>
      <c r="BC659" s="270"/>
      <c r="BD659" s="141"/>
      <c r="BE659" s="43"/>
      <c r="BF659" s="141"/>
      <c r="BG659" s="212"/>
      <c r="BH659" s="258"/>
      <c r="BI659" s="209"/>
      <c r="BJ659" s="28"/>
    </row>
    <row r="660" spans="25:62" x14ac:dyDescent="0.3">
      <c r="AO660" s="28"/>
      <c r="AQ660" s="28"/>
      <c r="AY660" s="138" t="s">
        <v>169</v>
      </c>
      <c r="AZ660" s="212">
        <v>0</v>
      </c>
      <c r="BA660" s="43">
        <v>0</v>
      </c>
      <c r="BB660" s="268"/>
      <c r="BC660" s="270"/>
      <c r="BD660" s="141"/>
      <c r="BE660" s="43"/>
      <c r="BF660" s="141"/>
      <c r="BG660" s="212"/>
      <c r="BH660" s="228"/>
      <c r="BI660" s="213"/>
      <c r="BJ660" s="28"/>
    </row>
    <row r="661" spans="25:62" ht="15.6" x14ac:dyDescent="0.3">
      <c r="AO661" s="28"/>
      <c r="AQ661" s="28"/>
      <c r="AY661" s="138" t="s">
        <v>1339</v>
      </c>
      <c r="AZ661" s="212">
        <v>0</v>
      </c>
      <c r="BA661" s="43">
        <v>0</v>
      </c>
      <c r="BB661" s="268"/>
      <c r="BC661" s="270"/>
      <c r="BD661" s="141"/>
      <c r="BE661" s="43"/>
      <c r="BF661" s="141"/>
      <c r="BG661" s="138"/>
      <c r="BH661" s="258"/>
      <c r="BI661" s="141"/>
      <c r="BJ661" s="28"/>
    </row>
    <row r="662" spans="25:62" ht="16.2" thickBot="1" x14ac:dyDescent="0.35">
      <c r="Y662" s="43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 t="s">
        <v>150</v>
      </c>
      <c r="AW662" s="28"/>
      <c r="AX662" s="28"/>
      <c r="AY662" s="138" t="s">
        <v>1670</v>
      </c>
      <c r="AZ662" s="263">
        <v>1</v>
      </c>
      <c r="BA662" s="143">
        <v>0</v>
      </c>
      <c r="BB662" s="375"/>
      <c r="BC662" s="376"/>
      <c r="BD662" s="146"/>
      <c r="BE662" s="224"/>
      <c r="BF662" s="146"/>
      <c r="BG662" s="138"/>
      <c r="BH662" s="258"/>
      <c r="BI662" s="141">
        <v>55</v>
      </c>
      <c r="BJ662" s="28"/>
    </row>
    <row r="663" spans="25:62" ht="15" thickBot="1" x14ac:dyDescent="0.35">
      <c r="Y663" s="28"/>
      <c r="Z663" s="28"/>
      <c r="AA663" s="28"/>
      <c r="AB663" s="28"/>
      <c r="AC663" s="43"/>
      <c r="AD663" s="28"/>
      <c r="AE663" s="28"/>
      <c r="AF663" s="28"/>
      <c r="AG663" s="28"/>
      <c r="AH663" s="28"/>
      <c r="AI663" s="28"/>
      <c r="AJ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43"/>
      <c r="AX663" s="28"/>
      <c r="AY663" s="271" t="s">
        <v>84</v>
      </c>
      <c r="AZ663" s="72">
        <v>73</v>
      </c>
      <c r="BA663" s="357">
        <v>98</v>
      </c>
      <c r="BB663" s="48" t="s">
        <v>84</v>
      </c>
      <c r="BC663" s="48">
        <v>0</v>
      </c>
      <c r="BD663" s="48">
        <v>0</v>
      </c>
      <c r="BE663" s="47">
        <v>82275</v>
      </c>
      <c r="BF663" s="49">
        <v>27000</v>
      </c>
      <c r="BG663" s="351"/>
      <c r="BH663" s="170"/>
      <c r="BI663" s="172">
        <v>362</v>
      </c>
      <c r="BJ663" s="28"/>
    </row>
    <row r="664" spans="25:62" x14ac:dyDescent="0.3">
      <c r="Y664" s="28"/>
      <c r="Z664" s="28"/>
      <c r="AA664" s="28"/>
      <c r="AB664" s="28"/>
      <c r="AC664" s="43"/>
      <c r="AD664" s="28"/>
      <c r="AE664" s="28"/>
      <c r="AF664" s="28"/>
      <c r="AG664" s="28"/>
      <c r="AH664" s="28"/>
      <c r="AI664" s="28"/>
      <c r="AJ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00" t="s">
        <v>223</v>
      </c>
      <c r="AZ664" s="295">
        <v>8452</v>
      </c>
      <c r="BA664" s="296">
        <v>8360</v>
      </c>
      <c r="BB664" s="297"/>
      <c r="BC664" s="34" t="s">
        <v>1503</v>
      </c>
      <c r="BD664" s="34"/>
      <c r="BE664" s="34"/>
      <c r="BF664" s="34"/>
      <c r="BG664" s="298">
        <v>807</v>
      </c>
      <c r="BH664" s="35"/>
      <c r="BI664" s="35"/>
      <c r="BJ664" s="28"/>
    </row>
    <row r="665" spans="25:62" ht="15" thickBot="1" x14ac:dyDescent="0.35">
      <c r="Y665" s="28"/>
      <c r="Z665" s="28"/>
      <c r="AA665" s="28"/>
      <c r="AB665" s="43"/>
      <c r="AC665" s="43"/>
      <c r="AD665" s="43"/>
      <c r="AE665" s="28"/>
      <c r="AF665" s="28"/>
      <c r="AG665" s="28"/>
      <c r="AH665" s="28"/>
      <c r="AI665" s="28"/>
      <c r="AJ665" s="28"/>
      <c r="AM665" s="28"/>
      <c r="AN665" s="28"/>
      <c r="AO665" s="28"/>
      <c r="AP665" s="28"/>
      <c r="AQ665" s="28"/>
      <c r="AR665" s="28"/>
      <c r="AS665" s="28"/>
      <c r="AT665" s="28"/>
      <c r="AU665" s="43"/>
      <c r="AV665" s="28"/>
      <c r="AW665" s="28"/>
      <c r="AX665" s="28"/>
      <c r="AY665" s="138" t="s">
        <v>1340</v>
      </c>
      <c r="AZ665" s="28"/>
      <c r="BA665" s="299">
        <v>55</v>
      </c>
      <c r="BB665" s="47"/>
      <c r="BC665" s="48" t="s">
        <v>1504</v>
      </c>
      <c r="BD665" s="48"/>
      <c r="BE665" s="48"/>
      <c r="BF665" s="48"/>
      <c r="BG665" s="300">
        <v>304</v>
      </c>
      <c r="BH665" s="301">
        <v>1111</v>
      </c>
      <c r="BI665" s="40"/>
      <c r="BJ665" s="28"/>
    </row>
    <row r="666" spans="25:62" ht="15" thickBot="1" x14ac:dyDescent="0.35">
      <c r="Y666" s="28"/>
      <c r="Z666" s="28"/>
      <c r="AA666" s="28"/>
      <c r="AB666" s="28"/>
      <c r="AC666" s="28"/>
      <c r="AD666" s="28"/>
      <c r="AE666" s="28"/>
      <c r="AF666" s="28"/>
      <c r="AG666" s="28"/>
      <c r="AH666" s="43"/>
      <c r="AI666" s="28"/>
      <c r="AJ666" s="28"/>
      <c r="AM666" s="28"/>
      <c r="AN666" s="28"/>
      <c r="AO666" s="28"/>
      <c r="AP666" s="28"/>
      <c r="AQ666" s="43"/>
      <c r="AR666" s="28"/>
      <c r="AS666" s="28"/>
      <c r="AT666" s="28"/>
      <c r="AU666" s="43"/>
      <c r="AV666" s="43"/>
      <c r="AW666" s="28"/>
      <c r="AX666" s="28"/>
      <c r="AY666" s="202" t="s">
        <v>229</v>
      </c>
      <c r="AZ666" s="48"/>
      <c r="BA666" s="302">
        <v>2</v>
      </c>
      <c r="BB666" s="28"/>
      <c r="BC666" s="28"/>
      <c r="BD666" s="28"/>
      <c r="BE666" s="28"/>
      <c r="BF666" s="42"/>
      <c r="BG666" s="28"/>
      <c r="BH666" s="42"/>
      <c r="BI666" s="40"/>
      <c r="BJ666" s="28"/>
    </row>
    <row r="667" spans="25:62" x14ac:dyDescent="0.3">
      <c r="Y667" s="28"/>
      <c r="Z667" s="28"/>
      <c r="AA667" s="28"/>
      <c r="AB667" s="43"/>
      <c r="AC667" s="28"/>
      <c r="AD667" s="28"/>
      <c r="AE667" s="28"/>
      <c r="AF667" s="28"/>
      <c r="AG667" s="28"/>
      <c r="AH667" s="43"/>
      <c r="AI667" s="28"/>
      <c r="AJ667" s="28"/>
      <c r="AM667" s="43"/>
      <c r="AN667" s="43"/>
      <c r="AO667" s="43"/>
      <c r="AP667" s="28"/>
      <c r="AQ667" s="43"/>
      <c r="AR667" s="28"/>
      <c r="AS667" s="28"/>
      <c r="AT667" s="28"/>
      <c r="AU667" s="43"/>
      <c r="AV667" s="43"/>
      <c r="AW667" s="43"/>
      <c r="AX667" s="28"/>
      <c r="AY667" s="200" t="s">
        <v>232</v>
      </c>
      <c r="AZ667" s="34"/>
      <c r="BA667" s="303" t="s">
        <v>233</v>
      </c>
      <c r="BB667" s="34"/>
      <c r="BC667" s="298">
        <v>1608</v>
      </c>
      <c r="BD667" s="35"/>
      <c r="BE667" s="33" t="s">
        <v>234</v>
      </c>
      <c r="BF667" s="34"/>
      <c r="BG667" s="34" t="s">
        <v>233</v>
      </c>
      <c r="BH667" s="34"/>
      <c r="BI667" s="304">
        <v>8452</v>
      </c>
      <c r="BJ667" s="28"/>
    </row>
    <row r="668" spans="25:62" ht="15" thickBot="1" x14ac:dyDescent="0.35">
      <c r="Y668" s="28"/>
      <c r="Z668" s="28"/>
      <c r="AA668" s="28"/>
      <c r="AB668" s="28"/>
      <c r="AC668" s="28"/>
      <c r="AD668" s="28"/>
      <c r="AE668" s="28"/>
      <c r="AF668" s="28"/>
      <c r="AG668" s="28"/>
      <c r="AH668" s="292"/>
      <c r="AI668" s="28"/>
      <c r="AJ668" s="28"/>
      <c r="AM668" s="28"/>
      <c r="AN668" s="28"/>
      <c r="AO668" s="28"/>
      <c r="AP668" s="28"/>
      <c r="AQ668" s="28"/>
      <c r="AR668" s="28"/>
      <c r="AS668" s="28"/>
      <c r="AT668" s="28"/>
      <c r="AU668" s="43"/>
      <c r="AV668" s="43"/>
      <c r="AW668" s="28"/>
      <c r="AX668" s="28"/>
      <c r="AY668" s="202"/>
      <c r="AZ668" s="48"/>
      <c r="BA668" s="48" t="s">
        <v>236</v>
      </c>
      <c r="BB668" s="48"/>
      <c r="BC668" s="300">
        <v>1559</v>
      </c>
      <c r="BD668" s="49"/>
      <c r="BE668" s="42"/>
      <c r="BF668" s="28"/>
      <c r="BG668" s="28" t="s">
        <v>236</v>
      </c>
      <c r="BH668" s="28"/>
      <c r="BI668" s="174">
        <v>8360</v>
      </c>
      <c r="BJ668" s="28"/>
    </row>
    <row r="669" spans="25:62" ht="15" thickBot="1" x14ac:dyDescent="0.35"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M669" s="28"/>
      <c r="AN669" s="28"/>
      <c r="AO669" s="28"/>
      <c r="AP669" s="28"/>
      <c r="AQ669" s="28"/>
      <c r="AR669" s="28"/>
      <c r="AS669" s="43"/>
      <c r="AT669" s="43"/>
      <c r="AU669" s="28"/>
      <c r="AV669" s="28"/>
      <c r="AW669" s="28"/>
      <c r="AX669" s="28"/>
      <c r="AY669" s="210" t="s">
        <v>238</v>
      </c>
      <c r="AZ669" s="170" t="s">
        <v>239</v>
      </c>
      <c r="BA669" s="172"/>
      <c r="BB669" s="171" t="s">
        <v>240</v>
      </c>
      <c r="BC669" s="170" t="s">
        <v>241</v>
      </c>
      <c r="BD669" s="170"/>
      <c r="BE669" s="171"/>
      <c r="BF669" s="170" t="s">
        <v>242</v>
      </c>
      <c r="BG669" s="305" t="s">
        <v>243</v>
      </c>
      <c r="BH669" s="170"/>
      <c r="BI669" s="172"/>
      <c r="BJ669" s="28"/>
    </row>
    <row r="670" spans="25:62" x14ac:dyDescent="0.3">
      <c r="Y670" s="28"/>
      <c r="Z670" s="28"/>
      <c r="AA670" s="28"/>
      <c r="AB670" s="28"/>
      <c r="AC670" s="28"/>
      <c r="AD670" s="28"/>
      <c r="AE670" s="28"/>
      <c r="AF670" s="28"/>
      <c r="AG670" s="28"/>
      <c r="AH670" s="292"/>
      <c r="AI670" s="28"/>
      <c r="AJ670" s="28"/>
      <c r="AM670" s="28"/>
      <c r="AN670" s="43"/>
      <c r="AO670" s="43"/>
      <c r="AP670" s="28"/>
      <c r="AQ670" s="43"/>
      <c r="AR670" s="28"/>
      <c r="AS670" s="43"/>
      <c r="AT670" s="43"/>
      <c r="AU670" s="28"/>
      <c r="AV670" s="28"/>
      <c r="AW670" s="28"/>
      <c r="AX670" s="28"/>
      <c r="AY670" s="200" t="s">
        <v>233</v>
      </c>
      <c r="AZ670" s="34"/>
      <c r="BA670" s="304">
        <v>43018</v>
      </c>
      <c r="BB670" s="306" t="s">
        <v>233</v>
      </c>
      <c r="BC670" s="28"/>
      <c r="BD670" s="174">
        <v>1998</v>
      </c>
      <c r="BE670" s="42" t="s">
        <v>233</v>
      </c>
      <c r="BF670" s="28"/>
      <c r="BG670" s="174">
        <v>10450</v>
      </c>
      <c r="BH670" s="28" t="s">
        <v>245</v>
      </c>
      <c r="BI670" s="174">
        <v>53468</v>
      </c>
      <c r="BJ670" s="28"/>
    </row>
    <row r="671" spans="25:62" ht="15" thickBot="1" x14ac:dyDescent="0.35">
      <c r="AM671" s="28"/>
      <c r="AN671" s="43"/>
      <c r="AO671" s="43"/>
      <c r="AP671" s="28"/>
      <c r="AQ671" s="43"/>
      <c r="AR671" s="28"/>
      <c r="AS671" s="43"/>
      <c r="AT671" s="43"/>
      <c r="AU671" s="28"/>
      <c r="AV671" s="43"/>
      <c r="AW671" s="43"/>
      <c r="AX671" s="28"/>
      <c r="AY671" s="202" t="s">
        <v>236</v>
      </c>
      <c r="AZ671" s="48"/>
      <c r="BA671" s="301">
        <v>49865</v>
      </c>
      <c r="BB671" s="307" t="s">
        <v>236</v>
      </c>
      <c r="BC671" s="48"/>
      <c r="BD671" s="301">
        <v>2377</v>
      </c>
      <c r="BE671" s="42" t="s">
        <v>236</v>
      </c>
      <c r="BF671" s="28"/>
      <c r="BG671" s="174">
        <v>10737</v>
      </c>
      <c r="BH671" s="28"/>
      <c r="BI671" s="174">
        <v>60602</v>
      </c>
      <c r="BJ671" s="140">
        <v>114070</v>
      </c>
    </row>
    <row r="672" spans="25:62" ht="15" thickBot="1" x14ac:dyDescent="0.35">
      <c r="Y672" s="28"/>
      <c r="Z672" s="28"/>
      <c r="AA672" s="28"/>
      <c r="AB672" s="43"/>
      <c r="AC672" s="43"/>
      <c r="AD672" s="43"/>
      <c r="AE672" s="28"/>
      <c r="AF672" s="28"/>
      <c r="AG672" s="28"/>
      <c r="AH672" s="43"/>
      <c r="AI672" s="28"/>
      <c r="AJ672" s="28"/>
      <c r="AM672" s="28"/>
      <c r="AN672" s="43"/>
      <c r="AO672" s="43"/>
      <c r="AP672" s="28"/>
      <c r="AQ672" s="43"/>
      <c r="AR672" s="28"/>
      <c r="AS672" s="43"/>
      <c r="AT672" s="43"/>
      <c r="AU672" s="28"/>
      <c r="AV672" s="43"/>
      <c r="AW672" s="43"/>
      <c r="AX672" s="28"/>
      <c r="AY672" s="377" t="s">
        <v>1505</v>
      </c>
      <c r="AZ672" s="170"/>
      <c r="BA672" s="272"/>
      <c r="BB672" s="271" t="s">
        <v>1506</v>
      </c>
      <c r="BC672" s="170"/>
      <c r="BD672" s="170"/>
      <c r="BE672" s="171"/>
      <c r="BF672" s="170" t="s">
        <v>1507</v>
      </c>
      <c r="BG672" s="170"/>
      <c r="BH672" s="170"/>
      <c r="BI672" s="308"/>
      <c r="BJ672" s="28"/>
    </row>
    <row r="673" spans="2:62" x14ac:dyDescent="0.3"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M673" s="28"/>
      <c r="AN673" s="43"/>
      <c r="AO673" s="43"/>
      <c r="AP673" s="28"/>
      <c r="AQ673" s="28"/>
      <c r="AR673" s="28"/>
      <c r="AS673" s="43"/>
      <c r="AT673" s="43"/>
      <c r="AU673" s="28"/>
      <c r="AV673" s="28"/>
      <c r="AW673" s="28"/>
      <c r="AX673" s="28"/>
      <c r="AY673" s="378" t="s">
        <v>43</v>
      </c>
      <c r="AZ673" s="34" t="s">
        <v>44</v>
      </c>
      <c r="BA673" s="309"/>
      <c r="BB673" s="123" t="s">
        <v>43</v>
      </c>
      <c r="BC673" s="123" t="s">
        <v>44</v>
      </c>
      <c r="BD673" s="35"/>
      <c r="BE673" s="34"/>
      <c r="BF673" s="298"/>
      <c r="BG673" s="298">
        <v>1616</v>
      </c>
      <c r="BH673" s="34"/>
      <c r="BI673" s="35"/>
      <c r="BJ673" s="28"/>
    </row>
    <row r="674" spans="2:62" ht="15" thickBot="1" x14ac:dyDescent="0.35">
      <c r="Y674" s="28"/>
      <c r="Z674" s="28"/>
      <c r="AA674" s="28"/>
      <c r="AB674" s="43"/>
      <c r="AC674" s="28"/>
      <c r="AD674" s="28"/>
      <c r="AE674" s="28"/>
      <c r="AF674" s="28"/>
      <c r="AG674" s="28"/>
      <c r="AH674" s="43"/>
      <c r="AI674" s="28"/>
      <c r="AJ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379">
        <v>233930</v>
      </c>
      <c r="AZ674" s="300">
        <v>73294</v>
      </c>
      <c r="BA674" s="311"/>
      <c r="BB674" s="312">
        <v>88202</v>
      </c>
      <c r="BC674" s="300">
        <v>27154</v>
      </c>
      <c r="BD674" s="49"/>
      <c r="BE674" s="48"/>
      <c r="BF674" s="48"/>
      <c r="BG674" s="48"/>
      <c r="BH674" s="48"/>
      <c r="BI674" s="49"/>
      <c r="BJ674" s="28"/>
    </row>
    <row r="688" spans="2:62" ht="21" x14ac:dyDescent="0.4">
      <c r="B688" s="261"/>
      <c r="C688" s="184"/>
      <c r="E688" s="329" t="s">
        <v>1873</v>
      </c>
      <c r="O688" s="261"/>
      <c r="P688" s="184"/>
      <c r="R688" s="329" t="s">
        <v>1873</v>
      </c>
      <c r="AA688" s="261"/>
      <c r="AB688" s="184"/>
      <c r="AD688" s="329" t="s">
        <v>1873</v>
      </c>
      <c r="AO688" s="261"/>
      <c r="AP688" s="184"/>
      <c r="AR688" s="329" t="s">
        <v>1873</v>
      </c>
      <c r="AY688" s="28" t="s">
        <v>6</v>
      </c>
      <c r="AZ688" s="28"/>
      <c r="BA688" s="261"/>
      <c r="BB688" s="184"/>
      <c r="BD688" s="329" t="s">
        <v>1873</v>
      </c>
      <c r="BH688" s="258"/>
      <c r="BI688" s="28"/>
      <c r="BJ688" s="28"/>
    </row>
    <row r="689" spans="1:62" x14ac:dyDescent="0.3">
      <c r="C689" t="s">
        <v>1443</v>
      </c>
      <c r="Q689" t="s">
        <v>1</v>
      </c>
      <c r="AC689" t="s">
        <v>1444</v>
      </c>
      <c r="AP689" s="408" t="s">
        <v>2119</v>
      </c>
      <c r="AQ689" s="408"/>
      <c r="AR689" s="408"/>
      <c r="AS689" s="408"/>
      <c r="BC689" t="s">
        <v>1445</v>
      </c>
      <c r="BF689" s="28"/>
      <c r="BG689" s="28"/>
      <c r="BH689" s="28"/>
      <c r="BI689" s="28"/>
      <c r="BJ689" s="28"/>
    </row>
    <row r="690" spans="1:62" x14ac:dyDescent="0.3">
      <c r="D690" t="s">
        <v>2</v>
      </c>
      <c r="Q690" s="408" t="s">
        <v>1286</v>
      </c>
      <c r="R690" s="408"/>
      <c r="S690" s="408"/>
      <c r="AC690" t="s">
        <v>9</v>
      </c>
      <c r="AQ690" s="408" t="s">
        <v>2120</v>
      </c>
      <c r="AR690" s="408"/>
      <c r="BD690" t="s">
        <v>2</v>
      </c>
      <c r="BF690" s="28"/>
      <c r="BG690" s="28"/>
      <c r="BH690" s="28"/>
      <c r="BI690" s="28"/>
      <c r="BJ690" s="28"/>
    </row>
    <row r="691" spans="1:62" x14ac:dyDescent="0.3">
      <c r="C691" t="s">
        <v>7</v>
      </c>
      <c r="P691" t="s">
        <v>1446</v>
      </c>
      <c r="AC691" t="s">
        <v>11</v>
      </c>
      <c r="AO691" s="408" t="s">
        <v>2073</v>
      </c>
      <c r="AP691" s="408"/>
      <c r="AQ691" s="408"/>
      <c r="AR691" s="408"/>
      <c r="AS691" s="408"/>
      <c r="AT691" s="408"/>
      <c r="BB691" t="s">
        <v>1451</v>
      </c>
      <c r="BF691" s="28"/>
      <c r="BG691" s="28"/>
      <c r="BH691" s="28"/>
      <c r="BI691" s="28"/>
      <c r="BJ691" s="28"/>
    </row>
    <row r="692" spans="1:62" x14ac:dyDescent="0.3">
      <c r="B692" s="408" t="s">
        <v>2135</v>
      </c>
      <c r="C692" s="408"/>
      <c r="D692" s="408"/>
      <c r="E692" s="408"/>
      <c r="F692" s="408"/>
      <c r="P692" s="408" t="s">
        <v>2136</v>
      </c>
      <c r="Q692" s="408"/>
      <c r="R692" s="408"/>
      <c r="S692" s="408"/>
      <c r="AC692" s="408" t="s">
        <v>2136</v>
      </c>
      <c r="AD692" s="408"/>
      <c r="AE692" s="408"/>
      <c r="AF692" s="408"/>
      <c r="AP692" s="408" t="s">
        <v>2136</v>
      </c>
      <c r="AQ692" s="408"/>
      <c r="AR692" s="408"/>
      <c r="AS692" s="408"/>
      <c r="AT692" s="408"/>
      <c r="BC692" s="408" t="s">
        <v>2136</v>
      </c>
      <c r="BD692" s="408"/>
      <c r="BE692" s="408"/>
      <c r="BF692" s="408"/>
      <c r="BJ692" s="28"/>
    </row>
    <row r="693" spans="1:62" ht="15" thickBot="1" x14ac:dyDescent="0.35">
      <c r="A693" s="344"/>
      <c r="B693" s="410" t="s">
        <v>2076</v>
      </c>
      <c r="C693" s="410"/>
      <c r="D693" s="410"/>
      <c r="E693" s="410"/>
      <c r="F693" s="410"/>
      <c r="G693" s="410"/>
      <c r="H693" s="344"/>
      <c r="I693" s="368" t="s">
        <v>949</v>
      </c>
      <c r="J693" s="344"/>
      <c r="N693" s="344"/>
      <c r="O693" s="410" t="s">
        <v>2076</v>
      </c>
      <c r="P693" s="410"/>
      <c r="Q693" s="410"/>
      <c r="R693" s="410"/>
      <c r="S693" s="410"/>
      <c r="T693" s="410"/>
      <c r="U693" s="410"/>
      <c r="V693" t="s">
        <v>15</v>
      </c>
      <c r="AA693" s="410" t="s">
        <v>2076</v>
      </c>
      <c r="AB693" s="410"/>
      <c r="AC693" s="410"/>
      <c r="AD693" s="410"/>
      <c r="AE693" s="410"/>
      <c r="AF693" s="410"/>
      <c r="AG693" s="410"/>
      <c r="AH693" s="410"/>
      <c r="AI693" s="28" t="s">
        <v>25</v>
      </c>
      <c r="AM693" s="328"/>
      <c r="AN693" s="328"/>
      <c r="AO693" s="328"/>
      <c r="AP693" s="328" t="s">
        <v>2076</v>
      </c>
      <c r="AQ693" s="328"/>
      <c r="AR693" s="328"/>
      <c r="AS693" s="328"/>
      <c r="AT693" s="328"/>
      <c r="AU693" s="328"/>
      <c r="AV693" s="194" t="s">
        <v>951</v>
      </c>
      <c r="AY693" s="344"/>
      <c r="AZ693" s="328"/>
      <c r="BA693" s="328"/>
      <c r="BB693" s="328"/>
      <c r="BC693" s="328" t="s">
        <v>2076</v>
      </c>
      <c r="BD693" s="328"/>
      <c r="BE693" s="328"/>
      <c r="BF693" s="328"/>
      <c r="BG693" s="328"/>
      <c r="BH693" s="328"/>
      <c r="BI693" s="369" t="s">
        <v>950</v>
      </c>
      <c r="BJ693" s="28"/>
    </row>
    <row r="694" spans="1:62" ht="15" thickBot="1" x14ac:dyDescent="0.35">
      <c r="A694" s="32" t="s">
        <v>17</v>
      </c>
      <c r="B694" s="34" t="s">
        <v>18</v>
      </c>
      <c r="C694" s="201"/>
      <c r="D694" s="34" t="s">
        <v>19</v>
      </c>
      <c r="E694" s="34"/>
      <c r="F694" s="34"/>
      <c r="G694" s="200"/>
      <c r="H694" s="33" t="s">
        <v>21</v>
      </c>
      <c r="I694" s="34"/>
      <c r="J694" s="35"/>
      <c r="M694" s="32" t="s">
        <v>17</v>
      </c>
      <c r="N694" s="33" t="s">
        <v>22</v>
      </c>
      <c r="O694" s="34"/>
      <c r="P694" s="34" t="s">
        <v>1452</v>
      </c>
      <c r="Q694" s="34" t="s">
        <v>1453</v>
      </c>
      <c r="R694" s="34"/>
      <c r="S694" s="34"/>
      <c r="T694" s="35"/>
      <c r="U694" s="33" t="s">
        <v>21</v>
      </c>
      <c r="V694" s="35"/>
      <c r="Y694" s="33" t="s">
        <v>34</v>
      </c>
      <c r="Z694" s="200" t="s">
        <v>35</v>
      </c>
      <c r="AA694" s="201"/>
      <c r="AB694" s="34" t="s">
        <v>1454</v>
      </c>
      <c r="AC694" s="34" t="s">
        <v>51</v>
      </c>
      <c r="AD694" s="34"/>
      <c r="AE694" s="200" t="s">
        <v>37</v>
      </c>
      <c r="AF694" s="201" t="s">
        <v>1288</v>
      </c>
      <c r="AG694" s="34" t="s">
        <v>30</v>
      </c>
      <c r="AH694" s="200" t="s">
        <v>38</v>
      </c>
      <c r="AI694" s="34"/>
      <c r="AJ694" s="35"/>
      <c r="AM694" s="134" t="s">
        <v>17</v>
      </c>
      <c r="AN694" s="134" t="s">
        <v>39</v>
      </c>
      <c r="AO694" s="136"/>
      <c r="AP694" s="134" t="s">
        <v>29</v>
      </c>
      <c r="AQ694" s="136" t="s">
        <v>30</v>
      </c>
      <c r="AR694" s="135" t="s">
        <v>40</v>
      </c>
      <c r="AS694" s="135"/>
      <c r="AT694" s="135"/>
      <c r="AU694" s="135"/>
      <c r="AV694" s="136"/>
      <c r="AY694" s="195" t="s">
        <v>17</v>
      </c>
      <c r="AZ694" s="134" t="s">
        <v>27</v>
      </c>
      <c r="BA694" s="135"/>
      <c r="BB694" s="134" t="s">
        <v>28</v>
      </c>
      <c r="BC694" s="135"/>
      <c r="BD694" s="136"/>
      <c r="BE694" s="134" t="s">
        <v>1459</v>
      </c>
      <c r="BF694" s="136"/>
      <c r="BG694" s="135" t="s">
        <v>31</v>
      </c>
      <c r="BH694" s="135"/>
      <c r="BI694" s="136"/>
      <c r="BJ694" s="28"/>
    </row>
    <row r="695" spans="1:62" ht="15" thickBot="1" x14ac:dyDescent="0.35">
      <c r="A695" s="41" t="s">
        <v>32</v>
      </c>
      <c r="B695" s="28"/>
      <c r="C695" s="141"/>
      <c r="D695" s="28"/>
      <c r="E695" s="28"/>
      <c r="F695" s="28"/>
      <c r="G695" s="138"/>
      <c r="H695" s="42" t="s">
        <v>33</v>
      </c>
      <c r="I695" s="28"/>
      <c r="J695" s="40"/>
      <c r="M695" s="41"/>
      <c r="N695" s="42" t="s">
        <v>1456</v>
      </c>
      <c r="O695" s="28"/>
      <c r="P695" s="28"/>
      <c r="Q695" s="28"/>
      <c r="R695" s="28"/>
      <c r="S695" s="28" t="s">
        <v>1457</v>
      </c>
      <c r="T695" s="40"/>
      <c r="U695" s="42" t="s">
        <v>33</v>
      </c>
      <c r="V695" s="40"/>
      <c r="Y695" s="47" t="s">
        <v>50</v>
      </c>
      <c r="Z695" s="202" t="s">
        <v>43</v>
      </c>
      <c r="AA695" s="48" t="s">
        <v>44</v>
      </c>
      <c r="AB695" s="169" t="s">
        <v>45</v>
      </c>
      <c r="AC695" s="48" t="s">
        <v>46</v>
      </c>
      <c r="AD695" s="48" t="s">
        <v>52</v>
      </c>
      <c r="AE695" s="202" t="s">
        <v>43</v>
      </c>
      <c r="AF695" s="203" t="s">
        <v>44</v>
      </c>
      <c r="AG695" s="48" t="s">
        <v>43</v>
      </c>
      <c r="AH695" s="202" t="s">
        <v>53</v>
      </c>
      <c r="AI695" s="48"/>
      <c r="AJ695" s="49"/>
      <c r="AM695" s="138" t="s">
        <v>42</v>
      </c>
      <c r="AN695" s="138" t="s">
        <v>43</v>
      </c>
      <c r="AO695" s="141" t="s">
        <v>44</v>
      </c>
      <c r="AP695" s="138" t="s">
        <v>43</v>
      </c>
      <c r="AQ695" s="141" t="s">
        <v>44</v>
      </c>
      <c r="AR695" s="28"/>
      <c r="AS695" s="28"/>
      <c r="AT695" s="28"/>
      <c r="AU695" s="28"/>
      <c r="AV695" s="141"/>
      <c r="AY695" s="196"/>
      <c r="AZ695" s="138"/>
      <c r="BA695" s="28"/>
      <c r="BB695" s="138"/>
      <c r="BC695" s="28"/>
      <c r="BD695" s="141"/>
      <c r="BE695" s="138"/>
      <c r="BF695" s="141"/>
      <c r="BG695" s="28" t="s">
        <v>41</v>
      </c>
      <c r="BH695" s="28"/>
      <c r="BI695" s="141"/>
      <c r="BJ695" s="28"/>
    </row>
    <row r="696" spans="1:62" ht="15" thickBot="1" x14ac:dyDescent="0.35">
      <c r="A696" s="46" t="s">
        <v>42</v>
      </c>
      <c r="B696" s="171" t="s">
        <v>43</v>
      </c>
      <c r="C696" s="172" t="s">
        <v>44</v>
      </c>
      <c r="D696" s="170" t="s">
        <v>45</v>
      </c>
      <c r="E696" s="170" t="s">
        <v>46</v>
      </c>
      <c r="F696" s="170" t="s">
        <v>47</v>
      </c>
      <c r="G696" s="254" t="s">
        <v>1460</v>
      </c>
      <c r="H696" s="47" t="s">
        <v>49</v>
      </c>
      <c r="I696" s="48"/>
      <c r="J696" s="49"/>
      <c r="M696" s="46" t="s">
        <v>50</v>
      </c>
      <c r="N696" s="47" t="s">
        <v>43</v>
      </c>
      <c r="O696" s="48" t="s">
        <v>44</v>
      </c>
      <c r="P696" s="171" t="s">
        <v>51</v>
      </c>
      <c r="Q696" s="170" t="s">
        <v>43</v>
      </c>
      <c r="R696" s="172" t="s">
        <v>44</v>
      </c>
      <c r="S696" s="48" t="s">
        <v>43</v>
      </c>
      <c r="T696" s="49" t="s">
        <v>44</v>
      </c>
      <c r="U696" s="47" t="s">
        <v>49</v>
      </c>
      <c r="V696" s="49"/>
      <c r="Y696" s="33"/>
      <c r="Z696" s="33"/>
      <c r="AA696" s="35"/>
      <c r="AB696" s="34"/>
      <c r="AC696" s="34"/>
      <c r="AD696" s="34"/>
      <c r="AE696" s="33"/>
      <c r="AF696" s="35"/>
      <c r="AG696" s="32"/>
      <c r="AH696" s="33" t="s">
        <v>62</v>
      </c>
      <c r="AI696" s="34"/>
      <c r="AJ696" s="35"/>
      <c r="AM696" s="134"/>
      <c r="AN696" s="134"/>
      <c r="AO696" s="136"/>
      <c r="AP696" s="134"/>
      <c r="AQ696" s="136"/>
      <c r="AR696" s="135"/>
      <c r="AS696" s="135" t="s">
        <v>91</v>
      </c>
      <c r="AT696" s="135"/>
      <c r="AU696" s="135"/>
      <c r="AV696" s="136"/>
      <c r="AY696" s="199" t="s">
        <v>42</v>
      </c>
      <c r="AZ696" s="142" t="s">
        <v>43</v>
      </c>
      <c r="BA696" s="143" t="s">
        <v>44</v>
      </c>
      <c r="BB696" s="142" t="s">
        <v>45</v>
      </c>
      <c r="BC696" s="143" t="s">
        <v>46</v>
      </c>
      <c r="BD696" s="146" t="s">
        <v>52</v>
      </c>
      <c r="BE696" s="142" t="s">
        <v>43</v>
      </c>
      <c r="BF696" s="146" t="s">
        <v>44</v>
      </c>
      <c r="BG696" s="143" t="s">
        <v>54</v>
      </c>
      <c r="BH696" s="143"/>
      <c r="BI696" s="146"/>
      <c r="BJ696" s="28"/>
    </row>
    <row r="697" spans="1:62" x14ac:dyDescent="0.3">
      <c r="A697" s="42"/>
      <c r="B697" s="138"/>
      <c r="C697" s="141"/>
      <c r="D697" s="138"/>
      <c r="E697" s="28"/>
      <c r="F697" s="28"/>
      <c r="G697" s="138"/>
      <c r="H697" s="33" t="s">
        <v>396</v>
      </c>
      <c r="I697" s="34"/>
      <c r="J697" s="35"/>
      <c r="M697" s="42"/>
      <c r="N697" s="138"/>
      <c r="O697" s="196"/>
      <c r="P697" s="138"/>
      <c r="Q697" s="196"/>
      <c r="R697" s="141"/>
      <c r="S697" s="138"/>
      <c r="T697" s="138"/>
      <c r="U697" s="33" t="s">
        <v>396</v>
      </c>
      <c r="V697" s="35"/>
      <c r="Y697" s="42"/>
      <c r="Z697" s="42"/>
      <c r="AA697" s="40"/>
      <c r="AB697" s="28"/>
      <c r="AC697" s="28"/>
      <c r="AD697" s="28"/>
      <c r="AE697" s="42"/>
      <c r="AF697" s="40"/>
      <c r="AG697" s="41"/>
      <c r="AH697" s="42"/>
      <c r="AI697" s="28"/>
      <c r="AJ697" s="40"/>
      <c r="AM697" s="138" t="s">
        <v>63</v>
      </c>
      <c r="AN697" s="138">
        <v>4</v>
      </c>
      <c r="AO697" s="141">
        <v>0</v>
      </c>
      <c r="AP697" s="138"/>
      <c r="AQ697" s="141"/>
      <c r="AR697" s="28"/>
      <c r="AS697" s="43">
        <v>86</v>
      </c>
      <c r="AT697" s="28" t="s">
        <v>1026</v>
      </c>
      <c r="AU697" s="43"/>
      <c r="AV697" s="141"/>
      <c r="AY697" s="195"/>
      <c r="AZ697" s="134"/>
      <c r="BA697" s="136"/>
      <c r="BB697" s="134"/>
      <c r="BC697" s="135"/>
      <c r="BD697" s="136"/>
      <c r="BE697" s="134"/>
      <c r="BF697" s="136"/>
      <c r="BG697" s="134" t="s">
        <v>58</v>
      </c>
      <c r="BH697" s="135"/>
      <c r="BI697" s="136"/>
    </row>
    <row r="698" spans="1:62" x14ac:dyDescent="0.3">
      <c r="A698" s="42" t="s">
        <v>59</v>
      </c>
      <c r="B698" s="212">
        <v>1266</v>
      </c>
      <c r="C698" s="141">
        <v>1143</v>
      </c>
      <c r="D698" s="138">
        <v>0</v>
      </c>
      <c r="E698" s="38">
        <v>0</v>
      </c>
      <c r="F698" s="43">
        <v>0</v>
      </c>
      <c r="G698" s="138">
        <v>1</v>
      </c>
      <c r="H698" s="42">
        <v>5</v>
      </c>
      <c r="I698" s="28" t="s">
        <v>61</v>
      </c>
      <c r="J698" s="40"/>
      <c r="M698" s="42" t="s">
        <v>59</v>
      </c>
      <c r="N698" s="138">
        <v>17686</v>
      </c>
      <c r="O698" s="196">
        <v>26039</v>
      </c>
      <c r="P698" s="138">
        <v>0</v>
      </c>
      <c r="Q698" s="196">
        <v>0</v>
      </c>
      <c r="R698" s="141">
        <v>0</v>
      </c>
      <c r="S698" s="138">
        <v>0</v>
      </c>
      <c r="T698" s="138">
        <v>0</v>
      </c>
      <c r="U698" s="42"/>
      <c r="V698" s="40"/>
      <c r="Y698" s="42" t="s">
        <v>59</v>
      </c>
      <c r="Z698" s="42">
        <v>1530</v>
      </c>
      <c r="AA698" s="40">
        <v>1618</v>
      </c>
      <c r="AB698" s="28">
        <v>0</v>
      </c>
      <c r="AC698" s="43">
        <v>0</v>
      </c>
      <c r="AD698" s="43">
        <v>0</v>
      </c>
      <c r="AE698" s="42">
        <v>600</v>
      </c>
      <c r="AF698" s="40">
        <v>0</v>
      </c>
      <c r="AG698" s="41">
        <v>0</v>
      </c>
      <c r="AH698" s="42">
        <v>5</v>
      </c>
      <c r="AI698" s="28" t="s">
        <v>66</v>
      </c>
      <c r="AJ698" s="40"/>
      <c r="AM698" s="138" t="s">
        <v>56</v>
      </c>
      <c r="AN698" s="138">
        <v>1234</v>
      </c>
      <c r="AO698" s="141">
        <v>1238</v>
      </c>
      <c r="AP698" s="138"/>
      <c r="AQ698" s="141"/>
      <c r="AR698" s="28"/>
      <c r="AS698" s="43">
        <v>1</v>
      </c>
      <c r="AT698" s="28" t="s">
        <v>2137</v>
      </c>
      <c r="AU698" s="43"/>
      <c r="AV698" s="141"/>
      <c r="AY698" s="196"/>
      <c r="AZ698" s="138"/>
      <c r="BA698" s="141"/>
      <c r="BB698" s="138"/>
      <c r="BC698" s="43"/>
      <c r="BD698" s="209"/>
      <c r="BE698" s="138"/>
      <c r="BF698" s="141"/>
      <c r="BG698" s="212">
        <v>12</v>
      </c>
      <c r="BH698" s="28" t="s">
        <v>65</v>
      </c>
      <c r="BI698" s="141"/>
    </row>
    <row r="699" spans="1:62" ht="15" thickBot="1" x14ac:dyDescent="0.35">
      <c r="A699" s="42" t="s">
        <v>6</v>
      </c>
      <c r="B699" s="142"/>
      <c r="C699" s="146"/>
      <c r="D699" s="138"/>
      <c r="E699" s="28"/>
      <c r="F699" s="28"/>
      <c r="G699" s="138"/>
      <c r="H699" s="42"/>
      <c r="I699" s="28"/>
      <c r="J699" s="40">
        <v>5</v>
      </c>
      <c r="M699" s="244"/>
      <c r="N699" s="142"/>
      <c r="O699" s="199"/>
      <c r="P699" s="142"/>
      <c r="Q699" s="199"/>
      <c r="R699" s="146"/>
      <c r="S699" s="142"/>
      <c r="T699" s="142"/>
      <c r="U699" s="244"/>
      <c r="V699" s="245"/>
      <c r="Y699" s="42"/>
      <c r="Z699" s="42"/>
      <c r="AA699" s="40"/>
      <c r="AB699" s="28"/>
      <c r="AC699" s="28"/>
      <c r="AD699" s="28"/>
      <c r="AE699" s="42"/>
      <c r="AF699" s="40"/>
      <c r="AG699" s="41"/>
      <c r="AH699" s="47"/>
      <c r="AI699" s="48"/>
      <c r="AJ699" s="49">
        <v>5</v>
      </c>
      <c r="AM699" s="142" t="s">
        <v>84</v>
      </c>
      <c r="AN699" s="142">
        <v>1238</v>
      </c>
      <c r="AO699" s="146">
        <v>1238</v>
      </c>
      <c r="AP699" s="142"/>
      <c r="AQ699" s="146"/>
      <c r="AR699" s="143"/>
      <c r="AS699" s="143"/>
      <c r="AT699" s="143"/>
      <c r="AU699" s="143"/>
      <c r="AV699" s="146">
        <v>87</v>
      </c>
      <c r="AY699" s="196" t="s">
        <v>64</v>
      </c>
      <c r="AZ699" s="138">
        <v>102</v>
      </c>
      <c r="BA699" s="141">
        <v>127</v>
      </c>
      <c r="BB699" s="138">
        <v>0</v>
      </c>
      <c r="BC699" s="43">
        <v>0</v>
      </c>
      <c r="BD699" s="209">
        <v>0</v>
      </c>
      <c r="BE699" s="138">
        <v>0</v>
      </c>
      <c r="BF699" s="141">
        <v>0</v>
      </c>
      <c r="BG699" s="138">
        <v>1</v>
      </c>
      <c r="BH699" s="28" t="s">
        <v>69</v>
      </c>
      <c r="BI699" s="141"/>
    </row>
    <row r="700" spans="1:62" x14ac:dyDescent="0.3">
      <c r="A700" s="278"/>
      <c r="B700" s="134"/>
      <c r="C700" s="135"/>
      <c r="D700" s="134"/>
      <c r="E700" s="135"/>
      <c r="F700" s="135"/>
      <c r="G700" s="134"/>
      <c r="H700" s="278" t="s">
        <v>2077</v>
      </c>
      <c r="I700" s="135"/>
      <c r="J700" s="279"/>
      <c r="M700" s="278"/>
      <c r="N700" s="134"/>
      <c r="O700" s="195"/>
      <c r="P700" s="134"/>
      <c r="Q700" s="195"/>
      <c r="R700" s="136"/>
      <c r="S700" s="134"/>
      <c r="T700" s="134"/>
      <c r="U700" s="278"/>
      <c r="V700" s="279"/>
      <c r="Y700" s="32"/>
      <c r="Z700" s="33"/>
      <c r="AA700" s="35"/>
      <c r="AB700" s="33"/>
      <c r="AC700" s="34"/>
      <c r="AD700" s="35"/>
      <c r="AE700" s="33"/>
      <c r="AF700" s="35"/>
      <c r="AG700" s="32"/>
      <c r="AH700" s="280" t="s">
        <v>1461</v>
      </c>
      <c r="AI700" s="384"/>
      <c r="AJ700" s="35"/>
      <c r="AM700" s="134"/>
      <c r="AN700" s="134"/>
      <c r="AO700" s="136"/>
      <c r="AP700" s="134"/>
      <c r="AQ700" s="136"/>
      <c r="AR700" s="135"/>
      <c r="AS700" s="135"/>
      <c r="AT700" s="135"/>
      <c r="AU700" s="135"/>
      <c r="AV700" s="136"/>
      <c r="AY700" s="211" t="s">
        <v>84</v>
      </c>
      <c r="AZ700" s="142">
        <v>102</v>
      </c>
      <c r="BA700" s="146">
        <v>127</v>
      </c>
      <c r="BB700" s="142">
        <v>0</v>
      </c>
      <c r="BC700" s="143">
        <v>0</v>
      </c>
      <c r="BD700" s="146">
        <v>0</v>
      </c>
      <c r="BE700" s="142">
        <v>0</v>
      </c>
      <c r="BF700" s="146">
        <v>0</v>
      </c>
      <c r="BG700" s="142"/>
      <c r="BH700" s="143"/>
      <c r="BI700" s="146">
        <v>13</v>
      </c>
      <c r="BJ700" s="28"/>
    </row>
    <row r="701" spans="1:62" x14ac:dyDescent="0.3">
      <c r="A701" s="42" t="s">
        <v>74</v>
      </c>
      <c r="B701" s="138">
        <v>2068</v>
      </c>
      <c r="C701" s="28">
        <v>2556</v>
      </c>
      <c r="D701" s="138">
        <v>0</v>
      </c>
      <c r="E701" s="38">
        <v>0</v>
      </c>
      <c r="F701" s="43">
        <v>0</v>
      </c>
      <c r="G701" s="138">
        <v>1</v>
      </c>
      <c r="H701" s="42">
        <v>18</v>
      </c>
      <c r="I701" s="28" t="s">
        <v>436</v>
      </c>
      <c r="J701" s="40"/>
      <c r="M701" s="42"/>
      <c r="N701" s="138"/>
      <c r="O701" s="196"/>
      <c r="P701" s="138"/>
      <c r="Q701" s="196"/>
      <c r="R701" s="141"/>
      <c r="S701" s="138"/>
      <c r="T701" s="138"/>
      <c r="U701" s="42" t="s">
        <v>80</v>
      </c>
      <c r="V701" s="40"/>
      <c r="Y701" s="41" t="s">
        <v>211</v>
      </c>
      <c r="Z701" s="67">
        <v>62</v>
      </c>
      <c r="AA701" s="40">
        <v>0</v>
      </c>
      <c r="AB701" s="67">
        <v>0</v>
      </c>
      <c r="AC701" s="43">
        <v>0</v>
      </c>
      <c r="AD701" s="40">
        <v>0</v>
      </c>
      <c r="AE701" s="42">
        <v>0</v>
      </c>
      <c r="AF701" s="40">
        <v>0</v>
      </c>
      <c r="AG701" s="41">
        <v>0</v>
      </c>
      <c r="AH701" s="67">
        <v>2</v>
      </c>
      <c r="AI701" s="43" t="s">
        <v>359</v>
      </c>
      <c r="AJ701" s="40"/>
      <c r="AM701" s="138"/>
      <c r="AN701" s="138"/>
      <c r="AO701" s="141"/>
      <c r="AP701" s="138"/>
      <c r="AQ701" s="141"/>
      <c r="AR701" s="28"/>
      <c r="AS701" s="28" t="s">
        <v>110</v>
      </c>
      <c r="AT701" s="28" t="s">
        <v>111</v>
      </c>
      <c r="AU701" s="28" t="s">
        <v>112</v>
      </c>
      <c r="AV701" s="141"/>
      <c r="AY701" s="195"/>
      <c r="AZ701" s="135"/>
      <c r="BA701" s="136"/>
      <c r="BB701" s="240"/>
      <c r="BC701" s="241"/>
      <c r="BD701" s="242"/>
      <c r="BE701" s="134"/>
      <c r="BF701" s="136"/>
      <c r="BG701" s="135"/>
      <c r="BH701" s="135" t="s">
        <v>92</v>
      </c>
      <c r="BI701" s="136"/>
    </row>
    <row r="702" spans="1:62" x14ac:dyDescent="0.3">
      <c r="A702" s="42"/>
      <c r="B702" s="138"/>
      <c r="C702" s="28"/>
      <c r="D702" s="138"/>
      <c r="E702" s="28"/>
      <c r="F702" s="28"/>
      <c r="G702" s="138"/>
      <c r="H702" s="67"/>
      <c r="I702" s="43"/>
      <c r="J702" s="40"/>
      <c r="M702" s="42" t="s">
        <v>74</v>
      </c>
      <c r="N702" s="138">
        <v>16081</v>
      </c>
      <c r="O702" s="196">
        <v>4074</v>
      </c>
      <c r="P702" s="138">
        <v>0</v>
      </c>
      <c r="Q702" s="196">
        <v>0</v>
      </c>
      <c r="R702" s="141">
        <v>0</v>
      </c>
      <c r="S702" s="138">
        <v>0</v>
      </c>
      <c r="T702" s="138">
        <v>0</v>
      </c>
      <c r="U702" s="42"/>
      <c r="V702" s="40"/>
      <c r="Y702" s="41" t="s">
        <v>107</v>
      </c>
      <c r="Z702" s="42">
        <v>130</v>
      </c>
      <c r="AA702" s="40">
        <v>0</v>
      </c>
      <c r="AB702" s="42">
        <v>0</v>
      </c>
      <c r="AC702" s="28">
        <v>0</v>
      </c>
      <c r="AD702" s="56">
        <v>0</v>
      </c>
      <c r="AE702" s="67">
        <v>0</v>
      </c>
      <c r="AF702" s="56">
        <v>0</v>
      </c>
      <c r="AG702" s="68">
        <v>0</v>
      </c>
      <c r="AH702" s="67">
        <v>2</v>
      </c>
      <c r="AI702" s="43" t="s">
        <v>1299</v>
      </c>
      <c r="AJ702" s="40"/>
      <c r="AM702" s="138"/>
      <c r="AN702" s="138"/>
      <c r="AO702" s="141"/>
      <c r="AP702" s="138"/>
      <c r="AQ702" s="141"/>
      <c r="AR702" s="43"/>
      <c r="AS702" s="28"/>
      <c r="AT702" s="28"/>
      <c r="AU702" s="28"/>
      <c r="AV702" s="141"/>
      <c r="AY702" s="196"/>
      <c r="AZ702" s="28"/>
      <c r="BA702" s="141"/>
      <c r="BB702" s="138"/>
      <c r="BC702" s="43"/>
      <c r="BD702" s="141"/>
      <c r="BE702" s="138"/>
      <c r="BF702" s="141"/>
      <c r="BG702" s="43">
        <v>8</v>
      </c>
      <c r="BH702" s="43" t="s">
        <v>1297</v>
      </c>
      <c r="BI702" s="141"/>
    </row>
    <row r="703" spans="1:62" x14ac:dyDescent="0.3">
      <c r="A703" s="244"/>
      <c r="B703" s="142"/>
      <c r="C703" s="143"/>
      <c r="D703" s="142"/>
      <c r="E703" s="143"/>
      <c r="F703" s="143"/>
      <c r="G703" s="142"/>
      <c r="H703" s="244"/>
      <c r="I703" s="143"/>
      <c r="J703" s="245">
        <v>18</v>
      </c>
      <c r="M703" s="244"/>
      <c r="N703" s="142"/>
      <c r="O703" s="199"/>
      <c r="P703" s="142"/>
      <c r="Q703" s="199"/>
      <c r="R703" s="146"/>
      <c r="S703" s="142"/>
      <c r="T703" s="142"/>
      <c r="U703" s="244"/>
      <c r="V703" s="245"/>
      <c r="Y703" s="68" t="s">
        <v>108</v>
      </c>
      <c r="Z703" s="42">
        <v>0</v>
      </c>
      <c r="AA703" s="40">
        <v>0</v>
      </c>
      <c r="AB703" s="42">
        <v>0</v>
      </c>
      <c r="AC703" s="28">
        <v>0</v>
      </c>
      <c r="AD703" s="40">
        <v>0</v>
      </c>
      <c r="AE703" s="42">
        <v>0</v>
      </c>
      <c r="AF703" s="40">
        <v>0</v>
      </c>
      <c r="AG703" s="41">
        <v>0</v>
      </c>
      <c r="AH703" s="42"/>
      <c r="AI703" s="28"/>
      <c r="AJ703" s="40"/>
      <c r="AM703" s="138" t="s">
        <v>72</v>
      </c>
      <c r="AN703" s="138">
        <v>8</v>
      </c>
      <c r="AO703" s="141">
        <v>11</v>
      </c>
      <c r="AP703" s="138"/>
      <c r="AQ703" s="141"/>
      <c r="AR703" s="28"/>
      <c r="AS703" s="43"/>
      <c r="AT703" s="28"/>
      <c r="AU703" s="28"/>
      <c r="AV703" s="141"/>
      <c r="AY703" s="196"/>
      <c r="AZ703" s="28"/>
      <c r="BA703" s="141"/>
      <c r="BB703" s="212"/>
      <c r="BC703" s="43"/>
      <c r="BD703" s="209"/>
      <c r="BE703" s="212"/>
      <c r="BF703" s="141"/>
      <c r="BG703" s="43">
        <v>19</v>
      </c>
      <c r="BH703" s="43" t="s">
        <v>2033</v>
      </c>
      <c r="BI703" s="141"/>
      <c r="BJ703" s="28"/>
    </row>
    <row r="704" spans="1:62" ht="15" thickBot="1" x14ac:dyDescent="0.35">
      <c r="A704" s="278"/>
      <c r="B704" s="134"/>
      <c r="C704" s="135"/>
      <c r="D704" s="134"/>
      <c r="E704" s="135"/>
      <c r="F704" s="135"/>
      <c r="G704" s="134"/>
      <c r="H704" s="278" t="s">
        <v>87</v>
      </c>
      <c r="I704" s="135"/>
      <c r="J704" s="279"/>
      <c r="M704" s="278"/>
      <c r="N704" s="134"/>
      <c r="O704" s="195"/>
      <c r="P704" s="134"/>
      <c r="Q704" s="195"/>
      <c r="R704" s="136"/>
      <c r="S704" s="134"/>
      <c r="T704" s="134"/>
      <c r="U704" s="278" t="s">
        <v>6</v>
      </c>
      <c r="V704" s="279"/>
      <c r="Y704" s="62" t="s">
        <v>84</v>
      </c>
      <c r="Z704" s="47">
        <v>192</v>
      </c>
      <c r="AA704" s="49">
        <v>0</v>
      </c>
      <c r="AB704" s="47">
        <v>0</v>
      </c>
      <c r="AC704" s="48">
        <v>0</v>
      </c>
      <c r="AD704" s="49">
        <v>0</v>
      </c>
      <c r="AE704" s="47">
        <v>0</v>
      </c>
      <c r="AF704" s="49">
        <v>0</v>
      </c>
      <c r="AG704" s="46">
        <v>0</v>
      </c>
      <c r="AH704" s="47"/>
      <c r="AI704" s="51"/>
      <c r="AJ704" s="49">
        <v>4</v>
      </c>
      <c r="AM704" s="138" t="s">
        <v>78</v>
      </c>
      <c r="AN704" s="138">
        <v>68</v>
      </c>
      <c r="AO704" s="141">
        <v>18</v>
      </c>
      <c r="AP704" s="138"/>
      <c r="AQ704" s="141"/>
      <c r="AR704" s="28"/>
      <c r="AS704" s="28"/>
      <c r="AT704" s="28"/>
      <c r="AU704" s="28"/>
      <c r="AV704" s="141"/>
      <c r="AY704" s="196"/>
      <c r="AZ704" s="43"/>
      <c r="BA704" s="141"/>
      <c r="BB704" s="138"/>
      <c r="BC704" s="43"/>
      <c r="BD704" s="141"/>
      <c r="BE704" s="212"/>
      <c r="BF704" s="141"/>
      <c r="BG704" s="43"/>
      <c r="BH704" s="43"/>
      <c r="BI704" s="141"/>
    </row>
    <row r="705" spans="1:62" x14ac:dyDescent="0.3">
      <c r="A705" s="42" t="s">
        <v>93</v>
      </c>
      <c r="B705" s="138">
        <v>1895</v>
      </c>
      <c r="C705" s="28">
        <v>3195</v>
      </c>
      <c r="D705" s="138">
        <v>0</v>
      </c>
      <c r="E705" s="38">
        <v>0</v>
      </c>
      <c r="F705" s="43">
        <v>0</v>
      </c>
      <c r="G705" s="138">
        <v>1</v>
      </c>
      <c r="H705" s="67">
        <v>21</v>
      </c>
      <c r="I705" s="28" t="s">
        <v>101</v>
      </c>
      <c r="J705" s="40"/>
      <c r="M705" s="42"/>
      <c r="N705" s="138"/>
      <c r="O705" s="196"/>
      <c r="P705" s="138"/>
      <c r="Q705" s="196"/>
      <c r="R705" s="141"/>
      <c r="S705" s="138"/>
      <c r="T705" s="138"/>
      <c r="U705" s="42"/>
      <c r="V705" s="40"/>
      <c r="Y705" s="32"/>
      <c r="Z705" s="34"/>
      <c r="AA705" s="34"/>
      <c r="AB705" s="33"/>
      <c r="AC705" s="34"/>
      <c r="AD705" s="35"/>
      <c r="AE705" s="34"/>
      <c r="AF705" s="34"/>
      <c r="AG705" s="32"/>
      <c r="AH705" s="33" t="s">
        <v>1298</v>
      </c>
      <c r="AI705" s="34"/>
      <c r="AJ705" s="35"/>
      <c r="AM705" s="138" t="s">
        <v>67</v>
      </c>
      <c r="AN705" s="138">
        <v>92</v>
      </c>
      <c r="AO705" s="141">
        <v>88</v>
      </c>
      <c r="AP705" s="138"/>
      <c r="AQ705" s="141"/>
      <c r="AR705" s="28"/>
      <c r="AS705" s="43">
        <v>18</v>
      </c>
      <c r="AT705" s="28" t="s">
        <v>123</v>
      </c>
      <c r="AU705" s="28" t="s">
        <v>6</v>
      </c>
      <c r="AV705" s="141"/>
      <c r="AY705" s="196" t="s">
        <v>99</v>
      </c>
      <c r="AZ705" s="28">
        <v>0</v>
      </c>
      <c r="BA705" s="141">
        <v>0</v>
      </c>
      <c r="BB705" s="138">
        <v>0</v>
      </c>
      <c r="BC705" s="43">
        <v>0</v>
      </c>
      <c r="BD705" s="141">
        <v>0</v>
      </c>
      <c r="BE705" s="43">
        <v>78579</v>
      </c>
      <c r="BF705" s="141">
        <v>26000</v>
      </c>
      <c r="BG705" s="28"/>
      <c r="BH705" s="28"/>
      <c r="BI705" s="141"/>
      <c r="BJ705" s="28"/>
    </row>
    <row r="706" spans="1:62" x14ac:dyDescent="0.3">
      <c r="A706" s="42"/>
      <c r="B706" s="138"/>
      <c r="C706" s="28"/>
      <c r="D706" s="138"/>
      <c r="E706" s="28"/>
      <c r="F706" s="28"/>
      <c r="G706" s="138"/>
      <c r="H706" s="67"/>
      <c r="I706" s="28"/>
      <c r="J706" s="40">
        <v>21</v>
      </c>
      <c r="M706" s="42"/>
      <c r="N706" s="138"/>
      <c r="O706" s="196"/>
      <c r="P706" s="138"/>
      <c r="Q706" s="196"/>
      <c r="R706" s="141"/>
      <c r="S706" s="138"/>
      <c r="T706" s="138"/>
      <c r="U706" s="42"/>
      <c r="V706" s="40"/>
      <c r="Y706" s="41"/>
      <c r="AB706" s="42"/>
      <c r="AC706" s="28"/>
      <c r="AD706" s="40"/>
      <c r="AG706" s="41"/>
      <c r="AH706" s="42">
        <v>3</v>
      </c>
      <c r="AI706" s="43" t="s">
        <v>145</v>
      </c>
      <c r="AJ706" s="40"/>
      <c r="AM706" s="138" t="s">
        <v>128</v>
      </c>
      <c r="AN706" s="138">
        <v>3</v>
      </c>
      <c r="AO706" s="141">
        <v>0</v>
      </c>
      <c r="AP706" s="138"/>
      <c r="AQ706" s="141"/>
      <c r="AR706" s="28"/>
      <c r="AS706" s="43">
        <v>51</v>
      </c>
      <c r="AT706" s="28" t="s">
        <v>126</v>
      </c>
      <c r="AU706" s="28"/>
      <c r="AV706" s="141"/>
      <c r="AY706" s="196" t="s">
        <v>64</v>
      </c>
      <c r="AZ706" s="43">
        <v>0</v>
      </c>
      <c r="BA706" s="141">
        <v>0</v>
      </c>
      <c r="BB706" s="138">
        <v>0</v>
      </c>
      <c r="BC706" s="43">
        <v>0</v>
      </c>
      <c r="BD706" s="141">
        <v>0</v>
      </c>
      <c r="BE706" s="43">
        <v>3405</v>
      </c>
      <c r="BF706" s="141">
        <v>1000</v>
      </c>
      <c r="BG706" s="43"/>
      <c r="BH706" s="43"/>
      <c r="BI706" s="141"/>
      <c r="BJ706" s="28"/>
    </row>
    <row r="707" spans="1:62" ht="15" thickBot="1" x14ac:dyDescent="0.35">
      <c r="A707" s="278" t="s">
        <v>108</v>
      </c>
      <c r="B707" s="134"/>
      <c r="C707" s="136">
        <v>0</v>
      </c>
      <c r="D707" s="135">
        <v>0</v>
      </c>
      <c r="E707" s="243">
        <v>0</v>
      </c>
      <c r="F707" s="135">
        <v>0</v>
      </c>
      <c r="G707" s="134">
        <v>1</v>
      </c>
      <c r="H707" s="278" t="s">
        <v>104</v>
      </c>
      <c r="I707" s="135"/>
      <c r="J707" s="279"/>
      <c r="M707" s="244"/>
      <c r="N707" s="142"/>
      <c r="O707" s="199"/>
      <c r="P707" s="142"/>
      <c r="Q707" s="199"/>
      <c r="R707" s="146"/>
      <c r="S707" s="142"/>
      <c r="T707" s="142"/>
      <c r="U707" s="244"/>
      <c r="V707" s="245"/>
      <c r="Y707" s="46" t="s">
        <v>1300</v>
      </c>
      <c r="Z707" s="48">
        <v>215</v>
      </c>
      <c r="AA707" s="48">
        <v>301</v>
      </c>
      <c r="AB707" s="47">
        <v>0</v>
      </c>
      <c r="AC707" s="48">
        <v>0</v>
      </c>
      <c r="AD707" s="49">
        <v>0</v>
      </c>
      <c r="AE707" s="48">
        <v>0</v>
      </c>
      <c r="AF707" s="48">
        <v>0</v>
      </c>
      <c r="AG707" s="46">
        <v>0</v>
      </c>
      <c r="AH707" s="47">
        <v>6</v>
      </c>
      <c r="AI707" s="48" t="s">
        <v>141</v>
      </c>
      <c r="AJ707" s="49">
        <v>9</v>
      </c>
      <c r="AM707" s="138" t="s">
        <v>115</v>
      </c>
      <c r="AN707" s="138">
        <v>18</v>
      </c>
      <c r="AO707" s="141">
        <v>25</v>
      </c>
      <c r="AP707" s="138"/>
      <c r="AQ707" s="141"/>
      <c r="AR707" s="28"/>
      <c r="AS707" s="43">
        <v>33</v>
      </c>
      <c r="AT707" s="28" t="s">
        <v>129</v>
      </c>
      <c r="AU707" s="28" t="s">
        <v>6</v>
      </c>
      <c r="AV707" s="141"/>
      <c r="AY707" s="239" t="s">
        <v>84</v>
      </c>
      <c r="AZ707" s="43">
        <v>0</v>
      </c>
      <c r="BA707" s="209">
        <v>0</v>
      </c>
      <c r="BB707" s="138">
        <v>0</v>
      </c>
      <c r="BC707" s="43">
        <v>0</v>
      </c>
      <c r="BD707" s="141">
        <v>0</v>
      </c>
      <c r="BE707" s="43">
        <v>81984</v>
      </c>
      <c r="BF707" s="209">
        <v>27000</v>
      </c>
      <c r="BG707" s="28"/>
      <c r="BH707" s="43"/>
      <c r="BI707" s="141">
        <v>27</v>
      </c>
      <c r="BJ707" s="28"/>
    </row>
    <row r="708" spans="1:62" x14ac:dyDescent="0.3">
      <c r="A708" s="42" t="s">
        <v>109</v>
      </c>
      <c r="B708" s="138">
        <v>1260</v>
      </c>
      <c r="C708" s="141">
        <v>1268</v>
      </c>
      <c r="D708" s="28">
        <v>0</v>
      </c>
      <c r="E708" s="343">
        <v>737</v>
      </c>
      <c r="F708" s="43">
        <v>0</v>
      </c>
      <c r="G708" s="138"/>
      <c r="H708" s="67">
        <v>7</v>
      </c>
      <c r="I708" s="28" t="s">
        <v>114</v>
      </c>
      <c r="J708" s="40"/>
      <c r="M708" s="278"/>
      <c r="N708" s="134"/>
      <c r="O708" s="195"/>
      <c r="P708" s="134"/>
      <c r="Q708" s="195"/>
      <c r="R708" s="136"/>
      <c r="S708" s="134"/>
      <c r="T708" s="134"/>
      <c r="U708" s="278" t="s">
        <v>104</v>
      </c>
      <c r="V708" s="279"/>
      <c r="Y708" s="42"/>
      <c r="Z708" s="33"/>
      <c r="AA708" s="35"/>
      <c r="AB708" s="33"/>
      <c r="AC708" s="34"/>
      <c r="AD708" s="35"/>
      <c r="AE708" s="33"/>
      <c r="AF708" s="35"/>
      <c r="AG708" s="43"/>
      <c r="AH708" s="33" t="s">
        <v>90</v>
      </c>
      <c r="AI708" s="34"/>
      <c r="AJ708" s="35"/>
      <c r="AM708" s="138" t="s">
        <v>81</v>
      </c>
      <c r="AN708" s="138">
        <v>19</v>
      </c>
      <c r="AO708" s="141">
        <v>15</v>
      </c>
      <c r="AP708" s="138"/>
      <c r="AQ708" s="141"/>
      <c r="AR708" s="28"/>
      <c r="AS708" s="28"/>
      <c r="AT708" s="28"/>
      <c r="AU708" s="28"/>
      <c r="AV708" s="141"/>
      <c r="AY708" s="233"/>
      <c r="AZ708" s="134"/>
      <c r="BA708" s="136"/>
      <c r="BB708" s="134"/>
      <c r="BC708" s="135"/>
      <c r="BD708" s="136"/>
      <c r="BE708" s="134"/>
      <c r="BF708" s="136"/>
      <c r="BG708" s="134"/>
      <c r="BH708" s="135" t="s">
        <v>91</v>
      </c>
      <c r="BI708" s="136"/>
      <c r="BJ708" s="28"/>
    </row>
    <row r="709" spans="1:62" x14ac:dyDescent="0.3">
      <c r="A709" s="42" t="s">
        <v>84</v>
      </c>
      <c r="B709" s="138">
        <v>1260</v>
      </c>
      <c r="C709" s="141">
        <v>1268</v>
      </c>
      <c r="D709" s="28">
        <v>0</v>
      </c>
      <c r="E709" s="343">
        <v>0</v>
      </c>
      <c r="F709" s="43">
        <v>0</v>
      </c>
      <c r="G709" s="138"/>
      <c r="H709" s="42"/>
      <c r="I709" s="28"/>
      <c r="J709" s="40"/>
      <c r="M709" s="42" t="s">
        <v>109</v>
      </c>
      <c r="N709" s="138">
        <v>0</v>
      </c>
      <c r="O709" s="196">
        <v>0</v>
      </c>
      <c r="P709" s="138">
        <v>0</v>
      </c>
      <c r="Q709" s="196">
        <v>0</v>
      </c>
      <c r="R709" s="141">
        <v>0</v>
      </c>
      <c r="S709" s="138">
        <v>0</v>
      </c>
      <c r="T709" s="138">
        <v>0</v>
      </c>
      <c r="U709" s="42"/>
      <c r="V709" s="40"/>
      <c r="Y709" s="42"/>
      <c r="Z709" s="42"/>
      <c r="AA709" s="40"/>
      <c r="AB709" s="42"/>
      <c r="AC709" s="43"/>
      <c r="AD709" s="40"/>
      <c r="AE709" s="42"/>
      <c r="AF709" s="40"/>
      <c r="AG709" s="43"/>
      <c r="AH709" s="67"/>
      <c r="AI709" s="28"/>
      <c r="AJ709" s="40"/>
      <c r="AM709" s="138" t="s">
        <v>1599</v>
      </c>
      <c r="AN709" s="138">
        <v>1</v>
      </c>
      <c r="AO709" s="141">
        <v>0</v>
      </c>
      <c r="AP709" s="138"/>
      <c r="AQ709" s="141"/>
      <c r="AR709" s="28"/>
      <c r="AS709" s="28"/>
      <c r="AT709" s="28"/>
      <c r="AU709" s="28"/>
      <c r="AV709" s="141" t="s">
        <v>6</v>
      </c>
      <c r="AY709" s="196"/>
      <c r="AZ709" s="212"/>
      <c r="BA709" s="141"/>
      <c r="BB709" s="138"/>
      <c r="BC709" s="43"/>
      <c r="BD709" s="141"/>
      <c r="BE709" s="138"/>
      <c r="BF709" s="209"/>
      <c r="BG709" s="212"/>
      <c r="BH709" s="43"/>
      <c r="BI709" s="141"/>
      <c r="BJ709" s="28"/>
    </row>
    <row r="710" spans="1:62" x14ac:dyDescent="0.3">
      <c r="A710" s="42"/>
      <c r="B710" s="138"/>
      <c r="C710" s="141"/>
      <c r="D710" s="28"/>
      <c r="E710" s="28"/>
      <c r="F710" s="28"/>
      <c r="G710" s="138"/>
      <c r="H710" s="42"/>
      <c r="I710" s="28"/>
      <c r="J710" s="40">
        <v>7</v>
      </c>
      <c r="M710" s="244"/>
      <c r="N710" s="142"/>
      <c r="O710" s="199"/>
      <c r="P710" s="142"/>
      <c r="Q710" s="199"/>
      <c r="R710" s="146"/>
      <c r="S710" s="142"/>
      <c r="T710" s="142"/>
      <c r="U710" s="244"/>
      <c r="V710" s="245"/>
      <c r="Y710" s="67" t="s">
        <v>89</v>
      </c>
      <c r="Z710" s="67">
        <v>35</v>
      </c>
      <c r="AA710" s="56">
        <v>36</v>
      </c>
      <c r="AB710" s="42">
        <v>0</v>
      </c>
      <c r="AC710" s="43">
        <v>0</v>
      </c>
      <c r="AD710" s="40">
        <v>0</v>
      </c>
      <c r="AE710" s="42">
        <v>0</v>
      </c>
      <c r="AF710" s="40">
        <v>0</v>
      </c>
      <c r="AG710" s="43">
        <v>0</v>
      </c>
      <c r="AH710" s="67">
        <v>1</v>
      </c>
      <c r="AI710" s="43" t="s">
        <v>98</v>
      </c>
      <c r="AJ710" s="40"/>
      <c r="AM710" s="138" t="s">
        <v>2101</v>
      </c>
      <c r="AN710" s="138">
        <v>10</v>
      </c>
      <c r="AO710" s="141">
        <v>27</v>
      </c>
      <c r="AP710" s="138"/>
      <c r="AQ710" s="141"/>
      <c r="AR710" s="28"/>
      <c r="AS710" s="28"/>
      <c r="AT710" s="28"/>
      <c r="AU710" s="28"/>
      <c r="AV710" s="141"/>
      <c r="AY710" s="211"/>
      <c r="AZ710" s="212"/>
      <c r="BA710" s="209"/>
      <c r="BB710" s="138"/>
      <c r="BC710" s="43"/>
      <c r="BD710" s="141"/>
      <c r="BE710" s="138"/>
      <c r="BF710" s="209"/>
      <c r="BG710" s="138"/>
      <c r="BH710" s="43"/>
      <c r="BI710" s="141"/>
      <c r="BJ710" s="28"/>
    </row>
    <row r="711" spans="1:62" ht="15" thickBot="1" x14ac:dyDescent="0.35">
      <c r="A711" s="278"/>
      <c r="B711" s="134"/>
      <c r="C711" s="242"/>
      <c r="D711" s="135"/>
      <c r="E711" s="135"/>
      <c r="F711" s="135"/>
      <c r="G711" s="134"/>
      <c r="H711" s="278" t="s">
        <v>118</v>
      </c>
      <c r="I711" s="135"/>
      <c r="J711" s="279"/>
      <c r="M711" s="278" t="s">
        <v>93</v>
      </c>
      <c r="N711" s="134"/>
      <c r="O711" s="195"/>
      <c r="P711" s="134">
        <v>0</v>
      </c>
      <c r="Q711" s="195">
        <v>0</v>
      </c>
      <c r="R711" s="136">
        <v>0</v>
      </c>
      <c r="S711" s="134">
        <v>0</v>
      </c>
      <c r="T711" s="134">
        <v>0</v>
      </c>
      <c r="U711" s="278" t="s">
        <v>116</v>
      </c>
      <c r="V711" s="279"/>
      <c r="Y711" s="42" t="s">
        <v>84</v>
      </c>
      <c r="Z711" s="47">
        <v>35</v>
      </c>
      <c r="AA711" s="49">
        <v>36</v>
      </c>
      <c r="AB711" s="47">
        <v>0</v>
      </c>
      <c r="AC711" s="48">
        <v>0</v>
      </c>
      <c r="AD711" s="49">
        <v>0</v>
      </c>
      <c r="AE711" s="47">
        <v>0</v>
      </c>
      <c r="AF711" s="49">
        <v>0</v>
      </c>
      <c r="AG711" s="43">
        <v>0</v>
      </c>
      <c r="AH711" s="72"/>
      <c r="AI711" s="48"/>
      <c r="AJ711" s="49">
        <v>1</v>
      </c>
      <c r="AM711" s="138" t="s">
        <v>230</v>
      </c>
      <c r="AN711" s="138">
        <v>0</v>
      </c>
      <c r="AO711" s="141">
        <v>0</v>
      </c>
      <c r="AP711" s="138"/>
      <c r="AQ711" s="141"/>
      <c r="AR711" s="28">
        <v>0</v>
      </c>
      <c r="AS711" s="28"/>
      <c r="AT711" s="28"/>
      <c r="AU711" s="28"/>
      <c r="AV711" s="141"/>
      <c r="AY711" s="211"/>
      <c r="AZ711" s="212"/>
      <c r="BA711" s="141"/>
      <c r="BB711" s="138"/>
      <c r="BC711" s="43"/>
      <c r="BD711" s="141"/>
      <c r="BE711" s="138"/>
      <c r="BF711" s="209"/>
      <c r="BG711" s="212"/>
      <c r="BH711" s="28"/>
      <c r="BI711" s="141"/>
      <c r="BJ711" s="28"/>
    </row>
    <row r="712" spans="1:62" x14ac:dyDescent="0.3">
      <c r="A712" s="42" t="s">
        <v>785</v>
      </c>
      <c r="B712" s="138">
        <v>915</v>
      </c>
      <c r="C712" s="209">
        <v>1087</v>
      </c>
      <c r="D712" s="28">
        <v>0</v>
      </c>
      <c r="E712" s="38">
        <v>0</v>
      </c>
      <c r="F712" s="43">
        <v>0</v>
      </c>
      <c r="G712" s="138">
        <v>1</v>
      </c>
      <c r="H712" s="42">
        <v>82</v>
      </c>
      <c r="I712" s="28" t="s">
        <v>101</v>
      </c>
      <c r="J712" s="40"/>
      <c r="M712" s="42" t="s">
        <v>99</v>
      </c>
      <c r="N712" s="138">
        <v>5480</v>
      </c>
      <c r="O712" s="196">
        <v>10373</v>
      </c>
      <c r="P712" s="138">
        <v>0</v>
      </c>
      <c r="Q712" s="196">
        <v>0</v>
      </c>
      <c r="R712" s="141">
        <v>0</v>
      </c>
      <c r="S712" s="138">
        <v>6526</v>
      </c>
      <c r="T712" s="138">
        <v>201</v>
      </c>
      <c r="U712" s="42"/>
      <c r="V712" s="40"/>
      <c r="Y712" s="32"/>
      <c r="Z712" s="28"/>
      <c r="AA712" s="28"/>
      <c r="AB712" s="33"/>
      <c r="AC712" s="34"/>
      <c r="AD712" s="35"/>
      <c r="AE712" s="67"/>
      <c r="AF712" s="56"/>
      <c r="AG712" s="32"/>
      <c r="AH712" s="34"/>
      <c r="AI712" s="34"/>
      <c r="AJ712" s="35"/>
      <c r="AM712" s="138" t="s">
        <v>63</v>
      </c>
      <c r="AN712" s="138">
        <v>170</v>
      </c>
      <c r="AO712" s="141">
        <v>112</v>
      </c>
      <c r="AP712" s="138"/>
      <c r="AQ712" s="141"/>
      <c r="AR712" s="28"/>
      <c r="AS712" s="28"/>
      <c r="AT712" s="28"/>
      <c r="AU712" s="28"/>
      <c r="AV712" s="141"/>
      <c r="AY712" s="211"/>
      <c r="AZ712" s="212"/>
      <c r="BA712" s="209"/>
      <c r="BB712" s="138"/>
      <c r="BC712" s="43"/>
      <c r="BD712" s="141"/>
      <c r="BE712" s="138"/>
      <c r="BF712" s="209"/>
      <c r="BG712" s="138"/>
      <c r="BH712" s="43"/>
      <c r="BI712" s="141"/>
      <c r="BJ712" s="28"/>
    </row>
    <row r="713" spans="1:62" x14ac:dyDescent="0.3">
      <c r="A713" s="42" t="s">
        <v>93</v>
      </c>
      <c r="B713" s="212">
        <v>5832</v>
      </c>
      <c r="C713" s="209">
        <v>7958</v>
      </c>
      <c r="D713" s="28">
        <v>0</v>
      </c>
      <c r="E713" s="38">
        <v>0</v>
      </c>
      <c r="F713" s="43">
        <v>0</v>
      </c>
      <c r="G713" s="212"/>
      <c r="H713" s="42">
        <v>21</v>
      </c>
      <c r="I713" s="28" t="s">
        <v>927</v>
      </c>
      <c r="J713" s="40"/>
      <c r="M713" s="42" t="s">
        <v>120</v>
      </c>
      <c r="N713" s="138">
        <v>175</v>
      </c>
      <c r="O713" s="196">
        <v>16445</v>
      </c>
      <c r="P713" s="138">
        <v>0</v>
      </c>
      <c r="Q713" s="196">
        <v>0</v>
      </c>
      <c r="R713" s="141">
        <v>0</v>
      </c>
      <c r="S713" s="138">
        <v>0</v>
      </c>
      <c r="T713" s="138">
        <v>1</v>
      </c>
      <c r="U713" s="42"/>
      <c r="V713" s="40"/>
      <c r="Y713" s="41"/>
      <c r="Z713" s="43"/>
      <c r="AA713" s="43"/>
      <c r="AB713" s="42"/>
      <c r="AC713" s="43"/>
      <c r="AD713" s="40"/>
      <c r="AE713" s="67"/>
      <c r="AF713" s="56"/>
      <c r="AG713" s="41"/>
      <c r="AH713" s="28"/>
      <c r="AI713" s="28" t="s">
        <v>6</v>
      </c>
      <c r="AJ713" s="40"/>
      <c r="AM713" s="142" t="s">
        <v>84</v>
      </c>
      <c r="AN713" s="142">
        <v>389</v>
      </c>
      <c r="AO713" s="146">
        <v>296</v>
      </c>
      <c r="AP713" s="142"/>
      <c r="AQ713" s="146"/>
      <c r="AR713" s="143"/>
      <c r="AS713" s="143"/>
      <c r="AT713" s="143"/>
      <c r="AU713" s="143"/>
      <c r="AV713" s="146">
        <v>102</v>
      </c>
      <c r="AY713" s="211" t="s">
        <v>137</v>
      </c>
      <c r="AZ713" s="212">
        <v>1758</v>
      </c>
      <c r="BA713" s="209">
        <v>1611</v>
      </c>
      <c r="BB713" s="138">
        <v>0</v>
      </c>
      <c r="BC713" s="43">
        <v>0</v>
      </c>
      <c r="BD713" s="141">
        <v>0</v>
      </c>
      <c r="BE713" s="138">
        <v>0</v>
      </c>
      <c r="BF713" s="209">
        <v>0</v>
      </c>
      <c r="BG713" s="138"/>
      <c r="BH713" s="43" t="s">
        <v>1020</v>
      </c>
      <c r="BI713" s="141"/>
      <c r="BJ713" s="28"/>
    </row>
    <row r="714" spans="1:62" x14ac:dyDescent="0.3">
      <c r="A714" s="42" t="s">
        <v>120</v>
      </c>
      <c r="B714" s="138">
        <v>3882</v>
      </c>
      <c r="C714" s="141">
        <v>4387</v>
      </c>
      <c r="D714" s="28">
        <v>0</v>
      </c>
      <c r="E714" s="38">
        <v>0</v>
      </c>
      <c r="F714" s="43">
        <v>0</v>
      </c>
      <c r="G714" s="138"/>
      <c r="H714" s="42">
        <v>23</v>
      </c>
      <c r="I714" s="28" t="s">
        <v>1306</v>
      </c>
      <c r="J714" s="40"/>
      <c r="M714" s="244" t="s">
        <v>84</v>
      </c>
      <c r="N714" s="142">
        <v>5655</v>
      </c>
      <c r="O714" s="199">
        <v>26818</v>
      </c>
      <c r="P714" s="142">
        <v>0</v>
      </c>
      <c r="Q714" s="199">
        <v>0</v>
      </c>
      <c r="R714" s="146">
        <v>0</v>
      </c>
      <c r="S714" s="142">
        <v>6526</v>
      </c>
      <c r="T714" s="142">
        <v>202</v>
      </c>
      <c r="U714" s="244"/>
      <c r="V714" s="245"/>
      <c r="Y714" s="41"/>
      <c r="Z714" s="43"/>
      <c r="AA714" s="43"/>
      <c r="AB714" s="42"/>
      <c r="AC714" s="43"/>
      <c r="AD714" s="40"/>
      <c r="AE714" s="67"/>
      <c r="AF714" s="56"/>
      <c r="AG714" s="41"/>
      <c r="AH714" s="43"/>
      <c r="AI714" s="43"/>
      <c r="AJ714" s="40"/>
      <c r="AM714" s="134"/>
      <c r="AN714" s="134"/>
      <c r="AO714" s="136"/>
      <c r="AP714" s="134"/>
      <c r="AQ714" s="136"/>
      <c r="AR714" s="135"/>
      <c r="AS714" s="135"/>
      <c r="AT714" s="135"/>
      <c r="AU714" s="135"/>
      <c r="AV714" s="136"/>
      <c r="AY714" s="211" t="s">
        <v>88</v>
      </c>
      <c r="AZ714" s="212">
        <v>380</v>
      </c>
      <c r="BA714" s="209">
        <v>246</v>
      </c>
      <c r="BB714" s="138">
        <v>0</v>
      </c>
      <c r="BC714" s="43">
        <v>0</v>
      </c>
      <c r="BD714" s="141">
        <v>0</v>
      </c>
      <c r="BE714" s="138">
        <v>0</v>
      </c>
      <c r="BF714" s="209">
        <v>0</v>
      </c>
      <c r="BG714" s="138"/>
      <c r="BH714" s="43" t="s">
        <v>2138</v>
      </c>
      <c r="BI714" s="141"/>
      <c r="BJ714" s="28"/>
    </row>
    <row r="715" spans="1:62" x14ac:dyDescent="0.3">
      <c r="A715" s="67" t="s">
        <v>429</v>
      </c>
      <c r="B715" s="212">
        <v>1214</v>
      </c>
      <c r="C715" s="209">
        <v>1654</v>
      </c>
      <c r="D715" s="43">
        <v>0</v>
      </c>
      <c r="E715" s="38">
        <v>0</v>
      </c>
      <c r="F715" s="43">
        <v>0</v>
      </c>
      <c r="G715" s="138"/>
      <c r="H715" s="42"/>
      <c r="I715" s="28"/>
      <c r="J715" s="40"/>
      <c r="M715" s="278"/>
      <c r="N715" s="134"/>
      <c r="O715" s="195"/>
      <c r="P715" s="134"/>
      <c r="Q715" s="195"/>
      <c r="R715" s="136"/>
      <c r="S715" s="134"/>
      <c r="T715" s="134"/>
      <c r="U715" s="278"/>
      <c r="V715" s="279"/>
      <c r="Y715" s="41"/>
      <c r="Z715" s="43"/>
      <c r="AA715" s="43"/>
      <c r="AB715" s="42"/>
      <c r="AC715" s="43"/>
      <c r="AD715" s="40"/>
      <c r="AE715" s="67"/>
      <c r="AF715" s="56"/>
      <c r="AG715" s="41"/>
      <c r="AH715" s="43"/>
      <c r="AI715" s="43"/>
      <c r="AJ715" s="40"/>
      <c r="AM715" s="138"/>
      <c r="AN715" s="138"/>
      <c r="AO715" s="141"/>
      <c r="AP715" s="138"/>
      <c r="AQ715" s="141"/>
      <c r="AR715" s="28"/>
      <c r="AS715" s="28"/>
      <c r="AT715" s="28"/>
      <c r="AU715" s="28"/>
      <c r="AV715" s="141"/>
      <c r="AY715" s="211" t="s">
        <v>97</v>
      </c>
      <c r="AZ715" s="212">
        <v>2585</v>
      </c>
      <c r="BA715" s="209">
        <v>2715</v>
      </c>
      <c r="BB715" s="212">
        <v>0</v>
      </c>
      <c r="BC715" s="43">
        <v>0</v>
      </c>
      <c r="BD715" s="209">
        <v>0</v>
      </c>
      <c r="BE715" s="212">
        <v>0</v>
      </c>
      <c r="BF715" s="209">
        <v>0</v>
      </c>
      <c r="BG715" s="138"/>
      <c r="BH715" s="43" t="s">
        <v>2139</v>
      </c>
      <c r="BI715" s="141"/>
      <c r="BJ715" s="28"/>
    </row>
    <row r="716" spans="1:62" ht="15" thickBot="1" x14ac:dyDescent="0.35">
      <c r="A716" s="244" t="s">
        <v>84</v>
      </c>
      <c r="B716" s="142">
        <v>11843</v>
      </c>
      <c r="C716" s="146">
        <v>15086</v>
      </c>
      <c r="D716" s="143">
        <v>0</v>
      </c>
      <c r="E716" s="345">
        <v>0</v>
      </c>
      <c r="F716" s="143">
        <v>0</v>
      </c>
      <c r="G716" s="142"/>
      <c r="H716" s="244"/>
      <c r="I716" s="143"/>
      <c r="J716" s="245">
        <v>126</v>
      </c>
      <c r="M716" s="42" t="s">
        <v>105</v>
      </c>
      <c r="N716" s="138">
        <v>489</v>
      </c>
      <c r="O716" s="196">
        <v>0</v>
      </c>
      <c r="P716" s="138">
        <v>0</v>
      </c>
      <c r="Q716" s="196">
        <v>0</v>
      </c>
      <c r="R716" s="141">
        <v>0</v>
      </c>
      <c r="S716" s="138">
        <v>0</v>
      </c>
      <c r="T716" s="138">
        <v>0</v>
      </c>
      <c r="U716" s="42"/>
      <c r="V716" s="40"/>
      <c r="Y716" s="46"/>
      <c r="Z716" s="43"/>
      <c r="AA716" s="43"/>
      <c r="AB716" s="47"/>
      <c r="AC716" s="48"/>
      <c r="AD716" s="49"/>
      <c r="AE716" s="67"/>
      <c r="AF716" s="56"/>
      <c r="AG716" s="46"/>
      <c r="AH716" s="48"/>
      <c r="AI716" s="48"/>
      <c r="AJ716" s="49"/>
      <c r="AM716" s="138"/>
      <c r="AN716" s="138"/>
      <c r="AO716" s="141"/>
      <c r="AP716" s="138"/>
      <c r="AQ716" s="141"/>
      <c r="AR716" s="28"/>
      <c r="AS716" s="28"/>
      <c r="AT716" s="28"/>
      <c r="AU716" s="28"/>
      <c r="AV716" s="141"/>
      <c r="AY716" s="211" t="s">
        <v>113</v>
      </c>
      <c r="AZ716" s="212">
        <v>691</v>
      </c>
      <c r="BA716" s="209">
        <v>756</v>
      </c>
      <c r="BB716" s="138">
        <v>0</v>
      </c>
      <c r="BC716" s="43">
        <v>0</v>
      </c>
      <c r="BD716" s="141">
        <v>0</v>
      </c>
      <c r="BE716" s="138">
        <v>0</v>
      </c>
      <c r="BF716" s="141">
        <v>0</v>
      </c>
      <c r="BG716" s="138"/>
      <c r="BH716" s="43" t="s">
        <v>330</v>
      </c>
      <c r="BI716" s="141"/>
      <c r="BJ716" s="28"/>
    </row>
    <row r="717" spans="1:62" x14ac:dyDescent="0.3">
      <c r="A717" s="42" t="s">
        <v>93</v>
      </c>
      <c r="B717" s="138">
        <v>5961</v>
      </c>
      <c r="C717" s="209">
        <v>6208</v>
      </c>
      <c r="D717" s="138">
        <v>0</v>
      </c>
      <c r="E717" s="38">
        <v>0</v>
      </c>
      <c r="F717" s="43">
        <v>0</v>
      </c>
      <c r="G717" s="138">
        <v>1</v>
      </c>
      <c r="H717" s="42" t="s">
        <v>116</v>
      </c>
      <c r="I717" s="28"/>
      <c r="J717" s="40"/>
      <c r="M717" s="42" t="s">
        <v>99</v>
      </c>
      <c r="N717" s="138"/>
      <c r="O717" s="196">
        <v>0</v>
      </c>
      <c r="P717" s="138">
        <v>0</v>
      </c>
      <c r="Q717" s="196">
        <v>0</v>
      </c>
      <c r="R717" s="141">
        <v>0</v>
      </c>
      <c r="S717" s="138">
        <v>0</v>
      </c>
      <c r="T717" s="138">
        <v>0</v>
      </c>
      <c r="U717" s="42" t="s">
        <v>135</v>
      </c>
      <c r="V717" s="40"/>
      <c r="Y717" s="42"/>
      <c r="Z717" s="33"/>
      <c r="AA717" s="35"/>
      <c r="AB717" s="34"/>
      <c r="AC717" s="34"/>
      <c r="AD717" s="34"/>
      <c r="AE717" s="33"/>
      <c r="AF717" s="35"/>
      <c r="AG717" s="32"/>
      <c r="AH717" s="34"/>
      <c r="AI717" s="34"/>
      <c r="AJ717" s="35"/>
      <c r="AM717" s="138"/>
      <c r="AN717" s="138"/>
      <c r="AO717" s="141"/>
      <c r="AP717" s="138"/>
      <c r="AQ717" s="141"/>
      <c r="AR717" s="28"/>
      <c r="AS717" s="28"/>
      <c r="AT717" s="28"/>
      <c r="AU717" s="28"/>
      <c r="AV717" s="141"/>
      <c r="AY717" s="211" t="s">
        <v>89</v>
      </c>
      <c r="AZ717" s="138">
        <v>2362</v>
      </c>
      <c r="BA717" s="141">
        <v>2203</v>
      </c>
      <c r="BB717" s="138">
        <v>0</v>
      </c>
      <c r="BC717" s="43">
        <v>0</v>
      </c>
      <c r="BD717" s="141">
        <v>0</v>
      </c>
      <c r="BE717" s="138">
        <v>0</v>
      </c>
      <c r="BF717" s="141">
        <v>0</v>
      </c>
      <c r="BG717" s="138"/>
      <c r="BH717" s="28"/>
      <c r="BI717" s="141"/>
      <c r="BJ717" s="28"/>
    </row>
    <row r="718" spans="1:62" ht="15" thickBot="1" x14ac:dyDescent="0.35">
      <c r="A718" s="42" t="s">
        <v>99</v>
      </c>
      <c r="B718" s="138">
        <v>7490</v>
      </c>
      <c r="C718" s="209">
        <v>8511</v>
      </c>
      <c r="D718" s="138">
        <v>0</v>
      </c>
      <c r="E718" s="38">
        <v>0</v>
      </c>
      <c r="F718" s="43">
        <v>0</v>
      </c>
      <c r="G718" s="138"/>
      <c r="H718" s="67">
        <v>154</v>
      </c>
      <c r="I718" s="28" t="s">
        <v>188</v>
      </c>
      <c r="J718" s="40"/>
      <c r="M718" s="42"/>
      <c r="N718" s="138"/>
      <c r="O718" s="196"/>
      <c r="P718" s="138"/>
      <c r="Q718" s="196"/>
      <c r="R718" s="141"/>
      <c r="S718" s="138"/>
      <c r="T718" s="138"/>
      <c r="U718" s="42"/>
      <c r="V718" s="40"/>
      <c r="Y718" s="47"/>
      <c r="Z718" s="47"/>
      <c r="AA718" s="49"/>
      <c r="AB718" s="48"/>
      <c r="AC718" s="48"/>
      <c r="AD718" s="48"/>
      <c r="AE718" s="47"/>
      <c r="AF718" s="49"/>
      <c r="AG718" s="46"/>
      <c r="AH718" s="48"/>
      <c r="AI718" s="48"/>
      <c r="AJ718" s="49"/>
      <c r="AM718" s="142"/>
      <c r="AN718" s="142"/>
      <c r="AO718" s="146"/>
      <c r="AP718" s="142"/>
      <c r="AQ718" s="146"/>
      <c r="AR718" s="143"/>
      <c r="AS718" s="143"/>
      <c r="AT718" s="143"/>
      <c r="AU718" s="143"/>
      <c r="AV718" s="146"/>
      <c r="AY718" s="211" t="s">
        <v>108</v>
      </c>
      <c r="AZ718" s="142">
        <v>0</v>
      </c>
      <c r="BA718" s="146">
        <v>0</v>
      </c>
      <c r="BB718" s="142">
        <v>0</v>
      </c>
      <c r="BC718" s="224">
        <v>0</v>
      </c>
      <c r="BD718" s="251">
        <v>0</v>
      </c>
      <c r="BE718" s="142">
        <v>0</v>
      </c>
      <c r="BF718" s="146">
        <v>0</v>
      </c>
      <c r="BG718" s="142"/>
      <c r="BH718" s="143"/>
      <c r="BI718" s="146"/>
      <c r="BJ718" s="28"/>
    </row>
    <row r="719" spans="1:62" x14ac:dyDescent="0.3">
      <c r="A719" s="42" t="s">
        <v>120</v>
      </c>
      <c r="B719" s="138">
        <v>3790</v>
      </c>
      <c r="C719" s="209">
        <v>3919</v>
      </c>
      <c r="D719" s="138">
        <v>0</v>
      </c>
      <c r="E719" s="38">
        <v>0</v>
      </c>
      <c r="F719" s="43">
        <v>0</v>
      </c>
      <c r="G719" s="138"/>
      <c r="H719" s="67"/>
      <c r="I719" s="28"/>
      <c r="J719" s="40"/>
      <c r="M719" s="244" t="s">
        <v>84</v>
      </c>
      <c r="N719" s="142">
        <v>489</v>
      </c>
      <c r="O719" s="199">
        <v>0</v>
      </c>
      <c r="P719" s="142">
        <v>0</v>
      </c>
      <c r="Q719" s="199">
        <v>0</v>
      </c>
      <c r="R719" s="146">
        <v>0</v>
      </c>
      <c r="S719" s="142">
        <v>0</v>
      </c>
      <c r="T719" s="142">
        <v>0</v>
      </c>
      <c r="U719" s="244"/>
      <c r="V719" s="245"/>
      <c r="Y719" s="33"/>
      <c r="Z719" s="33"/>
      <c r="AA719" s="35"/>
      <c r="AB719" s="34"/>
      <c r="AC719" s="34"/>
      <c r="AD719" s="34"/>
      <c r="AE719" s="33"/>
      <c r="AF719" s="35"/>
      <c r="AG719" s="32"/>
      <c r="AH719" s="34"/>
      <c r="AI719" s="34"/>
      <c r="AJ719" s="35"/>
      <c r="AM719" s="134"/>
      <c r="AN719" s="134"/>
      <c r="AO719" s="136"/>
      <c r="AP719" s="134"/>
      <c r="AQ719" s="136"/>
      <c r="AR719" s="134"/>
      <c r="AS719" s="135" t="s">
        <v>140</v>
      </c>
      <c r="AT719" s="135"/>
      <c r="AU719" s="135"/>
      <c r="AV719" s="136"/>
      <c r="AY719" s="247" t="s">
        <v>84</v>
      </c>
      <c r="AZ719" s="247">
        <v>7776</v>
      </c>
      <c r="BA719" s="248">
        <v>7531</v>
      </c>
      <c r="BB719" s="197">
        <v>0</v>
      </c>
      <c r="BC719" s="198">
        <v>0</v>
      </c>
      <c r="BD719" s="249">
        <v>0</v>
      </c>
      <c r="BE719" s="197">
        <v>0</v>
      </c>
      <c r="BF719" s="249">
        <v>0</v>
      </c>
      <c r="BG719" s="197"/>
      <c r="BH719" s="198"/>
      <c r="BI719" s="249">
        <v>118</v>
      </c>
      <c r="BJ719" s="28"/>
    </row>
    <row r="720" spans="1:62" x14ac:dyDescent="0.3">
      <c r="A720" s="42"/>
      <c r="B720" s="138"/>
      <c r="C720" s="28"/>
      <c r="D720" s="138">
        <v>0</v>
      </c>
      <c r="E720" s="38">
        <v>0</v>
      </c>
      <c r="F720" s="43">
        <v>0</v>
      </c>
      <c r="G720" s="138"/>
      <c r="H720" s="67"/>
      <c r="I720" s="28"/>
      <c r="J720" s="40"/>
      <c r="M720" s="42"/>
      <c r="N720" s="138"/>
      <c r="O720" s="196"/>
      <c r="P720" s="138"/>
      <c r="Q720" s="196"/>
      <c r="R720" s="141"/>
      <c r="S720" s="138"/>
      <c r="T720" s="138"/>
      <c r="U720" s="42"/>
      <c r="V720" s="40"/>
      <c r="Y720" s="42" t="s">
        <v>97</v>
      </c>
      <c r="Z720" s="42">
        <v>64</v>
      </c>
      <c r="AA720" s="40">
        <v>0</v>
      </c>
      <c r="AB720" s="43">
        <v>0</v>
      </c>
      <c r="AC720" s="43">
        <v>0</v>
      </c>
      <c r="AD720" s="43">
        <v>0</v>
      </c>
      <c r="AE720" s="42">
        <v>5993</v>
      </c>
      <c r="AF720" s="40">
        <v>0</v>
      </c>
      <c r="AG720" s="41">
        <v>0</v>
      </c>
      <c r="AH720" s="28" t="s">
        <v>953</v>
      </c>
      <c r="AI720" s="28"/>
      <c r="AJ720" s="40"/>
      <c r="AM720" s="138" t="s">
        <v>56</v>
      </c>
      <c r="AN720" s="212">
        <v>8</v>
      </c>
      <c r="AO720" s="141">
        <v>16</v>
      </c>
      <c r="AP720" s="138"/>
      <c r="AQ720" s="141"/>
      <c r="AR720" s="138"/>
      <c r="AS720" s="43" t="s">
        <v>2140</v>
      </c>
      <c r="AT720" s="43"/>
      <c r="AU720" s="43"/>
      <c r="AV720" s="141"/>
      <c r="AY720" s="195"/>
      <c r="AZ720" s="134"/>
      <c r="BA720" s="136"/>
      <c r="BB720" s="134"/>
      <c r="BC720" s="135"/>
      <c r="BD720" s="136"/>
      <c r="BE720" s="134"/>
      <c r="BF720" s="136"/>
      <c r="BG720" s="134" t="s">
        <v>1025</v>
      </c>
      <c r="BH720" s="135"/>
      <c r="BI720" s="136"/>
      <c r="BJ720" s="28"/>
    </row>
    <row r="721" spans="1:62" x14ac:dyDescent="0.3">
      <c r="A721" s="244" t="s">
        <v>84</v>
      </c>
      <c r="B721" s="142">
        <v>17241</v>
      </c>
      <c r="C721" s="143">
        <v>18638</v>
      </c>
      <c r="D721" s="142"/>
      <c r="E721" s="143"/>
      <c r="F721" s="143"/>
      <c r="G721" s="142"/>
      <c r="H721" s="244"/>
      <c r="I721" s="143"/>
      <c r="J721" s="245">
        <v>154</v>
      </c>
      <c r="M721" s="42"/>
      <c r="N721" s="138"/>
      <c r="O721" s="196"/>
      <c r="P721" s="138"/>
      <c r="Q721" s="196"/>
      <c r="R721" s="141"/>
      <c r="S721" s="138"/>
      <c r="T721" s="138"/>
      <c r="U721" s="42"/>
      <c r="V721" s="40"/>
      <c r="Y721" s="42" t="s">
        <v>74</v>
      </c>
      <c r="Z721" s="42">
        <v>0</v>
      </c>
      <c r="AA721" s="40">
        <v>50</v>
      </c>
      <c r="AB721" s="43">
        <v>0</v>
      </c>
      <c r="AC721" s="43">
        <v>0</v>
      </c>
      <c r="AD721" s="43">
        <v>0</v>
      </c>
      <c r="AE721" s="42">
        <v>0</v>
      </c>
      <c r="AF721" s="40">
        <v>0</v>
      </c>
      <c r="AG721" s="41">
        <v>0</v>
      </c>
      <c r="AH721" s="43">
        <v>5</v>
      </c>
      <c r="AI721" s="28" t="s">
        <v>141</v>
      </c>
      <c r="AJ721" s="40"/>
      <c r="AM721" s="138" t="s">
        <v>72</v>
      </c>
      <c r="AN721" s="212">
        <v>8</v>
      </c>
      <c r="AO721" s="141">
        <v>5</v>
      </c>
      <c r="AP721" s="138"/>
      <c r="AQ721" s="141"/>
      <c r="AR721" s="138"/>
      <c r="AS721" s="43" t="s">
        <v>325</v>
      </c>
      <c r="AT721" s="43" t="s">
        <v>2141</v>
      </c>
      <c r="AU721" s="43"/>
      <c r="AV721" s="141"/>
      <c r="AY721" s="196" t="s">
        <v>64</v>
      </c>
      <c r="AZ721" s="138">
        <v>84</v>
      </c>
      <c r="BA721" s="141">
        <v>105</v>
      </c>
      <c r="BB721" s="138">
        <v>0</v>
      </c>
      <c r="BC721" s="43">
        <v>0</v>
      </c>
      <c r="BD721" s="209">
        <v>0</v>
      </c>
      <c r="BE721" s="138">
        <v>0</v>
      </c>
      <c r="BF721" s="141">
        <v>0</v>
      </c>
      <c r="BG721" s="138">
        <v>9</v>
      </c>
      <c r="BH721" s="28" t="s">
        <v>1026</v>
      </c>
      <c r="BI721" s="141"/>
      <c r="BJ721" s="28"/>
    </row>
    <row r="722" spans="1:62" x14ac:dyDescent="0.3">
      <c r="A722" s="278" t="s">
        <v>105</v>
      </c>
      <c r="B722" s="134">
        <v>1008</v>
      </c>
      <c r="C722" s="135">
        <v>1063</v>
      </c>
      <c r="D722" s="134">
        <v>0</v>
      </c>
      <c r="E722" s="243">
        <v>1115</v>
      </c>
      <c r="F722" s="135">
        <v>0</v>
      </c>
      <c r="G722" s="134">
        <v>1</v>
      </c>
      <c r="H722" s="278" t="s">
        <v>162</v>
      </c>
      <c r="I722" s="135"/>
      <c r="J722" s="279"/>
      <c r="M722" s="42"/>
      <c r="N722" s="138"/>
      <c r="O722" s="196"/>
      <c r="P722" s="138"/>
      <c r="Q722" s="196"/>
      <c r="R722" s="141"/>
      <c r="S722" s="138"/>
      <c r="T722" s="138"/>
      <c r="U722" s="42"/>
      <c r="V722" s="40"/>
      <c r="Y722" s="42" t="s">
        <v>89</v>
      </c>
      <c r="Z722" s="42">
        <v>316</v>
      </c>
      <c r="AA722" s="40">
        <v>263</v>
      </c>
      <c r="AB722" s="43">
        <v>0</v>
      </c>
      <c r="AC722" s="43">
        <v>0</v>
      </c>
      <c r="AD722" s="43">
        <v>0</v>
      </c>
      <c r="AE722" s="42">
        <v>0</v>
      </c>
      <c r="AF722" s="40">
        <v>0</v>
      </c>
      <c r="AG722" s="41">
        <v>0</v>
      </c>
      <c r="AH722" s="43">
        <v>1</v>
      </c>
      <c r="AI722" s="43" t="s">
        <v>163</v>
      </c>
      <c r="AJ722" s="40"/>
      <c r="AM722" s="138" t="s">
        <v>78</v>
      </c>
      <c r="AN722" s="212">
        <v>24</v>
      </c>
      <c r="AO722" s="141">
        <v>33</v>
      </c>
      <c r="AP722" s="138"/>
      <c r="AQ722" s="141"/>
      <c r="AR722" s="138"/>
      <c r="AS722" s="43" t="s">
        <v>447</v>
      </c>
      <c r="AT722" s="43" t="s">
        <v>2142</v>
      </c>
      <c r="AU722" s="43"/>
      <c r="AV722" s="141"/>
      <c r="AY722" s="239" t="s">
        <v>84</v>
      </c>
      <c r="AZ722" s="142">
        <v>84</v>
      </c>
      <c r="BA722" s="146">
        <v>105</v>
      </c>
      <c r="BB722" s="142">
        <v>0</v>
      </c>
      <c r="BC722" s="143">
        <v>0</v>
      </c>
      <c r="BD722" s="146">
        <v>0</v>
      </c>
      <c r="BE722" s="142">
        <v>0</v>
      </c>
      <c r="BF722" s="146">
        <v>0</v>
      </c>
      <c r="BG722" s="142"/>
      <c r="BH722" s="143"/>
      <c r="BI722" s="146">
        <v>9</v>
      </c>
      <c r="BJ722" s="28"/>
    </row>
    <row r="723" spans="1:62" ht="15" thickBot="1" x14ac:dyDescent="0.35">
      <c r="A723" s="42" t="s">
        <v>99</v>
      </c>
      <c r="B723" s="138">
        <v>120</v>
      </c>
      <c r="C723" s="43">
        <v>167</v>
      </c>
      <c r="D723" s="138">
        <v>0</v>
      </c>
      <c r="E723" s="343">
        <v>1041</v>
      </c>
      <c r="F723" s="43">
        <v>0</v>
      </c>
      <c r="G723" s="138"/>
      <c r="H723" s="42"/>
      <c r="I723" s="28"/>
      <c r="J723" s="40"/>
      <c r="M723" s="42"/>
      <c r="N723" s="138"/>
      <c r="O723" s="196"/>
      <c r="P723" s="138"/>
      <c r="Q723" s="196"/>
      <c r="R723" s="141"/>
      <c r="S723" s="138"/>
      <c r="T723" s="138"/>
      <c r="U723" s="42"/>
      <c r="V723" s="40"/>
      <c r="Y723" s="47" t="s">
        <v>84</v>
      </c>
      <c r="Z723" s="72">
        <v>380</v>
      </c>
      <c r="AA723" s="49">
        <v>313</v>
      </c>
      <c r="AB723" s="51">
        <v>0</v>
      </c>
      <c r="AC723" s="48">
        <v>0</v>
      </c>
      <c r="AD723" s="48">
        <v>0</v>
      </c>
      <c r="AE723" s="47">
        <v>5993</v>
      </c>
      <c r="AF723" s="49">
        <v>0</v>
      </c>
      <c r="AG723" s="46">
        <v>0</v>
      </c>
      <c r="AH723" s="48"/>
      <c r="AI723" s="48"/>
      <c r="AJ723" s="49">
        <v>6</v>
      </c>
      <c r="AM723" s="138" t="s">
        <v>67</v>
      </c>
      <c r="AN723" s="212">
        <v>21</v>
      </c>
      <c r="AO723" s="141">
        <v>9</v>
      </c>
      <c r="AP723" s="138"/>
      <c r="AQ723" s="141"/>
      <c r="AR723" s="138"/>
      <c r="AS723" s="43" t="s">
        <v>2143</v>
      </c>
      <c r="AT723" s="43" t="s">
        <v>2144</v>
      </c>
      <c r="AU723" s="43"/>
      <c r="AV723" s="141"/>
      <c r="AY723" s="138"/>
      <c r="AZ723" s="134"/>
      <c r="BA723" s="135"/>
      <c r="BB723" s="134"/>
      <c r="BC723" s="135"/>
      <c r="BD723" s="136"/>
      <c r="BE723" s="28"/>
      <c r="BF723" s="141"/>
      <c r="BG723" s="28" t="s">
        <v>994</v>
      </c>
      <c r="BH723" s="28"/>
      <c r="BI723" s="141"/>
      <c r="BJ723" s="28"/>
    </row>
    <row r="724" spans="1:62" ht="15" thickBot="1" x14ac:dyDescent="0.35">
      <c r="A724" s="42"/>
      <c r="B724" s="138"/>
      <c r="C724" s="28"/>
      <c r="D724" s="138"/>
      <c r="E724" s="343"/>
      <c r="F724" s="28"/>
      <c r="G724" s="138"/>
      <c r="H724" s="67">
        <v>36</v>
      </c>
      <c r="I724" s="28" t="s">
        <v>101</v>
      </c>
      <c r="J724" s="40"/>
      <c r="M724" s="42"/>
      <c r="N724" s="138"/>
      <c r="O724" s="196"/>
      <c r="P724" s="138"/>
      <c r="Q724" s="196"/>
      <c r="R724" s="141"/>
      <c r="S724" s="138"/>
      <c r="T724" s="138"/>
      <c r="U724" s="42"/>
      <c r="V724" s="40"/>
      <c r="Y724" s="32"/>
      <c r="Z724" s="33"/>
      <c r="AA724" s="35"/>
      <c r="AB724" s="53"/>
      <c r="AC724" s="123"/>
      <c r="AD724" s="97"/>
      <c r="AE724" s="33"/>
      <c r="AF724" s="35"/>
      <c r="AG724" s="32"/>
      <c r="AH724" s="33" t="s">
        <v>149</v>
      </c>
      <c r="AI724" s="34"/>
      <c r="AJ724" s="35"/>
      <c r="AM724" s="138" t="s">
        <v>115</v>
      </c>
      <c r="AN724" s="212">
        <v>16</v>
      </c>
      <c r="AO724" s="141">
        <v>16</v>
      </c>
      <c r="AP724" s="212"/>
      <c r="AQ724" s="141"/>
      <c r="AR724" s="138"/>
      <c r="AS724" s="43" t="s">
        <v>2145</v>
      </c>
      <c r="AT724" s="43" t="s">
        <v>1327</v>
      </c>
      <c r="AU724" s="43"/>
      <c r="AV724" s="141"/>
      <c r="AY724" s="138" t="s">
        <v>113</v>
      </c>
      <c r="AZ724" s="138">
        <v>504</v>
      </c>
      <c r="BA724" s="28">
        <v>518</v>
      </c>
      <c r="BB724" s="138">
        <v>0</v>
      </c>
      <c r="BC724" s="43">
        <v>0</v>
      </c>
      <c r="BD724" s="209">
        <v>0</v>
      </c>
      <c r="BE724" s="43">
        <v>0</v>
      </c>
      <c r="BF724" s="141">
        <v>0</v>
      </c>
      <c r="BG724" s="43">
        <v>13</v>
      </c>
      <c r="BH724" s="28" t="s">
        <v>1297</v>
      </c>
      <c r="BI724" s="141"/>
      <c r="BJ724" s="28"/>
    </row>
    <row r="725" spans="1:62" ht="15" thickBot="1" x14ac:dyDescent="0.35">
      <c r="A725" s="42" t="s">
        <v>84</v>
      </c>
      <c r="B725" s="142">
        <v>1128</v>
      </c>
      <c r="C725" s="143">
        <v>1230</v>
      </c>
      <c r="D725" s="142">
        <v>0</v>
      </c>
      <c r="E725" s="345">
        <v>2156</v>
      </c>
      <c r="F725" s="143">
        <v>0</v>
      </c>
      <c r="G725" s="142"/>
      <c r="H725" s="244"/>
      <c r="I725" s="143"/>
      <c r="J725" s="245">
        <v>36</v>
      </c>
      <c r="M725" s="171" t="s">
        <v>84</v>
      </c>
      <c r="N725" s="210">
        <v>39911</v>
      </c>
      <c r="O725" s="206">
        <v>56931</v>
      </c>
      <c r="P725" s="210">
        <v>0</v>
      </c>
      <c r="Q725" s="206">
        <v>0</v>
      </c>
      <c r="R725" s="170">
        <v>0</v>
      </c>
      <c r="S725" s="210">
        <v>6526</v>
      </c>
      <c r="T725" s="210">
        <v>202</v>
      </c>
      <c r="U725" s="171"/>
      <c r="V725" s="172"/>
      <c r="Y725" s="41" t="s">
        <v>99</v>
      </c>
      <c r="Z725" s="42">
        <v>0</v>
      </c>
      <c r="AA725" s="40">
        <v>0</v>
      </c>
      <c r="AB725" s="67">
        <v>0</v>
      </c>
      <c r="AC725" s="43">
        <v>0</v>
      </c>
      <c r="AD725" s="56">
        <v>0</v>
      </c>
      <c r="AE725" s="42">
        <v>0</v>
      </c>
      <c r="AF725" s="40">
        <v>1661</v>
      </c>
      <c r="AG725" s="41">
        <v>0</v>
      </c>
      <c r="AH725" s="67">
        <v>4</v>
      </c>
      <c r="AI725" s="28" t="s">
        <v>1317</v>
      </c>
      <c r="AJ725" s="40"/>
      <c r="AM725" s="138" t="s">
        <v>81</v>
      </c>
      <c r="AN725" s="212">
        <v>0</v>
      </c>
      <c r="AO725" s="141">
        <v>3</v>
      </c>
      <c r="AP725" s="138"/>
      <c r="AQ725" s="141"/>
      <c r="AR725" s="138"/>
      <c r="AS725" s="43" t="s">
        <v>2146</v>
      </c>
      <c r="AT725" s="43" t="s">
        <v>2147</v>
      </c>
      <c r="AU725" s="43"/>
      <c r="AV725" s="141"/>
      <c r="AY725" s="142" t="s">
        <v>84</v>
      </c>
      <c r="AZ725" s="138">
        <v>504</v>
      </c>
      <c r="BA725" s="28">
        <v>518</v>
      </c>
      <c r="BB725" s="138">
        <v>0</v>
      </c>
      <c r="BC725" s="43">
        <v>0</v>
      </c>
      <c r="BD725" s="209">
        <v>0</v>
      </c>
      <c r="BE725" s="143">
        <v>0</v>
      </c>
      <c r="BF725" s="146">
        <v>0</v>
      </c>
      <c r="BG725" s="43">
        <v>34</v>
      </c>
      <c r="BH725" s="43" t="s">
        <v>1292</v>
      </c>
      <c r="BI725" s="146">
        <v>47</v>
      </c>
      <c r="BJ725" s="28"/>
    </row>
    <row r="726" spans="1:62" x14ac:dyDescent="0.3">
      <c r="A726" s="287" t="s">
        <v>181</v>
      </c>
      <c r="B726" s="135">
        <v>2764</v>
      </c>
      <c r="C726" s="135">
        <v>2673</v>
      </c>
      <c r="D726" s="134">
        <v>0</v>
      </c>
      <c r="E726" s="243">
        <v>0</v>
      </c>
      <c r="F726" s="136">
        <v>0</v>
      </c>
      <c r="G726" s="134">
        <v>1</v>
      </c>
      <c r="H726" s="278" t="s">
        <v>182</v>
      </c>
      <c r="I726" s="135"/>
      <c r="J726" s="279"/>
      <c r="Y726" s="41" t="s">
        <v>174</v>
      </c>
      <c r="Z726" s="42">
        <v>0</v>
      </c>
      <c r="AA726" s="40">
        <v>0</v>
      </c>
      <c r="AB726" s="67">
        <v>0</v>
      </c>
      <c r="AC726" s="43">
        <v>0</v>
      </c>
      <c r="AD726" s="56">
        <v>0</v>
      </c>
      <c r="AE726" s="42">
        <v>34032</v>
      </c>
      <c r="AF726" s="40">
        <v>0</v>
      </c>
      <c r="AG726" s="41">
        <v>0</v>
      </c>
      <c r="AH726" s="67"/>
      <c r="AI726" s="43"/>
      <c r="AJ726" s="40"/>
      <c r="AM726" s="138" t="s">
        <v>63</v>
      </c>
      <c r="AN726" s="212">
        <v>8</v>
      </c>
      <c r="AO726" s="141">
        <v>34</v>
      </c>
      <c r="AP726" s="138"/>
      <c r="AQ726" s="141"/>
      <c r="AR726" s="138"/>
      <c r="AS726" s="43" t="s">
        <v>2148</v>
      </c>
      <c r="AT726" s="43" t="s">
        <v>2149</v>
      </c>
      <c r="AU726" s="43"/>
      <c r="AV726" s="141"/>
      <c r="AY726" s="134" t="s">
        <v>113</v>
      </c>
      <c r="AZ726" s="240">
        <v>47</v>
      </c>
      <c r="BA726" s="135">
        <v>75</v>
      </c>
      <c r="BB726" s="134"/>
      <c r="BC726" s="243"/>
      <c r="BD726" s="381"/>
      <c r="BE726" s="135"/>
      <c r="BF726" s="136"/>
      <c r="BG726" s="134" t="s">
        <v>140</v>
      </c>
      <c r="BH726" s="135"/>
      <c r="BI726" s="136"/>
      <c r="BJ726" s="28"/>
    </row>
    <row r="727" spans="1:62" ht="15" thickBot="1" x14ac:dyDescent="0.35">
      <c r="A727" s="288"/>
      <c r="B727" s="28"/>
      <c r="C727" s="28"/>
      <c r="D727" s="138"/>
      <c r="E727" s="38"/>
      <c r="F727" s="141"/>
      <c r="G727" s="138"/>
      <c r="H727" s="42"/>
      <c r="I727" s="28"/>
      <c r="J727" s="40"/>
      <c r="Y727" s="62" t="s">
        <v>84</v>
      </c>
      <c r="Z727" s="47">
        <v>0</v>
      </c>
      <c r="AA727" s="49">
        <v>0</v>
      </c>
      <c r="AB727" s="47">
        <v>0</v>
      </c>
      <c r="AC727" s="48">
        <v>0</v>
      </c>
      <c r="AD727" s="49">
        <v>0</v>
      </c>
      <c r="AE727" s="47">
        <v>34032</v>
      </c>
      <c r="AF727" s="49">
        <v>1661</v>
      </c>
      <c r="AG727" s="46">
        <v>0</v>
      </c>
      <c r="AH727" s="47"/>
      <c r="AI727" s="48"/>
      <c r="AJ727" s="49">
        <v>4</v>
      </c>
      <c r="AM727" s="138" t="s">
        <v>122</v>
      </c>
      <c r="AN727" s="212">
        <v>5</v>
      </c>
      <c r="AO727" s="141">
        <v>14</v>
      </c>
      <c r="AP727" s="138"/>
      <c r="AQ727" s="141"/>
      <c r="AR727" s="138"/>
      <c r="AS727" s="43" t="s">
        <v>1414</v>
      </c>
      <c r="AT727" s="43"/>
      <c r="AU727" s="43"/>
      <c r="AV727" s="141"/>
      <c r="AY727" s="138" t="s">
        <v>133</v>
      </c>
      <c r="AZ727" s="212">
        <v>21</v>
      </c>
      <c r="BA727" s="43">
        <v>10</v>
      </c>
      <c r="BB727" s="138"/>
      <c r="BC727" s="43"/>
      <c r="BD727" s="141"/>
      <c r="BE727" s="43"/>
      <c r="BF727" s="141"/>
      <c r="BG727" s="138"/>
      <c r="BH727" s="28"/>
      <c r="BI727" s="141"/>
      <c r="BJ727" s="28"/>
    </row>
    <row r="728" spans="1:62" x14ac:dyDescent="0.3">
      <c r="A728" s="288" t="s">
        <v>84</v>
      </c>
      <c r="B728" s="28">
        <v>2764</v>
      </c>
      <c r="C728" s="43">
        <v>2673</v>
      </c>
      <c r="D728" s="138">
        <v>0</v>
      </c>
      <c r="E728" s="38">
        <v>0</v>
      </c>
      <c r="F728" s="141">
        <v>0</v>
      </c>
      <c r="G728" s="138"/>
      <c r="H728" s="42">
        <v>20</v>
      </c>
      <c r="I728" s="28" t="s">
        <v>727</v>
      </c>
      <c r="J728" s="40"/>
      <c r="Y728" s="32"/>
      <c r="Z728" s="33"/>
      <c r="AA728" s="35"/>
      <c r="AB728" s="33"/>
      <c r="AC728" s="34"/>
      <c r="AD728" s="35"/>
      <c r="AE728" s="33"/>
      <c r="AF728" s="35"/>
      <c r="AG728" s="32">
        <v>0</v>
      </c>
      <c r="AH728" s="33" t="s">
        <v>157</v>
      </c>
      <c r="AI728" s="34"/>
      <c r="AJ728" s="35"/>
      <c r="AM728" s="138" t="s">
        <v>132</v>
      </c>
      <c r="AN728" s="212">
        <v>6</v>
      </c>
      <c r="AO728" s="141">
        <v>8</v>
      </c>
      <c r="AP728" s="138"/>
      <c r="AQ728" s="141"/>
      <c r="AR728" s="138"/>
      <c r="AS728" s="43" t="s">
        <v>2150</v>
      </c>
      <c r="AT728" s="43"/>
      <c r="AU728" s="43"/>
      <c r="AV728" s="141"/>
      <c r="AY728" s="138" t="s">
        <v>214</v>
      </c>
      <c r="AZ728" s="212">
        <v>8</v>
      </c>
      <c r="BA728" s="43">
        <v>1</v>
      </c>
      <c r="BB728" s="138"/>
      <c r="BC728" s="43"/>
      <c r="BD728" s="141"/>
      <c r="BE728" s="43"/>
      <c r="BF728" s="141"/>
      <c r="BG728" s="138"/>
      <c r="BH728" s="28"/>
      <c r="BI728" s="141"/>
      <c r="BJ728" s="28"/>
    </row>
    <row r="729" spans="1:62" ht="15" thickBot="1" x14ac:dyDescent="0.35">
      <c r="A729" s="289"/>
      <c r="B729" s="48"/>
      <c r="C729" s="48"/>
      <c r="D729" s="202"/>
      <c r="E729" s="48"/>
      <c r="F729" s="203"/>
      <c r="G729" s="202"/>
      <c r="H729" s="47">
        <v>6</v>
      </c>
      <c r="I729" s="51" t="s">
        <v>1464</v>
      </c>
      <c r="J729" s="49">
        <v>26</v>
      </c>
      <c r="Y729" s="41" t="s">
        <v>1118</v>
      </c>
      <c r="Z729" s="42">
        <v>0</v>
      </c>
      <c r="AA729" s="56">
        <v>0</v>
      </c>
      <c r="AB729" s="67">
        <v>0</v>
      </c>
      <c r="AC729" s="43">
        <v>0</v>
      </c>
      <c r="AD729" s="56">
        <v>0</v>
      </c>
      <c r="AE729" s="42">
        <v>16440</v>
      </c>
      <c r="AF729" s="56">
        <v>0</v>
      </c>
      <c r="AG729" s="41">
        <v>0</v>
      </c>
      <c r="AH729" s="67">
        <v>14</v>
      </c>
      <c r="AI729" s="28" t="s">
        <v>1318</v>
      </c>
      <c r="AJ729" s="40"/>
      <c r="AM729" s="138"/>
      <c r="AN729" s="138"/>
      <c r="AO729" s="141"/>
      <c r="AP729" s="138"/>
      <c r="AQ729" s="141"/>
      <c r="AR729" s="138"/>
      <c r="AS729" s="220"/>
      <c r="AT729" s="43"/>
      <c r="AU729" s="371"/>
      <c r="AV729" s="141"/>
      <c r="AY729" s="138" t="s">
        <v>218</v>
      </c>
      <c r="AZ729" s="212">
        <v>0</v>
      </c>
      <c r="BA729" s="43">
        <v>35</v>
      </c>
      <c r="BB729" s="382"/>
      <c r="BC729" s="43"/>
      <c r="BD729" s="141"/>
      <c r="BE729" s="43"/>
      <c r="BF729" s="141"/>
      <c r="BG729" s="212" t="s">
        <v>142</v>
      </c>
      <c r="BH729" s="43"/>
      <c r="BI729" s="209" t="s">
        <v>2151</v>
      </c>
      <c r="BJ729" s="28"/>
    </row>
    <row r="730" spans="1:62" ht="15" thickBot="1" x14ac:dyDescent="0.35">
      <c r="A730" s="254" t="s">
        <v>84</v>
      </c>
      <c r="B730" s="274">
        <v>39465</v>
      </c>
      <c r="C730" s="172">
        <v>45789</v>
      </c>
      <c r="D730" s="275">
        <v>0</v>
      </c>
      <c r="E730" s="210">
        <v>2893</v>
      </c>
      <c r="F730" s="253">
        <v>0</v>
      </c>
      <c r="G730" s="171">
        <v>8</v>
      </c>
      <c r="H730" s="171"/>
      <c r="I730" s="170"/>
      <c r="J730" s="172">
        <v>393</v>
      </c>
      <c r="Y730" s="41" t="s">
        <v>88</v>
      </c>
      <c r="Z730" s="42">
        <v>0</v>
      </c>
      <c r="AA730" s="56">
        <v>0</v>
      </c>
      <c r="AB730" s="67">
        <v>0</v>
      </c>
      <c r="AC730" s="43">
        <v>0</v>
      </c>
      <c r="AD730" s="56">
        <v>0</v>
      </c>
      <c r="AE730" s="42">
        <v>21761</v>
      </c>
      <c r="AF730" s="56">
        <v>1275</v>
      </c>
      <c r="AG730" s="41">
        <v>0</v>
      </c>
      <c r="AH730" s="42"/>
      <c r="AI730" s="28"/>
      <c r="AJ730" s="40"/>
      <c r="AM730" s="138" t="s">
        <v>84</v>
      </c>
      <c r="AN730" s="138">
        <v>96</v>
      </c>
      <c r="AO730" s="141">
        <v>138</v>
      </c>
      <c r="AP730" s="138"/>
      <c r="AQ730" s="141"/>
      <c r="AR730" s="142"/>
      <c r="AS730" s="224"/>
      <c r="AT730" s="224"/>
      <c r="AU730" s="143"/>
      <c r="AV730" s="146">
        <v>121</v>
      </c>
      <c r="AY730" s="138" t="s">
        <v>1118</v>
      </c>
      <c r="AZ730" s="212">
        <v>1</v>
      </c>
      <c r="BA730" s="43">
        <v>0</v>
      </c>
      <c r="BB730" s="268"/>
      <c r="BC730" s="255"/>
      <c r="BD730" s="141"/>
      <c r="BE730" s="43"/>
      <c r="BF730" s="141"/>
      <c r="BG730" s="212" t="s">
        <v>146</v>
      </c>
      <c r="BH730" s="43"/>
      <c r="BI730" s="372" t="s">
        <v>2141</v>
      </c>
      <c r="BJ730" s="28"/>
    </row>
    <row r="731" spans="1:62" ht="15" thickBot="1" x14ac:dyDescent="0.35">
      <c r="Y731" s="68" t="s">
        <v>85</v>
      </c>
      <c r="Z731" s="42">
        <v>0</v>
      </c>
      <c r="AA731" s="56">
        <v>0</v>
      </c>
      <c r="AB731" s="42">
        <v>0</v>
      </c>
      <c r="AC731" s="43">
        <v>0</v>
      </c>
      <c r="AD731" s="40">
        <v>0</v>
      </c>
      <c r="AE731" s="42">
        <v>9535</v>
      </c>
      <c r="AF731" s="56">
        <v>3015</v>
      </c>
      <c r="AG731" s="41">
        <v>0</v>
      </c>
      <c r="AH731" s="42"/>
      <c r="AI731" s="43"/>
      <c r="AJ731" s="40"/>
      <c r="AM731" s="171" t="s">
        <v>84</v>
      </c>
      <c r="AN731" s="171">
        <v>1723</v>
      </c>
      <c r="AO731" s="172">
        <v>1672</v>
      </c>
      <c r="AP731" s="170"/>
      <c r="AQ731" s="172"/>
      <c r="AR731" s="48"/>
      <c r="AS731" s="48"/>
      <c r="AT731" s="48"/>
      <c r="AU731" s="48"/>
      <c r="AV731" s="49">
        <v>310</v>
      </c>
      <c r="AY731" s="138" t="s">
        <v>564</v>
      </c>
      <c r="AZ731" s="212">
        <v>2</v>
      </c>
      <c r="BA731" s="43">
        <v>2</v>
      </c>
      <c r="BB731" s="268"/>
      <c r="BC731" s="43"/>
      <c r="BD731" s="141"/>
      <c r="BE731" s="43"/>
      <c r="BF731" s="141"/>
      <c r="BG731" s="212"/>
      <c r="BH731" s="43"/>
      <c r="BI731" s="209"/>
      <c r="BJ731" s="28"/>
    </row>
    <row r="732" spans="1:62" x14ac:dyDescent="0.3">
      <c r="V732" s="184"/>
      <c r="Y732" s="68" t="s">
        <v>99</v>
      </c>
      <c r="Z732" s="42">
        <v>0</v>
      </c>
      <c r="AA732" s="56">
        <v>0</v>
      </c>
      <c r="AB732" s="67">
        <v>0</v>
      </c>
      <c r="AC732" s="43">
        <v>0</v>
      </c>
      <c r="AD732" s="56">
        <v>0</v>
      </c>
      <c r="AE732" s="42">
        <v>120481</v>
      </c>
      <c r="AF732" s="56">
        <v>10865</v>
      </c>
      <c r="AG732" s="41">
        <v>0</v>
      </c>
      <c r="AH732" s="67"/>
      <c r="AI732" s="28"/>
      <c r="AJ732" s="40"/>
      <c r="AM732" s="28"/>
      <c r="AN732" s="28"/>
      <c r="AO732" s="28"/>
      <c r="AP732" s="28"/>
      <c r="AQ732" s="28"/>
      <c r="AR732" s="28"/>
      <c r="AS732" s="43"/>
      <c r="AT732" s="43"/>
      <c r="AU732" s="28"/>
      <c r="AV732" s="28"/>
      <c r="AY732" s="138" t="s">
        <v>596</v>
      </c>
      <c r="AZ732" s="212">
        <v>7</v>
      </c>
      <c r="BA732" s="43">
        <v>1</v>
      </c>
      <c r="BB732" s="268"/>
      <c r="BC732" s="43"/>
      <c r="BD732" s="141"/>
      <c r="BE732" s="43"/>
      <c r="BF732" s="141"/>
      <c r="BG732" s="212" t="s">
        <v>151</v>
      </c>
      <c r="BH732" s="43"/>
      <c r="BI732" s="209"/>
      <c r="BJ732" s="28"/>
    </row>
    <row r="733" spans="1:62" x14ac:dyDescent="0.3">
      <c r="Y733" s="68" t="s">
        <v>95</v>
      </c>
      <c r="Z733" s="67">
        <v>0</v>
      </c>
      <c r="AA733" s="56">
        <v>0</v>
      </c>
      <c r="AB733" s="42">
        <v>0</v>
      </c>
      <c r="AC733" s="43">
        <v>0</v>
      </c>
      <c r="AD733" s="40">
        <v>0</v>
      </c>
      <c r="AE733" s="67">
        <v>0</v>
      </c>
      <c r="AF733" s="56">
        <v>4889</v>
      </c>
      <c r="AG733" s="41">
        <v>0</v>
      </c>
      <c r="AH733" s="42"/>
      <c r="AI733" s="28"/>
      <c r="AJ733" s="40"/>
      <c r="AM733" s="28"/>
      <c r="AN733" s="28"/>
      <c r="AO733" s="28"/>
      <c r="AP733" s="28"/>
      <c r="AQ733" s="28"/>
      <c r="AR733" s="28"/>
      <c r="AS733" s="220"/>
      <c r="AT733" s="220"/>
      <c r="AU733" s="28"/>
      <c r="AV733" s="28"/>
      <c r="AY733" s="138" t="s">
        <v>169</v>
      </c>
      <c r="AZ733" s="212">
        <v>0</v>
      </c>
      <c r="BA733" s="43">
        <v>2</v>
      </c>
      <c r="BB733" s="268"/>
      <c r="BC733" s="43"/>
      <c r="BD733" s="141"/>
      <c r="BE733" s="43"/>
      <c r="BF733" s="141"/>
      <c r="BG733" s="333" t="s">
        <v>2152</v>
      </c>
      <c r="BH733" s="383" t="s">
        <v>1098</v>
      </c>
      <c r="BI733" s="209" t="s">
        <v>2153</v>
      </c>
      <c r="BJ733" s="28"/>
    </row>
    <row r="734" spans="1:62" x14ac:dyDescent="0.3">
      <c r="Y734" s="68" t="s">
        <v>133</v>
      </c>
      <c r="Z734" s="67">
        <v>0</v>
      </c>
      <c r="AA734" s="56">
        <v>0</v>
      </c>
      <c r="AB734" s="67">
        <v>0</v>
      </c>
      <c r="AC734" s="43">
        <v>0</v>
      </c>
      <c r="AD734" s="56">
        <v>0</v>
      </c>
      <c r="AE734" s="67">
        <v>0</v>
      </c>
      <c r="AF734" s="56">
        <v>4834</v>
      </c>
      <c r="AG734" s="41">
        <v>0</v>
      </c>
      <c r="AH734" s="67"/>
      <c r="AI734" s="28"/>
      <c r="AJ734" s="40"/>
      <c r="AM734" s="28"/>
      <c r="AN734" s="28"/>
      <c r="AO734" s="28"/>
      <c r="AP734" s="28"/>
      <c r="AQ734" s="28"/>
      <c r="AR734" s="28"/>
      <c r="AS734" s="43"/>
      <c r="AT734" s="43"/>
      <c r="AU734" s="28"/>
      <c r="AV734" s="28"/>
      <c r="AY734" s="138" t="s">
        <v>1041</v>
      </c>
      <c r="AZ734" s="212">
        <v>4</v>
      </c>
      <c r="BA734" s="43">
        <v>0</v>
      </c>
      <c r="BB734" s="268"/>
      <c r="BC734" s="43"/>
      <c r="BD734" s="141"/>
      <c r="BE734" s="43"/>
      <c r="BF734" s="141"/>
      <c r="BG734" s="212" t="s">
        <v>325</v>
      </c>
      <c r="BH734" s="220" t="s">
        <v>179</v>
      </c>
      <c r="BI734" s="209" t="s">
        <v>513</v>
      </c>
      <c r="BJ734" s="28"/>
    </row>
    <row r="735" spans="1:62" x14ac:dyDescent="0.3">
      <c r="Y735" s="68" t="s">
        <v>105</v>
      </c>
      <c r="Z735" s="42">
        <v>0</v>
      </c>
      <c r="AA735" s="40">
        <v>0</v>
      </c>
      <c r="AB735" s="42">
        <v>0</v>
      </c>
      <c r="AC735" s="43">
        <v>0</v>
      </c>
      <c r="AD735" s="40">
        <v>0</v>
      </c>
      <c r="AE735" s="42">
        <v>7182</v>
      </c>
      <c r="AF735" s="40">
        <v>9053</v>
      </c>
      <c r="AG735" s="41">
        <v>0</v>
      </c>
      <c r="AH735" s="42"/>
      <c r="AI735" s="28"/>
      <c r="AJ735" s="40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Y735" s="138" t="s">
        <v>99</v>
      </c>
      <c r="AZ735" s="212">
        <v>0</v>
      </c>
      <c r="BA735" s="43">
        <v>4</v>
      </c>
      <c r="BB735" s="268"/>
      <c r="BC735" s="43"/>
      <c r="BD735" s="141"/>
      <c r="BE735" s="43"/>
      <c r="BF735" s="141"/>
      <c r="BG735" s="212" t="s">
        <v>1033</v>
      </c>
      <c r="BH735" s="43" t="s">
        <v>2061</v>
      </c>
      <c r="BI735" s="209" t="s">
        <v>2154</v>
      </c>
      <c r="BJ735" s="28"/>
    </row>
    <row r="736" spans="1:62" x14ac:dyDescent="0.3">
      <c r="Y736" s="68" t="s">
        <v>108</v>
      </c>
      <c r="Z736" s="42">
        <v>0</v>
      </c>
      <c r="AA736" s="40">
        <v>0</v>
      </c>
      <c r="AB736" s="42">
        <v>0</v>
      </c>
      <c r="AC736" s="43">
        <v>0</v>
      </c>
      <c r="AD736" s="40">
        <v>0</v>
      </c>
      <c r="AE736" s="42">
        <v>14241</v>
      </c>
      <c r="AF736" s="40">
        <v>21114</v>
      </c>
      <c r="AG736" s="41">
        <v>0</v>
      </c>
      <c r="AH736" s="42"/>
      <c r="AI736" s="28"/>
      <c r="AJ736" s="40"/>
      <c r="AS736" s="43"/>
      <c r="AT736" s="43"/>
      <c r="AU736" s="43"/>
      <c r="AV736" s="28"/>
      <c r="AY736" s="138" t="s">
        <v>200</v>
      </c>
      <c r="AZ736" s="212">
        <v>3</v>
      </c>
      <c r="BA736" s="43">
        <v>8</v>
      </c>
      <c r="BB736" s="268"/>
      <c r="BC736" s="270"/>
      <c r="BD736" s="141"/>
      <c r="BE736" s="43"/>
      <c r="BF736" s="141"/>
      <c r="BG736" s="212" t="s">
        <v>725</v>
      </c>
      <c r="BH736" s="43" t="s">
        <v>2155</v>
      </c>
      <c r="BI736" s="209" t="s">
        <v>2156</v>
      </c>
      <c r="BJ736" s="28"/>
    </row>
    <row r="737" spans="25:62" ht="15" thickBot="1" x14ac:dyDescent="0.35">
      <c r="Y737" s="62" t="s">
        <v>84</v>
      </c>
      <c r="Z737" s="47">
        <v>0</v>
      </c>
      <c r="AA737" s="49">
        <v>0</v>
      </c>
      <c r="AB737" s="47">
        <v>0</v>
      </c>
      <c r="AC737" s="51">
        <v>0</v>
      </c>
      <c r="AD737" s="49"/>
      <c r="AE737" s="47">
        <v>189640</v>
      </c>
      <c r="AF737" s="49">
        <v>55045</v>
      </c>
      <c r="AG737" s="46">
        <v>0</v>
      </c>
      <c r="AH737" s="47"/>
      <c r="AI737" s="48"/>
      <c r="AJ737" s="49">
        <v>14</v>
      </c>
      <c r="AS737" s="28"/>
      <c r="AT737" s="43"/>
      <c r="AU737" s="43"/>
      <c r="AV737" s="28"/>
      <c r="AY737" s="138" t="s">
        <v>250</v>
      </c>
      <c r="AZ737" s="212">
        <v>0</v>
      </c>
      <c r="BA737" s="43">
        <v>2</v>
      </c>
      <c r="BB737" s="268"/>
      <c r="BC737" s="43"/>
      <c r="BD737" s="141"/>
      <c r="BE737" s="43"/>
      <c r="BF737" s="141"/>
      <c r="BG737" s="212" t="s">
        <v>510</v>
      </c>
      <c r="BH737" s="43" t="s">
        <v>2157</v>
      </c>
      <c r="BI737" s="209" t="s">
        <v>330</v>
      </c>
      <c r="BJ737" s="28"/>
    </row>
    <row r="738" spans="25:62" x14ac:dyDescent="0.3">
      <c r="Y738" s="32"/>
      <c r="Z738" s="33"/>
      <c r="AA738" s="35"/>
      <c r="AB738" s="33"/>
      <c r="AC738" s="123"/>
      <c r="AD738" s="35"/>
      <c r="AE738" s="33"/>
      <c r="AF738" s="35"/>
      <c r="AG738" s="32"/>
      <c r="AH738" s="33" t="s">
        <v>1326</v>
      </c>
      <c r="AI738" s="34"/>
      <c r="AJ738" s="35"/>
      <c r="AS738" s="43"/>
      <c r="AT738" s="43"/>
      <c r="AU738" s="43"/>
      <c r="AV738" s="28"/>
      <c r="AY738" s="138" t="s">
        <v>1661</v>
      </c>
      <c r="AZ738" s="212">
        <v>0</v>
      </c>
      <c r="BA738" s="43">
        <v>5</v>
      </c>
      <c r="BB738" s="268"/>
      <c r="BC738" s="43"/>
      <c r="BD738" s="141"/>
      <c r="BE738" s="43"/>
      <c r="BF738" s="141"/>
      <c r="BG738" s="212" t="s">
        <v>2158</v>
      </c>
      <c r="BH738" s="222" t="s">
        <v>2159</v>
      </c>
      <c r="BI738" s="209" t="s">
        <v>1918</v>
      </c>
      <c r="BJ738" s="28"/>
    </row>
    <row r="739" spans="25:62" x14ac:dyDescent="0.3">
      <c r="Y739" s="41" t="s">
        <v>102</v>
      </c>
      <c r="Z739" s="42">
        <v>150</v>
      </c>
      <c r="AA739" s="40">
        <v>181</v>
      </c>
      <c r="AB739" s="67">
        <v>0</v>
      </c>
      <c r="AC739" s="43">
        <v>0</v>
      </c>
      <c r="AD739" s="56">
        <v>0</v>
      </c>
      <c r="AE739" s="42">
        <v>0</v>
      </c>
      <c r="AF739" s="40">
        <v>0</v>
      </c>
      <c r="AG739" s="41"/>
      <c r="AH739" s="43">
        <v>4</v>
      </c>
      <c r="AI739" s="28" t="s">
        <v>145</v>
      </c>
      <c r="AJ739" s="40"/>
      <c r="AS739" s="43"/>
      <c r="AT739" s="28"/>
      <c r="AU739" s="28"/>
      <c r="AV739" s="28"/>
      <c r="AY739" s="138" t="s">
        <v>703</v>
      </c>
      <c r="AZ739" s="212">
        <v>0</v>
      </c>
      <c r="BA739" s="43">
        <v>6</v>
      </c>
      <c r="BB739" s="268"/>
      <c r="BC739" s="270"/>
      <c r="BD739" s="141"/>
      <c r="BE739" s="43"/>
      <c r="BF739" s="141"/>
      <c r="BG739" s="212" t="s">
        <v>2148</v>
      </c>
      <c r="BH739" s="43" t="s">
        <v>175</v>
      </c>
      <c r="BI739" s="373" t="s">
        <v>515</v>
      </c>
      <c r="BJ739" s="28"/>
    </row>
    <row r="740" spans="25:62" ht="15" thickBot="1" x14ac:dyDescent="0.35">
      <c r="Y740" s="46" t="s">
        <v>84</v>
      </c>
      <c r="Z740" s="47">
        <v>150</v>
      </c>
      <c r="AA740" s="49">
        <v>181</v>
      </c>
      <c r="AB740" s="47">
        <v>0</v>
      </c>
      <c r="AC740" s="48">
        <v>0</v>
      </c>
      <c r="AD740" s="49">
        <v>0</v>
      </c>
      <c r="AE740" s="47">
        <v>0</v>
      </c>
      <c r="AF740" s="49">
        <v>0</v>
      </c>
      <c r="AG740" s="46"/>
      <c r="AH740" s="67"/>
      <c r="AI740" s="48"/>
      <c r="AJ740" s="49">
        <v>4</v>
      </c>
      <c r="AS740" s="43"/>
      <c r="AT740" s="28"/>
      <c r="AU740" s="28"/>
      <c r="AV740" s="28"/>
      <c r="AY740" s="138" t="s">
        <v>549</v>
      </c>
      <c r="AZ740" s="212">
        <v>0</v>
      </c>
      <c r="BA740" s="43">
        <v>2</v>
      </c>
      <c r="BB740" s="268"/>
      <c r="BC740" s="270"/>
      <c r="BD740" s="141"/>
      <c r="BE740" s="43"/>
      <c r="BF740" s="141"/>
      <c r="BG740" s="212" t="s">
        <v>2160</v>
      </c>
      <c r="BH740" s="43" t="s">
        <v>2161</v>
      </c>
      <c r="BI740" s="209" t="s">
        <v>409</v>
      </c>
      <c r="BJ740" s="28"/>
    </row>
    <row r="741" spans="25:62" ht="15" thickBot="1" x14ac:dyDescent="0.35">
      <c r="Y741" s="254" t="s">
        <v>84</v>
      </c>
      <c r="Z741" s="171">
        <v>2502</v>
      </c>
      <c r="AA741" s="172">
        <v>2449</v>
      </c>
      <c r="AB741" s="271">
        <v>0</v>
      </c>
      <c r="AC741" s="170">
        <v>0</v>
      </c>
      <c r="AD741" s="172">
        <v>0</v>
      </c>
      <c r="AE741" s="47">
        <v>230265</v>
      </c>
      <c r="AF741" s="49">
        <v>56706</v>
      </c>
      <c r="AG741" s="46"/>
      <c r="AH741" s="291" t="s">
        <v>199</v>
      </c>
      <c r="AI741" s="170"/>
      <c r="AJ741" s="172">
        <v>47</v>
      </c>
      <c r="AQ741" s="28"/>
      <c r="AS741" s="43"/>
      <c r="AT741" s="28"/>
      <c r="AU741" s="28"/>
      <c r="AV741" s="28"/>
      <c r="AY741" s="138" t="s">
        <v>190</v>
      </c>
      <c r="AZ741" s="212">
        <v>2</v>
      </c>
      <c r="BA741" s="43">
        <v>2</v>
      </c>
      <c r="BB741" s="268"/>
      <c r="BC741" s="270"/>
      <c r="BD741" s="141"/>
      <c r="BE741" s="43"/>
      <c r="BF741" s="141"/>
      <c r="BG741" s="212" t="s">
        <v>571</v>
      </c>
      <c r="BH741" s="43" t="s">
        <v>586</v>
      </c>
      <c r="BI741" s="209" t="s">
        <v>522</v>
      </c>
      <c r="BJ741" s="28"/>
    </row>
    <row r="742" spans="25:62" ht="15.6" x14ac:dyDescent="0.3">
      <c r="AQ742" s="28"/>
      <c r="AS742" s="43"/>
      <c r="AT742" s="43"/>
      <c r="AU742" s="43"/>
      <c r="AV742" s="28"/>
      <c r="AY742" s="374" t="s">
        <v>862</v>
      </c>
      <c r="AZ742" s="212">
        <v>0</v>
      </c>
      <c r="BA742" s="43">
        <v>9</v>
      </c>
      <c r="BB742" s="268"/>
      <c r="BC742" s="270"/>
      <c r="BD742" s="141"/>
      <c r="BE742" s="43"/>
      <c r="BF742" s="141"/>
      <c r="BG742" s="212" t="s">
        <v>2162</v>
      </c>
      <c r="BH742" s="258" t="s">
        <v>825</v>
      </c>
      <c r="BI742" s="373" t="s">
        <v>2163</v>
      </c>
      <c r="BJ742" s="28"/>
    </row>
    <row r="743" spans="25:62" ht="15.6" x14ac:dyDescent="0.3">
      <c r="AE743" s="28"/>
      <c r="AO743" s="28"/>
      <c r="AQ743" s="28"/>
      <c r="AS743" s="43"/>
      <c r="AT743" s="28"/>
      <c r="AU743" s="28"/>
      <c r="AV743" s="28"/>
      <c r="AY743" s="138" t="s">
        <v>93</v>
      </c>
      <c r="AZ743" s="212">
        <v>3</v>
      </c>
      <c r="BA743" s="43">
        <v>0</v>
      </c>
      <c r="BB743" s="268"/>
      <c r="BC743" s="270"/>
      <c r="BD743" s="141"/>
      <c r="BE743" s="43"/>
      <c r="BF743" s="141"/>
      <c r="BG743" s="212" t="s">
        <v>2164</v>
      </c>
      <c r="BH743" s="258" t="s">
        <v>2165</v>
      </c>
      <c r="BI743" s="209" t="s">
        <v>1780</v>
      </c>
      <c r="BJ743" s="28"/>
    </row>
    <row r="744" spans="25:62" x14ac:dyDescent="0.3">
      <c r="AO744" s="28"/>
      <c r="AQ744" s="28"/>
      <c r="AY744" s="138" t="s">
        <v>85</v>
      </c>
      <c r="AZ744" s="212">
        <v>3</v>
      </c>
      <c r="BA744" s="43">
        <v>4</v>
      </c>
      <c r="BB744" s="268"/>
      <c r="BC744" s="270"/>
      <c r="BD744" s="141"/>
      <c r="BE744" s="43"/>
      <c r="BF744" s="141"/>
      <c r="BG744" s="212"/>
      <c r="BH744" s="228"/>
      <c r="BI744" s="213"/>
      <c r="BJ744" s="28"/>
    </row>
    <row r="745" spans="25:62" ht="15.6" x14ac:dyDescent="0.3">
      <c r="AO745" s="28"/>
      <c r="AQ745" s="28"/>
      <c r="AY745" s="138" t="s">
        <v>1925</v>
      </c>
      <c r="AZ745" s="212">
        <v>29</v>
      </c>
      <c r="BA745" s="43">
        <v>29</v>
      </c>
      <c r="BB745" s="268"/>
      <c r="BC745" s="270"/>
      <c r="BD745" s="141"/>
      <c r="BE745" s="43"/>
      <c r="BF745" s="141"/>
      <c r="BG745" s="138"/>
      <c r="BH745" s="258"/>
      <c r="BI745" s="141"/>
      <c r="BJ745" s="28"/>
    </row>
    <row r="746" spans="25:62" ht="16.2" thickBot="1" x14ac:dyDescent="0.35">
      <c r="Y746" s="43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138"/>
      <c r="AZ746" s="212"/>
      <c r="BA746" s="28"/>
      <c r="BB746" s="268"/>
      <c r="BC746" s="270"/>
      <c r="BD746" s="141"/>
      <c r="BE746" s="43"/>
      <c r="BF746" s="141"/>
      <c r="BG746" s="138"/>
      <c r="BH746" s="258"/>
      <c r="BI746" s="141">
        <v>78</v>
      </c>
      <c r="BJ746" s="28"/>
    </row>
    <row r="747" spans="25:62" ht="15" thickBot="1" x14ac:dyDescent="0.35">
      <c r="Y747" s="28"/>
      <c r="Z747" s="28"/>
      <c r="AA747" s="28"/>
      <c r="AB747" s="28"/>
      <c r="AC747" s="43"/>
      <c r="AD747" s="28"/>
      <c r="AE747" s="28"/>
      <c r="AF747" s="28"/>
      <c r="AG747" s="28"/>
      <c r="AH747" s="28"/>
      <c r="AI747" s="28"/>
      <c r="AJ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43"/>
      <c r="AX747" s="28"/>
      <c r="AY747" s="271" t="s">
        <v>84</v>
      </c>
      <c r="AZ747" s="271">
        <v>130</v>
      </c>
      <c r="BA747" s="272">
        <v>197</v>
      </c>
      <c r="BB747" s="170" t="s">
        <v>84</v>
      </c>
      <c r="BC747" s="170">
        <v>0</v>
      </c>
      <c r="BD747" s="170">
        <v>0</v>
      </c>
      <c r="BE747" s="171">
        <v>81984</v>
      </c>
      <c r="BF747" s="172">
        <v>27000</v>
      </c>
      <c r="BG747" s="351"/>
      <c r="BH747" s="170"/>
      <c r="BI747" s="172">
        <v>292</v>
      </c>
      <c r="BJ747" s="28"/>
    </row>
    <row r="748" spans="25:62" x14ac:dyDescent="0.3">
      <c r="Y748" s="28"/>
      <c r="Z748" s="28"/>
      <c r="AA748" s="28"/>
      <c r="AB748" s="28"/>
      <c r="AC748" s="43"/>
      <c r="AD748" s="28"/>
      <c r="AE748" s="28"/>
      <c r="AF748" s="28"/>
      <c r="AG748" s="28"/>
      <c r="AH748" s="28"/>
      <c r="AI748" s="28"/>
      <c r="AJ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00" t="s">
        <v>223</v>
      </c>
      <c r="AZ748" s="295">
        <v>8596</v>
      </c>
      <c r="BA748" s="296">
        <v>8478</v>
      </c>
      <c r="BB748" s="297"/>
      <c r="BC748" s="34" t="s">
        <v>1503</v>
      </c>
      <c r="BD748" s="34"/>
      <c r="BE748" s="34"/>
      <c r="BF748" s="34"/>
      <c r="BG748" s="298">
        <v>732</v>
      </c>
      <c r="BH748" s="35"/>
      <c r="BI748" s="35"/>
      <c r="BJ748" s="28"/>
    </row>
    <row r="749" spans="25:62" ht="15" thickBot="1" x14ac:dyDescent="0.35">
      <c r="Y749" s="28"/>
      <c r="Z749" s="28"/>
      <c r="AA749" s="28"/>
      <c r="AB749" s="43"/>
      <c r="AC749" s="43"/>
      <c r="AD749" s="43"/>
      <c r="AE749" s="28"/>
      <c r="AF749" s="28"/>
      <c r="AG749" s="28"/>
      <c r="AH749" s="28"/>
      <c r="AI749" s="28"/>
      <c r="AJ749" s="28"/>
      <c r="AM749" s="28"/>
      <c r="AN749" s="28"/>
      <c r="AO749" s="28"/>
      <c r="AP749" s="28"/>
      <c r="AQ749" s="28"/>
      <c r="AR749" s="28"/>
      <c r="AS749" s="28"/>
      <c r="AT749" s="28"/>
      <c r="AU749" s="43"/>
      <c r="AV749" s="28"/>
      <c r="AW749" s="28"/>
      <c r="AX749" s="28"/>
      <c r="AY749" s="138" t="s">
        <v>1340</v>
      </c>
      <c r="AZ749" s="28"/>
      <c r="BA749" s="299">
        <v>78</v>
      </c>
      <c r="BB749" s="47"/>
      <c r="BC749" s="48" t="s">
        <v>1504</v>
      </c>
      <c r="BD749" s="48"/>
      <c r="BE749" s="48"/>
      <c r="BF749" s="48"/>
      <c r="BG749" s="300">
        <v>310</v>
      </c>
      <c r="BH749" s="301">
        <v>1042</v>
      </c>
      <c r="BI749" s="40"/>
      <c r="BJ749" s="28"/>
    </row>
    <row r="750" spans="25:62" ht="15" thickBot="1" x14ac:dyDescent="0.35">
      <c r="Y750" s="28"/>
      <c r="Z750" s="28"/>
      <c r="AA750" s="28"/>
      <c r="AB750" s="28"/>
      <c r="AC750" s="28"/>
      <c r="AD750" s="28"/>
      <c r="AE750" s="28"/>
      <c r="AF750" s="28"/>
      <c r="AG750" s="28"/>
      <c r="AH750" s="43"/>
      <c r="AI750" s="28"/>
      <c r="AJ750" s="28"/>
      <c r="AM750" s="28"/>
      <c r="AN750" s="28"/>
      <c r="AO750" s="28"/>
      <c r="AP750" s="28"/>
      <c r="AQ750" s="43"/>
      <c r="AR750" s="28"/>
      <c r="AS750" s="28"/>
      <c r="AT750" s="28"/>
      <c r="AU750" s="43"/>
      <c r="AV750" s="43"/>
      <c r="AW750" s="28"/>
      <c r="AX750" s="28"/>
      <c r="AY750" s="202" t="s">
        <v>229</v>
      </c>
      <c r="AZ750" s="48"/>
      <c r="BA750" s="302">
        <v>1</v>
      </c>
      <c r="BB750" s="28"/>
      <c r="BC750" s="28"/>
      <c r="BD750" s="28"/>
      <c r="BE750" s="28"/>
      <c r="BF750" s="42"/>
      <c r="BG750" s="28"/>
      <c r="BH750" s="42"/>
      <c r="BI750" s="40"/>
      <c r="BJ750" s="28"/>
    </row>
    <row r="751" spans="25:62" x14ac:dyDescent="0.3">
      <c r="Y751" s="28"/>
      <c r="Z751" s="28"/>
      <c r="AA751" s="28"/>
      <c r="AB751" s="43"/>
      <c r="AC751" s="28"/>
      <c r="AD751" s="28"/>
      <c r="AE751" s="28"/>
      <c r="AF751" s="28"/>
      <c r="AG751" s="28"/>
      <c r="AH751" s="43"/>
      <c r="AI751" s="28"/>
      <c r="AJ751" s="28"/>
      <c r="AM751" s="43"/>
      <c r="AN751" s="43"/>
      <c r="AO751" s="43"/>
      <c r="AP751" s="28"/>
      <c r="AQ751" s="43"/>
      <c r="AR751" s="28"/>
      <c r="AS751" s="28"/>
      <c r="AT751" s="28"/>
      <c r="AU751" s="43"/>
      <c r="AV751" s="43"/>
      <c r="AW751" s="43"/>
      <c r="AX751" s="28"/>
      <c r="AY751" s="200" t="s">
        <v>232</v>
      </c>
      <c r="AZ751" s="34"/>
      <c r="BA751" s="303" t="s">
        <v>233</v>
      </c>
      <c r="BB751" s="34"/>
      <c r="BC751" s="298">
        <v>1723</v>
      </c>
      <c r="BD751" s="35"/>
      <c r="BE751" s="33" t="s">
        <v>234</v>
      </c>
      <c r="BF751" s="34"/>
      <c r="BG751" s="34" t="s">
        <v>233</v>
      </c>
      <c r="BH751" s="34"/>
      <c r="BI751" s="304">
        <v>8596</v>
      </c>
      <c r="BJ751" s="28"/>
    </row>
    <row r="752" spans="25:62" ht="15" thickBot="1" x14ac:dyDescent="0.35">
      <c r="Y752" s="28"/>
      <c r="Z752" s="28"/>
      <c r="AA752" s="28"/>
      <c r="AB752" s="28"/>
      <c r="AC752" s="28"/>
      <c r="AD752" s="28"/>
      <c r="AE752" s="28"/>
      <c r="AF752" s="28"/>
      <c r="AG752" s="28"/>
      <c r="AH752" s="292"/>
      <c r="AI752" s="28"/>
      <c r="AJ752" s="28"/>
      <c r="AM752" s="28"/>
      <c r="AN752" s="28"/>
      <c r="AO752" s="28"/>
      <c r="AP752" s="28"/>
      <c r="AQ752" s="28"/>
      <c r="AR752" s="28"/>
      <c r="AS752" s="28"/>
      <c r="AT752" s="28"/>
      <c r="AU752" s="43"/>
      <c r="AV752" s="43"/>
      <c r="AW752" s="28"/>
      <c r="AX752" s="28"/>
      <c r="AY752" s="202"/>
      <c r="AZ752" s="48"/>
      <c r="BA752" s="48" t="s">
        <v>236</v>
      </c>
      <c r="BB752" s="48"/>
      <c r="BC752" s="300">
        <v>1672</v>
      </c>
      <c r="BD752" s="49"/>
      <c r="BE752" s="42"/>
      <c r="BF752" s="28"/>
      <c r="BG752" s="28" t="s">
        <v>236</v>
      </c>
      <c r="BH752" s="28"/>
      <c r="BI752" s="174">
        <v>8478</v>
      </c>
      <c r="BJ752" s="28"/>
    </row>
    <row r="753" spans="1:62" ht="15" thickBot="1" x14ac:dyDescent="0.35"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M753" s="28"/>
      <c r="AN753" s="28"/>
      <c r="AO753" s="28"/>
      <c r="AP753" s="28"/>
      <c r="AQ753" s="28"/>
      <c r="AR753" s="28"/>
      <c r="AS753" s="43"/>
      <c r="AT753" s="43"/>
      <c r="AU753" s="28"/>
      <c r="AV753" s="28"/>
      <c r="AW753" s="28"/>
      <c r="AX753" s="28"/>
      <c r="AY753" s="210" t="s">
        <v>238</v>
      </c>
      <c r="AZ753" s="170" t="s">
        <v>239</v>
      </c>
      <c r="BA753" s="172"/>
      <c r="BB753" s="171" t="s">
        <v>240</v>
      </c>
      <c r="BC753" s="170" t="s">
        <v>241</v>
      </c>
      <c r="BD753" s="170"/>
      <c r="BE753" s="171"/>
      <c r="BF753" s="170" t="s">
        <v>242</v>
      </c>
      <c r="BG753" s="305" t="s">
        <v>243</v>
      </c>
      <c r="BH753" s="170"/>
      <c r="BI753" s="172"/>
      <c r="BJ753" s="28"/>
    </row>
    <row r="754" spans="1:62" x14ac:dyDescent="0.3">
      <c r="Y754" s="28"/>
      <c r="Z754" s="28"/>
      <c r="AA754" s="28"/>
      <c r="AB754" s="28"/>
      <c r="AC754" s="28"/>
      <c r="AD754" s="28"/>
      <c r="AE754" s="28"/>
      <c r="AF754" s="28"/>
      <c r="AG754" s="28"/>
      <c r="AH754" s="292"/>
      <c r="AI754" s="28"/>
      <c r="AJ754" s="28"/>
      <c r="AM754" s="28"/>
      <c r="AN754" s="43"/>
      <c r="AO754" s="43"/>
      <c r="AP754" s="28"/>
      <c r="AQ754" s="43"/>
      <c r="AR754" s="28"/>
      <c r="AS754" s="43"/>
      <c r="AT754" s="43"/>
      <c r="AU754" s="28"/>
      <c r="AV754" s="28"/>
      <c r="AW754" s="28"/>
      <c r="AX754" s="28"/>
      <c r="AY754" s="200" t="s">
        <v>233</v>
      </c>
      <c r="AZ754" s="34"/>
      <c r="BA754" s="304">
        <v>39465</v>
      </c>
      <c r="BB754" s="306" t="s">
        <v>233</v>
      </c>
      <c r="BC754" s="28"/>
      <c r="BD754" s="174">
        <v>2502</v>
      </c>
      <c r="BE754" s="42" t="s">
        <v>233</v>
      </c>
      <c r="BF754" s="28"/>
      <c r="BG754" s="174">
        <v>11098</v>
      </c>
      <c r="BH754" s="28" t="s">
        <v>245</v>
      </c>
      <c r="BI754" s="174">
        <v>50563</v>
      </c>
      <c r="BJ754" s="28"/>
    </row>
    <row r="755" spans="1:62" ht="15" thickBot="1" x14ac:dyDescent="0.35">
      <c r="AM755" s="28"/>
      <c r="AN755" s="43"/>
      <c r="AO755" s="43"/>
      <c r="AP755" s="28"/>
      <c r="AQ755" s="43"/>
      <c r="AR755" s="28"/>
      <c r="AS755" s="43"/>
      <c r="AT755" s="43"/>
      <c r="AU755" s="28"/>
      <c r="AV755" s="43"/>
      <c r="AW755" s="43"/>
      <c r="AX755" s="28"/>
      <c r="AY755" s="202" t="s">
        <v>236</v>
      </c>
      <c r="AZ755" s="48"/>
      <c r="BA755" s="301">
        <v>45789</v>
      </c>
      <c r="BB755" s="307" t="s">
        <v>236</v>
      </c>
      <c r="BC755" s="48"/>
      <c r="BD755" s="301">
        <v>2449</v>
      </c>
      <c r="BE755" s="42" t="s">
        <v>236</v>
      </c>
      <c r="BF755" s="28"/>
      <c r="BG755" s="174">
        <v>10927</v>
      </c>
      <c r="BH755" s="28"/>
      <c r="BI755" s="174">
        <v>56716</v>
      </c>
      <c r="BJ755" s="140">
        <v>107279</v>
      </c>
    </row>
    <row r="756" spans="1:62" ht="15" thickBot="1" x14ac:dyDescent="0.35">
      <c r="Y756" s="28"/>
      <c r="Z756" s="28"/>
      <c r="AA756" s="28"/>
      <c r="AB756" s="43"/>
      <c r="AC756" s="43"/>
      <c r="AD756" s="43"/>
      <c r="AE756" s="28"/>
      <c r="AF756" s="28"/>
      <c r="AG756" s="28"/>
      <c r="AH756" s="43"/>
      <c r="AI756" s="28"/>
      <c r="AJ756" s="28"/>
      <c r="AM756" s="28"/>
      <c r="AN756" s="43"/>
      <c r="AO756" s="43"/>
      <c r="AP756" s="28"/>
      <c r="AQ756" s="43"/>
      <c r="AR756" s="28"/>
      <c r="AS756" s="43"/>
      <c r="AT756" s="43"/>
      <c r="AU756" s="28"/>
      <c r="AV756" s="43"/>
      <c r="AW756" s="43"/>
      <c r="AX756" s="28"/>
      <c r="AY756" s="377" t="s">
        <v>1505</v>
      </c>
      <c r="AZ756" s="170"/>
      <c r="BA756" s="272"/>
      <c r="BB756" s="271" t="s">
        <v>1506</v>
      </c>
      <c r="BC756" s="170"/>
      <c r="BD756" s="170"/>
      <c r="BE756" s="171"/>
      <c r="BF756" s="170" t="s">
        <v>1507</v>
      </c>
      <c r="BG756" s="170"/>
      <c r="BH756" s="170"/>
      <c r="BI756" s="308"/>
      <c r="BJ756" s="28"/>
    </row>
    <row r="757" spans="1:62" x14ac:dyDescent="0.3"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M757" s="28"/>
      <c r="AN757" s="43"/>
      <c r="AO757" s="43"/>
      <c r="AP757" s="28"/>
      <c r="AQ757" s="28"/>
      <c r="AR757" s="28"/>
      <c r="AS757" s="43"/>
      <c r="AT757" s="43"/>
      <c r="AU757" s="28"/>
      <c r="AV757" s="28"/>
      <c r="AW757" s="28"/>
      <c r="AX757" s="28"/>
      <c r="AY757" s="378" t="s">
        <v>43</v>
      </c>
      <c r="AZ757" s="34" t="s">
        <v>44</v>
      </c>
      <c r="BA757" s="309"/>
      <c r="BB757" s="123" t="s">
        <v>43</v>
      </c>
      <c r="BC757" s="123" t="s">
        <v>44</v>
      </c>
      <c r="BD757" s="35"/>
      <c r="BE757" s="34"/>
      <c r="BF757" s="298"/>
      <c r="BG757" s="298">
        <v>2893</v>
      </c>
      <c r="BH757" s="34"/>
      <c r="BI757" s="35"/>
      <c r="BJ757" s="28"/>
    </row>
    <row r="758" spans="1:62" ht="15" thickBot="1" x14ac:dyDescent="0.35">
      <c r="Y758" s="28"/>
      <c r="Z758" s="28"/>
      <c r="AA758" s="28"/>
      <c r="AB758" s="43"/>
      <c r="AC758" s="28"/>
      <c r="AD758" s="28"/>
      <c r="AE758" s="28"/>
      <c r="AF758" s="28"/>
      <c r="AG758" s="28"/>
      <c r="AH758" s="43"/>
      <c r="AI758" s="28"/>
      <c r="AJ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379">
        <v>270176</v>
      </c>
      <c r="AZ758" s="300">
        <v>113637</v>
      </c>
      <c r="BA758" s="311"/>
      <c r="BB758" s="312">
        <v>88510</v>
      </c>
      <c r="BC758" s="300">
        <v>27202</v>
      </c>
      <c r="BD758" s="49"/>
      <c r="BE758" s="48"/>
      <c r="BF758" s="48"/>
      <c r="BG758" s="48"/>
      <c r="BH758" s="48"/>
      <c r="BI758" s="49"/>
      <c r="BJ758" s="28"/>
    </row>
    <row r="759" spans="1:62" ht="21" x14ac:dyDescent="0.4">
      <c r="B759" s="261"/>
      <c r="C759" s="184"/>
      <c r="E759" s="329" t="s">
        <v>1873</v>
      </c>
      <c r="O759" s="261"/>
      <c r="P759" s="184"/>
      <c r="R759" s="329" t="s">
        <v>1873</v>
      </c>
      <c r="AA759" s="261"/>
      <c r="AB759" s="184"/>
      <c r="AD759" s="329" t="s">
        <v>1873</v>
      </c>
      <c r="AO759" s="261"/>
      <c r="AP759" s="184"/>
      <c r="AR759" s="329" t="s">
        <v>1873</v>
      </c>
      <c r="AY759" s="28" t="s">
        <v>6</v>
      </c>
      <c r="AZ759" s="28"/>
      <c r="BA759" s="261"/>
      <c r="BB759" s="184"/>
      <c r="BD759" s="329" t="s">
        <v>1873</v>
      </c>
      <c r="BH759" s="258"/>
      <c r="BI759" s="28"/>
      <c r="BJ759" s="28"/>
    </row>
    <row r="760" spans="1:62" x14ac:dyDescent="0.3">
      <c r="C760" t="s">
        <v>1443</v>
      </c>
      <c r="Q760" t="s">
        <v>1</v>
      </c>
      <c r="AC760" t="s">
        <v>1444</v>
      </c>
      <c r="AP760" s="408" t="s">
        <v>2119</v>
      </c>
      <c r="AQ760" s="408"/>
      <c r="AR760" s="408"/>
      <c r="AS760" s="408"/>
      <c r="BC760" t="s">
        <v>1445</v>
      </c>
      <c r="BF760" s="28"/>
      <c r="BG760" s="28"/>
      <c r="BH760" s="28"/>
      <c r="BI760" s="28"/>
      <c r="BJ760" s="28"/>
    </row>
    <row r="761" spans="1:62" x14ac:dyDescent="0.3">
      <c r="D761" t="s">
        <v>2</v>
      </c>
      <c r="Q761" s="408" t="s">
        <v>1286</v>
      </c>
      <c r="R761" s="408"/>
      <c r="S761" s="408"/>
      <c r="AC761" t="s">
        <v>9</v>
      </c>
      <c r="AQ761" s="408" t="s">
        <v>2120</v>
      </c>
      <c r="AR761" s="408"/>
      <c r="BD761" t="s">
        <v>2</v>
      </c>
      <c r="BF761" s="28"/>
      <c r="BG761" s="28"/>
      <c r="BH761" s="28"/>
      <c r="BI761" s="28"/>
      <c r="BJ761" s="28"/>
    </row>
    <row r="762" spans="1:62" x14ac:dyDescent="0.3">
      <c r="C762" t="s">
        <v>7</v>
      </c>
      <c r="P762" t="s">
        <v>1446</v>
      </c>
      <c r="AC762" t="s">
        <v>11</v>
      </c>
      <c r="AO762" s="408" t="s">
        <v>2073</v>
      </c>
      <c r="AP762" s="408"/>
      <c r="AQ762" s="408"/>
      <c r="AR762" s="408"/>
      <c r="AS762" s="408"/>
      <c r="AT762" s="408"/>
      <c r="BB762" t="s">
        <v>1451</v>
      </c>
      <c r="BF762" s="28"/>
      <c r="BG762" s="28"/>
      <c r="BH762" s="28"/>
      <c r="BI762" s="28"/>
      <c r="BJ762" s="28"/>
    </row>
    <row r="763" spans="1:62" x14ac:dyDescent="0.3">
      <c r="B763" s="408" t="s">
        <v>2166</v>
      </c>
      <c r="C763" s="408"/>
      <c r="D763" s="408"/>
      <c r="E763" s="408"/>
      <c r="F763" s="408"/>
      <c r="P763" s="408" t="s">
        <v>2167</v>
      </c>
      <c r="Q763" s="408"/>
      <c r="R763" s="408"/>
      <c r="S763" s="408"/>
      <c r="AC763" s="408" t="s">
        <v>2167</v>
      </c>
      <c r="AD763" s="408"/>
      <c r="AE763" s="408"/>
      <c r="AF763" s="408"/>
      <c r="AP763" s="408" t="s">
        <v>2167</v>
      </c>
      <c r="AQ763" s="408"/>
      <c r="AR763" s="408"/>
      <c r="AS763" s="408"/>
      <c r="AT763" s="408"/>
      <c r="BC763" s="408" t="s">
        <v>2167</v>
      </c>
      <c r="BD763" s="408"/>
      <c r="BE763" s="408"/>
      <c r="BF763" s="408"/>
      <c r="BJ763" s="28"/>
    </row>
    <row r="764" spans="1:62" ht="15" thickBot="1" x14ac:dyDescent="0.35">
      <c r="A764" s="344"/>
      <c r="B764" s="410" t="s">
        <v>2076</v>
      </c>
      <c r="C764" s="410"/>
      <c r="D764" s="410"/>
      <c r="E764" s="410"/>
      <c r="F764" s="410"/>
      <c r="G764" s="410"/>
      <c r="H764" s="344"/>
      <c r="I764" s="368" t="s">
        <v>949</v>
      </c>
      <c r="J764" s="344"/>
      <c r="N764" s="344"/>
      <c r="O764" s="410" t="s">
        <v>2076</v>
      </c>
      <c r="P764" s="410"/>
      <c r="Q764" s="410"/>
      <c r="R764" s="410"/>
      <c r="S764" s="410"/>
      <c r="T764" s="410"/>
      <c r="U764" s="410"/>
      <c r="V764" t="s">
        <v>15</v>
      </c>
      <c r="AA764" s="410" t="s">
        <v>2076</v>
      </c>
      <c r="AB764" s="410"/>
      <c r="AC764" s="410"/>
      <c r="AD764" s="410"/>
      <c r="AE764" s="410"/>
      <c r="AF764" s="410"/>
      <c r="AG764" s="410"/>
      <c r="AH764" s="410"/>
      <c r="AI764" s="28" t="s">
        <v>25</v>
      </c>
      <c r="AM764" s="328"/>
      <c r="AN764" s="328"/>
      <c r="AO764" s="328"/>
      <c r="AP764" s="328" t="s">
        <v>2076</v>
      </c>
      <c r="AQ764" s="328"/>
      <c r="AR764" s="328"/>
      <c r="AS764" s="328"/>
      <c r="AT764" s="328"/>
      <c r="AU764" s="328"/>
      <c r="AV764" s="194" t="s">
        <v>951</v>
      </c>
      <c r="AY764" s="344"/>
      <c r="AZ764" s="328"/>
      <c r="BA764" s="328"/>
      <c r="BB764" s="328"/>
      <c r="BC764" s="328" t="s">
        <v>2076</v>
      </c>
      <c r="BD764" s="328"/>
      <c r="BE764" s="328"/>
      <c r="BF764" s="328"/>
      <c r="BG764" s="328"/>
      <c r="BH764" s="328"/>
      <c r="BI764" s="369" t="s">
        <v>950</v>
      </c>
      <c r="BJ764" s="28"/>
    </row>
    <row r="765" spans="1:62" ht="15" thickBot="1" x14ac:dyDescent="0.35">
      <c r="A765" s="32" t="s">
        <v>17</v>
      </c>
      <c r="B765" s="34" t="s">
        <v>18</v>
      </c>
      <c r="C765" s="201"/>
      <c r="D765" s="34" t="s">
        <v>19</v>
      </c>
      <c r="E765" s="34"/>
      <c r="F765" s="34"/>
      <c r="G765" s="200"/>
      <c r="H765" s="33" t="s">
        <v>21</v>
      </c>
      <c r="I765" s="34"/>
      <c r="J765" s="35"/>
      <c r="M765" s="32" t="s">
        <v>17</v>
      </c>
      <c r="N765" s="33" t="s">
        <v>22</v>
      </c>
      <c r="O765" s="34"/>
      <c r="P765" s="34" t="s">
        <v>1452</v>
      </c>
      <c r="Q765" s="34" t="s">
        <v>1453</v>
      </c>
      <c r="R765" s="34"/>
      <c r="S765" s="34"/>
      <c r="T765" s="35"/>
      <c r="U765" s="33" t="s">
        <v>21</v>
      </c>
      <c r="V765" s="35"/>
      <c r="Y765" s="33" t="s">
        <v>34</v>
      </c>
      <c r="Z765" s="200" t="s">
        <v>35</v>
      </c>
      <c r="AA765" s="201"/>
      <c r="AB765" s="34" t="s">
        <v>1454</v>
      </c>
      <c r="AC765" s="34" t="s">
        <v>51</v>
      </c>
      <c r="AD765" s="34"/>
      <c r="AE765" s="200" t="s">
        <v>37</v>
      </c>
      <c r="AF765" s="201" t="s">
        <v>1288</v>
      </c>
      <c r="AG765" s="34" t="s">
        <v>30</v>
      </c>
      <c r="AH765" s="200" t="s">
        <v>38</v>
      </c>
      <c r="AI765" s="34"/>
      <c r="AJ765" s="35"/>
      <c r="AM765" s="134" t="s">
        <v>17</v>
      </c>
      <c r="AN765" s="134" t="s">
        <v>39</v>
      </c>
      <c r="AO765" s="136"/>
      <c r="AP765" s="134" t="s">
        <v>29</v>
      </c>
      <c r="AQ765" s="136" t="s">
        <v>30</v>
      </c>
      <c r="AR765" s="135" t="s">
        <v>40</v>
      </c>
      <c r="AS765" s="135"/>
      <c r="AT765" s="135"/>
      <c r="AU765" s="135"/>
      <c r="AV765" s="136"/>
      <c r="AY765" s="195" t="s">
        <v>17</v>
      </c>
      <c r="AZ765" s="134" t="s">
        <v>27</v>
      </c>
      <c r="BA765" s="135"/>
      <c r="BB765" s="134" t="s">
        <v>28</v>
      </c>
      <c r="BC765" s="135"/>
      <c r="BD765" s="136"/>
      <c r="BE765" s="134" t="s">
        <v>1459</v>
      </c>
      <c r="BF765" s="136"/>
      <c r="BG765" s="135" t="s">
        <v>31</v>
      </c>
      <c r="BH765" s="135"/>
      <c r="BI765" s="136"/>
      <c r="BJ765" s="28"/>
    </row>
    <row r="766" spans="1:62" ht="15" thickBot="1" x14ac:dyDescent="0.35">
      <c r="A766" s="41" t="s">
        <v>32</v>
      </c>
      <c r="B766" s="28"/>
      <c r="C766" s="141"/>
      <c r="D766" s="28"/>
      <c r="E766" s="28"/>
      <c r="F766" s="28"/>
      <c r="G766" s="138"/>
      <c r="H766" s="42" t="s">
        <v>33</v>
      </c>
      <c r="I766" s="28"/>
      <c r="J766" s="40"/>
      <c r="M766" s="41"/>
      <c r="N766" s="42" t="s">
        <v>1456</v>
      </c>
      <c r="O766" s="28"/>
      <c r="P766" s="28"/>
      <c r="Q766" s="28"/>
      <c r="R766" s="28"/>
      <c r="S766" s="28" t="s">
        <v>1457</v>
      </c>
      <c r="T766" s="40"/>
      <c r="U766" s="42" t="s">
        <v>33</v>
      </c>
      <c r="V766" s="40"/>
      <c r="Y766" s="47" t="s">
        <v>50</v>
      </c>
      <c r="Z766" s="202" t="s">
        <v>43</v>
      </c>
      <c r="AA766" s="48" t="s">
        <v>44</v>
      </c>
      <c r="AB766" s="169" t="s">
        <v>45</v>
      </c>
      <c r="AC766" s="48" t="s">
        <v>46</v>
      </c>
      <c r="AD766" s="48" t="s">
        <v>52</v>
      </c>
      <c r="AE766" s="202" t="s">
        <v>43</v>
      </c>
      <c r="AF766" s="203" t="s">
        <v>44</v>
      </c>
      <c r="AG766" s="48" t="s">
        <v>43</v>
      </c>
      <c r="AH766" s="202" t="s">
        <v>53</v>
      </c>
      <c r="AI766" s="48"/>
      <c r="AJ766" s="49"/>
      <c r="AM766" s="138" t="s">
        <v>42</v>
      </c>
      <c r="AN766" s="138" t="s">
        <v>43</v>
      </c>
      <c r="AO766" s="141" t="s">
        <v>44</v>
      </c>
      <c r="AP766" s="138" t="s">
        <v>43</v>
      </c>
      <c r="AQ766" s="141" t="s">
        <v>44</v>
      </c>
      <c r="AR766" s="28"/>
      <c r="AS766" s="28"/>
      <c r="AT766" s="28"/>
      <c r="AU766" s="28"/>
      <c r="AV766" s="141"/>
      <c r="AY766" s="196"/>
      <c r="AZ766" s="138"/>
      <c r="BA766" s="28"/>
      <c r="BB766" s="138"/>
      <c r="BC766" s="28"/>
      <c r="BD766" s="141"/>
      <c r="BE766" s="138"/>
      <c r="BF766" s="141"/>
      <c r="BG766" s="28" t="s">
        <v>41</v>
      </c>
      <c r="BH766" s="28"/>
      <c r="BI766" s="141"/>
      <c r="BJ766" s="28"/>
    </row>
    <row r="767" spans="1:62" ht="15" thickBot="1" x14ac:dyDescent="0.35">
      <c r="A767" s="46" t="s">
        <v>42</v>
      </c>
      <c r="B767" s="171" t="s">
        <v>43</v>
      </c>
      <c r="C767" s="172" t="s">
        <v>44</v>
      </c>
      <c r="D767" s="170" t="s">
        <v>45</v>
      </c>
      <c r="E767" s="170" t="s">
        <v>46</v>
      </c>
      <c r="F767" s="170" t="s">
        <v>47</v>
      </c>
      <c r="G767" s="254" t="s">
        <v>1460</v>
      </c>
      <c r="H767" s="47" t="s">
        <v>49</v>
      </c>
      <c r="I767" s="48"/>
      <c r="J767" s="49"/>
      <c r="M767" s="46" t="s">
        <v>50</v>
      </c>
      <c r="N767" s="47" t="s">
        <v>43</v>
      </c>
      <c r="O767" s="48" t="s">
        <v>44</v>
      </c>
      <c r="P767" s="171" t="s">
        <v>51</v>
      </c>
      <c r="Q767" s="170" t="s">
        <v>43</v>
      </c>
      <c r="R767" s="172" t="s">
        <v>44</v>
      </c>
      <c r="S767" s="48" t="s">
        <v>43</v>
      </c>
      <c r="T767" s="49" t="s">
        <v>44</v>
      </c>
      <c r="U767" s="47" t="s">
        <v>49</v>
      </c>
      <c r="V767" s="49"/>
      <c r="Y767" s="33"/>
      <c r="Z767" s="33"/>
      <c r="AA767" s="35"/>
      <c r="AB767" s="34"/>
      <c r="AC767" s="34"/>
      <c r="AD767" s="34"/>
      <c r="AE767" s="33"/>
      <c r="AF767" s="35"/>
      <c r="AG767" s="32"/>
      <c r="AH767" s="33" t="s">
        <v>62</v>
      </c>
      <c r="AI767" s="34"/>
      <c r="AJ767" s="35"/>
      <c r="AM767" s="134" t="s">
        <v>72</v>
      </c>
      <c r="AN767" s="134">
        <v>0</v>
      </c>
      <c r="AO767" s="136">
        <v>4</v>
      </c>
      <c r="AP767" s="134"/>
      <c r="AQ767" s="136"/>
      <c r="AR767" s="135"/>
      <c r="AS767" s="135" t="s">
        <v>91</v>
      </c>
      <c r="AT767" s="135"/>
      <c r="AU767" s="135"/>
      <c r="AV767" s="136"/>
      <c r="AY767" s="199" t="s">
        <v>42</v>
      </c>
      <c r="AZ767" s="142" t="s">
        <v>43</v>
      </c>
      <c r="BA767" s="143" t="s">
        <v>44</v>
      </c>
      <c r="BB767" s="142" t="s">
        <v>45</v>
      </c>
      <c r="BC767" s="143" t="s">
        <v>46</v>
      </c>
      <c r="BD767" s="146" t="s">
        <v>52</v>
      </c>
      <c r="BE767" s="142" t="s">
        <v>43</v>
      </c>
      <c r="BF767" s="146" t="s">
        <v>44</v>
      </c>
      <c r="BG767" s="143" t="s">
        <v>54</v>
      </c>
      <c r="BH767" s="143"/>
      <c r="BI767" s="146"/>
      <c r="BJ767" s="28"/>
    </row>
    <row r="768" spans="1:62" x14ac:dyDescent="0.3">
      <c r="A768" s="42"/>
      <c r="B768" s="138"/>
      <c r="C768" s="141"/>
      <c r="D768" s="138"/>
      <c r="E768" s="28"/>
      <c r="F768" s="28"/>
      <c r="G768" s="138"/>
      <c r="H768" s="33" t="s">
        <v>396</v>
      </c>
      <c r="I768" s="34"/>
      <c r="J768" s="35"/>
      <c r="M768" s="42"/>
      <c r="N768" s="138"/>
      <c r="O768" s="196"/>
      <c r="P768" s="138"/>
      <c r="Q768" s="196"/>
      <c r="R768" s="141"/>
      <c r="S768" s="138"/>
      <c r="T768" s="138"/>
      <c r="U768" s="33" t="s">
        <v>396</v>
      </c>
      <c r="V768" s="35"/>
      <c r="Y768" s="42"/>
      <c r="Z768" s="42"/>
      <c r="AA768" s="40"/>
      <c r="AB768" s="28"/>
      <c r="AC768" s="28"/>
      <c r="AD768" s="28"/>
      <c r="AE768" s="42"/>
      <c r="AF768" s="40"/>
      <c r="AG768" s="41"/>
      <c r="AH768" s="42"/>
      <c r="AI768" s="28"/>
      <c r="AJ768" s="40"/>
      <c r="AM768" s="138" t="s">
        <v>128</v>
      </c>
      <c r="AN768" s="138">
        <v>1</v>
      </c>
      <c r="AO768" s="141">
        <v>0</v>
      </c>
      <c r="AP768" s="138"/>
      <c r="AQ768" s="141"/>
      <c r="AR768" s="28"/>
      <c r="AS768" s="43">
        <v>81</v>
      </c>
      <c r="AT768" s="28" t="s">
        <v>1026</v>
      </c>
      <c r="AU768" s="43"/>
      <c r="AV768" s="141"/>
      <c r="AY768" s="195"/>
      <c r="AZ768" s="134"/>
      <c r="BA768" s="136"/>
      <c r="BB768" s="134"/>
      <c r="BC768" s="135"/>
      <c r="BD768" s="136"/>
      <c r="BE768" s="134"/>
      <c r="BF768" s="136"/>
      <c r="BG768" s="134" t="s">
        <v>58</v>
      </c>
      <c r="BH768" s="135"/>
      <c r="BI768" s="136"/>
    </row>
    <row r="769" spans="1:62" x14ac:dyDescent="0.3">
      <c r="A769" s="42" t="s">
        <v>59</v>
      </c>
      <c r="B769" s="212">
        <v>968</v>
      </c>
      <c r="C769" s="141">
        <v>583</v>
      </c>
      <c r="D769" s="138">
        <v>0</v>
      </c>
      <c r="E769" s="38">
        <v>0</v>
      </c>
      <c r="F769" s="43">
        <v>0</v>
      </c>
      <c r="G769" s="138">
        <v>1</v>
      </c>
      <c r="H769" s="42">
        <v>4</v>
      </c>
      <c r="I769" s="28" t="s">
        <v>61</v>
      </c>
      <c r="J769" s="40"/>
      <c r="M769" s="42" t="s">
        <v>59</v>
      </c>
      <c r="N769" s="138">
        <v>20686</v>
      </c>
      <c r="O769" s="196">
        <v>23715</v>
      </c>
      <c r="P769" s="138">
        <v>0</v>
      </c>
      <c r="Q769" s="196">
        <v>0</v>
      </c>
      <c r="R769" s="141">
        <v>0</v>
      </c>
      <c r="S769" s="138">
        <v>0</v>
      </c>
      <c r="T769" s="138">
        <v>0</v>
      </c>
      <c r="U769" s="42"/>
      <c r="V769" s="40"/>
      <c r="Y769" s="42" t="s">
        <v>59</v>
      </c>
      <c r="Z769" s="42">
        <v>2061</v>
      </c>
      <c r="AA769" s="40">
        <v>1838</v>
      </c>
      <c r="AB769" s="28">
        <v>0</v>
      </c>
      <c r="AC769" s="43">
        <v>0</v>
      </c>
      <c r="AD769" s="43">
        <v>0</v>
      </c>
      <c r="AE769" s="42">
        <v>0</v>
      </c>
      <c r="AF769" s="40">
        <v>0</v>
      </c>
      <c r="AG769" s="41">
        <v>0</v>
      </c>
      <c r="AH769" s="42">
        <v>8</v>
      </c>
      <c r="AI769" s="28" t="s">
        <v>66</v>
      </c>
      <c r="AJ769" s="40"/>
      <c r="AM769" s="138" t="s">
        <v>56</v>
      </c>
      <c r="AN769" s="138">
        <v>1169</v>
      </c>
      <c r="AO769" s="141">
        <v>1119</v>
      </c>
      <c r="AP769" s="138"/>
      <c r="AQ769" s="141"/>
      <c r="AR769" s="28"/>
      <c r="AS769" s="43">
        <v>2</v>
      </c>
      <c r="AT769" s="28" t="s">
        <v>1294</v>
      </c>
      <c r="AU769" s="43"/>
      <c r="AV769" s="141"/>
      <c r="AY769" s="196" t="s">
        <v>89</v>
      </c>
      <c r="AZ769" s="138">
        <v>5</v>
      </c>
      <c r="BA769" s="141">
        <v>1</v>
      </c>
      <c r="BB769" s="138">
        <v>0</v>
      </c>
      <c r="BC769" s="43">
        <v>0</v>
      </c>
      <c r="BD769" s="209">
        <v>0</v>
      </c>
      <c r="BE769" s="138">
        <v>0</v>
      </c>
      <c r="BF769" s="141">
        <v>0</v>
      </c>
      <c r="BG769" s="212">
        <v>5</v>
      </c>
      <c r="BH769" s="28" t="s">
        <v>65</v>
      </c>
      <c r="BI769" s="141"/>
    </row>
    <row r="770" spans="1:62" ht="15" thickBot="1" x14ac:dyDescent="0.35">
      <c r="A770" s="42" t="s">
        <v>6</v>
      </c>
      <c r="B770" s="142"/>
      <c r="C770" s="146"/>
      <c r="D770" s="138"/>
      <c r="E770" s="28"/>
      <c r="F770" s="28"/>
      <c r="G770" s="138"/>
      <c r="H770" s="42"/>
      <c r="I770" s="28"/>
      <c r="J770" s="40">
        <v>4</v>
      </c>
      <c r="M770" s="244"/>
      <c r="N770" s="142"/>
      <c r="O770" s="199"/>
      <c r="P770" s="142"/>
      <c r="Q770" s="199"/>
      <c r="R770" s="146"/>
      <c r="S770" s="142"/>
      <c r="T770" s="142"/>
      <c r="U770" s="244"/>
      <c r="V770" s="245"/>
      <c r="Y770" s="42"/>
      <c r="Z770" s="42"/>
      <c r="AA770" s="40"/>
      <c r="AB770" s="28">
        <v>0</v>
      </c>
      <c r="AC770" s="28">
        <v>0</v>
      </c>
      <c r="AD770" s="28">
        <v>0</v>
      </c>
      <c r="AE770" s="42">
        <v>0</v>
      </c>
      <c r="AF770" s="40">
        <v>0</v>
      </c>
      <c r="AG770" s="41">
        <v>0</v>
      </c>
      <c r="AH770" s="47"/>
      <c r="AI770" s="48"/>
      <c r="AJ770" s="49">
        <v>8</v>
      </c>
      <c r="AM770" s="142" t="s">
        <v>84</v>
      </c>
      <c r="AN770" s="142">
        <v>1170</v>
      </c>
      <c r="AO770" s="146">
        <v>1123</v>
      </c>
      <c r="AP770" s="142"/>
      <c r="AQ770" s="146"/>
      <c r="AR770" s="143"/>
      <c r="AS770" s="143">
        <v>7</v>
      </c>
      <c r="AT770" s="143" t="s">
        <v>145</v>
      </c>
      <c r="AU770" s="143"/>
      <c r="AV770" s="146">
        <v>90</v>
      </c>
      <c r="AY770" s="196" t="s">
        <v>64</v>
      </c>
      <c r="AZ770" s="138">
        <v>66</v>
      </c>
      <c r="BA770" s="141">
        <v>73</v>
      </c>
      <c r="BB770" s="138">
        <v>0</v>
      </c>
      <c r="BC770" s="43">
        <v>0</v>
      </c>
      <c r="BD770" s="209">
        <v>0</v>
      </c>
      <c r="BE770" s="138">
        <v>0</v>
      </c>
      <c r="BF770" s="141">
        <v>0</v>
      </c>
      <c r="BG770" s="138">
        <v>2</v>
      </c>
      <c r="BH770" s="28" t="s">
        <v>69</v>
      </c>
      <c r="BI770" s="141"/>
    </row>
    <row r="771" spans="1:62" x14ac:dyDescent="0.3">
      <c r="A771" s="278"/>
      <c r="B771" s="134"/>
      <c r="C771" s="135"/>
      <c r="D771" s="134"/>
      <c r="E771" s="135"/>
      <c r="F771" s="135"/>
      <c r="G771" s="134"/>
      <c r="H771" s="278" t="s">
        <v>2077</v>
      </c>
      <c r="I771" s="135"/>
      <c r="J771" s="279"/>
      <c r="M771" s="278"/>
      <c r="N771" s="134"/>
      <c r="O771" s="195"/>
      <c r="P771" s="134"/>
      <c r="Q771" s="195"/>
      <c r="R771" s="136"/>
      <c r="S771" s="134"/>
      <c r="T771" s="134"/>
      <c r="U771" s="278"/>
      <c r="V771" s="279"/>
      <c r="Y771" s="32" t="s">
        <v>211</v>
      </c>
      <c r="Z771" s="33">
        <v>62</v>
      </c>
      <c r="AA771" s="35">
        <v>0</v>
      </c>
      <c r="AB771" s="33">
        <v>0</v>
      </c>
      <c r="AC771" s="34"/>
      <c r="AD771" s="35"/>
      <c r="AE771" s="33"/>
      <c r="AF771" s="35"/>
      <c r="AG771" s="32"/>
      <c r="AH771" s="280" t="s">
        <v>1461</v>
      </c>
      <c r="AI771" s="384"/>
      <c r="AJ771" s="35"/>
      <c r="AM771" s="134"/>
      <c r="AN771" s="134"/>
      <c r="AO771" s="136"/>
      <c r="AP771" s="134"/>
      <c r="AQ771" s="136"/>
      <c r="AR771" s="135"/>
      <c r="AS771" s="135"/>
      <c r="AT771" s="135"/>
      <c r="AU771" s="135"/>
      <c r="AV771" s="136"/>
      <c r="AY771" s="211" t="s">
        <v>84</v>
      </c>
      <c r="AZ771" s="142">
        <v>71</v>
      </c>
      <c r="BA771" s="146">
        <v>74</v>
      </c>
      <c r="BB771" s="142">
        <v>0</v>
      </c>
      <c r="BC771" s="143">
        <v>0</v>
      </c>
      <c r="BD771" s="146">
        <v>0</v>
      </c>
      <c r="BE771" s="142">
        <v>0</v>
      </c>
      <c r="BF771" s="146">
        <v>0</v>
      </c>
      <c r="BG771" s="142">
        <v>2</v>
      </c>
      <c r="BH771" s="143" t="s">
        <v>1045</v>
      </c>
      <c r="BI771" s="146">
        <v>9</v>
      </c>
      <c r="BJ771" s="28"/>
    </row>
    <row r="772" spans="1:62" x14ac:dyDescent="0.3">
      <c r="A772" s="42" t="s">
        <v>74</v>
      </c>
      <c r="B772" s="138">
        <v>1776</v>
      </c>
      <c r="C772" s="28">
        <v>2444</v>
      </c>
      <c r="D772" s="138">
        <v>0</v>
      </c>
      <c r="E772" s="38">
        <v>0</v>
      </c>
      <c r="F772" s="43">
        <v>0</v>
      </c>
      <c r="G772" s="138">
        <v>1</v>
      </c>
      <c r="H772" s="42">
        <v>17</v>
      </c>
      <c r="I772" s="28" t="s">
        <v>436</v>
      </c>
      <c r="J772" s="40"/>
      <c r="M772" s="42"/>
      <c r="N772" s="138"/>
      <c r="O772" s="196"/>
      <c r="P772" s="138"/>
      <c r="Q772" s="196"/>
      <c r="R772" s="141"/>
      <c r="S772" s="138"/>
      <c r="T772" s="138"/>
      <c r="U772" s="42" t="s">
        <v>80</v>
      </c>
      <c r="V772" s="40"/>
      <c r="Y772" s="41" t="s">
        <v>99</v>
      </c>
      <c r="Z772" s="67">
        <v>22</v>
      </c>
      <c r="AA772" s="40">
        <v>0</v>
      </c>
      <c r="AB772" s="67">
        <v>0</v>
      </c>
      <c r="AC772" s="43">
        <v>0</v>
      </c>
      <c r="AD772" s="40">
        <v>0</v>
      </c>
      <c r="AE772" s="42">
        <v>0</v>
      </c>
      <c r="AF772" s="40">
        <v>0</v>
      </c>
      <c r="AG772" s="41">
        <v>0</v>
      </c>
      <c r="AH772" s="67">
        <v>2</v>
      </c>
      <c r="AI772" s="43" t="s">
        <v>359</v>
      </c>
      <c r="AJ772" s="40"/>
      <c r="AM772" s="138" t="s">
        <v>56</v>
      </c>
      <c r="AN772" s="138">
        <v>0</v>
      </c>
      <c r="AO772" s="141">
        <v>0</v>
      </c>
      <c r="AP772" s="138"/>
      <c r="AQ772" s="141"/>
      <c r="AR772" s="28"/>
      <c r="AS772" s="28" t="s">
        <v>110</v>
      </c>
      <c r="AT772" s="28" t="s">
        <v>111</v>
      </c>
      <c r="AU772" s="28" t="s">
        <v>112</v>
      </c>
      <c r="AV772" s="141"/>
      <c r="AY772" s="195"/>
      <c r="AZ772" s="135"/>
      <c r="BA772" s="136"/>
      <c r="BB772" s="240"/>
      <c r="BC772" s="241"/>
      <c r="BD772" s="242"/>
      <c r="BE772" s="134"/>
      <c r="BF772" s="136"/>
      <c r="BG772" s="135"/>
      <c r="BH772" s="135" t="s">
        <v>92</v>
      </c>
      <c r="BI772" s="136"/>
    </row>
    <row r="773" spans="1:62" x14ac:dyDescent="0.3">
      <c r="A773" s="42"/>
      <c r="B773" s="138"/>
      <c r="C773" s="28"/>
      <c r="D773" s="138"/>
      <c r="E773" s="28"/>
      <c r="F773" s="28"/>
      <c r="G773" s="138"/>
      <c r="H773" s="67"/>
      <c r="I773" s="43"/>
      <c r="J773" s="40"/>
      <c r="M773" s="42" t="s">
        <v>74</v>
      </c>
      <c r="N773" s="138">
        <v>8942</v>
      </c>
      <c r="O773" s="196">
        <v>6910</v>
      </c>
      <c r="P773" s="138">
        <v>0</v>
      </c>
      <c r="Q773" s="196">
        <v>0</v>
      </c>
      <c r="R773" s="141">
        <v>0</v>
      </c>
      <c r="S773" s="138">
        <v>0</v>
      </c>
      <c r="T773" s="138">
        <v>0</v>
      </c>
      <c r="U773" s="42"/>
      <c r="V773" s="40"/>
      <c r="Y773" s="41" t="s">
        <v>107</v>
      </c>
      <c r="Z773" s="42">
        <v>0</v>
      </c>
      <c r="AA773" s="40">
        <v>0</v>
      </c>
      <c r="AB773" s="42">
        <v>0</v>
      </c>
      <c r="AC773" s="28">
        <v>0</v>
      </c>
      <c r="AD773" s="56">
        <v>0</v>
      </c>
      <c r="AE773" s="67">
        <v>0</v>
      </c>
      <c r="AF773" s="56">
        <v>0</v>
      </c>
      <c r="AG773" s="68">
        <v>0</v>
      </c>
      <c r="AH773" s="67">
        <v>1</v>
      </c>
      <c r="AI773" s="43" t="s">
        <v>1299</v>
      </c>
      <c r="AJ773" s="40"/>
      <c r="AM773" s="138" t="s">
        <v>72</v>
      </c>
      <c r="AN773" s="138">
        <v>10</v>
      </c>
      <c r="AO773" s="141">
        <v>20</v>
      </c>
      <c r="AP773" s="138"/>
      <c r="AQ773" s="141"/>
      <c r="AR773" s="43"/>
      <c r="AS773" s="28"/>
      <c r="AT773" s="28"/>
      <c r="AU773" s="28"/>
      <c r="AV773" s="141"/>
      <c r="AY773" s="196"/>
      <c r="AZ773" s="28"/>
      <c r="BA773" s="141"/>
      <c r="BB773" s="138"/>
      <c r="BC773" s="43"/>
      <c r="BD773" s="141"/>
      <c r="BE773" s="138"/>
      <c r="BF773" s="141"/>
      <c r="BG773" s="43">
        <v>5</v>
      </c>
      <c r="BH773" s="43" t="s">
        <v>1297</v>
      </c>
      <c r="BI773" s="141"/>
    </row>
    <row r="774" spans="1:62" x14ac:dyDescent="0.3">
      <c r="A774" s="244"/>
      <c r="B774" s="142"/>
      <c r="C774" s="143"/>
      <c r="D774" s="142"/>
      <c r="E774" s="143"/>
      <c r="F774" s="143"/>
      <c r="G774" s="142"/>
      <c r="H774" s="244"/>
      <c r="I774" s="143"/>
      <c r="J774" s="245">
        <v>17</v>
      </c>
      <c r="M774" s="244"/>
      <c r="N774" s="142"/>
      <c r="O774" s="199"/>
      <c r="P774" s="142"/>
      <c r="Q774" s="199"/>
      <c r="R774" s="146"/>
      <c r="S774" s="142"/>
      <c r="T774" s="142"/>
      <c r="U774" s="244"/>
      <c r="V774" s="245"/>
      <c r="Y774" s="68" t="s">
        <v>108</v>
      </c>
      <c r="Z774" s="42">
        <v>0</v>
      </c>
      <c r="AA774" s="40">
        <v>0</v>
      </c>
      <c r="AB774" s="42">
        <v>0</v>
      </c>
      <c r="AC774" s="28">
        <v>33</v>
      </c>
      <c r="AD774" s="40">
        <v>0</v>
      </c>
      <c r="AE774" s="42">
        <v>0</v>
      </c>
      <c r="AF774" s="40">
        <v>0</v>
      </c>
      <c r="AG774" s="41">
        <v>0</v>
      </c>
      <c r="AH774" s="42"/>
      <c r="AI774" s="28"/>
      <c r="AJ774" s="40"/>
      <c r="AM774" s="138" t="s">
        <v>78</v>
      </c>
      <c r="AN774" s="138">
        <v>55</v>
      </c>
      <c r="AO774" s="141">
        <v>33</v>
      </c>
      <c r="AP774" s="138"/>
      <c r="AQ774" s="141"/>
      <c r="AR774" s="28"/>
      <c r="AS774" s="43"/>
      <c r="AT774" s="28"/>
      <c r="AU774" s="28"/>
      <c r="AV774" s="141"/>
      <c r="AY774" s="196"/>
      <c r="AZ774" s="28"/>
      <c r="BA774" s="141"/>
      <c r="BB774" s="212"/>
      <c r="BC774" s="43"/>
      <c r="BD774" s="209"/>
      <c r="BE774" s="212"/>
      <c r="BF774" s="141"/>
      <c r="BG774" s="43">
        <v>16</v>
      </c>
      <c r="BH774" s="43" t="s">
        <v>2168</v>
      </c>
      <c r="BI774" s="141"/>
      <c r="BJ774" s="28"/>
    </row>
    <row r="775" spans="1:62" ht="15" thickBot="1" x14ac:dyDescent="0.35">
      <c r="A775" s="278"/>
      <c r="B775" s="134"/>
      <c r="C775" s="135"/>
      <c r="D775" s="134"/>
      <c r="E775" s="135"/>
      <c r="F775" s="135"/>
      <c r="G775" s="134"/>
      <c r="H775" s="278" t="s">
        <v>87</v>
      </c>
      <c r="I775" s="135"/>
      <c r="J775" s="279"/>
      <c r="M775" s="278"/>
      <c r="N775" s="134"/>
      <c r="O775" s="195"/>
      <c r="P775" s="134"/>
      <c r="Q775" s="195"/>
      <c r="R775" s="136"/>
      <c r="S775" s="134"/>
      <c r="T775" s="134"/>
      <c r="U775" s="278" t="s">
        <v>6</v>
      </c>
      <c r="V775" s="279"/>
      <c r="Y775" s="62" t="s">
        <v>84</v>
      </c>
      <c r="Z775" s="47">
        <v>84</v>
      </c>
      <c r="AA775" s="49">
        <v>0</v>
      </c>
      <c r="AB775" s="47">
        <v>0</v>
      </c>
      <c r="AC775" s="48">
        <v>0</v>
      </c>
      <c r="AD775" s="49">
        <v>0</v>
      </c>
      <c r="AE775" s="47">
        <v>0</v>
      </c>
      <c r="AF775" s="49">
        <v>0</v>
      </c>
      <c r="AG775" s="46">
        <v>0</v>
      </c>
      <c r="AH775" s="47"/>
      <c r="AI775" s="51"/>
      <c r="AJ775" s="49">
        <v>3</v>
      </c>
      <c r="AM775" s="138" t="s">
        <v>67</v>
      </c>
      <c r="AN775" s="138">
        <v>81</v>
      </c>
      <c r="AO775" s="141">
        <v>68</v>
      </c>
      <c r="AP775" s="138"/>
      <c r="AQ775" s="141"/>
      <c r="AR775" s="28"/>
      <c r="AS775" s="28"/>
      <c r="AT775" s="28"/>
      <c r="AU775" s="28"/>
      <c r="AV775" s="141"/>
      <c r="AY775" s="196"/>
      <c r="AZ775" s="43"/>
      <c r="BA775" s="141"/>
      <c r="BB775" s="138"/>
      <c r="BC775" s="43"/>
      <c r="BD775" s="141"/>
      <c r="BE775" s="212"/>
      <c r="BF775" s="141"/>
      <c r="BG775" s="43"/>
      <c r="BH775" s="43"/>
      <c r="BI775" s="141"/>
    </row>
    <row r="776" spans="1:62" x14ac:dyDescent="0.3">
      <c r="A776" s="42" t="s">
        <v>93</v>
      </c>
      <c r="B776" s="138">
        <v>2290</v>
      </c>
      <c r="C776" s="28">
        <v>3646</v>
      </c>
      <c r="D776" s="138">
        <v>0</v>
      </c>
      <c r="E776" s="38">
        <v>0</v>
      </c>
      <c r="F776" s="43">
        <v>0</v>
      </c>
      <c r="G776" s="138">
        <v>1</v>
      </c>
      <c r="H776" s="67">
        <v>24</v>
      </c>
      <c r="I776" s="28" t="s">
        <v>101</v>
      </c>
      <c r="J776" s="40" t="s">
        <v>2169</v>
      </c>
      <c r="M776" s="42"/>
      <c r="N776" s="138"/>
      <c r="O776" s="196"/>
      <c r="P776" s="138"/>
      <c r="Q776" s="196"/>
      <c r="R776" s="141"/>
      <c r="S776" s="138"/>
      <c r="T776" s="138"/>
      <c r="U776" s="42"/>
      <c r="V776" s="40"/>
      <c r="Y776" s="32" t="s">
        <v>1095</v>
      </c>
      <c r="Z776" s="34">
        <v>23</v>
      </c>
      <c r="AA776" s="34">
        <v>0</v>
      </c>
      <c r="AB776" s="33">
        <v>0</v>
      </c>
      <c r="AC776" s="34">
        <v>0</v>
      </c>
      <c r="AD776" s="35">
        <v>0</v>
      </c>
      <c r="AE776" s="34">
        <v>0</v>
      </c>
      <c r="AF776" s="34">
        <v>0</v>
      </c>
      <c r="AG776" s="32">
        <v>0</v>
      </c>
      <c r="AH776" s="33" t="s">
        <v>1298</v>
      </c>
      <c r="AI776" s="34"/>
      <c r="AJ776" s="35"/>
      <c r="AM776" s="138" t="s">
        <v>1354</v>
      </c>
      <c r="AN776" s="138">
        <v>21</v>
      </c>
      <c r="AO776" s="141">
        <v>0</v>
      </c>
      <c r="AP776" s="138"/>
      <c r="AQ776" s="141"/>
      <c r="AR776" s="28"/>
      <c r="AS776" s="43">
        <v>31</v>
      </c>
      <c r="AT776" s="28" t="s">
        <v>123</v>
      </c>
      <c r="AU776" s="28" t="s">
        <v>6</v>
      </c>
      <c r="AV776" s="141"/>
      <c r="AY776" s="196"/>
      <c r="AZ776" s="28"/>
      <c r="BA776" s="141"/>
      <c r="BB776" s="138"/>
      <c r="BC776" s="43"/>
      <c r="BD776" s="141"/>
      <c r="BE776" s="43"/>
      <c r="BF776" s="141"/>
      <c r="BG776" s="28"/>
      <c r="BH776" s="28"/>
      <c r="BI776" s="141"/>
      <c r="BJ776" s="28"/>
    </row>
    <row r="777" spans="1:62" x14ac:dyDescent="0.3">
      <c r="A777" s="42"/>
      <c r="B777" s="138"/>
      <c r="C777" s="28"/>
      <c r="D777" s="138"/>
      <c r="E777" s="28"/>
      <c r="F777" s="28"/>
      <c r="G777" s="138"/>
      <c r="H777" s="67">
        <v>1</v>
      </c>
      <c r="I777" s="28" t="s">
        <v>528</v>
      </c>
      <c r="J777" s="40">
        <v>26</v>
      </c>
      <c r="M777" s="42"/>
      <c r="N777" s="138"/>
      <c r="O777" s="196"/>
      <c r="P777" s="138"/>
      <c r="Q777" s="196"/>
      <c r="R777" s="141"/>
      <c r="S777" s="138"/>
      <c r="T777" s="138"/>
      <c r="U777" s="42"/>
      <c r="V777" s="40"/>
      <c r="Y777" s="41" t="s">
        <v>107</v>
      </c>
      <c r="Z777">
        <v>141</v>
      </c>
      <c r="AA777">
        <v>196</v>
      </c>
      <c r="AB777" s="42"/>
      <c r="AC777" s="43">
        <v>0</v>
      </c>
      <c r="AD777" s="40"/>
      <c r="AE777" s="43">
        <v>0</v>
      </c>
      <c r="AF777" s="43">
        <v>0</v>
      </c>
      <c r="AG777" s="41">
        <v>0</v>
      </c>
      <c r="AH777" s="42">
        <v>6</v>
      </c>
      <c r="AI777" s="43" t="s">
        <v>145</v>
      </c>
      <c r="AJ777" s="40"/>
      <c r="AM777" s="138" t="s">
        <v>132</v>
      </c>
      <c r="AN777" s="138">
        <v>0</v>
      </c>
      <c r="AO777" s="141">
        <v>5</v>
      </c>
      <c r="AP777" s="138"/>
      <c r="AQ777" s="141"/>
      <c r="AR777" s="28"/>
      <c r="AS777" s="43">
        <v>43</v>
      </c>
      <c r="AT777" s="28" t="s">
        <v>126</v>
      </c>
      <c r="AU777" s="28"/>
      <c r="AV777" s="141"/>
      <c r="AY777" s="196" t="s">
        <v>99</v>
      </c>
      <c r="AZ777" s="43">
        <v>0</v>
      </c>
      <c r="BA777" s="141">
        <v>0</v>
      </c>
      <c r="BB777" s="138">
        <v>0</v>
      </c>
      <c r="BC777" s="43">
        <v>0</v>
      </c>
      <c r="BD777" s="141">
        <v>0</v>
      </c>
      <c r="BE777" s="43">
        <v>65490</v>
      </c>
      <c r="BF777" s="141">
        <v>21000</v>
      </c>
      <c r="BG777" s="43"/>
      <c r="BH777" s="43"/>
      <c r="BI777" s="141"/>
      <c r="BJ777" s="28"/>
    </row>
    <row r="778" spans="1:62" ht="15" thickBot="1" x14ac:dyDescent="0.35">
      <c r="A778" s="278" t="s">
        <v>108</v>
      </c>
      <c r="B778" s="134">
        <v>0</v>
      </c>
      <c r="C778" s="136">
        <v>0</v>
      </c>
      <c r="D778" s="135">
        <v>0</v>
      </c>
      <c r="E778" s="243">
        <v>0</v>
      </c>
      <c r="F778" s="135">
        <v>0</v>
      </c>
      <c r="G778" s="134">
        <v>1</v>
      </c>
      <c r="H778" s="278" t="s">
        <v>104</v>
      </c>
      <c r="I778" s="135"/>
      <c r="J778" s="279"/>
      <c r="M778" s="244"/>
      <c r="N778" s="142"/>
      <c r="O778" s="199"/>
      <c r="P778" s="142"/>
      <c r="Q778" s="199"/>
      <c r="R778" s="146"/>
      <c r="S778" s="142"/>
      <c r="T778" s="142"/>
      <c r="U778" s="244"/>
      <c r="V778" s="245"/>
      <c r="Y778" s="46" t="s">
        <v>84</v>
      </c>
      <c r="Z778" s="48">
        <v>164</v>
      </c>
      <c r="AA778" s="48">
        <v>196</v>
      </c>
      <c r="AB778" s="47">
        <v>0</v>
      </c>
      <c r="AC778" s="48">
        <v>0</v>
      </c>
      <c r="AD778" s="49">
        <v>0</v>
      </c>
      <c r="AE778" s="48">
        <v>0</v>
      </c>
      <c r="AF778" s="48">
        <v>0</v>
      </c>
      <c r="AG778" s="46">
        <v>0</v>
      </c>
      <c r="AH778" s="47">
        <v>2</v>
      </c>
      <c r="AI778" s="48" t="s">
        <v>141</v>
      </c>
      <c r="AJ778" s="49">
        <v>8</v>
      </c>
      <c r="AM778" s="138" t="s">
        <v>2100</v>
      </c>
      <c r="AN778" s="138">
        <v>60</v>
      </c>
      <c r="AO778" s="141">
        <v>74</v>
      </c>
      <c r="AP778" s="138"/>
      <c r="AQ778" s="141"/>
      <c r="AR778" s="28"/>
      <c r="AS778" s="43">
        <v>34</v>
      </c>
      <c r="AT778" s="28" t="s">
        <v>129</v>
      </c>
      <c r="AU778" s="28" t="s">
        <v>6</v>
      </c>
      <c r="AV778" s="141"/>
      <c r="AY778" s="239" t="s">
        <v>84</v>
      </c>
      <c r="AZ778" s="43">
        <v>0</v>
      </c>
      <c r="BA778" s="209">
        <v>0</v>
      </c>
      <c r="BB778" s="138">
        <v>0</v>
      </c>
      <c r="BC778" s="43">
        <v>0</v>
      </c>
      <c r="BD778" s="141">
        <v>0</v>
      </c>
      <c r="BE778" s="43">
        <v>65490</v>
      </c>
      <c r="BF778" s="209">
        <v>21000</v>
      </c>
      <c r="BG778" s="28"/>
      <c r="BH778" s="43"/>
      <c r="BI778" s="141">
        <v>21</v>
      </c>
      <c r="BJ778" s="28"/>
    </row>
    <row r="779" spans="1:62" x14ac:dyDescent="0.3">
      <c r="A779" s="42" t="s">
        <v>109</v>
      </c>
      <c r="B779" s="138">
        <v>1256</v>
      </c>
      <c r="C779" s="141">
        <v>1152</v>
      </c>
      <c r="D779" s="28">
        <v>0</v>
      </c>
      <c r="E779" s="343">
        <v>774</v>
      </c>
      <c r="F779" s="43">
        <v>0</v>
      </c>
      <c r="G779" s="138"/>
      <c r="H779" s="67">
        <v>8</v>
      </c>
      <c r="I779" s="28" t="s">
        <v>114</v>
      </c>
      <c r="J779" s="40"/>
      <c r="M779" s="278"/>
      <c r="N779" s="134"/>
      <c r="O779" s="195"/>
      <c r="P779" s="134"/>
      <c r="Q779" s="195"/>
      <c r="R779" s="136"/>
      <c r="S779" s="134"/>
      <c r="T779" s="134"/>
      <c r="U779" s="278" t="s">
        <v>104</v>
      </c>
      <c r="V779" s="279"/>
      <c r="Y779" s="42"/>
      <c r="Z779" s="33"/>
      <c r="AA779" s="35"/>
      <c r="AB779" s="33"/>
      <c r="AC779" s="34"/>
      <c r="AD779" s="35"/>
      <c r="AE779" s="33"/>
      <c r="AF779" s="35"/>
      <c r="AG779" s="43"/>
      <c r="AH779" s="33" t="s">
        <v>90</v>
      </c>
      <c r="AI779" s="34"/>
      <c r="AJ779" s="35"/>
      <c r="AM779" s="138" t="s">
        <v>81</v>
      </c>
      <c r="AN779" s="138">
        <v>6</v>
      </c>
      <c r="AO779" s="141">
        <v>19</v>
      </c>
      <c r="AP779" s="138"/>
      <c r="AQ779" s="141"/>
      <c r="AR779" s="28"/>
      <c r="AS779" s="28"/>
      <c r="AT779" s="28"/>
      <c r="AU779" s="28"/>
      <c r="AV779" s="141"/>
      <c r="AY779" s="233"/>
      <c r="AZ779" s="134"/>
      <c r="BA779" s="136"/>
      <c r="BB779" s="134"/>
      <c r="BC779" s="135"/>
      <c r="BD779" s="136"/>
      <c r="BE779" s="134"/>
      <c r="BF779" s="136"/>
      <c r="BG779" s="134"/>
      <c r="BH779" s="135" t="s">
        <v>91</v>
      </c>
      <c r="BI779" s="136"/>
      <c r="BJ779" s="28"/>
    </row>
    <row r="780" spans="1:62" x14ac:dyDescent="0.3">
      <c r="A780" s="42" t="s">
        <v>84</v>
      </c>
      <c r="B780" s="138">
        <v>1256</v>
      </c>
      <c r="C780" s="141">
        <v>1152</v>
      </c>
      <c r="D780" s="28">
        <v>0</v>
      </c>
      <c r="E780" s="343">
        <v>0</v>
      </c>
      <c r="F780" s="43">
        <v>0</v>
      </c>
      <c r="G780" s="138"/>
      <c r="H780" s="42"/>
      <c r="I780" s="28"/>
      <c r="J780" s="40"/>
      <c r="M780" s="42" t="s">
        <v>109</v>
      </c>
      <c r="N780" s="138">
        <v>0</v>
      </c>
      <c r="O780" s="196">
        <v>0</v>
      </c>
      <c r="P780" s="138">
        <v>0</v>
      </c>
      <c r="Q780" s="196">
        <v>0</v>
      </c>
      <c r="R780" s="141">
        <v>0</v>
      </c>
      <c r="S780" s="138">
        <v>0</v>
      </c>
      <c r="T780" s="138">
        <v>0</v>
      </c>
      <c r="U780" s="42"/>
      <c r="V780" s="40"/>
      <c r="Y780" s="42"/>
      <c r="Z780" s="42"/>
      <c r="AA780" s="40"/>
      <c r="AB780" s="42"/>
      <c r="AC780" s="43"/>
      <c r="AD780" s="40"/>
      <c r="AE780" s="42"/>
      <c r="AF780" s="40"/>
      <c r="AG780" s="43"/>
      <c r="AH780" s="67"/>
      <c r="AI780" s="28"/>
      <c r="AJ780" s="40"/>
      <c r="AM780" s="138" t="s">
        <v>1599</v>
      </c>
      <c r="AN780" s="138">
        <v>4</v>
      </c>
      <c r="AO780" s="141">
        <v>0</v>
      </c>
      <c r="AP780" s="138"/>
      <c r="AQ780" s="141"/>
      <c r="AR780" s="28"/>
      <c r="AS780" s="28"/>
      <c r="AT780" s="28"/>
      <c r="AU780" s="28"/>
      <c r="AV780" s="141" t="s">
        <v>6</v>
      </c>
      <c r="AY780" s="196"/>
      <c r="AZ780" s="212"/>
      <c r="BA780" s="141"/>
      <c r="BB780" s="138"/>
      <c r="BC780" s="43"/>
      <c r="BD780" s="141"/>
      <c r="BE780" s="138"/>
      <c r="BF780" s="209"/>
      <c r="BG780" s="212"/>
      <c r="BH780" s="43"/>
      <c r="BI780" s="141"/>
      <c r="BJ780" s="28"/>
    </row>
    <row r="781" spans="1:62" x14ac:dyDescent="0.3">
      <c r="A781" s="42"/>
      <c r="B781" s="138"/>
      <c r="C781" s="141"/>
      <c r="D781" s="28"/>
      <c r="E781" s="28"/>
      <c r="F781" s="28"/>
      <c r="G781" s="138"/>
      <c r="H781" s="42"/>
      <c r="I781" s="28"/>
      <c r="J781" s="40">
        <v>8</v>
      </c>
      <c r="M781" s="244"/>
      <c r="N781" s="142"/>
      <c r="O781" s="199"/>
      <c r="P781" s="142"/>
      <c r="Q781" s="199"/>
      <c r="R781" s="146"/>
      <c r="S781" s="142"/>
      <c r="T781" s="142"/>
      <c r="U781" s="244"/>
      <c r="V781" s="245"/>
      <c r="Y781" s="67" t="s">
        <v>89</v>
      </c>
      <c r="Z781" s="67">
        <v>46</v>
      </c>
      <c r="AA781" s="56">
        <v>42</v>
      </c>
      <c r="AB781" s="42">
        <v>0</v>
      </c>
      <c r="AC781" s="43">
        <v>0</v>
      </c>
      <c r="AD781" s="40">
        <v>0</v>
      </c>
      <c r="AE781" s="42">
        <v>0</v>
      </c>
      <c r="AF781" s="40">
        <v>0</v>
      </c>
      <c r="AG781" s="43">
        <v>0</v>
      </c>
      <c r="AH781" s="67">
        <v>1</v>
      </c>
      <c r="AI781" s="43" t="s">
        <v>145</v>
      </c>
      <c r="AJ781" s="40"/>
      <c r="AM781" s="138" t="s">
        <v>122</v>
      </c>
      <c r="AN781" s="138">
        <v>38</v>
      </c>
      <c r="AO781" s="141">
        <v>29</v>
      </c>
      <c r="AP781" s="138"/>
      <c r="AQ781" s="141"/>
      <c r="AR781" s="28"/>
      <c r="AS781" s="28"/>
      <c r="AT781" s="28"/>
      <c r="AU781" s="28"/>
      <c r="AV781" s="141"/>
      <c r="AY781" s="211"/>
      <c r="AZ781" s="212"/>
      <c r="BA781" s="209"/>
      <c r="BB781" s="138"/>
      <c r="BC781" s="43"/>
      <c r="BD781" s="141"/>
      <c r="BE781" s="138"/>
      <c r="BF781" s="209"/>
      <c r="BG781" s="138"/>
      <c r="BH781" s="43"/>
      <c r="BI781" s="141"/>
      <c r="BJ781" s="28"/>
    </row>
    <row r="782" spans="1:62" ht="15" thickBot="1" x14ac:dyDescent="0.35">
      <c r="A782" s="278"/>
      <c r="B782" s="134"/>
      <c r="C782" s="242"/>
      <c r="D782" s="135"/>
      <c r="E782" s="135"/>
      <c r="F782" s="135"/>
      <c r="G782" s="134"/>
      <c r="H782" s="278" t="s">
        <v>118</v>
      </c>
      <c r="I782" s="135"/>
      <c r="J782" s="279"/>
      <c r="M782" s="278" t="s">
        <v>93</v>
      </c>
      <c r="N782" s="134">
        <v>0</v>
      </c>
      <c r="O782" s="195">
        <v>0</v>
      </c>
      <c r="P782" s="134">
        <v>0</v>
      </c>
      <c r="Q782" s="195">
        <v>0</v>
      </c>
      <c r="R782" s="136">
        <v>0</v>
      </c>
      <c r="S782" s="134">
        <v>61</v>
      </c>
      <c r="T782" s="134">
        <v>0</v>
      </c>
      <c r="U782" s="278" t="s">
        <v>116</v>
      </c>
      <c r="V782" s="279"/>
      <c r="Y782" s="42" t="s">
        <v>84</v>
      </c>
      <c r="Z782" s="47">
        <v>46</v>
      </c>
      <c r="AA782" s="49">
        <v>42</v>
      </c>
      <c r="AB782" s="47">
        <v>0</v>
      </c>
      <c r="AC782" s="48">
        <v>0</v>
      </c>
      <c r="AD782" s="49">
        <v>0</v>
      </c>
      <c r="AE782" s="47">
        <v>0</v>
      </c>
      <c r="AF782" s="49">
        <v>0</v>
      </c>
      <c r="AG782" s="43">
        <v>0</v>
      </c>
      <c r="AH782" s="72"/>
      <c r="AI782" s="48"/>
      <c r="AJ782" s="49">
        <v>1</v>
      </c>
      <c r="AM782" s="138" t="s">
        <v>230</v>
      </c>
      <c r="AN782" s="138">
        <v>0</v>
      </c>
      <c r="AO782" s="141">
        <v>0</v>
      </c>
      <c r="AP782" s="138"/>
      <c r="AQ782" s="141"/>
      <c r="AR782" s="28"/>
      <c r="AS782" s="28"/>
      <c r="AT782" s="28"/>
      <c r="AU782" s="28"/>
      <c r="AV782" s="141"/>
      <c r="AY782" s="211"/>
      <c r="AZ782" s="212"/>
      <c r="BA782" s="141"/>
      <c r="BB782" s="138"/>
      <c r="BC782" s="43"/>
      <c r="BD782" s="141"/>
      <c r="BE782" s="138"/>
      <c r="BF782" s="209"/>
      <c r="BG782" s="212"/>
      <c r="BH782" s="28"/>
      <c r="BI782" s="141"/>
      <c r="BJ782" s="28"/>
    </row>
    <row r="783" spans="1:62" x14ac:dyDescent="0.3">
      <c r="A783" s="42" t="s">
        <v>785</v>
      </c>
      <c r="B783" s="138">
        <v>363</v>
      </c>
      <c r="C783" s="209">
        <v>409</v>
      </c>
      <c r="D783" s="28">
        <v>0</v>
      </c>
      <c r="E783" s="38">
        <v>0</v>
      </c>
      <c r="F783" s="43">
        <v>0</v>
      </c>
      <c r="G783" s="138">
        <v>1</v>
      </c>
      <c r="H783" s="42">
        <v>69</v>
      </c>
      <c r="I783" s="28" t="s">
        <v>101</v>
      </c>
      <c r="J783" s="40"/>
      <c r="M783" s="42" t="s">
        <v>99</v>
      </c>
      <c r="N783" s="138">
        <v>4906</v>
      </c>
      <c r="O783" s="196">
        <v>3955</v>
      </c>
      <c r="P783" s="138">
        <v>0</v>
      </c>
      <c r="Q783" s="196">
        <v>0</v>
      </c>
      <c r="R783" s="141">
        <v>0</v>
      </c>
      <c r="S783" s="138">
        <v>6338</v>
      </c>
      <c r="T783" s="138">
        <v>202</v>
      </c>
      <c r="U783" s="42"/>
      <c r="V783" s="40"/>
      <c r="Y783" s="32"/>
      <c r="Z783" s="28"/>
      <c r="AA783" s="28"/>
      <c r="AB783" s="33"/>
      <c r="AC783" s="34"/>
      <c r="AD783" s="35"/>
      <c r="AE783" s="67"/>
      <c r="AF783" s="56"/>
      <c r="AG783" s="32"/>
      <c r="AH783" s="34"/>
      <c r="AI783" s="34"/>
      <c r="AJ783" s="35"/>
      <c r="AM783" s="138" t="s">
        <v>63</v>
      </c>
      <c r="AN783" s="138">
        <v>39</v>
      </c>
      <c r="AO783" s="141">
        <v>30</v>
      </c>
      <c r="AP783" s="138"/>
      <c r="AQ783" s="141"/>
      <c r="AR783" s="28"/>
      <c r="AS783" s="28"/>
      <c r="AT783" s="28"/>
      <c r="AU783" s="28"/>
      <c r="AV783" s="141"/>
      <c r="AY783" s="211" t="s">
        <v>88</v>
      </c>
      <c r="AZ783" s="212">
        <v>224</v>
      </c>
      <c r="BA783" s="209">
        <v>371</v>
      </c>
      <c r="BB783" s="138">
        <v>0</v>
      </c>
      <c r="BC783" s="43">
        <v>0</v>
      </c>
      <c r="BD783" s="141">
        <v>0</v>
      </c>
      <c r="BE783" s="138">
        <v>0</v>
      </c>
      <c r="BF783" s="209">
        <v>0</v>
      </c>
      <c r="BG783" s="138">
        <v>43</v>
      </c>
      <c r="BH783" s="43" t="s">
        <v>1292</v>
      </c>
      <c r="BI783" s="141"/>
      <c r="BJ783" s="28"/>
    </row>
    <row r="784" spans="1:62" x14ac:dyDescent="0.3">
      <c r="A784" s="42" t="s">
        <v>93</v>
      </c>
      <c r="B784" s="212">
        <v>6080</v>
      </c>
      <c r="C784" s="209">
        <v>6678</v>
      </c>
      <c r="D784" s="28">
        <v>0</v>
      </c>
      <c r="E784" s="38">
        <v>0</v>
      </c>
      <c r="F784" s="43">
        <v>0</v>
      </c>
      <c r="G784" s="212"/>
      <c r="H784" s="42">
        <v>26</v>
      </c>
      <c r="I784" s="28" t="s">
        <v>927</v>
      </c>
      <c r="J784" s="40"/>
      <c r="M784" s="42" t="s">
        <v>120</v>
      </c>
      <c r="N784" s="138">
        <v>258</v>
      </c>
      <c r="O784" s="196">
        <v>15052</v>
      </c>
      <c r="P784" s="138">
        <v>0</v>
      </c>
      <c r="Q784" s="196">
        <v>0</v>
      </c>
      <c r="R784" s="141">
        <v>0</v>
      </c>
      <c r="S784" s="138">
        <v>0</v>
      </c>
      <c r="T784" s="138">
        <v>0</v>
      </c>
      <c r="U784" s="42"/>
      <c r="V784" s="40"/>
      <c r="Y784" s="41"/>
      <c r="Z784" s="43"/>
      <c r="AA784" s="43"/>
      <c r="AB784" s="42"/>
      <c r="AC784" s="43"/>
      <c r="AD784" s="40"/>
      <c r="AE784" s="67"/>
      <c r="AF784" s="56"/>
      <c r="AG784" s="41"/>
      <c r="AH784" s="28"/>
      <c r="AI784" s="28" t="s">
        <v>6</v>
      </c>
      <c r="AJ784" s="40"/>
      <c r="AM784" s="142" t="s">
        <v>84</v>
      </c>
      <c r="AN784" s="142">
        <v>314</v>
      </c>
      <c r="AO784" s="146">
        <v>278</v>
      </c>
      <c r="AP784" s="142"/>
      <c r="AQ784" s="146"/>
      <c r="AR784" s="143"/>
      <c r="AS784" s="143"/>
      <c r="AT784" s="143"/>
      <c r="AU784" s="143"/>
      <c r="AV784" s="146">
        <v>108</v>
      </c>
      <c r="AY784" s="211" t="s">
        <v>137</v>
      </c>
      <c r="AZ784" s="212">
        <v>1560</v>
      </c>
      <c r="BA784" s="209">
        <v>1664</v>
      </c>
      <c r="BB784" s="138">
        <v>0</v>
      </c>
      <c r="BC784" s="43">
        <v>0</v>
      </c>
      <c r="BD784" s="141">
        <v>0</v>
      </c>
      <c r="BE784" s="138">
        <v>0</v>
      </c>
      <c r="BF784" s="209">
        <v>0</v>
      </c>
      <c r="BG784" s="138">
        <v>63</v>
      </c>
      <c r="BH784" s="43" t="s">
        <v>436</v>
      </c>
      <c r="BI784" s="141"/>
      <c r="BJ784" s="28"/>
    </row>
    <row r="785" spans="1:62" x14ac:dyDescent="0.3">
      <c r="A785" s="42" t="s">
        <v>120</v>
      </c>
      <c r="B785" s="138">
        <v>4091</v>
      </c>
      <c r="C785" s="141">
        <v>4137</v>
      </c>
      <c r="D785" s="28">
        <v>0</v>
      </c>
      <c r="E785" s="38">
        <v>0</v>
      </c>
      <c r="F785" s="43">
        <v>0</v>
      </c>
      <c r="G785" s="138"/>
      <c r="H785" s="42">
        <v>24</v>
      </c>
      <c r="I785" s="28" t="s">
        <v>1306</v>
      </c>
      <c r="J785" s="40"/>
      <c r="M785" s="244" t="s">
        <v>84</v>
      </c>
      <c r="N785" s="142">
        <v>5164</v>
      </c>
      <c r="O785" s="199">
        <v>19007</v>
      </c>
      <c r="P785" s="142">
        <v>0</v>
      </c>
      <c r="Q785" s="199">
        <v>0</v>
      </c>
      <c r="R785" s="146">
        <v>0</v>
      </c>
      <c r="S785" s="142">
        <v>6399</v>
      </c>
      <c r="T785" s="142">
        <v>202</v>
      </c>
      <c r="U785" s="244"/>
      <c r="V785" s="245"/>
      <c r="Y785" s="41"/>
      <c r="Z785" s="43"/>
      <c r="AA785" s="43"/>
      <c r="AB785" s="42"/>
      <c r="AC785" s="43"/>
      <c r="AD785" s="40"/>
      <c r="AE785" s="67"/>
      <c r="AF785" s="56"/>
      <c r="AG785" s="41"/>
      <c r="AH785" s="43"/>
      <c r="AI785" s="43"/>
      <c r="AJ785" s="40"/>
      <c r="AM785" s="134"/>
      <c r="AN785" s="134"/>
      <c r="AO785" s="136"/>
      <c r="AP785" s="134"/>
      <c r="AQ785" s="136"/>
      <c r="AR785" s="135"/>
      <c r="AS785" s="135"/>
      <c r="AT785" s="135"/>
      <c r="AU785" s="135"/>
      <c r="AV785" s="136"/>
      <c r="AY785" s="211" t="s">
        <v>97</v>
      </c>
      <c r="AZ785" s="212">
        <v>2938</v>
      </c>
      <c r="BA785" s="209">
        <v>2818</v>
      </c>
      <c r="BB785" s="138">
        <v>0</v>
      </c>
      <c r="BC785" s="43">
        <v>0</v>
      </c>
      <c r="BD785" s="141">
        <v>0</v>
      </c>
      <c r="BE785" s="138">
        <v>0</v>
      </c>
      <c r="BF785" s="209">
        <v>0</v>
      </c>
      <c r="BG785" s="138">
        <v>2</v>
      </c>
      <c r="BH785" s="43" t="s">
        <v>1026</v>
      </c>
      <c r="BI785" s="141"/>
      <c r="BJ785" s="28"/>
    </row>
    <row r="786" spans="1:62" x14ac:dyDescent="0.3">
      <c r="A786" s="67" t="s">
        <v>429</v>
      </c>
      <c r="B786" s="212">
        <v>1622</v>
      </c>
      <c r="C786" s="209">
        <v>1718</v>
      </c>
      <c r="D786" s="43">
        <v>0</v>
      </c>
      <c r="E786" s="38">
        <v>0</v>
      </c>
      <c r="F786" s="43">
        <v>0</v>
      </c>
      <c r="G786" s="138"/>
      <c r="H786" s="42"/>
      <c r="I786" s="28"/>
      <c r="J786" s="40"/>
      <c r="M786" s="278"/>
      <c r="N786" s="134"/>
      <c r="O786" s="195"/>
      <c r="P786" s="134"/>
      <c r="Q786" s="195"/>
      <c r="R786" s="136"/>
      <c r="S786" s="134"/>
      <c r="T786" s="134"/>
      <c r="U786" s="278"/>
      <c r="V786" s="279"/>
      <c r="Y786" s="41"/>
      <c r="Z786" s="43"/>
      <c r="AA786" s="43"/>
      <c r="AB786" s="42"/>
      <c r="AC786" s="43"/>
      <c r="AD786" s="40"/>
      <c r="AE786" s="67"/>
      <c r="AF786" s="56"/>
      <c r="AG786" s="41"/>
      <c r="AH786" s="43"/>
      <c r="AI786" s="43"/>
      <c r="AJ786" s="40"/>
      <c r="AM786" s="138"/>
      <c r="AN786" s="138"/>
      <c r="AO786" s="141"/>
      <c r="AP786" s="138"/>
      <c r="AQ786" s="141"/>
      <c r="AR786" s="28"/>
      <c r="AS786" s="28"/>
      <c r="AT786" s="28"/>
      <c r="AU786" s="28"/>
      <c r="AV786" s="141"/>
      <c r="AY786" s="211" t="s">
        <v>113</v>
      </c>
      <c r="AZ786" s="212">
        <v>460</v>
      </c>
      <c r="BA786" s="209">
        <v>531</v>
      </c>
      <c r="BB786" s="212">
        <v>0</v>
      </c>
      <c r="BC786" s="43">
        <v>0</v>
      </c>
      <c r="BD786" s="209">
        <v>0</v>
      </c>
      <c r="BE786" s="212">
        <v>0</v>
      </c>
      <c r="BF786" s="209">
        <v>0</v>
      </c>
      <c r="BG786" s="138"/>
      <c r="BH786" s="43"/>
      <c r="BI786" s="141"/>
      <c r="BJ786" s="28"/>
    </row>
    <row r="787" spans="1:62" ht="15" thickBot="1" x14ac:dyDescent="0.35">
      <c r="A787" s="244" t="s">
        <v>84</v>
      </c>
      <c r="B787" s="142">
        <v>12156</v>
      </c>
      <c r="C787" s="146">
        <v>12942</v>
      </c>
      <c r="D787" s="143">
        <v>0</v>
      </c>
      <c r="E787" s="345">
        <v>0</v>
      </c>
      <c r="F787" s="143">
        <v>0</v>
      </c>
      <c r="G787" s="142"/>
      <c r="H787" s="244"/>
      <c r="I787" s="143"/>
      <c r="J787" s="245">
        <v>119</v>
      </c>
      <c r="M787" s="42" t="s">
        <v>105</v>
      </c>
      <c r="N787" s="138">
        <v>520</v>
      </c>
      <c r="O787" s="196">
        <v>0</v>
      </c>
      <c r="P787" s="138">
        <v>0</v>
      </c>
      <c r="Q787" s="196">
        <v>0</v>
      </c>
      <c r="R787" s="141">
        <v>0</v>
      </c>
      <c r="S787" s="138">
        <v>0</v>
      </c>
      <c r="T787" s="138">
        <v>0</v>
      </c>
      <c r="U787" s="42"/>
      <c r="V787" s="40"/>
      <c r="Y787" s="46"/>
      <c r="Z787" s="43"/>
      <c r="AA787" s="43"/>
      <c r="AB787" s="47"/>
      <c r="AC787" s="48"/>
      <c r="AD787" s="49"/>
      <c r="AE787" s="67"/>
      <c r="AF787" s="56"/>
      <c r="AG787" s="46"/>
      <c r="AH787" s="48"/>
      <c r="AI787" s="48"/>
      <c r="AJ787" s="49"/>
      <c r="AM787" s="138"/>
      <c r="AN787" s="138"/>
      <c r="AO787" s="141"/>
      <c r="AP787" s="138"/>
      <c r="AQ787" s="141"/>
      <c r="AR787" s="28"/>
      <c r="AS787" s="28"/>
      <c r="AT787" s="28"/>
      <c r="AU787" s="28"/>
      <c r="AV787" s="141"/>
      <c r="AY787" s="211" t="s">
        <v>817</v>
      </c>
      <c r="AZ787" s="212">
        <v>0</v>
      </c>
      <c r="BA787" s="209">
        <v>0</v>
      </c>
      <c r="BB787" s="138">
        <v>0</v>
      </c>
      <c r="BC787" s="43">
        <v>0</v>
      </c>
      <c r="BD787" s="141">
        <v>0</v>
      </c>
      <c r="BE787" s="138">
        <v>0</v>
      </c>
      <c r="BF787" s="141">
        <v>0</v>
      </c>
      <c r="BG787" s="138"/>
      <c r="BH787" s="28"/>
      <c r="BI787" s="141"/>
      <c r="BJ787" s="28"/>
    </row>
    <row r="788" spans="1:62" x14ac:dyDescent="0.3">
      <c r="A788" s="42" t="s">
        <v>93</v>
      </c>
      <c r="B788" s="138">
        <v>6716</v>
      </c>
      <c r="C788" s="209">
        <v>6048</v>
      </c>
      <c r="D788" s="138">
        <v>0</v>
      </c>
      <c r="E788" s="38">
        <v>0</v>
      </c>
      <c r="F788" s="43">
        <v>0</v>
      </c>
      <c r="G788" s="138">
        <v>1</v>
      </c>
      <c r="H788" s="42" t="s">
        <v>116</v>
      </c>
      <c r="I788" s="28"/>
      <c r="J788" s="40"/>
      <c r="M788" s="42" t="s">
        <v>99</v>
      </c>
      <c r="N788" s="138">
        <v>0</v>
      </c>
      <c r="O788" s="196">
        <v>0</v>
      </c>
      <c r="P788" s="138">
        <v>0</v>
      </c>
      <c r="Q788" s="196">
        <v>0</v>
      </c>
      <c r="R788" s="141">
        <v>0</v>
      </c>
      <c r="S788" s="138">
        <v>0</v>
      </c>
      <c r="T788" s="138">
        <v>0</v>
      </c>
      <c r="U788" s="42" t="s">
        <v>135</v>
      </c>
      <c r="V788" s="40"/>
      <c r="Y788" s="42"/>
      <c r="Z788" s="33"/>
      <c r="AA788" s="35"/>
      <c r="AB788" s="34"/>
      <c r="AC788" s="34"/>
      <c r="AD788" s="34"/>
      <c r="AE788" s="33"/>
      <c r="AF788" s="35"/>
      <c r="AG788" s="32"/>
      <c r="AH788" s="34"/>
      <c r="AI788" s="34"/>
      <c r="AJ788" s="35"/>
      <c r="AM788" s="138"/>
      <c r="AN788" s="138"/>
      <c r="AO788" s="141"/>
      <c r="AP788" s="138"/>
      <c r="AQ788" s="141"/>
      <c r="AR788" s="28"/>
      <c r="AS788" s="28"/>
      <c r="AT788" s="28"/>
      <c r="AU788" s="28"/>
      <c r="AV788" s="141"/>
      <c r="AY788" s="211" t="s">
        <v>89</v>
      </c>
      <c r="AZ788" s="138">
        <v>2222</v>
      </c>
      <c r="BA788" s="141">
        <v>1962</v>
      </c>
      <c r="BB788" s="138">
        <v>0</v>
      </c>
      <c r="BC788" s="43">
        <v>0</v>
      </c>
      <c r="BD788" s="141">
        <v>0</v>
      </c>
      <c r="BE788" s="138">
        <v>0</v>
      </c>
      <c r="BF788" s="141">
        <v>0</v>
      </c>
      <c r="BG788" s="138"/>
      <c r="BH788" s="28"/>
      <c r="BI788" s="141"/>
      <c r="BJ788" s="28"/>
    </row>
    <row r="789" spans="1:62" ht="15" thickBot="1" x14ac:dyDescent="0.35">
      <c r="A789" s="42" t="s">
        <v>99</v>
      </c>
      <c r="B789" s="138">
        <v>7210</v>
      </c>
      <c r="C789" s="209">
        <v>7693</v>
      </c>
      <c r="D789" s="138">
        <v>0</v>
      </c>
      <c r="E789" s="38">
        <v>0</v>
      </c>
      <c r="F789" s="43">
        <v>0</v>
      </c>
      <c r="G789" s="138"/>
      <c r="H789" s="67">
        <v>148</v>
      </c>
      <c r="I789" s="28" t="s">
        <v>188</v>
      </c>
      <c r="J789" s="40"/>
      <c r="M789" s="42"/>
      <c r="N789" s="138"/>
      <c r="O789" s="196"/>
      <c r="P789" s="138"/>
      <c r="Q789" s="196"/>
      <c r="R789" s="141"/>
      <c r="S789" s="138"/>
      <c r="T789" s="138"/>
      <c r="U789" s="42"/>
      <c r="V789" s="40"/>
      <c r="Y789" s="47"/>
      <c r="Z789" s="47"/>
      <c r="AA789" s="49"/>
      <c r="AB789" s="48"/>
      <c r="AC789" s="48"/>
      <c r="AD789" s="48"/>
      <c r="AE789" s="47"/>
      <c r="AF789" s="49"/>
      <c r="AG789" s="46"/>
      <c r="AH789" s="48"/>
      <c r="AI789" s="48"/>
      <c r="AJ789" s="49"/>
      <c r="AM789" s="142"/>
      <c r="AN789" s="142"/>
      <c r="AO789" s="146"/>
      <c r="AP789" s="142"/>
      <c r="AQ789" s="146"/>
      <c r="AR789" s="143"/>
      <c r="AS789" s="143"/>
      <c r="AT789" s="143"/>
      <c r="AU789" s="143"/>
      <c r="AV789" s="146"/>
      <c r="AY789" s="211" t="s">
        <v>108</v>
      </c>
      <c r="AZ789" s="142">
        <v>0</v>
      </c>
      <c r="BA789" s="146">
        <v>0</v>
      </c>
      <c r="BB789" s="142">
        <v>0</v>
      </c>
      <c r="BC789" s="224">
        <v>0</v>
      </c>
      <c r="BD789" s="251">
        <v>0</v>
      </c>
      <c r="BE789" s="142">
        <v>0</v>
      </c>
      <c r="BF789" s="146">
        <v>0</v>
      </c>
      <c r="BG789" s="142"/>
      <c r="BH789" s="143"/>
      <c r="BI789" s="146"/>
      <c r="BJ789" s="28"/>
    </row>
    <row r="790" spans="1:62" x14ac:dyDescent="0.3">
      <c r="A790" s="42" t="s">
        <v>120</v>
      </c>
      <c r="B790" s="138">
        <v>3252</v>
      </c>
      <c r="C790" s="209">
        <v>3194</v>
      </c>
      <c r="D790" s="138">
        <v>0</v>
      </c>
      <c r="E790" s="38">
        <v>0</v>
      </c>
      <c r="F790" s="43">
        <v>0</v>
      </c>
      <c r="G790" s="138"/>
      <c r="H790" s="67"/>
      <c r="I790" s="28"/>
      <c r="J790" s="40"/>
      <c r="M790" s="244" t="s">
        <v>84</v>
      </c>
      <c r="N790" s="142">
        <v>520</v>
      </c>
      <c r="O790" s="199">
        <v>0</v>
      </c>
      <c r="P790" s="142">
        <v>0</v>
      </c>
      <c r="Q790" s="199">
        <v>0</v>
      </c>
      <c r="R790" s="146">
        <v>0</v>
      </c>
      <c r="S790" s="142">
        <v>0</v>
      </c>
      <c r="T790" s="142">
        <v>0</v>
      </c>
      <c r="U790" s="244"/>
      <c r="V790" s="245"/>
      <c r="Y790" s="33"/>
      <c r="Z790" s="33"/>
      <c r="AA790" s="35"/>
      <c r="AB790" s="34"/>
      <c r="AC790" s="34"/>
      <c r="AD790" s="34"/>
      <c r="AE790" s="33"/>
      <c r="AF790" s="35"/>
      <c r="AG790" s="32"/>
      <c r="AH790" s="34"/>
      <c r="AI790" s="34"/>
      <c r="AJ790" s="35"/>
      <c r="AM790" s="134"/>
      <c r="AN790" s="134"/>
      <c r="AO790" s="136"/>
      <c r="AP790" s="134"/>
      <c r="AQ790" s="136"/>
      <c r="AR790" s="134"/>
      <c r="AS790" s="135" t="s">
        <v>140</v>
      </c>
      <c r="AT790" s="135"/>
      <c r="AU790" s="135"/>
      <c r="AV790" s="136"/>
      <c r="AY790" s="247" t="s">
        <v>84</v>
      </c>
      <c r="AZ790" s="247">
        <v>7404</v>
      </c>
      <c r="BA790" s="248">
        <v>7346</v>
      </c>
      <c r="BB790" s="197">
        <v>0</v>
      </c>
      <c r="BC790" s="198">
        <v>0</v>
      </c>
      <c r="BD790" s="249">
        <v>0</v>
      </c>
      <c r="BE790" s="197">
        <v>0</v>
      </c>
      <c r="BF790" s="249">
        <v>0</v>
      </c>
      <c r="BG790" s="197"/>
      <c r="BH790" s="198"/>
      <c r="BI790" s="249">
        <v>108</v>
      </c>
      <c r="BJ790" s="28"/>
    </row>
    <row r="791" spans="1:62" x14ac:dyDescent="0.3">
      <c r="A791" s="42"/>
      <c r="B791" s="138"/>
      <c r="C791" s="28"/>
      <c r="D791" s="138">
        <v>0</v>
      </c>
      <c r="E791" s="38">
        <v>0</v>
      </c>
      <c r="F791" s="43">
        <v>0</v>
      </c>
      <c r="G791" s="138"/>
      <c r="H791" s="67"/>
      <c r="I791" s="28"/>
      <c r="J791" s="40"/>
      <c r="M791" s="42"/>
      <c r="N791" s="138"/>
      <c r="O791" s="196"/>
      <c r="P791" s="138"/>
      <c r="Q791" s="196"/>
      <c r="R791" s="141"/>
      <c r="S791" s="138"/>
      <c r="T791" s="138"/>
      <c r="U791" s="42"/>
      <c r="V791" s="40"/>
      <c r="Y791" s="42"/>
      <c r="Z791" s="42"/>
      <c r="AA791" s="40"/>
      <c r="AB791" s="43"/>
      <c r="AC791" s="43"/>
      <c r="AD791" s="43"/>
      <c r="AE791" s="42"/>
      <c r="AF791" s="40"/>
      <c r="AG791" s="41"/>
      <c r="AH791" s="28" t="s">
        <v>953</v>
      </c>
      <c r="AI791" s="28"/>
      <c r="AJ791" s="40"/>
      <c r="AM791" s="138" t="s">
        <v>56</v>
      </c>
      <c r="AN791" s="212">
        <v>5</v>
      </c>
      <c r="AO791" s="141">
        <v>14</v>
      </c>
      <c r="AP791" s="138"/>
      <c r="AQ791" s="141"/>
      <c r="AR791" s="138"/>
      <c r="AS791" s="43" t="s">
        <v>2170</v>
      </c>
      <c r="AT791" s="43" t="s">
        <v>2171</v>
      </c>
      <c r="AU791" s="43"/>
      <c r="AV791" s="141"/>
      <c r="AY791" s="195"/>
      <c r="AZ791" s="134"/>
      <c r="BA791" s="136"/>
      <c r="BB791" s="134"/>
      <c r="BC791" s="135"/>
      <c r="BD791" s="136"/>
      <c r="BE791" s="134"/>
      <c r="BF791" s="136"/>
      <c r="BG791" s="134" t="s">
        <v>1025</v>
      </c>
      <c r="BH791" s="135"/>
      <c r="BI791" s="136"/>
      <c r="BJ791" s="28"/>
    </row>
    <row r="792" spans="1:62" x14ac:dyDescent="0.3">
      <c r="A792" s="244" t="s">
        <v>84</v>
      </c>
      <c r="B792" s="142">
        <v>17178</v>
      </c>
      <c r="C792" s="143">
        <v>16935</v>
      </c>
      <c r="D792" s="142"/>
      <c r="E792" s="143"/>
      <c r="F792" s="143"/>
      <c r="G792" s="142"/>
      <c r="H792" s="244"/>
      <c r="I792" s="143"/>
      <c r="J792" s="245">
        <v>148</v>
      </c>
      <c r="M792" s="42"/>
      <c r="N792" s="138"/>
      <c r="O792" s="196"/>
      <c r="P792" s="138"/>
      <c r="Q792" s="196"/>
      <c r="R792" s="141"/>
      <c r="S792" s="138"/>
      <c r="T792" s="138"/>
      <c r="U792" s="42"/>
      <c r="V792" s="40"/>
      <c r="Y792" s="42"/>
      <c r="Z792" s="42"/>
      <c r="AA792" s="40"/>
      <c r="AB792" s="43"/>
      <c r="AC792" s="43"/>
      <c r="AD792" s="43"/>
      <c r="AE792" s="42"/>
      <c r="AF792" s="40"/>
      <c r="AG792" s="41"/>
      <c r="AH792" s="43">
        <v>9</v>
      </c>
      <c r="AI792" s="28" t="s">
        <v>141</v>
      </c>
      <c r="AJ792" s="40"/>
      <c r="AM792" s="138" t="s">
        <v>72</v>
      </c>
      <c r="AN792" s="212">
        <v>53</v>
      </c>
      <c r="AO792" s="141">
        <v>44</v>
      </c>
      <c r="AP792" s="138"/>
      <c r="AQ792" s="141"/>
      <c r="AR792" s="138"/>
      <c r="AS792" s="43" t="s">
        <v>1056</v>
      </c>
      <c r="AT792" s="43" t="s">
        <v>666</v>
      </c>
      <c r="AU792" s="43"/>
      <c r="AV792" s="141"/>
      <c r="AY792" s="196" t="s">
        <v>64</v>
      </c>
      <c r="AZ792" s="138">
        <v>57</v>
      </c>
      <c r="BA792" s="141">
        <v>66</v>
      </c>
      <c r="BB792" s="138">
        <v>0</v>
      </c>
      <c r="BC792" s="43">
        <v>0</v>
      </c>
      <c r="BD792" s="209">
        <v>0</v>
      </c>
      <c r="BE792" s="138">
        <v>0</v>
      </c>
      <c r="BF792" s="141">
        <v>0</v>
      </c>
      <c r="BG792" s="138">
        <v>7</v>
      </c>
      <c r="BH792" s="28" t="s">
        <v>1026</v>
      </c>
      <c r="BI792" s="141"/>
      <c r="BJ792" s="28"/>
    </row>
    <row r="793" spans="1:62" x14ac:dyDescent="0.3">
      <c r="A793" s="278" t="s">
        <v>105</v>
      </c>
      <c r="B793" s="134">
        <v>885</v>
      </c>
      <c r="C793" s="135">
        <v>1022</v>
      </c>
      <c r="D793" s="134">
        <v>0</v>
      </c>
      <c r="E793" s="243">
        <v>791</v>
      </c>
      <c r="F793" s="135">
        <v>0</v>
      </c>
      <c r="G793" s="134">
        <v>1</v>
      </c>
      <c r="H793" s="278" t="s">
        <v>162</v>
      </c>
      <c r="I793" s="135"/>
      <c r="J793" s="279"/>
      <c r="M793" s="42"/>
      <c r="N793" s="138"/>
      <c r="O793" s="196"/>
      <c r="P793" s="138"/>
      <c r="Q793" s="196"/>
      <c r="R793" s="141"/>
      <c r="S793" s="138"/>
      <c r="T793" s="138"/>
      <c r="U793" s="42"/>
      <c r="V793" s="40"/>
      <c r="Y793" s="42" t="s">
        <v>89</v>
      </c>
      <c r="Z793" s="42">
        <v>502</v>
      </c>
      <c r="AA793" s="40">
        <v>487</v>
      </c>
      <c r="AB793" s="43">
        <v>0</v>
      </c>
      <c r="AC793" s="43">
        <v>0</v>
      </c>
      <c r="AD793" s="43">
        <v>0</v>
      </c>
      <c r="AE793" s="42">
        <v>0</v>
      </c>
      <c r="AF793" s="40">
        <v>0</v>
      </c>
      <c r="AG793" s="41">
        <v>0</v>
      </c>
      <c r="AH793" s="43"/>
      <c r="AI793" s="43"/>
      <c r="AJ793" s="40"/>
      <c r="AM793" s="138" t="s">
        <v>78</v>
      </c>
      <c r="AN793" s="212">
        <v>67</v>
      </c>
      <c r="AO793" s="141">
        <v>68</v>
      </c>
      <c r="AP793" s="138"/>
      <c r="AQ793" s="141"/>
      <c r="AR793" s="138"/>
      <c r="AS793" s="43" t="s">
        <v>2172</v>
      </c>
      <c r="AT793" s="43" t="s">
        <v>378</v>
      </c>
      <c r="AU793" s="43"/>
      <c r="AV793" s="141"/>
      <c r="AY793" s="239" t="s">
        <v>84</v>
      </c>
      <c r="AZ793" s="142">
        <v>57</v>
      </c>
      <c r="BA793" s="146">
        <v>66</v>
      </c>
      <c r="BB793" s="142">
        <v>0</v>
      </c>
      <c r="BC793" s="143">
        <v>0</v>
      </c>
      <c r="BD793" s="146">
        <v>0</v>
      </c>
      <c r="BE793" s="142">
        <v>0</v>
      </c>
      <c r="BF793" s="146">
        <v>0</v>
      </c>
      <c r="BG793" s="142"/>
      <c r="BH793" s="143"/>
      <c r="BI793" s="146">
        <v>7</v>
      </c>
      <c r="BJ793" s="28"/>
    </row>
    <row r="794" spans="1:62" ht="15" thickBot="1" x14ac:dyDescent="0.35">
      <c r="A794" s="42" t="s">
        <v>99</v>
      </c>
      <c r="B794" s="138">
        <v>286</v>
      </c>
      <c r="C794" s="43">
        <v>183</v>
      </c>
      <c r="D794" s="138">
        <v>0</v>
      </c>
      <c r="E794" s="343">
        <v>1357</v>
      </c>
      <c r="F794" s="43">
        <v>0</v>
      </c>
      <c r="G794" s="138"/>
      <c r="H794" s="42"/>
      <c r="I794" s="28"/>
      <c r="J794" s="40"/>
      <c r="M794" s="42"/>
      <c r="N794" s="138"/>
      <c r="O794" s="196"/>
      <c r="P794" s="138"/>
      <c r="Q794" s="196"/>
      <c r="R794" s="141"/>
      <c r="S794" s="138"/>
      <c r="T794" s="138"/>
      <c r="U794" s="42"/>
      <c r="V794" s="40"/>
      <c r="Y794" s="47" t="s">
        <v>84</v>
      </c>
      <c r="Z794" s="72">
        <v>502</v>
      </c>
      <c r="AA794" s="49">
        <v>487</v>
      </c>
      <c r="AB794" s="51">
        <v>0</v>
      </c>
      <c r="AC794" s="48">
        <v>0</v>
      </c>
      <c r="AD794" s="48">
        <v>0</v>
      </c>
      <c r="AE794" s="47">
        <v>0</v>
      </c>
      <c r="AF794" s="49">
        <v>0</v>
      </c>
      <c r="AG794" s="46">
        <v>0</v>
      </c>
      <c r="AH794" s="48"/>
      <c r="AI794" s="48"/>
      <c r="AJ794" s="49">
        <v>9</v>
      </c>
      <c r="AM794" s="138" t="s">
        <v>67</v>
      </c>
      <c r="AN794" s="212">
        <v>33</v>
      </c>
      <c r="AO794" s="141">
        <v>37</v>
      </c>
      <c r="AP794" s="138"/>
      <c r="AQ794" s="141"/>
      <c r="AR794" s="138"/>
      <c r="AS794" s="43" t="s">
        <v>1405</v>
      </c>
      <c r="AT794" s="43" t="s">
        <v>333</v>
      </c>
      <c r="AU794" s="43"/>
      <c r="AV794" s="141"/>
      <c r="AY794" s="138" t="s">
        <v>133</v>
      </c>
      <c r="AZ794" s="134">
        <v>0</v>
      </c>
      <c r="BA794" s="135">
        <v>0</v>
      </c>
      <c r="BB794" s="134">
        <v>0</v>
      </c>
      <c r="BC794" s="135">
        <v>0</v>
      </c>
      <c r="BD794" s="136">
        <v>0</v>
      </c>
      <c r="BE794" s="28">
        <v>0</v>
      </c>
      <c r="BF794" s="141">
        <v>0</v>
      </c>
      <c r="BG794" s="28" t="s">
        <v>994</v>
      </c>
      <c r="BH794" s="28"/>
      <c r="BI794" s="141"/>
      <c r="BJ794" s="28"/>
    </row>
    <row r="795" spans="1:62" x14ac:dyDescent="0.3">
      <c r="A795" s="42"/>
      <c r="B795" s="138"/>
      <c r="C795" s="28"/>
      <c r="D795" s="138"/>
      <c r="E795" s="343"/>
      <c r="F795" s="28"/>
      <c r="G795" s="138"/>
      <c r="H795" s="67">
        <v>44</v>
      </c>
      <c r="I795" s="28" t="s">
        <v>101</v>
      </c>
      <c r="J795" s="40"/>
      <c r="M795" s="42"/>
      <c r="N795" s="138"/>
      <c r="O795" s="196"/>
      <c r="P795" s="138"/>
      <c r="Q795" s="196"/>
      <c r="R795" s="141"/>
      <c r="S795" s="138"/>
      <c r="T795" s="138"/>
      <c r="U795" s="42"/>
      <c r="V795" s="40"/>
      <c r="Y795" s="32"/>
      <c r="Z795" s="33"/>
      <c r="AA795" s="35"/>
      <c r="AB795" s="53"/>
      <c r="AC795" s="123"/>
      <c r="AD795" s="97"/>
      <c r="AE795" s="33"/>
      <c r="AF795" s="35"/>
      <c r="AG795" s="32"/>
      <c r="AH795" s="33" t="s">
        <v>149</v>
      </c>
      <c r="AI795" s="34"/>
      <c r="AJ795" s="35"/>
      <c r="AM795" s="138" t="s">
        <v>115</v>
      </c>
      <c r="AN795" s="212">
        <v>22</v>
      </c>
      <c r="AO795" s="141">
        <v>21</v>
      </c>
      <c r="AP795" s="212"/>
      <c r="AQ795" s="141"/>
      <c r="AR795" s="138"/>
      <c r="AS795" s="43" t="s">
        <v>2173</v>
      </c>
      <c r="AT795" s="43" t="s">
        <v>1817</v>
      </c>
      <c r="AU795" s="43"/>
      <c r="AV795" s="141"/>
      <c r="AY795" s="138" t="s">
        <v>113</v>
      </c>
      <c r="AZ795" s="138">
        <v>583</v>
      </c>
      <c r="BA795" s="28">
        <v>575</v>
      </c>
      <c r="BB795" s="138">
        <v>0</v>
      </c>
      <c r="BC795" s="43">
        <v>0</v>
      </c>
      <c r="BD795" s="209">
        <v>0</v>
      </c>
      <c r="BE795" s="43">
        <v>0</v>
      </c>
      <c r="BF795" s="141">
        <v>0</v>
      </c>
      <c r="BG795" s="43">
        <v>14</v>
      </c>
      <c r="BH795" s="28" t="s">
        <v>1297</v>
      </c>
      <c r="BI795" s="141" t="s">
        <v>2174</v>
      </c>
      <c r="BJ795" s="28"/>
    </row>
    <row r="796" spans="1:62" ht="15" thickBot="1" x14ac:dyDescent="0.35">
      <c r="A796" s="42" t="s">
        <v>84</v>
      </c>
      <c r="B796" s="142">
        <v>1171</v>
      </c>
      <c r="C796" s="143">
        <v>1205</v>
      </c>
      <c r="D796" s="142">
        <v>0</v>
      </c>
      <c r="E796" s="345"/>
      <c r="F796" s="143">
        <v>0</v>
      </c>
      <c r="G796" s="142"/>
      <c r="H796" s="244"/>
      <c r="I796" s="143"/>
      <c r="J796" s="245">
        <v>44</v>
      </c>
      <c r="M796" s="47" t="s">
        <v>84</v>
      </c>
      <c r="N796" s="202">
        <v>35312</v>
      </c>
      <c r="O796" s="286">
        <v>49632</v>
      </c>
      <c r="P796" s="202">
        <v>0</v>
      </c>
      <c r="Q796" s="286">
        <v>0</v>
      </c>
      <c r="R796" s="48">
        <v>0</v>
      </c>
      <c r="S796" s="202">
        <v>6399</v>
      </c>
      <c r="T796" s="202">
        <v>202</v>
      </c>
      <c r="U796" s="47"/>
      <c r="V796" s="49"/>
      <c r="Y796" s="41" t="s">
        <v>99</v>
      </c>
      <c r="Z796" s="42">
        <v>0</v>
      </c>
      <c r="AA796" s="40">
        <v>0</v>
      </c>
      <c r="AB796" s="67">
        <v>0</v>
      </c>
      <c r="AC796" s="43">
        <v>0</v>
      </c>
      <c r="AD796" s="56">
        <v>0</v>
      </c>
      <c r="AE796" s="42">
        <v>8069</v>
      </c>
      <c r="AF796" s="40">
        <v>1886</v>
      </c>
      <c r="AG796" s="41">
        <v>0</v>
      </c>
      <c r="AH796" s="67">
        <v>3</v>
      </c>
      <c r="AI796" s="28" t="s">
        <v>1317</v>
      </c>
      <c r="AJ796" s="40"/>
      <c r="AM796" s="138" t="s">
        <v>81</v>
      </c>
      <c r="AN796" s="212">
        <v>6</v>
      </c>
      <c r="AO796" s="141">
        <v>4</v>
      </c>
      <c r="AP796" s="138"/>
      <c r="AQ796" s="141"/>
      <c r="AR796" s="138"/>
      <c r="AS796" s="43" t="s">
        <v>1382</v>
      </c>
      <c r="AT796" s="43" t="s">
        <v>2175</v>
      </c>
      <c r="AU796" s="43"/>
      <c r="AV796" s="141"/>
      <c r="AY796" s="142" t="s">
        <v>84</v>
      </c>
      <c r="AZ796" s="138">
        <v>583</v>
      </c>
      <c r="BA796" s="28">
        <v>575</v>
      </c>
      <c r="BB796" s="138">
        <v>0</v>
      </c>
      <c r="BC796" s="43">
        <v>0</v>
      </c>
      <c r="BD796" s="209">
        <v>0</v>
      </c>
      <c r="BE796" s="143">
        <v>0</v>
      </c>
      <c r="BF796" s="146">
        <v>0</v>
      </c>
      <c r="BG796" s="43">
        <v>37</v>
      </c>
      <c r="BH796" s="43" t="s">
        <v>1292</v>
      </c>
      <c r="BI796" s="146">
        <v>52</v>
      </c>
      <c r="BJ796" s="28"/>
    </row>
    <row r="797" spans="1:62" x14ac:dyDescent="0.3">
      <c r="A797" s="287" t="s">
        <v>181</v>
      </c>
      <c r="B797" s="135">
        <v>2468</v>
      </c>
      <c r="C797" s="135">
        <v>2414</v>
      </c>
      <c r="D797" s="134">
        <v>0</v>
      </c>
      <c r="E797" s="243">
        <v>0</v>
      </c>
      <c r="F797" s="136">
        <v>0</v>
      </c>
      <c r="G797" s="134">
        <v>1</v>
      </c>
      <c r="H797" s="278" t="s">
        <v>182</v>
      </c>
      <c r="I797" s="135"/>
      <c r="J797" s="279"/>
      <c r="Y797" s="41" t="s">
        <v>174</v>
      </c>
      <c r="Z797" s="42">
        <v>0</v>
      </c>
      <c r="AA797" s="40">
        <v>0</v>
      </c>
      <c r="AB797" s="67">
        <v>0</v>
      </c>
      <c r="AC797" s="43">
        <v>0</v>
      </c>
      <c r="AD797" s="56">
        <v>0</v>
      </c>
      <c r="AE797" s="42">
        <v>19236</v>
      </c>
      <c r="AF797" s="40">
        <v>908</v>
      </c>
      <c r="AG797" s="41">
        <v>0</v>
      </c>
      <c r="AH797" s="67"/>
      <c r="AI797" s="43"/>
      <c r="AJ797" s="40"/>
      <c r="AM797" s="138" t="s">
        <v>63</v>
      </c>
      <c r="AN797" s="212">
        <v>9</v>
      </c>
      <c r="AO797" s="141">
        <v>20</v>
      </c>
      <c r="AP797" s="138"/>
      <c r="AQ797" s="141"/>
      <c r="AR797" s="138"/>
      <c r="AS797" s="43" t="s">
        <v>2176</v>
      </c>
      <c r="AT797" s="43" t="s">
        <v>2177</v>
      </c>
      <c r="AU797" s="43"/>
      <c r="AV797" s="141"/>
      <c r="AY797" s="134" t="s">
        <v>108</v>
      </c>
      <c r="AZ797" s="240">
        <v>0</v>
      </c>
      <c r="BA797" s="135">
        <v>1</v>
      </c>
      <c r="BB797" s="134"/>
      <c r="BC797" s="243"/>
      <c r="BD797" s="381"/>
      <c r="BE797" s="135"/>
      <c r="BF797" s="136"/>
      <c r="BG797" s="134" t="s">
        <v>140</v>
      </c>
      <c r="BH797" s="135"/>
      <c r="BI797" s="136"/>
      <c r="BJ797" s="28"/>
    </row>
    <row r="798" spans="1:62" ht="15" thickBot="1" x14ac:dyDescent="0.35">
      <c r="A798" s="288"/>
      <c r="B798" s="28"/>
      <c r="C798" s="28"/>
      <c r="D798" s="138"/>
      <c r="E798" s="38"/>
      <c r="F798" s="141"/>
      <c r="G798" s="138"/>
      <c r="H798" s="42"/>
      <c r="I798" s="28"/>
      <c r="J798" s="40"/>
      <c r="Y798" s="62" t="s">
        <v>84</v>
      </c>
      <c r="Z798" s="47">
        <v>0</v>
      </c>
      <c r="AA798" s="49">
        <v>0</v>
      </c>
      <c r="AB798" s="47">
        <v>0</v>
      </c>
      <c r="AC798" s="48">
        <v>0</v>
      </c>
      <c r="AD798" s="49">
        <v>0</v>
      </c>
      <c r="AE798" s="47">
        <v>27305</v>
      </c>
      <c r="AF798" s="49">
        <v>2794</v>
      </c>
      <c r="AG798" s="46">
        <v>0</v>
      </c>
      <c r="AH798" s="47"/>
      <c r="AI798" s="48"/>
      <c r="AJ798" s="49">
        <v>3</v>
      </c>
      <c r="AM798" s="138" t="s">
        <v>122</v>
      </c>
      <c r="AN798" s="212">
        <v>11</v>
      </c>
      <c r="AO798" s="141">
        <v>0</v>
      </c>
      <c r="AP798" s="138"/>
      <c r="AQ798" s="141"/>
      <c r="AR798" s="138"/>
      <c r="AS798" s="43" t="s">
        <v>1414</v>
      </c>
      <c r="AT798" s="43" t="s">
        <v>1364</v>
      </c>
      <c r="AU798" s="43"/>
      <c r="AV798" s="141"/>
      <c r="AY798" s="138" t="s">
        <v>133</v>
      </c>
      <c r="AZ798" s="212">
        <v>32</v>
      </c>
      <c r="BA798" s="43">
        <v>12</v>
      </c>
      <c r="BB798" s="138"/>
      <c r="BC798" s="43"/>
      <c r="BD798" s="141"/>
      <c r="BE798" s="43"/>
      <c r="BF798" s="141"/>
      <c r="BG798" s="138"/>
      <c r="BH798" s="28"/>
      <c r="BI798" s="141"/>
      <c r="BJ798" s="28"/>
    </row>
    <row r="799" spans="1:62" x14ac:dyDescent="0.3">
      <c r="A799" s="288" t="s">
        <v>84</v>
      </c>
      <c r="B799" s="28">
        <v>2468</v>
      </c>
      <c r="C799" s="43">
        <v>2414</v>
      </c>
      <c r="D799" s="138">
        <v>0</v>
      </c>
      <c r="E799" s="38">
        <v>0</v>
      </c>
      <c r="F799" s="141">
        <v>0</v>
      </c>
      <c r="G799" s="138"/>
      <c r="H799" s="42">
        <v>24</v>
      </c>
      <c r="I799" s="28" t="s">
        <v>727</v>
      </c>
      <c r="J799" s="40"/>
      <c r="Y799" s="32"/>
      <c r="Z799" s="33"/>
      <c r="AA799" s="35"/>
      <c r="AB799" s="33"/>
      <c r="AC799" s="34"/>
      <c r="AD799" s="35"/>
      <c r="AE799" s="33"/>
      <c r="AF799" s="35"/>
      <c r="AG799" s="32">
        <v>0</v>
      </c>
      <c r="AH799" s="33" t="s">
        <v>157</v>
      </c>
      <c r="AI799" s="34"/>
      <c r="AJ799" s="35"/>
      <c r="AM799" s="138" t="s">
        <v>132</v>
      </c>
      <c r="AN799" s="212">
        <v>4</v>
      </c>
      <c r="AO799" s="141">
        <v>3</v>
      </c>
      <c r="AP799" s="138"/>
      <c r="AQ799" s="141"/>
      <c r="AR799" s="138"/>
      <c r="AS799" s="43" t="s">
        <v>1823</v>
      </c>
      <c r="AT799" s="43"/>
      <c r="AU799" s="43"/>
      <c r="AV799" s="141"/>
      <c r="AY799" s="138" t="s">
        <v>1120</v>
      </c>
      <c r="AZ799" s="212">
        <v>170</v>
      </c>
      <c r="BA799" s="43">
        <v>0</v>
      </c>
      <c r="BB799" s="138"/>
      <c r="BC799" s="43"/>
      <c r="BD799" s="141"/>
      <c r="BE799" s="43"/>
      <c r="BF799" s="141"/>
      <c r="BG799" s="138"/>
      <c r="BH799" s="28"/>
      <c r="BI799" s="141"/>
      <c r="BJ799" s="28"/>
    </row>
    <row r="800" spans="1:62" ht="15" thickBot="1" x14ac:dyDescent="0.35">
      <c r="A800" s="289"/>
      <c r="B800" s="48"/>
      <c r="C800" s="48"/>
      <c r="D800" s="202"/>
      <c r="E800" s="48"/>
      <c r="F800" s="203"/>
      <c r="G800" s="202"/>
      <c r="H800" s="47">
        <v>2</v>
      </c>
      <c r="I800" s="51" t="s">
        <v>1464</v>
      </c>
      <c r="J800" s="49">
        <v>26</v>
      </c>
      <c r="Y800" s="41"/>
      <c r="Z800" s="42"/>
      <c r="AA800" s="56"/>
      <c r="AB800" s="67"/>
      <c r="AC800" s="43"/>
      <c r="AD800" s="56"/>
      <c r="AE800" s="42"/>
      <c r="AF800" s="56"/>
      <c r="AG800" s="41">
        <v>0</v>
      </c>
      <c r="AH800" s="67">
        <v>10</v>
      </c>
      <c r="AI800" s="28" t="s">
        <v>1318</v>
      </c>
      <c r="AJ800" s="40"/>
      <c r="AM800" s="138" t="s">
        <v>230</v>
      </c>
      <c r="AN800" s="138">
        <v>13</v>
      </c>
      <c r="AO800" s="141">
        <v>2</v>
      </c>
      <c r="AP800" s="138"/>
      <c r="AQ800" s="141"/>
      <c r="AR800" s="138"/>
      <c r="AS800" s="220"/>
      <c r="AT800" s="43"/>
      <c r="AU800" s="371"/>
      <c r="AV800" s="141"/>
      <c r="AY800" s="138" t="s">
        <v>85</v>
      </c>
      <c r="AZ800" s="212">
        <v>2</v>
      </c>
      <c r="BA800" s="43">
        <v>1</v>
      </c>
      <c r="BB800" s="382"/>
      <c r="BC800" s="43"/>
      <c r="BD800" s="141"/>
      <c r="BE800" s="43"/>
      <c r="BF800" s="141"/>
      <c r="BG800" s="212" t="s">
        <v>142</v>
      </c>
      <c r="BH800" s="43"/>
      <c r="BI800" s="209" t="s">
        <v>620</v>
      </c>
      <c r="BJ800" s="28"/>
    </row>
    <row r="801" spans="1:62" ht="15" thickBot="1" x14ac:dyDescent="0.35">
      <c r="A801" s="254" t="s">
        <v>84</v>
      </c>
      <c r="B801" s="274">
        <v>39263</v>
      </c>
      <c r="C801" s="172">
        <v>41321</v>
      </c>
      <c r="D801" s="275">
        <v>0</v>
      </c>
      <c r="E801" s="210">
        <v>2922</v>
      </c>
      <c r="F801" s="253">
        <v>0</v>
      </c>
      <c r="G801" s="171">
        <v>8</v>
      </c>
      <c r="H801" s="171"/>
      <c r="I801" s="170"/>
      <c r="J801" s="172">
        <v>392</v>
      </c>
      <c r="Y801" s="41" t="s">
        <v>1118</v>
      </c>
      <c r="Z801" s="42">
        <v>0</v>
      </c>
      <c r="AA801" s="56">
        <v>0</v>
      </c>
      <c r="AB801" s="67">
        <v>0</v>
      </c>
      <c r="AC801" s="43">
        <v>0</v>
      </c>
      <c r="AD801" s="56">
        <v>0</v>
      </c>
      <c r="AE801" s="42">
        <v>5140</v>
      </c>
      <c r="AF801" s="56">
        <v>0</v>
      </c>
      <c r="AG801" s="41">
        <v>0</v>
      </c>
      <c r="AH801" s="42"/>
      <c r="AI801" s="28"/>
      <c r="AJ801" s="40"/>
      <c r="AM801" s="138" t="s">
        <v>84</v>
      </c>
      <c r="AN801" s="138">
        <v>223</v>
      </c>
      <c r="AO801" s="141">
        <v>213</v>
      </c>
      <c r="AP801" s="138"/>
      <c r="AQ801" s="141"/>
      <c r="AR801" s="142"/>
      <c r="AS801" s="224"/>
      <c r="AT801" s="224"/>
      <c r="AU801" s="143"/>
      <c r="AV801" s="146">
        <v>150</v>
      </c>
      <c r="AY801" s="138" t="s">
        <v>214</v>
      </c>
      <c r="AZ801" s="212">
        <v>0</v>
      </c>
      <c r="BA801" s="43">
        <v>2</v>
      </c>
      <c r="BB801" s="268"/>
      <c r="BC801" s="255"/>
      <c r="BD801" s="141"/>
      <c r="BE801" s="43"/>
      <c r="BF801" s="141"/>
      <c r="BG801" s="212" t="s">
        <v>146</v>
      </c>
      <c r="BH801" s="43"/>
      <c r="BI801" s="372" t="s">
        <v>2083</v>
      </c>
      <c r="BJ801" s="28"/>
    </row>
    <row r="802" spans="1:62" ht="15" thickBot="1" x14ac:dyDescent="0.35">
      <c r="Y802" s="68" t="s">
        <v>88</v>
      </c>
      <c r="Z802" s="42">
        <v>0</v>
      </c>
      <c r="AA802" s="56">
        <v>0</v>
      </c>
      <c r="AB802" s="42">
        <v>0</v>
      </c>
      <c r="AC802" s="43">
        <v>0</v>
      </c>
      <c r="AD802" s="40">
        <v>0</v>
      </c>
      <c r="AE802" s="42">
        <v>14400</v>
      </c>
      <c r="AF802" s="56">
        <v>3731</v>
      </c>
      <c r="AG802" s="41">
        <v>0</v>
      </c>
      <c r="AH802" s="42"/>
      <c r="AI802" s="43"/>
      <c r="AJ802" s="40"/>
      <c r="AM802" s="171" t="s">
        <v>84</v>
      </c>
      <c r="AN802" s="171">
        <v>1707</v>
      </c>
      <c r="AO802" s="172">
        <v>1614</v>
      </c>
      <c r="AP802" s="170"/>
      <c r="AQ802" s="172"/>
      <c r="AR802" s="48"/>
      <c r="AS802" s="48"/>
      <c r="AT802" s="48"/>
      <c r="AU802" s="48"/>
      <c r="AV802" s="49">
        <v>348</v>
      </c>
      <c r="AY802" s="138" t="s">
        <v>218</v>
      </c>
      <c r="AZ802" s="212">
        <v>0</v>
      </c>
      <c r="BA802" s="43">
        <v>30</v>
      </c>
      <c r="BB802" s="268"/>
      <c r="BC802" s="43"/>
      <c r="BD802" s="141"/>
      <c r="BE802" s="43"/>
      <c r="BF802" s="141"/>
      <c r="BG802" s="212"/>
      <c r="BH802" s="43"/>
      <c r="BI802" s="209"/>
      <c r="BJ802" s="28"/>
    </row>
    <row r="803" spans="1:62" x14ac:dyDescent="0.3">
      <c r="V803" s="184"/>
      <c r="Y803" s="68" t="s">
        <v>85</v>
      </c>
      <c r="Z803" s="42">
        <v>0</v>
      </c>
      <c r="AA803" s="56">
        <v>0</v>
      </c>
      <c r="AB803" s="67">
        <v>0</v>
      </c>
      <c r="AC803" s="43">
        <v>0</v>
      </c>
      <c r="AD803" s="56">
        <v>0</v>
      </c>
      <c r="AE803" s="42">
        <v>14560</v>
      </c>
      <c r="AF803" s="56">
        <v>23734</v>
      </c>
      <c r="AG803" s="41">
        <v>0</v>
      </c>
      <c r="AH803" s="67"/>
      <c r="AI803" s="28"/>
      <c r="AJ803" s="40"/>
      <c r="AM803" s="28"/>
      <c r="AN803" s="28"/>
      <c r="AO803" s="28"/>
      <c r="AP803" s="28"/>
      <c r="AQ803" s="28"/>
      <c r="AR803" s="28"/>
      <c r="AS803" s="43"/>
      <c r="AT803" s="43"/>
      <c r="AU803" s="28"/>
      <c r="AV803" s="28"/>
      <c r="AY803" s="138" t="s">
        <v>211</v>
      </c>
      <c r="AZ803" s="212">
        <v>0</v>
      </c>
      <c r="BA803" s="43">
        <v>0</v>
      </c>
      <c r="BB803" s="268"/>
      <c r="BC803" s="43"/>
      <c r="BD803" s="141"/>
      <c r="BE803" s="43"/>
      <c r="BF803" s="141"/>
      <c r="BG803" s="212" t="s">
        <v>151</v>
      </c>
      <c r="BH803" s="43"/>
      <c r="BI803" s="209"/>
      <c r="BJ803" s="28"/>
    </row>
    <row r="804" spans="1:62" x14ac:dyDescent="0.3">
      <c r="Y804" s="68" t="s">
        <v>99</v>
      </c>
      <c r="Z804" s="67">
        <v>0</v>
      </c>
      <c r="AA804" s="56">
        <v>0</v>
      </c>
      <c r="AB804" s="42">
        <v>0</v>
      </c>
      <c r="AC804" s="43">
        <v>0</v>
      </c>
      <c r="AD804" s="40">
        <v>0</v>
      </c>
      <c r="AE804" s="67">
        <v>111720</v>
      </c>
      <c r="AF804" s="56">
        <v>0</v>
      </c>
      <c r="AG804" s="41">
        <v>0</v>
      </c>
      <c r="AH804" s="42"/>
      <c r="AI804" s="28"/>
      <c r="AJ804" s="40"/>
      <c r="AM804" s="28"/>
      <c r="AN804" s="28"/>
      <c r="AO804" s="28"/>
      <c r="AP804" s="28"/>
      <c r="AQ804" s="28"/>
      <c r="AR804" s="28"/>
      <c r="AS804" s="220"/>
      <c r="AT804" s="220"/>
      <c r="AU804" s="28"/>
      <c r="AV804" s="28"/>
      <c r="AY804" s="138" t="s">
        <v>93</v>
      </c>
      <c r="AZ804" s="212">
        <v>0</v>
      </c>
      <c r="BA804" s="43">
        <v>1</v>
      </c>
      <c r="BB804" s="268"/>
      <c r="BC804" s="43"/>
      <c r="BD804" s="141"/>
      <c r="BE804" s="43"/>
      <c r="BF804" s="141"/>
      <c r="BG804" s="333" t="s">
        <v>159</v>
      </c>
      <c r="BH804" s="383" t="s">
        <v>2178</v>
      </c>
      <c r="BI804" s="209" t="s">
        <v>2179</v>
      </c>
      <c r="BJ804" s="28"/>
    </row>
    <row r="805" spans="1:62" x14ac:dyDescent="0.3">
      <c r="Y805" s="68" t="s">
        <v>108</v>
      </c>
      <c r="Z805" s="67">
        <v>0</v>
      </c>
      <c r="AA805" s="56">
        <v>0</v>
      </c>
      <c r="AB805" s="67">
        <v>0</v>
      </c>
      <c r="AC805" s="43">
        <v>0</v>
      </c>
      <c r="AD805" s="56">
        <v>0</v>
      </c>
      <c r="AE805" s="67">
        <v>0</v>
      </c>
      <c r="AF805" s="56">
        <v>4702</v>
      </c>
      <c r="AG805" s="41">
        <v>0</v>
      </c>
      <c r="AH805" s="67"/>
      <c r="AI805" s="28"/>
      <c r="AJ805" s="40"/>
      <c r="AM805" s="28"/>
      <c r="AN805" s="28"/>
      <c r="AO805" s="28"/>
      <c r="AP805" s="28"/>
      <c r="AQ805" s="28"/>
      <c r="AR805" s="28"/>
      <c r="AS805" s="43"/>
      <c r="AT805" s="43"/>
      <c r="AU805" s="28"/>
      <c r="AV805" s="28"/>
      <c r="AY805" s="138" t="s">
        <v>169</v>
      </c>
      <c r="AZ805" s="212">
        <v>5</v>
      </c>
      <c r="BA805" s="43">
        <v>10</v>
      </c>
      <c r="BB805" s="268"/>
      <c r="BC805" s="43"/>
      <c r="BD805" s="141"/>
      <c r="BE805" s="43"/>
      <c r="BF805" s="141"/>
      <c r="BG805" s="212" t="s">
        <v>1780</v>
      </c>
      <c r="BH805" s="220" t="s">
        <v>1500</v>
      </c>
      <c r="BI805" s="209"/>
      <c r="BJ805" s="28"/>
    </row>
    <row r="806" spans="1:62" x14ac:dyDescent="0.3">
      <c r="Y806" s="68" t="s">
        <v>133</v>
      </c>
      <c r="Z806" s="42">
        <v>0</v>
      </c>
      <c r="AA806" s="40">
        <v>0</v>
      </c>
      <c r="AB806" s="42">
        <v>0</v>
      </c>
      <c r="AC806" s="43">
        <v>0</v>
      </c>
      <c r="AD806" s="40">
        <v>0</v>
      </c>
      <c r="AE806" s="42">
        <v>0</v>
      </c>
      <c r="AF806" s="40">
        <v>2906</v>
      </c>
      <c r="AG806" s="41">
        <v>0</v>
      </c>
      <c r="AH806" s="42"/>
      <c r="AI806" s="28"/>
      <c r="AJ806" s="40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Y806" s="138" t="s">
        <v>2180</v>
      </c>
      <c r="AZ806" s="212">
        <v>4</v>
      </c>
      <c r="BA806" s="43">
        <v>0</v>
      </c>
      <c r="BB806" s="268"/>
      <c r="BC806" s="43"/>
      <c r="BD806" s="141"/>
      <c r="BE806" s="43"/>
      <c r="BF806" s="141"/>
      <c r="BG806" s="212" t="s">
        <v>943</v>
      </c>
      <c r="BH806" s="43" t="s">
        <v>2181</v>
      </c>
      <c r="BI806" s="209" t="s">
        <v>447</v>
      </c>
      <c r="BJ806" s="28"/>
    </row>
    <row r="807" spans="1:62" x14ac:dyDescent="0.3">
      <c r="Y807" s="68" t="s">
        <v>105</v>
      </c>
      <c r="Z807" s="42">
        <v>0</v>
      </c>
      <c r="AA807" s="40">
        <v>0</v>
      </c>
      <c r="AB807" s="42">
        <v>0</v>
      </c>
      <c r="AC807" s="43">
        <v>0</v>
      </c>
      <c r="AD807" s="40">
        <v>0</v>
      </c>
      <c r="AE807" s="42">
        <v>16057</v>
      </c>
      <c r="AF807" s="40">
        <v>13559</v>
      </c>
      <c r="AG807" s="41">
        <v>0</v>
      </c>
      <c r="AH807" s="42"/>
      <c r="AI807" s="28"/>
      <c r="AJ807" s="40"/>
      <c r="AS807" s="43"/>
      <c r="AT807" s="43"/>
      <c r="AU807" s="43"/>
      <c r="AV807" s="28"/>
      <c r="AY807" s="138" t="s">
        <v>113</v>
      </c>
      <c r="AZ807" s="212">
        <v>129</v>
      </c>
      <c r="BA807" s="43">
        <v>74</v>
      </c>
      <c r="BB807" s="268"/>
      <c r="BC807" s="270"/>
      <c r="BD807" s="141"/>
      <c r="BE807" s="43"/>
      <c r="BF807" s="141"/>
      <c r="BG807" s="212" t="s">
        <v>1820</v>
      </c>
      <c r="BH807" s="43" t="s">
        <v>378</v>
      </c>
      <c r="BI807" s="209" t="s">
        <v>1779</v>
      </c>
      <c r="BJ807" s="28"/>
    </row>
    <row r="808" spans="1:62" ht="15" thickBot="1" x14ac:dyDescent="0.35">
      <c r="Y808" s="62" t="s">
        <v>84</v>
      </c>
      <c r="Z808" s="47">
        <v>0</v>
      </c>
      <c r="AA808" s="49">
        <v>0</v>
      </c>
      <c r="AB808" s="47">
        <v>0</v>
      </c>
      <c r="AC808" s="51">
        <v>0</v>
      </c>
      <c r="AD808" s="49"/>
      <c r="AE808" s="47">
        <v>161877</v>
      </c>
      <c r="AF808" s="49">
        <v>48632</v>
      </c>
      <c r="AG808" s="46">
        <v>0</v>
      </c>
      <c r="AH808" s="47"/>
      <c r="AI808" s="48"/>
      <c r="AJ808" s="49">
        <v>10</v>
      </c>
      <c r="AO808" s="229"/>
      <c r="AS808" s="28"/>
      <c r="AT808" s="43"/>
      <c r="AU808" s="43"/>
      <c r="AV808" s="28"/>
      <c r="AY808" s="138" t="s">
        <v>250</v>
      </c>
      <c r="AZ808" s="212">
        <v>0</v>
      </c>
      <c r="BA808" s="43">
        <v>2</v>
      </c>
      <c r="BB808" s="268"/>
      <c r="BC808" s="43"/>
      <c r="BD808" s="141"/>
      <c r="BE808" s="43"/>
      <c r="BF808" s="141"/>
      <c r="BG808" s="212" t="s">
        <v>513</v>
      </c>
      <c r="BH808" s="43" t="s">
        <v>366</v>
      </c>
      <c r="BI808" s="209" t="s">
        <v>2182</v>
      </c>
      <c r="BJ808" s="28"/>
    </row>
    <row r="809" spans="1:62" x14ac:dyDescent="0.3">
      <c r="Y809" s="32"/>
      <c r="Z809" s="33"/>
      <c r="AA809" s="35"/>
      <c r="AB809" s="33"/>
      <c r="AC809" s="123"/>
      <c r="AD809" s="35"/>
      <c r="AE809" s="33"/>
      <c r="AF809" s="35"/>
      <c r="AG809" s="32"/>
      <c r="AH809" s="33" t="s">
        <v>1326</v>
      </c>
      <c r="AI809" s="34"/>
      <c r="AJ809" s="35"/>
      <c r="AS809" s="43"/>
      <c r="AT809" s="43"/>
      <c r="AU809" s="43"/>
      <c r="AV809" s="28"/>
      <c r="AY809" s="138" t="s">
        <v>801</v>
      </c>
      <c r="AZ809" s="212">
        <v>0</v>
      </c>
      <c r="BA809" s="43">
        <v>0</v>
      </c>
      <c r="BB809" s="268"/>
      <c r="BC809" s="43"/>
      <c r="BD809" s="141"/>
      <c r="BE809" s="43"/>
      <c r="BF809" s="141"/>
      <c r="BG809" s="212" t="s">
        <v>448</v>
      </c>
      <c r="BH809" s="222" t="s">
        <v>2183</v>
      </c>
      <c r="BI809" s="209" t="s">
        <v>1800</v>
      </c>
      <c r="BJ809" s="28"/>
    </row>
    <row r="810" spans="1:62" x14ac:dyDescent="0.3">
      <c r="Y810" s="41" t="s">
        <v>102</v>
      </c>
      <c r="Z810" s="42">
        <v>129</v>
      </c>
      <c r="AA810" s="40">
        <v>224</v>
      </c>
      <c r="AB810" s="67">
        <v>0</v>
      </c>
      <c r="AC810" s="43">
        <v>0</v>
      </c>
      <c r="AD810" s="56">
        <v>0</v>
      </c>
      <c r="AE810" s="42">
        <v>0</v>
      </c>
      <c r="AF810" s="40">
        <v>0</v>
      </c>
      <c r="AG810" s="41">
        <v>0</v>
      </c>
      <c r="AH810" s="43">
        <v>6</v>
      </c>
      <c r="AI810" s="28" t="s">
        <v>145</v>
      </c>
      <c r="AJ810" s="40"/>
      <c r="AS810" s="43"/>
      <c r="AT810" s="28"/>
      <c r="AU810" s="28"/>
      <c r="AV810" s="28"/>
      <c r="AY810" s="138" t="s">
        <v>858</v>
      </c>
      <c r="AZ810" s="212">
        <v>0</v>
      </c>
      <c r="BA810" s="43">
        <v>5</v>
      </c>
      <c r="BB810" s="268"/>
      <c r="BC810" s="270"/>
      <c r="BD810" s="141"/>
      <c r="BE810" s="43"/>
      <c r="BF810" s="141"/>
      <c r="BG810" s="212" t="s">
        <v>758</v>
      </c>
      <c r="BH810" s="43" t="s">
        <v>2089</v>
      </c>
      <c r="BI810" s="373"/>
      <c r="BJ810" s="28"/>
    </row>
    <row r="811" spans="1:62" ht="15" thickBot="1" x14ac:dyDescent="0.35">
      <c r="Y811" s="46" t="s">
        <v>84</v>
      </c>
      <c r="Z811" s="47">
        <v>129</v>
      </c>
      <c r="AA811" s="49">
        <v>224</v>
      </c>
      <c r="AB811" s="47">
        <v>0</v>
      </c>
      <c r="AC811" s="48">
        <v>0</v>
      </c>
      <c r="AD811" s="49">
        <v>0</v>
      </c>
      <c r="AE811" s="47">
        <v>0</v>
      </c>
      <c r="AF811" s="49">
        <v>0</v>
      </c>
      <c r="AG811" s="46">
        <v>0</v>
      </c>
      <c r="AH811" s="67"/>
      <c r="AI811" s="48"/>
      <c r="AJ811" s="49">
        <v>6</v>
      </c>
      <c r="AS811" s="43"/>
      <c r="AT811" s="28"/>
      <c r="AU811" s="28"/>
      <c r="AV811" s="28"/>
      <c r="AY811" s="138" t="s">
        <v>99</v>
      </c>
      <c r="AZ811" s="212">
        <v>0</v>
      </c>
      <c r="BA811" s="43">
        <v>4</v>
      </c>
      <c r="BB811" s="268"/>
      <c r="BC811" s="270"/>
      <c r="BD811" s="141"/>
      <c r="BE811" s="43"/>
      <c r="BF811" s="141"/>
      <c r="BG811" s="212" t="s">
        <v>2155</v>
      </c>
      <c r="BH811" s="43" t="s">
        <v>425</v>
      </c>
      <c r="BI811" s="209"/>
      <c r="BJ811" s="28"/>
    </row>
    <row r="812" spans="1:62" ht="15" thickBot="1" x14ac:dyDescent="0.35">
      <c r="Y812" s="254" t="s">
        <v>84</v>
      </c>
      <c r="Z812" s="171">
        <v>2986</v>
      </c>
      <c r="AA812" s="172">
        <v>2787</v>
      </c>
      <c r="AB812" s="271">
        <v>0</v>
      </c>
      <c r="AC812" s="170">
        <v>33</v>
      </c>
      <c r="AD812" s="172">
        <v>0</v>
      </c>
      <c r="AE812" s="47">
        <v>189182</v>
      </c>
      <c r="AF812" s="49">
        <v>51426</v>
      </c>
      <c r="AG812" s="46">
        <v>0</v>
      </c>
      <c r="AH812" s="291" t="s">
        <v>199</v>
      </c>
      <c r="AI812" s="170"/>
      <c r="AJ812" s="172">
        <v>48</v>
      </c>
      <c r="AQ812" s="28"/>
      <c r="AS812" s="43"/>
      <c r="AT812" s="28"/>
      <c r="AU812" s="28"/>
      <c r="AV812" s="28"/>
      <c r="AY812" s="138" t="s">
        <v>174</v>
      </c>
      <c r="AZ812" s="212">
        <v>0</v>
      </c>
      <c r="BA812" s="43">
        <v>0</v>
      </c>
      <c r="BB812" s="268"/>
      <c r="BC812" s="270"/>
      <c r="BD812" s="141"/>
      <c r="BE812" s="43"/>
      <c r="BF812" s="141"/>
      <c r="BG812" s="212" t="s">
        <v>584</v>
      </c>
      <c r="BH812" s="43"/>
      <c r="BI812" s="209"/>
      <c r="BJ812" s="28"/>
    </row>
    <row r="813" spans="1:62" ht="15.6" x14ac:dyDescent="0.3">
      <c r="AQ813" s="28"/>
      <c r="AS813" s="43"/>
      <c r="AT813" s="43"/>
      <c r="AU813" s="43"/>
      <c r="AV813" s="28"/>
      <c r="AY813" s="374" t="s">
        <v>403</v>
      </c>
      <c r="AZ813" s="212">
        <v>0</v>
      </c>
      <c r="BA813" s="43">
        <v>0</v>
      </c>
      <c r="BB813" s="268"/>
      <c r="BC813" s="270"/>
      <c r="BD813" s="141"/>
      <c r="BE813" s="43"/>
      <c r="BF813" s="141"/>
      <c r="BG813" s="212" t="s">
        <v>309</v>
      </c>
      <c r="BH813" s="258"/>
      <c r="BI813" s="373"/>
      <c r="BJ813" s="28"/>
    </row>
    <row r="814" spans="1:62" ht="15.6" x14ac:dyDescent="0.3">
      <c r="AE814" s="28"/>
      <c r="AO814" s="28"/>
      <c r="AQ814" s="28"/>
      <c r="AS814" s="43"/>
      <c r="AT814" s="28"/>
      <c r="AU814" s="28"/>
      <c r="AV814" s="28"/>
      <c r="AY814" s="138" t="s">
        <v>998</v>
      </c>
      <c r="AZ814" s="212">
        <v>0</v>
      </c>
      <c r="BA814" s="43">
        <v>0</v>
      </c>
      <c r="BB814" s="268"/>
      <c r="BC814" s="270"/>
      <c r="BD814" s="141"/>
      <c r="BE814" s="43"/>
      <c r="BF814" s="141" t="s">
        <v>6</v>
      </c>
      <c r="BG814" s="212" t="s">
        <v>385</v>
      </c>
      <c r="BH814" s="258"/>
      <c r="BI814" s="209"/>
      <c r="BJ814" s="28"/>
    </row>
    <row r="815" spans="1:62" x14ac:dyDescent="0.3">
      <c r="AO815" s="28"/>
      <c r="AQ815" s="28"/>
      <c r="AY815" s="138" t="s">
        <v>2184</v>
      </c>
      <c r="AZ815" s="212">
        <v>0</v>
      </c>
      <c r="BA815" s="43">
        <v>0</v>
      </c>
      <c r="BB815" s="268"/>
      <c r="BC815" s="270"/>
      <c r="BD815" s="141"/>
      <c r="BE815" s="43"/>
      <c r="BF815" s="141"/>
      <c r="BG815" s="212" t="s">
        <v>2185</v>
      </c>
      <c r="BH815" s="228"/>
      <c r="BI815" s="213"/>
      <c r="BJ815" s="28"/>
    </row>
    <row r="816" spans="1:62" ht="15.6" x14ac:dyDescent="0.3">
      <c r="AO816" s="28"/>
      <c r="AQ816" s="28"/>
      <c r="AY816" s="138" t="s">
        <v>2117</v>
      </c>
      <c r="AZ816" s="212">
        <v>0</v>
      </c>
      <c r="BA816" s="43">
        <v>0</v>
      </c>
      <c r="BB816" s="268"/>
      <c r="BC816" s="270"/>
      <c r="BD816" s="141"/>
      <c r="BE816" s="43"/>
      <c r="BF816" s="141"/>
      <c r="BG816" s="138"/>
      <c r="BH816" s="258"/>
      <c r="BI816" s="141"/>
      <c r="BJ816" s="28"/>
    </row>
    <row r="817" spans="25:62" ht="16.2" thickBot="1" x14ac:dyDescent="0.35">
      <c r="Y817" s="43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138" t="s">
        <v>2186</v>
      </c>
      <c r="AZ817" s="263">
        <v>4</v>
      </c>
      <c r="BA817" s="143">
        <v>0</v>
      </c>
      <c r="BB817" s="375"/>
      <c r="BC817" s="376"/>
      <c r="BD817" s="146"/>
      <c r="BE817" s="224"/>
      <c r="BF817" s="146"/>
      <c r="BG817" s="138"/>
      <c r="BH817" s="258"/>
      <c r="BI817" s="141">
        <v>64</v>
      </c>
      <c r="BJ817" s="28"/>
    </row>
    <row r="818" spans="25:62" ht="15" thickBot="1" x14ac:dyDescent="0.35">
      <c r="Y818" s="28"/>
      <c r="Z818" s="28"/>
      <c r="AA818" s="28"/>
      <c r="AB818" s="28"/>
      <c r="AC818" s="43"/>
      <c r="AD818" s="28"/>
      <c r="AE818" s="28"/>
      <c r="AF818" s="28"/>
      <c r="AG818" s="28"/>
      <c r="AH818" s="28"/>
      <c r="AI818" s="28"/>
      <c r="AJ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43"/>
      <c r="AX818" s="28"/>
      <c r="AY818" s="271" t="s">
        <v>84</v>
      </c>
      <c r="AZ818" s="72">
        <v>346</v>
      </c>
      <c r="BA818" s="357">
        <v>142</v>
      </c>
      <c r="BB818" s="48" t="s">
        <v>84</v>
      </c>
      <c r="BC818" s="48"/>
      <c r="BD818" s="48">
        <v>0</v>
      </c>
      <c r="BE818" s="47">
        <v>65490</v>
      </c>
      <c r="BF818" s="49">
        <v>21000</v>
      </c>
      <c r="BG818" s="351"/>
      <c r="BH818" s="170"/>
      <c r="BI818" s="172">
        <v>261</v>
      </c>
      <c r="BJ818" s="28"/>
    </row>
    <row r="819" spans="25:62" x14ac:dyDescent="0.3">
      <c r="Y819" s="28"/>
      <c r="Z819" s="28"/>
      <c r="AA819" s="28"/>
      <c r="AB819" s="28"/>
      <c r="AC819" s="43"/>
      <c r="AD819" s="28"/>
      <c r="AE819" s="28"/>
      <c r="AF819" s="28"/>
      <c r="AG819" s="28"/>
      <c r="AH819" s="28"/>
      <c r="AI819" s="28"/>
      <c r="AJ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00" t="s">
        <v>223</v>
      </c>
      <c r="AZ819" s="295">
        <v>8461</v>
      </c>
      <c r="BA819" s="296">
        <v>8203</v>
      </c>
      <c r="BB819" s="297"/>
      <c r="BC819" s="34" t="s">
        <v>1503</v>
      </c>
      <c r="BD819" s="34"/>
      <c r="BE819" s="34"/>
      <c r="BF819" s="34"/>
      <c r="BG819" s="298">
        <v>701</v>
      </c>
      <c r="BH819" s="35"/>
      <c r="BI819" s="35"/>
      <c r="BJ819" s="28"/>
    </row>
    <row r="820" spans="25:62" ht="15" thickBot="1" x14ac:dyDescent="0.35">
      <c r="Y820" s="28"/>
      <c r="Z820" s="28"/>
      <c r="AA820" s="28"/>
      <c r="AB820" s="43"/>
      <c r="AC820" s="43"/>
      <c r="AD820" s="43"/>
      <c r="AE820" s="28"/>
      <c r="AF820" s="28"/>
      <c r="AG820" s="28"/>
      <c r="AH820" s="28"/>
      <c r="AI820" s="28"/>
      <c r="AJ820" s="28"/>
      <c r="AM820" s="28"/>
      <c r="AN820" s="28"/>
      <c r="AO820" s="28"/>
      <c r="AP820" s="28"/>
      <c r="AQ820" s="28"/>
      <c r="AR820" s="28"/>
      <c r="AS820" s="28"/>
      <c r="AT820" s="28"/>
      <c r="AU820" s="43"/>
      <c r="AV820" s="28"/>
      <c r="AW820" s="28"/>
      <c r="AX820" s="28"/>
      <c r="AY820" s="138" t="s">
        <v>1340</v>
      </c>
      <c r="AZ820" s="28"/>
      <c r="BA820" s="299">
        <v>64</v>
      </c>
      <c r="BB820" s="47"/>
      <c r="BC820" s="48" t="s">
        <v>1504</v>
      </c>
      <c r="BD820" s="48"/>
      <c r="BE820" s="48"/>
      <c r="BF820" s="48"/>
      <c r="BG820" s="300">
        <v>348</v>
      </c>
      <c r="BH820" s="301">
        <v>1049</v>
      </c>
      <c r="BI820" s="40"/>
      <c r="BJ820" s="28"/>
    </row>
    <row r="821" spans="25:62" ht="15" thickBot="1" x14ac:dyDescent="0.35">
      <c r="Y821" s="28"/>
      <c r="Z821" s="28"/>
      <c r="AA821" s="28"/>
      <c r="AB821" s="28"/>
      <c r="AC821" s="28"/>
      <c r="AD821" s="28"/>
      <c r="AE821" s="28"/>
      <c r="AF821" s="28"/>
      <c r="AG821" s="28"/>
      <c r="AH821" s="43"/>
      <c r="AI821" s="28"/>
      <c r="AJ821" s="28"/>
      <c r="AM821" s="28"/>
      <c r="AN821" s="28"/>
      <c r="AO821" s="28"/>
      <c r="AP821" s="28"/>
      <c r="AQ821" s="43"/>
      <c r="AR821" s="28"/>
      <c r="AS821" s="28"/>
      <c r="AT821" s="28"/>
      <c r="AU821" s="43"/>
      <c r="AV821" s="43"/>
      <c r="AW821" s="28"/>
      <c r="AX821" s="28"/>
      <c r="AY821" s="202" t="s">
        <v>229</v>
      </c>
      <c r="AZ821" s="48"/>
      <c r="BA821" s="302">
        <v>3</v>
      </c>
      <c r="BB821" s="28"/>
      <c r="BC821" s="28"/>
      <c r="BD821" s="28"/>
      <c r="BE821" s="28"/>
      <c r="BF821" s="42"/>
      <c r="BG821" s="28"/>
      <c r="BH821" s="42"/>
      <c r="BI821" s="40"/>
      <c r="BJ821" s="28"/>
    </row>
    <row r="822" spans="25:62" x14ac:dyDescent="0.3"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M822" s="43"/>
      <c r="AN822" s="43"/>
      <c r="AO822" s="43"/>
      <c r="AP822" s="28"/>
      <c r="AQ822" s="43"/>
      <c r="AR822" s="28"/>
      <c r="AS822" s="28"/>
      <c r="AT822" s="28"/>
      <c r="AU822" s="43"/>
      <c r="AV822" s="43"/>
      <c r="AW822" s="43"/>
      <c r="AX822" s="28"/>
      <c r="AY822" s="200" t="s">
        <v>232</v>
      </c>
      <c r="AZ822" s="34"/>
      <c r="BA822" s="303" t="s">
        <v>233</v>
      </c>
      <c r="BB822" s="34"/>
      <c r="BC822" s="298">
        <v>1707</v>
      </c>
      <c r="BD822" s="35"/>
      <c r="BE822" s="33" t="s">
        <v>234</v>
      </c>
      <c r="BF822" s="34"/>
      <c r="BG822" s="34" t="s">
        <v>233</v>
      </c>
      <c r="BH822" s="34"/>
      <c r="BI822" s="304">
        <v>8461</v>
      </c>
      <c r="BJ822" s="28"/>
    </row>
    <row r="823" spans="25:62" ht="15" thickBot="1" x14ac:dyDescent="0.35">
      <c r="Y823" s="28"/>
      <c r="Z823" s="28"/>
      <c r="AA823" s="28"/>
      <c r="AB823" s="43"/>
      <c r="AC823" s="43"/>
      <c r="AD823" s="43"/>
      <c r="AE823" s="28"/>
      <c r="AF823" s="28"/>
      <c r="AG823" s="28"/>
      <c r="AH823" s="28"/>
      <c r="AI823" s="28"/>
      <c r="AJ823" s="28"/>
      <c r="AM823" s="28"/>
      <c r="AN823" s="28"/>
      <c r="AO823" s="28"/>
      <c r="AP823" s="28"/>
      <c r="AQ823" s="28"/>
      <c r="AR823" s="28"/>
      <c r="AS823" s="28"/>
      <c r="AT823" s="28"/>
      <c r="AU823" s="43"/>
      <c r="AV823" s="43"/>
      <c r="AW823" s="28"/>
      <c r="AX823" s="28"/>
      <c r="AY823" s="202"/>
      <c r="AZ823" s="48"/>
      <c r="BA823" s="48" t="s">
        <v>236</v>
      </c>
      <c r="BB823" s="48"/>
      <c r="BC823" s="300">
        <v>1614</v>
      </c>
      <c r="BD823" s="49"/>
      <c r="BE823" s="42"/>
      <c r="BF823" s="28"/>
      <c r="BG823" s="28" t="s">
        <v>236</v>
      </c>
      <c r="BH823" s="28"/>
      <c r="BI823" s="174">
        <v>8203</v>
      </c>
      <c r="BJ823" s="28"/>
    </row>
    <row r="824" spans="25:62" ht="15" thickBot="1" x14ac:dyDescent="0.35">
      <c r="Y824" s="28"/>
      <c r="Z824" s="28"/>
      <c r="AA824" s="28"/>
      <c r="AB824" s="43"/>
      <c r="AC824" s="43"/>
      <c r="AD824" s="43"/>
      <c r="AE824" s="28"/>
      <c r="AF824" s="28"/>
      <c r="AG824" s="28"/>
      <c r="AH824" s="43"/>
      <c r="AI824" s="28"/>
      <c r="AJ824" s="28"/>
      <c r="AM824" s="28"/>
      <c r="AN824" s="28"/>
      <c r="AO824" s="28"/>
      <c r="AP824" s="28"/>
      <c r="AQ824" s="28"/>
      <c r="AR824" s="28"/>
      <c r="AS824" s="43"/>
      <c r="AT824" s="43"/>
      <c r="AU824" s="28"/>
      <c r="AV824" s="28"/>
      <c r="AW824" s="28"/>
      <c r="AX824" s="28"/>
      <c r="AY824" s="210" t="s">
        <v>238</v>
      </c>
      <c r="AZ824" s="170" t="s">
        <v>239</v>
      </c>
      <c r="BA824" s="172"/>
      <c r="BB824" s="171" t="s">
        <v>240</v>
      </c>
      <c r="BC824" s="170" t="s">
        <v>241</v>
      </c>
      <c r="BD824" s="170"/>
      <c r="BE824" s="171"/>
      <c r="BF824" s="170" t="s">
        <v>242</v>
      </c>
      <c r="BG824" s="305" t="s">
        <v>243</v>
      </c>
      <c r="BH824" s="170"/>
      <c r="BI824" s="172"/>
      <c r="BJ824" s="28"/>
    </row>
    <row r="825" spans="25:62" x14ac:dyDescent="0.3">
      <c r="Y825" s="28"/>
      <c r="Z825" s="28"/>
      <c r="AA825" s="28"/>
      <c r="AB825" s="43"/>
      <c r="AC825" s="43"/>
      <c r="AD825" s="43"/>
      <c r="AE825" s="28"/>
      <c r="AF825" s="28"/>
      <c r="AG825" s="28"/>
      <c r="AH825" s="43"/>
      <c r="AI825" s="43"/>
      <c r="AJ825" s="28"/>
      <c r="AM825" s="28"/>
      <c r="AN825" s="43"/>
      <c r="AO825" s="43"/>
      <c r="AP825" s="28"/>
      <c r="AQ825" s="43"/>
      <c r="AR825" s="28"/>
      <c r="AS825" s="43"/>
      <c r="AT825" s="43"/>
      <c r="AU825" s="28"/>
      <c r="AV825" s="28"/>
      <c r="AW825" s="28"/>
      <c r="AX825" s="28"/>
      <c r="AY825" s="200" t="s">
        <v>233</v>
      </c>
      <c r="AZ825" s="34"/>
      <c r="BA825" s="304">
        <v>39263</v>
      </c>
      <c r="BB825" s="306" t="s">
        <v>233</v>
      </c>
      <c r="BC825" s="28"/>
      <c r="BD825" s="174">
        <v>2986</v>
      </c>
      <c r="BE825" s="42" t="s">
        <v>233</v>
      </c>
      <c r="BF825" s="28"/>
      <c r="BG825" s="174">
        <v>11447</v>
      </c>
      <c r="BH825" s="28" t="s">
        <v>245</v>
      </c>
      <c r="BI825" s="174">
        <v>50710</v>
      </c>
      <c r="BJ825" s="28"/>
    </row>
    <row r="826" spans="25:62" ht="15" thickBot="1" x14ac:dyDescent="0.35">
      <c r="Y826" s="28"/>
      <c r="Z826" s="43"/>
      <c r="AA826" s="28"/>
      <c r="AB826" s="43"/>
      <c r="AC826" s="28"/>
      <c r="AD826" s="28"/>
      <c r="AE826" s="28"/>
      <c r="AF826" s="28"/>
      <c r="AG826" s="28"/>
      <c r="AH826" s="28"/>
      <c r="AI826" s="28"/>
      <c r="AJ826" s="28"/>
      <c r="AM826" s="28"/>
      <c r="AN826" s="43"/>
      <c r="AO826" s="43"/>
      <c r="AP826" s="28"/>
      <c r="AQ826" s="43"/>
      <c r="AR826" s="28"/>
      <c r="AS826" s="43"/>
      <c r="AT826" s="43"/>
      <c r="AU826" s="28"/>
      <c r="AV826" s="43"/>
      <c r="AW826" s="43"/>
      <c r="AX826" s="28"/>
      <c r="AY826" s="202" t="s">
        <v>236</v>
      </c>
      <c r="AZ826" s="48"/>
      <c r="BA826" s="301">
        <v>41321</v>
      </c>
      <c r="BB826" s="307" t="s">
        <v>236</v>
      </c>
      <c r="BC826" s="48"/>
      <c r="BD826" s="301">
        <v>2787</v>
      </c>
      <c r="BE826" s="42" t="s">
        <v>236</v>
      </c>
      <c r="BF826" s="28"/>
      <c r="BG826" s="174">
        <v>10990</v>
      </c>
      <c r="BH826" s="28"/>
      <c r="BI826" s="174">
        <v>52311</v>
      </c>
      <c r="BJ826" s="140">
        <v>103021</v>
      </c>
    </row>
    <row r="827" spans="25:62" ht="15" thickBot="1" x14ac:dyDescent="0.35">
      <c r="Y827" s="28"/>
      <c r="Z827" s="28"/>
      <c r="AA827" s="28"/>
      <c r="AB827" s="43"/>
      <c r="AC827" s="43"/>
      <c r="AD827" s="43"/>
      <c r="AE827" s="28"/>
      <c r="AF827" s="28"/>
      <c r="AG827" s="28"/>
      <c r="AH827" s="28"/>
      <c r="AI827" s="28"/>
      <c r="AJ827" s="28"/>
      <c r="AM827" s="28"/>
      <c r="AN827" s="43"/>
      <c r="AO827" s="43"/>
      <c r="AP827" s="28"/>
      <c r="AQ827" s="43"/>
      <c r="AR827" s="28"/>
      <c r="AS827" s="43"/>
      <c r="AT827" s="43"/>
      <c r="AU827" s="28"/>
      <c r="AV827" s="43"/>
      <c r="AW827" s="43"/>
      <c r="AX827" s="28"/>
      <c r="AY827" s="377" t="s">
        <v>1505</v>
      </c>
      <c r="AZ827" s="170"/>
      <c r="BA827" s="272"/>
      <c r="BB827" s="271" t="s">
        <v>1506</v>
      </c>
      <c r="BC827" s="170"/>
      <c r="BD827" s="170"/>
      <c r="BE827" s="171"/>
      <c r="BF827" s="170" t="s">
        <v>1507</v>
      </c>
      <c r="BG827" s="170"/>
      <c r="BH827" s="170"/>
      <c r="BI827" s="308"/>
      <c r="BJ827" s="28"/>
    </row>
    <row r="828" spans="25:62" x14ac:dyDescent="0.3">
      <c r="Y828" s="28"/>
      <c r="Z828" s="28"/>
      <c r="AA828" s="28"/>
      <c r="AB828" s="43"/>
      <c r="AC828" s="43"/>
      <c r="AD828" s="43"/>
      <c r="AE828" s="28"/>
      <c r="AF828" s="28"/>
      <c r="AG828" s="28"/>
      <c r="AH828" s="43"/>
      <c r="AI828" s="28"/>
      <c r="AJ828" s="28"/>
      <c r="AM828" s="28"/>
      <c r="AN828" s="43"/>
      <c r="AO828" s="43"/>
      <c r="AP828" s="28"/>
      <c r="AQ828" s="28"/>
      <c r="AR828" s="28"/>
      <c r="AS828" s="43"/>
      <c r="AT828" s="43"/>
      <c r="AU828" s="28"/>
      <c r="AV828" s="28"/>
      <c r="AW828" s="28"/>
      <c r="AX828" s="28"/>
      <c r="AY828" s="378" t="s">
        <v>43</v>
      </c>
      <c r="AZ828" s="34" t="s">
        <v>44</v>
      </c>
      <c r="BA828" s="309"/>
      <c r="BB828" s="123" t="s">
        <v>43</v>
      </c>
      <c r="BC828" s="123" t="s">
        <v>44</v>
      </c>
      <c r="BD828" s="35"/>
      <c r="BE828" s="34"/>
      <c r="BF828" s="298">
        <v>2955</v>
      </c>
      <c r="BG828" s="298"/>
      <c r="BH828" s="34"/>
      <c r="BI828" s="35"/>
      <c r="BJ828" s="28"/>
    </row>
    <row r="829" spans="25:62" ht="15" thickBot="1" x14ac:dyDescent="0.35">
      <c r="Y829" s="28"/>
      <c r="Z829" s="28"/>
      <c r="AA829" s="28"/>
      <c r="AB829" s="43"/>
      <c r="AC829" s="43"/>
      <c r="AD829" s="43"/>
      <c r="AE829" s="28"/>
      <c r="AF829" s="28"/>
      <c r="AG829" s="28"/>
      <c r="AH829" s="43"/>
      <c r="AI829" s="43"/>
      <c r="AJ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379">
        <v>224494</v>
      </c>
      <c r="AZ829" s="300">
        <v>101058</v>
      </c>
      <c r="BA829" s="311"/>
      <c r="BB829" s="312">
        <v>71889</v>
      </c>
      <c r="BC829" s="300">
        <v>21202</v>
      </c>
      <c r="BD829" s="49"/>
      <c r="BE829" s="48"/>
      <c r="BF829" s="48"/>
      <c r="BG829" s="48"/>
      <c r="BH829" s="48"/>
      <c r="BI829" s="49"/>
      <c r="BJ829" s="28"/>
    </row>
    <row r="830" spans="25:62" x14ac:dyDescent="0.3">
      <c r="Y830" s="43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</row>
    <row r="831" spans="25:62" x14ac:dyDescent="0.3"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</row>
    <row r="832" spans="25:62" x14ac:dyDescent="0.3">
      <c r="Y832" s="28"/>
      <c r="Z832" s="28"/>
      <c r="AA832" s="43"/>
      <c r="AB832" s="43"/>
      <c r="AC832" s="43"/>
      <c r="AD832" s="43"/>
      <c r="AE832" s="28"/>
      <c r="AF832" s="43"/>
      <c r="AG832" s="28"/>
      <c r="AH832" s="43"/>
      <c r="AI832" s="28"/>
      <c r="AJ832" s="28"/>
    </row>
    <row r="833" spans="1:62" x14ac:dyDescent="0.3">
      <c r="Y833" s="28"/>
      <c r="Z833" s="28"/>
      <c r="AA833" s="43"/>
      <c r="AB833" s="43"/>
      <c r="AC833" s="43"/>
      <c r="AD833" s="43"/>
      <c r="AE833" s="28"/>
      <c r="AF833" s="43"/>
      <c r="AG833" s="28"/>
      <c r="AH833" s="28"/>
      <c r="AI833" s="28"/>
      <c r="AJ833" s="28"/>
    </row>
    <row r="834" spans="1:62" x14ac:dyDescent="0.3">
      <c r="Y834" s="43"/>
      <c r="Z834" s="28"/>
      <c r="AA834" s="43"/>
      <c r="AB834" s="28"/>
      <c r="AC834" s="43"/>
      <c r="AD834" s="28"/>
      <c r="AE834" s="28"/>
      <c r="AF834" s="43"/>
      <c r="AG834" s="28"/>
      <c r="AH834" s="28"/>
      <c r="AI834" s="43"/>
      <c r="AJ834" s="28"/>
    </row>
    <row r="835" spans="1:62" ht="21" x14ac:dyDescent="0.4">
      <c r="B835" s="261"/>
      <c r="C835" s="184"/>
      <c r="E835" s="329" t="s">
        <v>1873</v>
      </c>
      <c r="O835" s="261"/>
      <c r="P835" s="184"/>
      <c r="R835" s="329" t="s">
        <v>1873</v>
      </c>
      <c r="AA835" s="261"/>
      <c r="AB835" s="184"/>
      <c r="AD835" s="329" t="s">
        <v>1873</v>
      </c>
      <c r="AO835" s="261"/>
      <c r="AP835" s="184"/>
      <c r="AR835" s="329" t="s">
        <v>1873</v>
      </c>
      <c r="AY835" s="28" t="s">
        <v>6</v>
      </c>
      <c r="AZ835" s="28"/>
      <c r="BA835" s="261"/>
      <c r="BB835" s="184"/>
      <c r="BD835" s="329" t="s">
        <v>1873</v>
      </c>
      <c r="BH835" s="258"/>
      <c r="BI835" s="28"/>
      <c r="BJ835" s="28"/>
    </row>
    <row r="836" spans="1:62" x14ac:dyDescent="0.3">
      <c r="C836" t="s">
        <v>1443</v>
      </c>
      <c r="O836" s="385"/>
      <c r="P836" s="385"/>
      <c r="Q836" s="385" t="s">
        <v>1</v>
      </c>
      <c r="R836" s="385"/>
      <c r="S836" s="385"/>
      <c r="T836" s="385"/>
      <c r="AC836" t="s">
        <v>1444</v>
      </c>
      <c r="AO836" s="408" t="s">
        <v>2187</v>
      </c>
      <c r="AP836" s="408"/>
      <c r="AQ836" s="408"/>
      <c r="AR836" s="408"/>
      <c r="AS836" s="408"/>
      <c r="BC836" t="s">
        <v>1445</v>
      </c>
      <c r="BF836" s="28"/>
      <c r="BG836" s="28"/>
      <c r="BH836" s="28"/>
      <c r="BI836" s="28"/>
      <c r="BJ836" s="28"/>
    </row>
    <row r="837" spans="1:62" x14ac:dyDescent="0.3">
      <c r="D837" t="s">
        <v>2</v>
      </c>
      <c r="O837" s="385"/>
      <c r="P837" s="385"/>
      <c r="Q837" s="408" t="s">
        <v>1286</v>
      </c>
      <c r="R837" s="408"/>
      <c r="S837" s="408"/>
      <c r="T837" s="385"/>
      <c r="AC837" t="s">
        <v>9</v>
      </c>
      <c r="AP837" s="408" t="s">
        <v>2120</v>
      </c>
      <c r="AQ837" s="408"/>
      <c r="AR837" s="408"/>
      <c r="AS837" s="408"/>
      <c r="AT837" s="408"/>
      <c r="BD837" t="s">
        <v>2</v>
      </c>
      <c r="BF837" s="28"/>
      <c r="BG837" s="28"/>
      <c r="BH837" s="28"/>
      <c r="BI837" s="28"/>
      <c r="BJ837" s="28"/>
    </row>
    <row r="838" spans="1:62" x14ac:dyDescent="0.3">
      <c r="C838" t="s">
        <v>7</v>
      </c>
      <c r="O838" s="385"/>
      <c r="P838" s="385" t="s">
        <v>1446</v>
      </c>
      <c r="Q838" s="385"/>
      <c r="R838" s="385"/>
      <c r="S838" s="385"/>
      <c r="T838" s="385"/>
      <c r="AC838" t="s">
        <v>11</v>
      </c>
      <c r="AM838" s="408" t="s">
        <v>2188</v>
      </c>
      <c r="AN838" s="408"/>
      <c r="AO838" s="408"/>
      <c r="AP838" s="408"/>
      <c r="AQ838" s="408"/>
      <c r="AR838" s="408"/>
      <c r="AS838" s="408"/>
      <c r="AT838" s="408"/>
      <c r="BB838" t="s">
        <v>1451</v>
      </c>
      <c r="BF838" s="28"/>
      <c r="BG838" s="28"/>
      <c r="BH838" s="28"/>
      <c r="BI838" s="28"/>
      <c r="BJ838" s="28"/>
    </row>
    <row r="839" spans="1:62" x14ac:dyDescent="0.3">
      <c r="A839" s="408"/>
      <c r="B839" s="408"/>
      <c r="C839" s="408"/>
      <c r="D839" s="408" t="s">
        <v>2189</v>
      </c>
      <c r="E839" s="408"/>
      <c r="F839" s="344"/>
      <c r="O839" s="385"/>
      <c r="P839" s="408" t="s">
        <v>2190</v>
      </c>
      <c r="Q839" s="408"/>
      <c r="R839" s="408"/>
      <c r="S839" s="408"/>
      <c r="T839" s="385"/>
      <c r="AB839" s="408" t="s">
        <v>2191</v>
      </c>
      <c r="AC839" s="408"/>
      <c r="AD839" s="408"/>
      <c r="AE839" s="408"/>
      <c r="AF839" s="408"/>
      <c r="AO839" s="408" t="s">
        <v>2192</v>
      </c>
      <c r="AP839" s="408"/>
      <c r="AQ839" s="408"/>
      <c r="AR839" s="408"/>
      <c r="AS839" s="408"/>
      <c r="AT839" s="344"/>
      <c r="BB839" s="408" t="s">
        <v>2193</v>
      </c>
      <c r="BC839" s="408"/>
      <c r="BD839" s="408"/>
      <c r="BE839" s="408"/>
      <c r="BF839" s="408"/>
      <c r="BJ839" s="28"/>
    </row>
    <row r="840" spans="1:62" ht="15" thickBot="1" x14ac:dyDescent="0.35">
      <c r="A840" s="410" t="s">
        <v>2076</v>
      </c>
      <c r="B840" s="410"/>
      <c r="C840" s="410"/>
      <c r="D840" s="410"/>
      <c r="E840" s="410"/>
      <c r="F840" s="410"/>
      <c r="G840" s="410"/>
      <c r="H840" s="410"/>
      <c r="I840" s="368" t="s">
        <v>949</v>
      </c>
      <c r="J840" s="344"/>
      <c r="L840" s="328"/>
      <c r="M840" s="328"/>
      <c r="N840" s="328"/>
      <c r="O840" s="410" t="s">
        <v>2076</v>
      </c>
      <c r="P840" s="410"/>
      <c r="Q840" s="410"/>
      <c r="R840" s="410"/>
      <c r="S840" s="410"/>
      <c r="T840" s="410"/>
      <c r="U840" s="410"/>
      <c r="V840" t="s">
        <v>15</v>
      </c>
      <c r="Y840" s="410" t="s">
        <v>2194</v>
      </c>
      <c r="Z840" s="410"/>
      <c r="AA840" s="410"/>
      <c r="AB840" s="410"/>
      <c r="AC840" s="410"/>
      <c r="AD840" s="410"/>
      <c r="AE840" s="410"/>
      <c r="AF840" s="410"/>
      <c r="AG840" s="410"/>
      <c r="AH840" s="386"/>
      <c r="AI840" s="28" t="s">
        <v>25</v>
      </c>
      <c r="AM840" s="328"/>
      <c r="AN840" s="328"/>
      <c r="AO840" s="328"/>
      <c r="AP840" s="328" t="s">
        <v>2195</v>
      </c>
      <c r="AQ840" s="328"/>
      <c r="AR840" s="328"/>
      <c r="AS840" s="328"/>
      <c r="AT840" s="328"/>
      <c r="AU840" s="328"/>
      <c r="AV840" s="194" t="s">
        <v>951</v>
      </c>
      <c r="AY840" s="344"/>
      <c r="AZ840" s="328"/>
      <c r="BA840" s="328"/>
      <c r="BB840" s="328"/>
      <c r="BC840" s="328" t="s">
        <v>2076</v>
      </c>
      <c r="BD840" s="328"/>
      <c r="BE840" s="328"/>
      <c r="BF840" s="328"/>
      <c r="BG840" s="328"/>
      <c r="BH840" s="328"/>
      <c r="BI840" s="369" t="s">
        <v>950</v>
      </c>
      <c r="BJ840" s="28"/>
    </row>
    <row r="841" spans="1:62" ht="15" thickBot="1" x14ac:dyDescent="0.35">
      <c r="A841" s="32" t="s">
        <v>17</v>
      </c>
      <c r="B841" s="34" t="s">
        <v>18</v>
      </c>
      <c r="C841" s="201"/>
      <c r="D841" s="34" t="s">
        <v>19</v>
      </c>
      <c r="E841" s="34"/>
      <c r="F841" s="34"/>
      <c r="G841" s="200"/>
      <c r="H841" s="33" t="s">
        <v>21</v>
      </c>
      <c r="I841" s="34"/>
      <c r="J841" s="35"/>
      <c r="M841" s="32" t="s">
        <v>17</v>
      </c>
      <c r="N841" s="33" t="s">
        <v>22</v>
      </c>
      <c r="O841" s="34"/>
      <c r="P841" s="34" t="s">
        <v>1452</v>
      </c>
      <c r="Q841" s="34" t="s">
        <v>1453</v>
      </c>
      <c r="R841" s="34"/>
      <c r="S841" s="34"/>
      <c r="T841" s="35"/>
      <c r="U841" s="33" t="s">
        <v>21</v>
      </c>
      <c r="V841" s="35"/>
      <c r="Y841" s="33" t="s">
        <v>34</v>
      </c>
      <c r="Z841" s="200" t="s">
        <v>35</v>
      </c>
      <c r="AA841" s="201"/>
      <c r="AB841" s="34" t="s">
        <v>1454</v>
      </c>
      <c r="AC841" s="34" t="s">
        <v>51</v>
      </c>
      <c r="AD841" s="34"/>
      <c r="AE841" s="200" t="s">
        <v>37</v>
      </c>
      <c r="AF841" s="201" t="s">
        <v>1288</v>
      </c>
      <c r="AG841" s="34" t="s">
        <v>30</v>
      </c>
      <c r="AH841" s="200" t="s">
        <v>38</v>
      </c>
      <c r="AI841" s="34"/>
      <c r="AJ841" s="35"/>
      <c r="AM841" s="134" t="s">
        <v>17</v>
      </c>
      <c r="AN841" s="134" t="s">
        <v>39</v>
      </c>
      <c r="AO841" s="136"/>
      <c r="AP841" s="134" t="s">
        <v>29</v>
      </c>
      <c r="AQ841" s="136" t="s">
        <v>30</v>
      </c>
      <c r="AR841" s="135" t="s">
        <v>40</v>
      </c>
      <c r="AS841" s="135"/>
      <c r="AT841" s="135"/>
      <c r="AU841" s="135"/>
      <c r="AV841" s="136"/>
      <c r="AY841" s="195" t="s">
        <v>17</v>
      </c>
      <c r="AZ841" s="134" t="s">
        <v>27</v>
      </c>
      <c r="BA841" s="135"/>
      <c r="BB841" s="134" t="s">
        <v>28</v>
      </c>
      <c r="BC841" s="135"/>
      <c r="BD841" s="136"/>
      <c r="BE841" s="134" t="s">
        <v>1459</v>
      </c>
      <c r="BF841" s="136"/>
      <c r="BG841" s="135" t="s">
        <v>31</v>
      </c>
      <c r="BH841" s="135"/>
      <c r="BI841" s="136"/>
      <c r="BJ841" s="28"/>
    </row>
    <row r="842" spans="1:62" ht="15" thickBot="1" x14ac:dyDescent="0.35">
      <c r="A842" s="41" t="s">
        <v>32</v>
      </c>
      <c r="B842" s="28"/>
      <c r="C842" s="141"/>
      <c r="D842" s="28"/>
      <c r="E842" s="28"/>
      <c r="F842" s="28"/>
      <c r="G842" s="138"/>
      <c r="H842" s="42" t="s">
        <v>33</v>
      </c>
      <c r="I842" s="28"/>
      <c r="J842" s="40"/>
      <c r="M842" s="41"/>
      <c r="N842" s="42" t="s">
        <v>1456</v>
      </c>
      <c r="O842" s="28"/>
      <c r="P842" s="28"/>
      <c r="Q842" s="28"/>
      <c r="R842" s="28"/>
      <c r="S842" s="28" t="s">
        <v>1457</v>
      </c>
      <c r="T842" s="40"/>
      <c r="U842" s="42" t="s">
        <v>33</v>
      </c>
      <c r="V842" s="40"/>
      <c r="Y842" s="47" t="s">
        <v>50</v>
      </c>
      <c r="Z842" s="202" t="s">
        <v>43</v>
      </c>
      <c r="AA842" s="48" t="s">
        <v>44</v>
      </c>
      <c r="AB842" s="169" t="s">
        <v>45</v>
      </c>
      <c r="AC842" s="48" t="s">
        <v>46</v>
      </c>
      <c r="AD842" s="48" t="s">
        <v>52</v>
      </c>
      <c r="AE842" s="202" t="s">
        <v>43</v>
      </c>
      <c r="AF842" s="203" t="s">
        <v>44</v>
      </c>
      <c r="AG842" s="48" t="s">
        <v>43</v>
      </c>
      <c r="AH842" s="202" t="s">
        <v>53</v>
      </c>
      <c r="AI842" s="48"/>
      <c r="AJ842" s="49"/>
      <c r="AM842" s="138" t="s">
        <v>42</v>
      </c>
      <c r="AN842" s="138" t="s">
        <v>43</v>
      </c>
      <c r="AO842" s="141" t="s">
        <v>44</v>
      </c>
      <c r="AP842" s="138" t="s">
        <v>43</v>
      </c>
      <c r="AQ842" s="141" t="s">
        <v>44</v>
      </c>
      <c r="AR842" s="28"/>
      <c r="AS842" s="28"/>
      <c r="AT842" s="28"/>
      <c r="AU842" s="28"/>
      <c r="AV842" s="141"/>
      <c r="AY842" s="196"/>
      <c r="AZ842" s="138"/>
      <c r="BA842" s="28"/>
      <c r="BB842" s="138"/>
      <c r="BC842" s="28"/>
      <c r="BD842" s="141"/>
      <c r="BE842" s="138"/>
      <c r="BF842" s="141"/>
      <c r="BG842" s="28" t="s">
        <v>41</v>
      </c>
      <c r="BH842" s="28"/>
      <c r="BI842" s="141"/>
      <c r="BJ842" s="28"/>
    </row>
    <row r="843" spans="1:62" ht="15" thickBot="1" x14ac:dyDescent="0.35">
      <c r="A843" s="46" t="s">
        <v>42</v>
      </c>
      <c r="B843" s="171" t="s">
        <v>43</v>
      </c>
      <c r="C843" s="172" t="s">
        <v>44</v>
      </c>
      <c r="D843" s="170" t="s">
        <v>45</v>
      </c>
      <c r="E843" s="170" t="s">
        <v>46</v>
      </c>
      <c r="F843" s="170" t="s">
        <v>47</v>
      </c>
      <c r="G843" s="254" t="s">
        <v>1460</v>
      </c>
      <c r="H843" s="47" t="s">
        <v>49</v>
      </c>
      <c r="I843" s="48"/>
      <c r="J843" s="49"/>
      <c r="M843" s="46" t="s">
        <v>50</v>
      </c>
      <c r="N843" s="47" t="s">
        <v>43</v>
      </c>
      <c r="O843" s="48" t="s">
        <v>44</v>
      </c>
      <c r="P843" s="171" t="s">
        <v>51</v>
      </c>
      <c r="Q843" s="170" t="s">
        <v>43</v>
      </c>
      <c r="R843" s="172" t="s">
        <v>44</v>
      </c>
      <c r="S843" s="48" t="s">
        <v>43</v>
      </c>
      <c r="T843" s="49" t="s">
        <v>44</v>
      </c>
      <c r="U843" s="47" t="s">
        <v>49</v>
      </c>
      <c r="V843" s="49"/>
      <c r="Y843" s="33"/>
      <c r="Z843" s="33"/>
      <c r="AA843" s="35"/>
      <c r="AB843" s="34"/>
      <c r="AC843" s="34"/>
      <c r="AD843" s="34"/>
      <c r="AE843" s="33"/>
      <c r="AF843" s="35"/>
      <c r="AG843" s="32"/>
      <c r="AH843" s="33" t="s">
        <v>62</v>
      </c>
      <c r="AI843" s="34"/>
      <c r="AJ843" s="35"/>
      <c r="AM843" s="134"/>
      <c r="AN843" s="134"/>
      <c r="AO843" s="136"/>
      <c r="AP843" s="134"/>
      <c r="AQ843" s="136"/>
      <c r="AR843" s="135"/>
      <c r="AS843" s="135" t="s">
        <v>91</v>
      </c>
      <c r="AT843" s="135"/>
      <c r="AU843" s="135"/>
      <c r="AV843" s="136"/>
      <c r="AY843" s="199" t="s">
        <v>42</v>
      </c>
      <c r="AZ843" s="142" t="s">
        <v>43</v>
      </c>
      <c r="BA843" s="143" t="s">
        <v>44</v>
      </c>
      <c r="BB843" s="142" t="s">
        <v>45</v>
      </c>
      <c r="BC843" s="143" t="s">
        <v>46</v>
      </c>
      <c r="BD843" s="146" t="s">
        <v>52</v>
      </c>
      <c r="BE843" s="142" t="s">
        <v>43</v>
      </c>
      <c r="BF843" s="146" t="s">
        <v>44</v>
      </c>
      <c r="BG843" s="143" t="s">
        <v>54</v>
      </c>
      <c r="BH843" s="143"/>
      <c r="BI843" s="146"/>
      <c r="BJ843" s="28"/>
    </row>
    <row r="844" spans="1:62" x14ac:dyDescent="0.3">
      <c r="A844" s="42"/>
      <c r="B844" s="138"/>
      <c r="C844" s="141"/>
      <c r="D844" s="138"/>
      <c r="E844" s="28"/>
      <c r="F844" s="28"/>
      <c r="G844" s="138"/>
      <c r="H844" s="33" t="s">
        <v>396</v>
      </c>
      <c r="I844" s="34"/>
      <c r="J844" s="35"/>
      <c r="M844" s="42"/>
      <c r="N844" s="138"/>
      <c r="O844" s="196"/>
      <c r="P844" s="138"/>
      <c r="Q844" s="196"/>
      <c r="R844" s="141"/>
      <c r="S844" s="138"/>
      <c r="T844" s="138"/>
      <c r="U844" s="33" t="s">
        <v>396</v>
      </c>
      <c r="V844" s="35"/>
      <c r="Y844" s="42"/>
      <c r="Z844" s="42"/>
      <c r="AA844" s="40"/>
      <c r="AB844" s="28"/>
      <c r="AC844" s="28"/>
      <c r="AD844" s="28"/>
      <c r="AE844" s="42"/>
      <c r="AF844" s="40"/>
      <c r="AG844" s="41"/>
      <c r="AH844" s="42"/>
      <c r="AI844" s="28"/>
      <c r="AJ844" s="40"/>
      <c r="AM844" s="138" t="s">
        <v>78</v>
      </c>
      <c r="AN844" s="138">
        <v>0</v>
      </c>
      <c r="AO844" s="141">
        <v>0</v>
      </c>
      <c r="AP844" s="138"/>
      <c r="AQ844" s="141"/>
      <c r="AR844" s="28"/>
      <c r="AS844" s="43">
        <v>80</v>
      </c>
      <c r="AT844" s="28" t="s">
        <v>1026</v>
      </c>
      <c r="AU844" s="43"/>
      <c r="AV844" s="141"/>
      <c r="AY844" s="195"/>
      <c r="AZ844" s="134"/>
      <c r="BA844" s="136"/>
      <c r="BB844" s="134"/>
      <c r="BC844" s="135"/>
      <c r="BD844" s="136"/>
      <c r="BE844" s="134"/>
      <c r="BF844" s="136"/>
      <c r="BG844" s="134" t="s">
        <v>58</v>
      </c>
      <c r="BH844" s="135"/>
      <c r="BI844" s="136"/>
    </row>
    <row r="845" spans="1:62" x14ac:dyDescent="0.3">
      <c r="A845" s="42" t="s">
        <v>59</v>
      </c>
      <c r="B845" s="212">
        <v>1805</v>
      </c>
      <c r="C845" s="141">
        <v>870</v>
      </c>
      <c r="D845" s="138">
        <v>0</v>
      </c>
      <c r="E845" s="38">
        <v>0</v>
      </c>
      <c r="F845" s="43">
        <v>0</v>
      </c>
      <c r="G845" s="138">
        <v>1</v>
      </c>
      <c r="H845" s="42">
        <v>7</v>
      </c>
      <c r="I845" s="28" t="s">
        <v>61</v>
      </c>
      <c r="J845" s="40"/>
      <c r="M845" s="42" t="s">
        <v>59</v>
      </c>
      <c r="N845" s="138">
        <v>6425</v>
      </c>
      <c r="O845" s="196">
        <v>46205</v>
      </c>
      <c r="P845" s="138">
        <v>0</v>
      </c>
      <c r="Q845" s="196">
        <v>0</v>
      </c>
      <c r="R845" s="141">
        <v>0</v>
      </c>
      <c r="S845" s="138">
        <v>0</v>
      </c>
      <c r="T845" s="138">
        <v>0</v>
      </c>
      <c r="U845" s="42"/>
      <c r="V845" s="40"/>
      <c r="Y845" s="42" t="s">
        <v>59</v>
      </c>
      <c r="Z845" s="42">
        <v>2460</v>
      </c>
      <c r="AA845" s="40">
        <v>1850</v>
      </c>
      <c r="AB845" s="28">
        <v>0</v>
      </c>
      <c r="AC845" s="43">
        <v>0</v>
      </c>
      <c r="AD845" s="43">
        <v>0</v>
      </c>
      <c r="AE845" s="42">
        <v>0</v>
      </c>
      <c r="AF845" s="40">
        <v>0</v>
      </c>
      <c r="AG845" s="41">
        <v>0</v>
      </c>
      <c r="AH845" s="42">
        <v>10</v>
      </c>
      <c r="AI845" s="28" t="s">
        <v>66</v>
      </c>
      <c r="AJ845" s="40"/>
      <c r="AM845" s="138" t="s">
        <v>56</v>
      </c>
      <c r="AN845" s="138">
        <v>1422</v>
      </c>
      <c r="AO845" s="141">
        <v>1448</v>
      </c>
      <c r="AP845" s="138"/>
      <c r="AQ845" s="141"/>
      <c r="AR845" s="28"/>
      <c r="AS845" s="43">
        <v>3</v>
      </c>
      <c r="AT845" s="28" t="s">
        <v>1294</v>
      </c>
      <c r="AU845" s="43"/>
      <c r="AV845" s="141"/>
      <c r="AY845" s="196"/>
      <c r="AZ845" s="138"/>
      <c r="BA845" s="141"/>
      <c r="BB845" s="138">
        <v>0</v>
      </c>
      <c r="BC845" s="43">
        <v>0</v>
      </c>
      <c r="BD845" s="209">
        <v>0</v>
      </c>
      <c r="BE845" s="138">
        <v>0</v>
      </c>
      <c r="BF845" s="141">
        <v>0</v>
      </c>
      <c r="BG845" s="212">
        <v>7</v>
      </c>
      <c r="BH845" s="28" t="s">
        <v>65</v>
      </c>
      <c r="BI845" s="141"/>
    </row>
    <row r="846" spans="1:62" ht="15" thickBot="1" x14ac:dyDescent="0.35">
      <c r="A846" s="42" t="s">
        <v>6</v>
      </c>
      <c r="B846" s="142"/>
      <c r="C846" s="146"/>
      <c r="D846" s="138"/>
      <c r="E846" s="28"/>
      <c r="F846" s="28"/>
      <c r="G846" s="138"/>
      <c r="H846" s="42"/>
      <c r="I846" s="28"/>
      <c r="J846" s="40">
        <v>7</v>
      </c>
      <c r="M846" s="244"/>
      <c r="N846" s="142"/>
      <c r="O846" s="199"/>
      <c r="P846" s="142"/>
      <c r="Q846" s="199"/>
      <c r="R846" s="146"/>
      <c r="S846" s="142"/>
      <c r="T846" s="142"/>
      <c r="U846" s="244"/>
      <c r="V846" s="245"/>
      <c r="Y846" s="42"/>
      <c r="Z846" s="42"/>
      <c r="AA846" s="40"/>
      <c r="AB846" s="28">
        <v>0</v>
      </c>
      <c r="AC846" s="28">
        <v>0</v>
      </c>
      <c r="AD846" s="28">
        <v>0</v>
      </c>
      <c r="AE846" s="42">
        <v>0</v>
      </c>
      <c r="AF846" s="40">
        <v>0</v>
      </c>
      <c r="AG846" s="41">
        <v>0</v>
      </c>
      <c r="AH846" s="47"/>
      <c r="AI846" s="48"/>
      <c r="AJ846" s="49">
        <v>10</v>
      </c>
      <c r="AM846" s="142" t="s">
        <v>84</v>
      </c>
      <c r="AN846" s="142">
        <v>1422</v>
      </c>
      <c r="AO846" s="146">
        <v>1448</v>
      </c>
      <c r="AP846" s="142"/>
      <c r="AQ846" s="146"/>
      <c r="AR846" s="143"/>
      <c r="AS846" s="143"/>
      <c r="AT846" s="143"/>
      <c r="AU846" s="143"/>
      <c r="AV846" s="146">
        <v>83</v>
      </c>
      <c r="AY846" s="196" t="s">
        <v>64</v>
      </c>
      <c r="AZ846" s="138">
        <v>156</v>
      </c>
      <c r="BA846" s="141">
        <v>65</v>
      </c>
      <c r="BB846" s="138">
        <v>0</v>
      </c>
      <c r="BC846" s="43">
        <v>0</v>
      </c>
      <c r="BD846" s="209">
        <v>0</v>
      </c>
      <c r="BE846" s="138">
        <v>0</v>
      </c>
      <c r="BF846" s="141">
        <v>0</v>
      </c>
      <c r="BG846" s="138">
        <v>1</v>
      </c>
      <c r="BH846" s="28" t="s">
        <v>1045</v>
      </c>
      <c r="BI846" s="141"/>
    </row>
    <row r="847" spans="1:62" x14ac:dyDescent="0.3">
      <c r="A847" s="278"/>
      <c r="B847" s="134"/>
      <c r="C847" s="135"/>
      <c r="D847" s="134"/>
      <c r="E847" s="135"/>
      <c r="F847" s="135"/>
      <c r="G847" s="134"/>
      <c r="H847" s="278" t="s">
        <v>2077</v>
      </c>
      <c r="I847" s="135"/>
      <c r="J847" s="279"/>
      <c r="M847" s="278"/>
      <c r="N847" s="134"/>
      <c r="O847" s="195"/>
      <c r="P847" s="134"/>
      <c r="Q847" s="195"/>
      <c r="R847" s="136"/>
      <c r="S847" s="134"/>
      <c r="T847" s="134"/>
      <c r="U847" s="278"/>
      <c r="V847" s="279"/>
      <c r="Y847" s="32"/>
      <c r="Z847" s="33"/>
      <c r="AA847" s="35"/>
      <c r="AB847" s="33"/>
      <c r="AC847" s="34"/>
      <c r="AD847" s="35"/>
      <c r="AE847" s="33"/>
      <c r="AF847" s="35"/>
      <c r="AG847" s="32"/>
      <c r="AH847" s="280" t="s">
        <v>1461</v>
      </c>
      <c r="AI847" s="384"/>
      <c r="AJ847" s="35"/>
      <c r="AM847" s="134"/>
      <c r="AN847" s="134"/>
      <c r="AO847" s="136"/>
      <c r="AP847" s="134"/>
      <c r="AQ847" s="136"/>
      <c r="AR847" s="135"/>
      <c r="AS847" s="135"/>
      <c r="AT847" s="135"/>
      <c r="AU847" s="135"/>
      <c r="AV847" s="136"/>
      <c r="AY847" s="211" t="s">
        <v>84</v>
      </c>
      <c r="AZ847" s="142">
        <v>156</v>
      </c>
      <c r="BA847" s="146">
        <v>65</v>
      </c>
      <c r="BB847" s="142">
        <v>0</v>
      </c>
      <c r="BC847" s="143">
        <v>0</v>
      </c>
      <c r="BD847" s="146">
        <v>0</v>
      </c>
      <c r="BE847" s="142">
        <v>0</v>
      </c>
      <c r="BF847" s="146">
        <v>0</v>
      </c>
      <c r="BG847" s="142"/>
      <c r="BH847" s="143"/>
      <c r="BI847" s="146">
        <v>8</v>
      </c>
      <c r="BJ847" s="28"/>
    </row>
    <row r="848" spans="1:62" x14ac:dyDescent="0.3">
      <c r="A848" s="42" t="s">
        <v>74</v>
      </c>
      <c r="B848" s="138">
        <v>1973</v>
      </c>
      <c r="C848" s="28">
        <v>2514</v>
      </c>
      <c r="D848" s="138">
        <v>0</v>
      </c>
      <c r="E848" s="38">
        <v>0</v>
      </c>
      <c r="F848" s="43">
        <v>0</v>
      </c>
      <c r="G848" s="138">
        <v>1</v>
      </c>
      <c r="H848" s="42">
        <v>18</v>
      </c>
      <c r="I848" s="28" t="s">
        <v>436</v>
      </c>
      <c r="J848" s="40"/>
      <c r="M848" s="42"/>
      <c r="N848" s="138"/>
      <c r="O848" s="196"/>
      <c r="P848" s="138"/>
      <c r="Q848" s="196"/>
      <c r="R848" s="141"/>
      <c r="S848" s="138"/>
      <c r="T848" s="138"/>
      <c r="U848" s="42" t="s">
        <v>80</v>
      </c>
      <c r="V848" s="40"/>
      <c r="Y848" s="41" t="s">
        <v>99</v>
      </c>
      <c r="Z848" s="67">
        <v>34</v>
      </c>
      <c r="AA848" s="40">
        <v>0</v>
      </c>
      <c r="AB848" s="67">
        <v>0</v>
      </c>
      <c r="AC848" s="43">
        <v>0</v>
      </c>
      <c r="AD848" s="40">
        <v>0</v>
      </c>
      <c r="AE848" s="42">
        <v>0</v>
      </c>
      <c r="AF848" s="40">
        <v>0</v>
      </c>
      <c r="AG848" s="41">
        <v>0</v>
      </c>
      <c r="AH848" s="67">
        <v>3</v>
      </c>
      <c r="AI848" s="43" t="s">
        <v>2196</v>
      </c>
      <c r="AJ848" s="40"/>
      <c r="AM848" s="138"/>
      <c r="AN848" s="138"/>
      <c r="AO848" s="141"/>
      <c r="AP848" s="138"/>
      <c r="AQ848" s="141"/>
      <c r="AR848" s="28"/>
      <c r="AS848" s="28" t="s">
        <v>110</v>
      </c>
      <c r="AT848" s="28" t="s">
        <v>111</v>
      </c>
      <c r="AU848" s="28" t="s">
        <v>112</v>
      </c>
      <c r="AV848" s="141"/>
      <c r="AY848" s="195"/>
      <c r="AZ848" s="135"/>
      <c r="BA848" s="136"/>
      <c r="BB848" s="240"/>
      <c r="BC848" s="241"/>
      <c r="BD848" s="242"/>
      <c r="BE848" s="134"/>
      <c r="BF848" s="136"/>
      <c r="BG848" s="135"/>
      <c r="BH848" s="135" t="s">
        <v>92</v>
      </c>
      <c r="BI848" s="136"/>
    </row>
    <row r="849" spans="1:62" x14ac:dyDescent="0.3">
      <c r="A849" s="42"/>
      <c r="B849" s="138"/>
      <c r="C849" s="28"/>
      <c r="D849" s="138"/>
      <c r="E849" s="28"/>
      <c r="F849" s="28"/>
      <c r="G849" s="138"/>
      <c r="H849" s="67"/>
      <c r="I849" s="43"/>
      <c r="J849" s="40"/>
      <c r="M849" s="42" t="s">
        <v>74</v>
      </c>
      <c r="N849" s="138">
        <v>12406</v>
      </c>
      <c r="O849" s="196">
        <v>6839</v>
      </c>
      <c r="P849" s="138">
        <v>0</v>
      </c>
      <c r="Q849" s="196">
        <v>0</v>
      </c>
      <c r="R849" s="141">
        <v>0</v>
      </c>
      <c r="S849" s="138">
        <v>0</v>
      </c>
      <c r="T849" s="138">
        <v>23</v>
      </c>
      <c r="U849" s="42"/>
      <c r="V849" s="40"/>
      <c r="Y849" s="41" t="s">
        <v>1435</v>
      </c>
      <c r="Z849" s="42">
        <v>36</v>
      </c>
      <c r="AA849" s="40">
        <v>0</v>
      </c>
      <c r="AB849" s="42">
        <v>0</v>
      </c>
      <c r="AC849" s="28">
        <v>0</v>
      </c>
      <c r="AD849" s="56">
        <v>0</v>
      </c>
      <c r="AE849" s="67">
        <v>0</v>
      </c>
      <c r="AF849" s="56">
        <v>0</v>
      </c>
      <c r="AG849" s="68">
        <v>0</v>
      </c>
      <c r="AH849" s="67"/>
      <c r="AI849" s="43"/>
      <c r="AJ849" s="40"/>
      <c r="AM849" s="138" t="s">
        <v>56</v>
      </c>
      <c r="AN849" s="138">
        <v>7</v>
      </c>
      <c r="AO849" s="141">
        <v>2</v>
      </c>
      <c r="AP849" s="138"/>
      <c r="AQ849" s="141"/>
      <c r="AR849" s="43"/>
      <c r="AS849" s="28"/>
      <c r="AT849" s="28"/>
      <c r="AU849" s="28"/>
      <c r="AV849" s="141"/>
      <c r="AY849" s="196"/>
      <c r="AZ849" s="28"/>
      <c r="BA849" s="141"/>
      <c r="BB849" s="138"/>
      <c r="BC849" s="43"/>
      <c r="BD849" s="141"/>
      <c r="BE849" s="138"/>
      <c r="BF849" s="141"/>
      <c r="BG849" s="43">
        <v>6</v>
      </c>
      <c r="BH849" s="43" t="s">
        <v>1297</v>
      </c>
      <c r="BI849" s="141"/>
    </row>
    <row r="850" spans="1:62" x14ac:dyDescent="0.3">
      <c r="A850" s="244"/>
      <c r="B850" s="142"/>
      <c r="C850" s="143"/>
      <c r="D850" s="142"/>
      <c r="E850" s="143"/>
      <c r="F850" s="143"/>
      <c r="G850" s="142"/>
      <c r="H850" s="244"/>
      <c r="I850" s="143"/>
      <c r="J850" s="245">
        <v>18</v>
      </c>
      <c r="M850" s="244"/>
      <c r="N850" s="142"/>
      <c r="O850" s="199"/>
      <c r="P850" s="142"/>
      <c r="Q850" s="199"/>
      <c r="R850" s="146"/>
      <c r="S850" s="142"/>
      <c r="T850" s="142"/>
      <c r="U850" s="244"/>
      <c r="V850" s="245"/>
      <c r="Y850" s="68" t="s">
        <v>107</v>
      </c>
      <c r="Z850" s="42">
        <v>51</v>
      </c>
      <c r="AA850" s="40">
        <v>0</v>
      </c>
      <c r="AB850" s="42">
        <v>0</v>
      </c>
      <c r="AC850" s="28">
        <v>33</v>
      </c>
      <c r="AD850" s="40">
        <v>0</v>
      </c>
      <c r="AE850" s="42">
        <v>0</v>
      </c>
      <c r="AF850" s="40">
        <v>0</v>
      </c>
      <c r="AG850" s="41">
        <v>0</v>
      </c>
      <c r="AH850" s="42"/>
      <c r="AI850" s="28"/>
      <c r="AJ850" s="40"/>
      <c r="AM850" s="138" t="s">
        <v>2031</v>
      </c>
      <c r="AN850" s="138">
        <v>21</v>
      </c>
      <c r="AO850" s="141">
        <v>2</v>
      </c>
      <c r="AP850" s="138"/>
      <c r="AQ850" s="141"/>
      <c r="AR850" s="28"/>
      <c r="AS850" s="43"/>
      <c r="AT850" s="28"/>
      <c r="AU850" s="28"/>
      <c r="AV850" s="141"/>
      <c r="AY850" s="196"/>
      <c r="AZ850" s="28"/>
      <c r="BA850" s="141"/>
      <c r="BB850" s="212"/>
      <c r="BC850" s="43"/>
      <c r="BD850" s="209"/>
      <c r="BE850" s="212"/>
      <c r="BF850" s="141"/>
      <c r="BG850" s="43">
        <v>17</v>
      </c>
      <c r="BH850" s="43" t="s">
        <v>2168</v>
      </c>
      <c r="BI850" s="141"/>
      <c r="BJ850" s="28"/>
    </row>
    <row r="851" spans="1:62" ht="15" thickBot="1" x14ac:dyDescent="0.35">
      <c r="A851" s="278"/>
      <c r="B851" s="134"/>
      <c r="C851" s="135"/>
      <c r="D851" s="134"/>
      <c r="E851" s="135"/>
      <c r="F851" s="135"/>
      <c r="G851" s="134"/>
      <c r="H851" s="278" t="s">
        <v>87</v>
      </c>
      <c r="I851" s="135"/>
      <c r="J851" s="279"/>
      <c r="M851" s="278"/>
      <c r="N851" s="134"/>
      <c r="O851" s="195"/>
      <c r="P851" s="134"/>
      <c r="Q851" s="195"/>
      <c r="R851" s="136"/>
      <c r="S851" s="134"/>
      <c r="T851" s="134"/>
      <c r="U851" s="278" t="s">
        <v>6</v>
      </c>
      <c r="V851" s="279"/>
      <c r="Y851" s="62" t="s">
        <v>84</v>
      </c>
      <c r="Z851" s="47">
        <v>121</v>
      </c>
      <c r="AA851" s="49">
        <v>0</v>
      </c>
      <c r="AB851" s="47">
        <v>0</v>
      </c>
      <c r="AC851" s="48">
        <v>0</v>
      </c>
      <c r="AD851" s="49">
        <v>0</v>
      </c>
      <c r="AE851" s="47">
        <v>0</v>
      </c>
      <c r="AF851" s="49">
        <v>0</v>
      </c>
      <c r="AG851" s="46">
        <v>0</v>
      </c>
      <c r="AH851" s="47"/>
      <c r="AI851" s="51"/>
      <c r="AJ851" s="49">
        <v>3</v>
      </c>
      <c r="AM851" s="138" t="s">
        <v>78</v>
      </c>
      <c r="AN851" s="138">
        <v>13</v>
      </c>
      <c r="AO851" s="141">
        <v>27</v>
      </c>
      <c r="AP851" s="138"/>
      <c r="AQ851" s="141"/>
      <c r="AR851" s="28"/>
      <c r="AS851" s="28"/>
      <c r="AT851" s="28"/>
      <c r="AU851" s="28"/>
      <c r="AV851" s="141"/>
      <c r="AY851" s="196"/>
      <c r="AZ851" s="43"/>
      <c r="BA851" s="141"/>
      <c r="BB851" s="138"/>
      <c r="BC851" s="43"/>
      <c r="BD851" s="141"/>
      <c r="BE851" s="212"/>
      <c r="BF851" s="141"/>
      <c r="BG851" s="43"/>
      <c r="BH851" s="43"/>
      <c r="BI851" s="141"/>
    </row>
    <row r="852" spans="1:62" x14ac:dyDescent="0.3">
      <c r="A852" s="42" t="s">
        <v>93</v>
      </c>
      <c r="B852" s="138">
        <v>4710</v>
      </c>
      <c r="C852" s="28">
        <v>3637</v>
      </c>
      <c r="D852" s="138">
        <v>0</v>
      </c>
      <c r="E852" s="38">
        <v>0</v>
      </c>
      <c r="F852" s="43">
        <v>0</v>
      </c>
      <c r="G852" s="138">
        <v>1</v>
      </c>
      <c r="H852" s="67">
        <v>14</v>
      </c>
      <c r="I852" s="28" t="s">
        <v>101</v>
      </c>
      <c r="J852" s="40"/>
      <c r="M852" s="42"/>
      <c r="N852" s="138"/>
      <c r="O852" s="196"/>
      <c r="P852" s="138"/>
      <c r="Q852" s="196"/>
      <c r="R852" s="141"/>
      <c r="S852" s="138"/>
      <c r="T852" s="138"/>
      <c r="U852" s="42"/>
      <c r="V852" s="40"/>
      <c r="Y852" s="32"/>
      <c r="Z852" s="34"/>
      <c r="AA852" s="34"/>
      <c r="AB852" s="33"/>
      <c r="AC852" s="34"/>
      <c r="AD852" s="35"/>
      <c r="AE852" s="34"/>
      <c r="AF852" s="34"/>
      <c r="AG852" s="32">
        <v>0</v>
      </c>
      <c r="AH852" s="33" t="s">
        <v>1298</v>
      </c>
      <c r="AI852" s="34"/>
      <c r="AJ852" s="35"/>
      <c r="AM852" s="138" t="s">
        <v>67</v>
      </c>
      <c r="AN852" s="138">
        <v>66</v>
      </c>
      <c r="AO852" s="141">
        <v>63</v>
      </c>
      <c r="AP852" s="138"/>
      <c r="AQ852" s="141"/>
      <c r="AR852" s="28"/>
      <c r="AS852" s="43">
        <v>23</v>
      </c>
      <c r="AT852" s="28" t="s">
        <v>123</v>
      </c>
      <c r="AU852" s="28" t="s">
        <v>6</v>
      </c>
      <c r="AV852" s="141"/>
      <c r="AY852" s="196"/>
      <c r="AZ852" s="28"/>
      <c r="BA852" s="141"/>
      <c r="BB852" s="138"/>
      <c r="BC852" s="43"/>
      <c r="BD852" s="141"/>
      <c r="BE852" s="43"/>
      <c r="BF852" s="141"/>
      <c r="BG852" s="28"/>
      <c r="BH852" s="28"/>
      <c r="BI852" s="141"/>
      <c r="BJ852" s="28"/>
    </row>
    <row r="853" spans="1:62" x14ac:dyDescent="0.3">
      <c r="A853" s="42"/>
      <c r="B853" s="138"/>
      <c r="C853" s="28"/>
      <c r="D853" s="138"/>
      <c r="E853" s="28"/>
      <c r="F853" s="28"/>
      <c r="G853" s="138"/>
      <c r="H853" s="67">
        <v>12</v>
      </c>
      <c r="I853" s="28" t="s">
        <v>958</v>
      </c>
      <c r="J853" s="40">
        <v>26</v>
      </c>
      <c r="M853" s="42"/>
      <c r="N853" s="138"/>
      <c r="O853" s="196"/>
      <c r="P853" s="138"/>
      <c r="Q853" s="196"/>
      <c r="R853" s="141"/>
      <c r="S853" s="138"/>
      <c r="T853" s="138"/>
      <c r="U853" s="42"/>
      <c r="V853" s="40"/>
      <c r="Y853" s="41" t="s">
        <v>107</v>
      </c>
      <c r="Z853">
        <v>321</v>
      </c>
      <c r="AA853">
        <v>206</v>
      </c>
      <c r="AB853" s="42">
        <v>0</v>
      </c>
      <c r="AC853" s="43">
        <v>0</v>
      </c>
      <c r="AD853" s="40">
        <v>0</v>
      </c>
      <c r="AE853" s="43">
        <v>0</v>
      </c>
      <c r="AF853" s="43">
        <v>0</v>
      </c>
      <c r="AG853" s="41">
        <v>0</v>
      </c>
      <c r="AH853" s="42">
        <v>7</v>
      </c>
      <c r="AI853" s="43" t="s">
        <v>145</v>
      </c>
      <c r="AJ853" s="40"/>
      <c r="AM853" s="138" t="s">
        <v>128</v>
      </c>
      <c r="AN853" s="138">
        <v>5</v>
      </c>
      <c r="AO853" s="141">
        <v>2</v>
      </c>
      <c r="AP853" s="138"/>
      <c r="AQ853" s="141"/>
      <c r="AR853" s="28"/>
      <c r="AS853" s="43">
        <v>25</v>
      </c>
      <c r="AT853" s="28" t="s">
        <v>126</v>
      </c>
      <c r="AU853" s="28"/>
      <c r="AV853" s="141"/>
      <c r="AY853" s="196" t="s">
        <v>99</v>
      </c>
      <c r="AZ853" s="43"/>
      <c r="BA853" s="141"/>
      <c r="BB853" s="138"/>
      <c r="BC853" s="43"/>
      <c r="BD853" s="141"/>
      <c r="BE853" s="43">
        <v>78815</v>
      </c>
      <c r="BF853" s="141">
        <v>23000</v>
      </c>
      <c r="BG853" s="43"/>
      <c r="BH853" s="43"/>
      <c r="BI853" s="141"/>
      <c r="BJ853" s="28"/>
    </row>
    <row r="854" spans="1:62" ht="15" thickBot="1" x14ac:dyDescent="0.35">
      <c r="A854" s="278" t="s">
        <v>108</v>
      </c>
      <c r="B854" s="134">
        <v>0</v>
      </c>
      <c r="C854" s="136">
        <v>0</v>
      </c>
      <c r="D854" s="135">
        <v>0</v>
      </c>
      <c r="E854" s="243">
        <v>0</v>
      </c>
      <c r="F854" s="135">
        <v>0</v>
      </c>
      <c r="G854" s="134">
        <v>1</v>
      </c>
      <c r="H854" s="278" t="s">
        <v>104</v>
      </c>
      <c r="I854" s="135"/>
      <c r="J854" s="279"/>
      <c r="M854" s="244"/>
      <c r="N854" s="142"/>
      <c r="O854" s="199"/>
      <c r="P854" s="142"/>
      <c r="Q854" s="199"/>
      <c r="R854" s="146"/>
      <c r="S854" s="142"/>
      <c r="T854" s="142"/>
      <c r="U854" s="244"/>
      <c r="V854" s="245"/>
      <c r="Y854" s="46" t="s">
        <v>84</v>
      </c>
      <c r="Z854" s="48">
        <v>321</v>
      </c>
      <c r="AA854" s="48">
        <v>206</v>
      </c>
      <c r="AB854" s="47">
        <v>0</v>
      </c>
      <c r="AC854" s="48">
        <v>0</v>
      </c>
      <c r="AD854" s="49">
        <v>0</v>
      </c>
      <c r="AE854" s="48">
        <v>0</v>
      </c>
      <c r="AF854" s="48">
        <v>0</v>
      </c>
      <c r="AG854" s="46">
        <v>0</v>
      </c>
      <c r="AH854" s="47">
        <v>2</v>
      </c>
      <c r="AI854" s="48" t="s">
        <v>141</v>
      </c>
      <c r="AJ854" s="49">
        <v>9</v>
      </c>
      <c r="AM854" s="138" t="s">
        <v>115</v>
      </c>
      <c r="AN854" s="138">
        <v>53</v>
      </c>
      <c r="AO854" s="141">
        <v>42</v>
      </c>
      <c r="AP854" s="138"/>
      <c r="AQ854" s="141"/>
      <c r="AR854" s="28"/>
      <c r="AS854" s="43">
        <v>22</v>
      </c>
      <c r="AT854" s="28" t="s">
        <v>129</v>
      </c>
      <c r="AU854" s="28" t="s">
        <v>6</v>
      </c>
      <c r="AV854" s="141"/>
      <c r="AY854" s="239" t="s">
        <v>84</v>
      </c>
      <c r="AZ854" s="43"/>
      <c r="BA854" s="209"/>
      <c r="BB854" s="138"/>
      <c r="BC854" s="43"/>
      <c r="BD854" s="141"/>
      <c r="BE854" s="43">
        <v>78815</v>
      </c>
      <c r="BF854" s="209">
        <v>23000</v>
      </c>
      <c r="BG854" s="28"/>
      <c r="BH854" s="43"/>
      <c r="BI854" s="141">
        <v>23</v>
      </c>
      <c r="BJ854" s="28"/>
    </row>
    <row r="855" spans="1:62" x14ac:dyDescent="0.3">
      <c r="A855" s="42" t="s">
        <v>109</v>
      </c>
      <c r="B855" s="138">
        <v>2277</v>
      </c>
      <c r="C855" s="141">
        <v>1290</v>
      </c>
      <c r="D855" s="28">
        <v>0</v>
      </c>
      <c r="E855" s="343">
        <v>714</v>
      </c>
      <c r="F855" s="43">
        <v>0</v>
      </c>
      <c r="G855" s="138"/>
      <c r="H855" s="67">
        <v>9</v>
      </c>
      <c r="I855" s="28" t="s">
        <v>114</v>
      </c>
      <c r="J855" s="40"/>
      <c r="M855" s="278"/>
      <c r="N855" s="134"/>
      <c r="O855" s="195"/>
      <c r="P855" s="134"/>
      <c r="Q855" s="195"/>
      <c r="R855" s="136"/>
      <c r="S855" s="134"/>
      <c r="T855" s="134"/>
      <c r="U855" s="278" t="s">
        <v>104</v>
      </c>
      <c r="V855" s="279"/>
      <c r="Y855" s="42"/>
      <c r="Z855" s="33"/>
      <c r="AA855" s="35"/>
      <c r="AB855" s="33"/>
      <c r="AC855" s="34"/>
      <c r="AD855" s="35"/>
      <c r="AE855" s="33"/>
      <c r="AF855" s="35"/>
      <c r="AG855" s="43"/>
      <c r="AH855" s="33" t="s">
        <v>90</v>
      </c>
      <c r="AI855" s="34"/>
      <c r="AJ855" s="35"/>
      <c r="AM855" s="138" t="s">
        <v>1396</v>
      </c>
      <c r="AN855" s="138">
        <v>16</v>
      </c>
      <c r="AO855" s="141">
        <v>6</v>
      </c>
      <c r="AP855" s="138"/>
      <c r="AQ855" s="141"/>
      <c r="AR855" s="28"/>
      <c r="AS855" s="28"/>
      <c r="AT855" s="28"/>
      <c r="AU855" s="28"/>
      <c r="AV855" s="141"/>
      <c r="AY855" s="233"/>
      <c r="AZ855" s="134"/>
      <c r="BA855" s="136"/>
      <c r="BB855" s="134"/>
      <c r="BC855" s="135"/>
      <c r="BD855" s="136"/>
      <c r="BE855" s="134"/>
      <c r="BF855" s="136"/>
      <c r="BG855" s="134"/>
      <c r="BH855" s="135" t="s">
        <v>91</v>
      </c>
      <c r="BI855" s="136"/>
      <c r="BJ855" s="28"/>
    </row>
    <row r="856" spans="1:62" x14ac:dyDescent="0.3">
      <c r="A856" s="42" t="s">
        <v>84</v>
      </c>
      <c r="B856" s="138">
        <v>2277</v>
      </c>
      <c r="C856" s="141">
        <v>1290</v>
      </c>
      <c r="D856" s="28">
        <v>0</v>
      </c>
      <c r="E856" s="343">
        <v>0</v>
      </c>
      <c r="F856" s="43">
        <v>0</v>
      </c>
      <c r="G856" s="138"/>
      <c r="H856" s="42"/>
      <c r="I856" s="28"/>
      <c r="J856" s="40"/>
      <c r="M856" s="42" t="s">
        <v>109</v>
      </c>
      <c r="N856" s="138">
        <v>0</v>
      </c>
      <c r="O856" s="196">
        <v>0</v>
      </c>
      <c r="P856" s="138">
        <v>0</v>
      </c>
      <c r="Q856" s="196">
        <v>0</v>
      </c>
      <c r="R856" s="141">
        <v>0</v>
      </c>
      <c r="S856" s="138">
        <v>0</v>
      </c>
      <c r="T856" s="138">
        <v>0</v>
      </c>
      <c r="U856" s="42"/>
      <c r="V856" s="40"/>
      <c r="Y856" s="42" t="s">
        <v>97</v>
      </c>
      <c r="Z856" s="42">
        <v>38</v>
      </c>
      <c r="AA856" s="40">
        <v>41</v>
      </c>
      <c r="AB856" s="42">
        <v>0</v>
      </c>
      <c r="AC856" s="43">
        <v>0</v>
      </c>
      <c r="AD856" s="40">
        <v>0</v>
      </c>
      <c r="AE856" s="42">
        <v>0</v>
      </c>
      <c r="AF856" s="40">
        <v>0</v>
      </c>
      <c r="AG856" s="43">
        <v>0</v>
      </c>
      <c r="AH856" s="67">
        <v>1</v>
      </c>
      <c r="AI856" s="28" t="s">
        <v>145</v>
      </c>
      <c r="AJ856" s="40"/>
      <c r="AM856" s="138" t="s">
        <v>1599</v>
      </c>
      <c r="AN856" s="138">
        <v>5</v>
      </c>
      <c r="AO856" s="141">
        <v>0</v>
      </c>
      <c r="AP856" s="138"/>
      <c r="AQ856" s="141"/>
      <c r="AR856" s="28"/>
      <c r="AS856" s="28"/>
      <c r="AT856" s="28"/>
      <c r="AU856" s="28"/>
      <c r="AV856" s="141" t="s">
        <v>6</v>
      </c>
      <c r="AY856" s="196"/>
      <c r="AZ856" s="212"/>
      <c r="BA856" s="141"/>
      <c r="BB856" s="138"/>
      <c r="BC856" s="43"/>
      <c r="BD856" s="141"/>
      <c r="BE856" s="138"/>
      <c r="BF856" s="209"/>
      <c r="BG856" s="212"/>
      <c r="BH856" s="43"/>
      <c r="BI856" s="141"/>
      <c r="BJ856" s="28"/>
    </row>
    <row r="857" spans="1:62" x14ac:dyDescent="0.3">
      <c r="A857" s="42"/>
      <c r="B857" s="138"/>
      <c r="C857" s="141"/>
      <c r="D857" s="28"/>
      <c r="E857" s="28"/>
      <c r="F857" s="28"/>
      <c r="G857" s="138"/>
      <c r="H857" s="42"/>
      <c r="I857" s="28"/>
      <c r="J857" s="40">
        <v>9</v>
      </c>
      <c r="M857" s="244"/>
      <c r="N857" s="142"/>
      <c r="O857" s="199"/>
      <c r="P857" s="142"/>
      <c r="Q857" s="199"/>
      <c r="R857" s="146"/>
      <c r="S857" s="142"/>
      <c r="T857" s="142"/>
      <c r="U857" s="244"/>
      <c r="V857" s="245"/>
      <c r="Y857" s="67" t="s">
        <v>89</v>
      </c>
      <c r="Z857" s="67">
        <v>35</v>
      </c>
      <c r="AA857" s="56">
        <v>37</v>
      </c>
      <c r="AB857" s="42">
        <v>0</v>
      </c>
      <c r="AC857" s="43">
        <v>0</v>
      </c>
      <c r="AD857" s="40">
        <v>0</v>
      </c>
      <c r="AE857" s="42">
        <v>0</v>
      </c>
      <c r="AF857" s="40">
        <v>0</v>
      </c>
      <c r="AG857" s="43">
        <v>0</v>
      </c>
      <c r="AH857" s="67">
        <v>1</v>
      </c>
      <c r="AI857" s="43" t="s">
        <v>98</v>
      </c>
      <c r="AJ857" s="40"/>
      <c r="AM857" s="138" t="s">
        <v>122</v>
      </c>
      <c r="AN857" s="138">
        <v>22</v>
      </c>
      <c r="AO857" s="141">
        <v>3</v>
      </c>
      <c r="AP857" s="138"/>
      <c r="AQ857" s="141"/>
      <c r="AR857" s="28"/>
      <c r="AS857" s="28"/>
      <c r="AT857" s="28"/>
      <c r="AU857" s="28"/>
      <c r="AV857" s="141"/>
      <c r="AY857" s="211"/>
      <c r="AZ857" s="212"/>
      <c r="BA857" s="209"/>
      <c r="BB857" s="138"/>
      <c r="BC857" s="43"/>
      <c r="BD857" s="141"/>
      <c r="BE857" s="138"/>
      <c r="BF857" s="209"/>
      <c r="BG857" s="138"/>
      <c r="BH857" s="43"/>
      <c r="BI857" s="141"/>
      <c r="BJ857" s="28"/>
    </row>
    <row r="858" spans="1:62" ht="15" thickBot="1" x14ac:dyDescent="0.35">
      <c r="A858" s="278"/>
      <c r="B858" s="134"/>
      <c r="C858" s="242"/>
      <c r="D858" s="135"/>
      <c r="E858" s="135"/>
      <c r="F858" s="135"/>
      <c r="G858" s="134"/>
      <c r="H858" s="278" t="s">
        <v>118</v>
      </c>
      <c r="I858" s="135"/>
      <c r="J858" s="279"/>
      <c r="M858" s="278" t="s">
        <v>93</v>
      </c>
      <c r="N858" s="134">
        <v>0</v>
      </c>
      <c r="O858" s="195">
        <v>129</v>
      </c>
      <c r="P858" s="134">
        <v>0</v>
      </c>
      <c r="Q858" s="195">
        <v>0</v>
      </c>
      <c r="R858" s="136">
        <v>0</v>
      </c>
      <c r="S858" s="134">
        <v>525</v>
      </c>
      <c r="T858" s="134">
        <v>0</v>
      </c>
      <c r="U858" s="278" t="s">
        <v>116</v>
      </c>
      <c r="V858" s="279"/>
      <c r="Y858" s="42" t="s">
        <v>84</v>
      </c>
      <c r="Z858" s="42">
        <v>73</v>
      </c>
      <c r="AA858" s="40">
        <v>78</v>
      </c>
      <c r="AB858" s="42">
        <v>0</v>
      </c>
      <c r="AC858" s="28">
        <v>0</v>
      </c>
      <c r="AD858" s="40">
        <v>0</v>
      </c>
      <c r="AE858" s="42">
        <v>0</v>
      </c>
      <c r="AF858" s="40">
        <v>0</v>
      </c>
      <c r="AG858" s="43">
        <v>0</v>
      </c>
      <c r="AH858" s="67"/>
      <c r="AI858" s="28"/>
      <c r="AJ858" s="40">
        <v>2</v>
      </c>
      <c r="AM858" s="138" t="s">
        <v>230</v>
      </c>
      <c r="AN858" s="138">
        <v>0</v>
      </c>
      <c r="AO858" s="141">
        <v>0</v>
      </c>
      <c r="AP858" s="138"/>
      <c r="AQ858" s="141"/>
      <c r="AR858" s="28"/>
      <c r="AS858" s="28"/>
      <c r="AT858" s="28"/>
      <c r="AU858" s="28"/>
      <c r="AV858" s="141"/>
      <c r="AY858" s="211"/>
      <c r="AZ858" s="212"/>
      <c r="BA858" s="141"/>
      <c r="BB858" s="138"/>
      <c r="BC858" s="43"/>
      <c r="BD858" s="141"/>
      <c r="BE858" s="138"/>
      <c r="BF858" s="209"/>
      <c r="BG858" s="212">
        <v>1</v>
      </c>
      <c r="BH858" s="28" t="s">
        <v>145</v>
      </c>
      <c r="BI858" s="141"/>
      <c r="BJ858" s="28"/>
    </row>
    <row r="859" spans="1:62" x14ac:dyDescent="0.3">
      <c r="A859" s="42" t="s">
        <v>785</v>
      </c>
      <c r="B859" s="138">
        <v>1095</v>
      </c>
      <c r="C859" s="209">
        <v>860</v>
      </c>
      <c r="D859" s="28">
        <v>0</v>
      </c>
      <c r="E859" s="38">
        <v>0</v>
      </c>
      <c r="F859" s="43">
        <v>0</v>
      </c>
      <c r="G859" s="138">
        <v>1</v>
      </c>
      <c r="H859" s="42">
        <v>95</v>
      </c>
      <c r="I859" s="28" t="s">
        <v>101</v>
      </c>
      <c r="J859" s="40"/>
      <c r="M859" s="42" t="s">
        <v>99</v>
      </c>
      <c r="N859" s="138">
        <v>2222</v>
      </c>
      <c r="O859" s="196">
        <v>9211</v>
      </c>
      <c r="P859" s="138">
        <v>0</v>
      </c>
      <c r="Q859" s="196">
        <v>0</v>
      </c>
      <c r="R859" s="141">
        <v>0</v>
      </c>
      <c r="S859" s="138">
        <v>4998</v>
      </c>
      <c r="T859" s="138">
        <v>213</v>
      </c>
      <c r="U859" s="42"/>
      <c r="V859" s="40"/>
      <c r="Y859" s="33"/>
      <c r="Z859" s="33"/>
      <c r="AA859" s="35"/>
      <c r="AB859" s="34"/>
      <c r="AC859" s="34"/>
      <c r="AD859" s="34"/>
      <c r="AE859" s="33"/>
      <c r="AF859" s="35"/>
      <c r="AG859" s="32"/>
      <c r="AH859" s="34"/>
      <c r="AI859" s="34"/>
      <c r="AJ859" s="35"/>
      <c r="AM859" s="138" t="s">
        <v>63</v>
      </c>
      <c r="AN859" s="138">
        <v>32</v>
      </c>
      <c r="AO859" s="141">
        <v>10</v>
      </c>
      <c r="AP859" s="138"/>
      <c r="AQ859" s="141"/>
      <c r="AR859" s="28"/>
      <c r="AS859" s="28"/>
      <c r="AT859" s="28"/>
      <c r="AU859" s="28"/>
      <c r="AV859" s="141"/>
      <c r="AY859" s="211" t="s">
        <v>88</v>
      </c>
      <c r="AZ859" s="212">
        <v>560</v>
      </c>
      <c r="BA859" s="209">
        <v>151</v>
      </c>
      <c r="BB859" s="138">
        <v>0</v>
      </c>
      <c r="BC859" s="43">
        <v>0</v>
      </c>
      <c r="BD859" s="141">
        <v>0</v>
      </c>
      <c r="BE859" s="138">
        <v>0</v>
      </c>
      <c r="BF859" s="209">
        <v>0</v>
      </c>
      <c r="BG859" s="138">
        <v>47</v>
      </c>
      <c r="BH859" s="43" t="s">
        <v>1292</v>
      </c>
      <c r="BI859" s="141"/>
      <c r="BJ859" s="28"/>
    </row>
    <row r="860" spans="1:62" x14ac:dyDescent="0.3">
      <c r="A860" s="42" t="s">
        <v>93</v>
      </c>
      <c r="B860" s="212">
        <v>8038</v>
      </c>
      <c r="C860" s="209">
        <v>6725</v>
      </c>
      <c r="D860" s="28">
        <v>0</v>
      </c>
      <c r="E860" s="38">
        <v>0</v>
      </c>
      <c r="F860" s="43">
        <v>0</v>
      </c>
      <c r="G860" s="212"/>
      <c r="H860" s="42">
        <v>26</v>
      </c>
      <c r="I860" s="28" t="s">
        <v>927</v>
      </c>
      <c r="J860" s="40"/>
      <c r="M860" s="42" t="s">
        <v>120</v>
      </c>
      <c r="N860" s="138">
        <v>155</v>
      </c>
      <c r="O860" s="196">
        <v>10771</v>
      </c>
      <c r="P860" s="138">
        <v>0</v>
      </c>
      <c r="Q860" s="196">
        <v>0</v>
      </c>
      <c r="R860" s="141">
        <v>0</v>
      </c>
      <c r="S860" s="138">
        <v>0</v>
      </c>
      <c r="T860" s="138">
        <v>0</v>
      </c>
      <c r="U860" s="42"/>
      <c r="V860" s="40"/>
      <c r="Y860" s="42"/>
      <c r="Z860" s="42"/>
      <c r="AA860" s="40"/>
      <c r="AB860" s="43"/>
      <c r="AC860" s="43"/>
      <c r="AD860" s="43"/>
      <c r="AE860" s="42"/>
      <c r="AF860" s="40"/>
      <c r="AG860" s="41"/>
      <c r="AH860" s="28" t="s">
        <v>953</v>
      </c>
      <c r="AI860" s="28"/>
      <c r="AJ860" s="40"/>
      <c r="AM860" s="142" t="s">
        <v>84</v>
      </c>
      <c r="AN860" s="142">
        <v>240</v>
      </c>
      <c r="AO860" s="146">
        <v>157</v>
      </c>
      <c r="AP860" s="142"/>
      <c r="AQ860" s="146"/>
      <c r="AR860" s="143"/>
      <c r="AS860" s="143"/>
      <c r="AT860" s="143"/>
      <c r="AU860" s="143"/>
      <c r="AV860" s="146">
        <v>70</v>
      </c>
      <c r="AY860" s="211" t="s">
        <v>137</v>
      </c>
      <c r="AZ860" s="212">
        <v>1602</v>
      </c>
      <c r="BA860" s="209">
        <v>1906</v>
      </c>
      <c r="BB860" s="138">
        <v>0</v>
      </c>
      <c r="BC860" s="43">
        <v>0</v>
      </c>
      <c r="BD860" s="141">
        <v>0</v>
      </c>
      <c r="BE860" s="138">
        <v>0</v>
      </c>
      <c r="BF860" s="209">
        <v>0</v>
      </c>
      <c r="BG860" s="138">
        <v>75</v>
      </c>
      <c r="BH860" s="43" t="s">
        <v>436</v>
      </c>
      <c r="BI860" s="141"/>
      <c r="BJ860" s="28"/>
    </row>
    <row r="861" spans="1:62" x14ac:dyDescent="0.3">
      <c r="A861" s="42" t="s">
        <v>120</v>
      </c>
      <c r="B861" s="138">
        <v>7644</v>
      </c>
      <c r="C861" s="141">
        <v>5188</v>
      </c>
      <c r="D861" s="28">
        <v>0</v>
      </c>
      <c r="E861" s="38">
        <v>0</v>
      </c>
      <c r="F861" s="43">
        <v>0</v>
      </c>
      <c r="G861" s="138"/>
      <c r="H861" s="42">
        <v>27</v>
      </c>
      <c r="I861" s="28" t="s">
        <v>1306</v>
      </c>
      <c r="J861" s="40"/>
      <c r="M861" s="244" t="s">
        <v>84</v>
      </c>
      <c r="N861" s="142">
        <v>2377</v>
      </c>
      <c r="O861" s="199">
        <v>20111</v>
      </c>
      <c r="P861" s="142">
        <v>0</v>
      </c>
      <c r="Q861" s="199">
        <v>0</v>
      </c>
      <c r="R861" s="146">
        <v>0</v>
      </c>
      <c r="S861" s="142">
        <v>5523</v>
      </c>
      <c r="T861" s="142">
        <v>213</v>
      </c>
      <c r="U861" s="244"/>
      <c r="V861" s="245"/>
      <c r="Y861" s="42"/>
      <c r="Z861" s="42"/>
      <c r="AA861" s="40"/>
      <c r="AB861" s="43"/>
      <c r="AC861" s="43"/>
      <c r="AD861" s="43"/>
      <c r="AE861" s="42"/>
      <c r="AF861" s="40"/>
      <c r="AG861" s="41"/>
      <c r="AH861" s="43">
        <v>8</v>
      </c>
      <c r="AI861" s="28" t="s">
        <v>141</v>
      </c>
      <c r="AJ861" s="40"/>
      <c r="AM861" s="134"/>
      <c r="AN861" s="134"/>
      <c r="AO861" s="136"/>
      <c r="AP861" s="134"/>
      <c r="AQ861" s="136"/>
      <c r="AR861" s="135"/>
      <c r="AS861" s="135"/>
      <c r="AT861" s="135"/>
      <c r="AU861" s="135"/>
      <c r="AV861" s="136"/>
      <c r="AY861" s="211" t="s">
        <v>97</v>
      </c>
      <c r="AZ861" s="212">
        <v>2755</v>
      </c>
      <c r="BA861" s="209">
        <v>3342</v>
      </c>
      <c r="BB861" s="138">
        <v>0</v>
      </c>
      <c r="BC861" s="43">
        <v>0</v>
      </c>
      <c r="BD861" s="141">
        <v>0</v>
      </c>
      <c r="BE861" s="138">
        <v>0</v>
      </c>
      <c r="BF861" s="209">
        <v>0</v>
      </c>
      <c r="BG861" s="138">
        <v>1</v>
      </c>
      <c r="BH861" s="43" t="s">
        <v>1026</v>
      </c>
      <c r="BI861" s="141"/>
      <c r="BJ861" s="28"/>
    </row>
    <row r="862" spans="1:62" x14ac:dyDescent="0.3">
      <c r="A862" s="67" t="s">
        <v>429</v>
      </c>
      <c r="B862" s="212">
        <v>2298</v>
      </c>
      <c r="C862" s="209">
        <v>1810</v>
      </c>
      <c r="D862" s="43">
        <v>0</v>
      </c>
      <c r="E862" s="38">
        <v>0</v>
      </c>
      <c r="F862" s="43">
        <v>0</v>
      </c>
      <c r="G862" s="138"/>
      <c r="H862" s="42"/>
      <c r="I862" s="28"/>
      <c r="J862" s="40"/>
      <c r="M862" s="278"/>
      <c r="N862" s="134"/>
      <c r="O862" s="195"/>
      <c r="P862" s="134"/>
      <c r="Q862" s="195"/>
      <c r="R862" s="136"/>
      <c r="S862" s="134"/>
      <c r="T862" s="134"/>
      <c r="U862" s="278"/>
      <c r="V862" s="279"/>
      <c r="Y862" s="42" t="s">
        <v>89</v>
      </c>
      <c r="Z862" s="42">
        <v>336</v>
      </c>
      <c r="AA862" s="40">
        <v>411</v>
      </c>
      <c r="AB862" s="43">
        <v>0</v>
      </c>
      <c r="AC862" s="43">
        <v>0</v>
      </c>
      <c r="AD862" s="43">
        <v>0</v>
      </c>
      <c r="AE862" s="42">
        <v>0</v>
      </c>
      <c r="AF862" s="40">
        <v>0</v>
      </c>
      <c r="AG862" s="41">
        <v>0</v>
      </c>
      <c r="AH862" s="43"/>
      <c r="AI862" s="43"/>
      <c r="AJ862" s="40"/>
      <c r="AM862" s="138"/>
      <c r="AN862" s="138"/>
      <c r="AO862" s="141"/>
      <c r="AP862" s="138"/>
      <c r="AQ862" s="141"/>
      <c r="AR862" s="28"/>
      <c r="AS862" s="28"/>
      <c r="AT862" s="28"/>
      <c r="AU862" s="28"/>
      <c r="AV862" s="141"/>
      <c r="AY862" s="211" t="s">
        <v>113</v>
      </c>
      <c r="AZ862" s="212">
        <v>575</v>
      </c>
      <c r="BA862" s="209">
        <v>604</v>
      </c>
      <c r="BB862" s="212">
        <v>0</v>
      </c>
      <c r="BC862" s="43">
        <v>0</v>
      </c>
      <c r="BD862" s="209">
        <v>0</v>
      </c>
      <c r="BE862" s="212">
        <v>0</v>
      </c>
      <c r="BF862" s="209">
        <v>0</v>
      </c>
      <c r="BG862" s="138"/>
      <c r="BH862" s="43"/>
      <c r="BI862" s="141"/>
      <c r="BJ862" s="28"/>
    </row>
    <row r="863" spans="1:62" ht="15" thickBot="1" x14ac:dyDescent="0.35">
      <c r="A863" s="244" t="s">
        <v>84</v>
      </c>
      <c r="B863" s="142">
        <v>19075</v>
      </c>
      <c r="C863" s="146">
        <v>14583</v>
      </c>
      <c r="D863" s="143">
        <v>0</v>
      </c>
      <c r="E863" s="345">
        <v>0</v>
      </c>
      <c r="F863" s="143">
        <v>0</v>
      </c>
      <c r="G863" s="142"/>
      <c r="H863" s="244"/>
      <c r="I863" s="143"/>
      <c r="J863" s="245">
        <v>149</v>
      </c>
      <c r="M863" s="42" t="s">
        <v>105</v>
      </c>
      <c r="N863" s="138">
        <v>1582</v>
      </c>
      <c r="O863" s="196">
        <v>0</v>
      </c>
      <c r="P863" s="138">
        <v>0</v>
      </c>
      <c r="Q863" s="196">
        <v>0</v>
      </c>
      <c r="R863" s="141">
        <v>0</v>
      </c>
      <c r="S863" s="138">
        <v>0</v>
      </c>
      <c r="T863" s="138">
        <v>0</v>
      </c>
      <c r="U863" s="42"/>
      <c r="V863" s="40"/>
      <c r="Y863" s="47" t="s">
        <v>84</v>
      </c>
      <c r="Z863" s="72">
        <v>336</v>
      </c>
      <c r="AA863" s="49">
        <v>411</v>
      </c>
      <c r="AB863" s="51">
        <v>0</v>
      </c>
      <c r="AC863" s="48">
        <v>0</v>
      </c>
      <c r="AD863" s="48">
        <v>0</v>
      </c>
      <c r="AE863" s="47">
        <v>0</v>
      </c>
      <c r="AF863" s="49">
        <v>0</v>
      </c>
      <c r="AG863" s="46">
        <v>0</v>
      </c>
      <c r="AH863" s="48"/>
      <c r="AI863" s="48"/>
      <c r="AJ863" s="49">
        <v>8</v>
      </c>
      <c r="AM863" s="138"/>
      <c r="AN863" s="138"/>
      <c r="AO863" s="141"/>
      <c r="AP863" s="138"/>
      <c r="AQ863" s="141"/>
      <c r="AR863" s="28"/>
      <c r="AS863" s="28"/>
      <c r="AT863" s="28"/>
      <c r="AU863" s="28"/>
      <c r="AV863" s="141"/>
      <c r="AY863" s="211" t="s">
        <v>817</v>
      </c>
      <c r="AZ863" s="212">
        <v>0</v>
      </c>
      <c r="BA863" s="209">
        <v>0</v>
      </c>
      <c r="BB863" s="138">
        <v>0</v>
      </c>
      <c r="BC863" s="43">
        <v>0</v>
      </c>
      <c r="BD863" s="141">
        <v>0</v>
      </c>
      <c r="BE863" s="138">
        <v>0</v>
      </c>
      <c r="BF863" s="141">
        <v>0</v>
      </c>
      <c r="BG863" s="138"/>
      <c r="BH863" s="28"/>
      <c r="BI863" s="141"/>
      <c r="BJ863" s="28"/>
    </row>
    <row r="864" spans="1:62" x14ac:dyDescent="0.3">
      <c r="A864" s="42" t="s">
        <v>93</v>
      </c>
      <c r="B864" s="138">
        <v>5371</v>
      </c>
      <c r="C864" s="209">
        <v>3577</v>
      </c>
      <c r="D864" s="138">
        <v>0</v>
      </c>
      <c r="E864" s="38">
        <v>0</v>
      </c>
      <c r="F864" s="43">
        <v>0</v>
      </c>
      <c r="G864" s="138">
        <v>1</v>
      </c>
      <c r="H864" s="42" t="s">
        <v>116</v>
      </c>
      <c r="I864" s="28"/>
      <c r="J864" s="40"/>
      <c r="M864" s="42" t="s">
        <v>99</v>
      </c>
      <c r="N864" s="138">
        <v>0</v>
      </c>
      <c r="O864" s="196">
        <v>0</v>
      </c>
      <c r="P864" s="138">
        <v>0</v>
      </c>
      <c r="Q864" s="196">
        <v>0</v>
      </c>
      <c r="R864" s="141">
        <v>0</v>
      </c>
      <c r="S864" s="138">
        <v>0</v>
      </c>
      <c r="T864" s="138">
        <v>0</v>
      </c>
      <c r="U864" s="42" t="s">
        <v>135</v>
      </c>
      <c r="V864" s="40"/>
      <c r="Y864" s="32"/>
      <c r="Z864" s="33"/>
      <c r="AA864" s="35"/>
      <c r="AB864" s="53"/>
      <c r="AC864" s="123"/>
      <c r="AD864" s="97"/>
      <c r="AE864" s="33"/>
      <c r="AF864" s="35"/>
      <c r="AG864" s="32"/>
      <c r="AH864" s="33" t="s">
        <v>149</v>
      </c>
      <c r="AI864" s="34"/>
      <c r="AJ864" s="35"/>
      <c r="AM864" s="138"/>
      <c r="AN864" s="138"/>
      <c r="AO864" s="141"/>
      <c r="AP864" s="138"/>
      <c r="AQ864" s="141"/>
      <c r="AR864" s="28"/>
      <c r="AS864" s="28"/>
      <c r="AT864" s="28"/>
      <c r="AU864" s="28"/>
      <c r="AV864" s="141"/>
      <c r="AY864" s="211" t="s">
        <v>89</v>
      </c>
      <c r="AZ864" s="138">
        <v>2716</v>
      </c>
      <c r="BA864" s="141">
        <v>2606</v>
      </c>
      <c r="BB864" s="138">
        <v>0</v>
      </c>
      <c r="BC864" s="43">
        <v>0</v>
      </c>
      <c r="BD864" s="141">
        <v>0</v>
      </c>
      <c r="BE864" s="138">
        <v>0</v>
      </c>
      <c r="BF864" s="141">
        <v>0</v>
      </c>
      <c r="BG864" s="138"/>
      <c r="BH864" s="28"/>
      <c r="BI864" s="141"/>
      <c r="BJ864" s="28"/>
    </row>
    <row r="865" spans="1:62" x14ac:dyDescent="0.3">
      <c r="A865" s="42" t="s">
        <v>99</v>
      </c>
      <c r="B865" s="138">
        <v>11063</v>
      </c>
      <c r="C865" s="209">
        <v>9739</v>
      </c>
      <c r="D865" s="138">
        <v>0</v>
      </c>
      <c r="E865" s="38">
        <v>0</v>
      </c>
      <c r="F865" s="43">
        <v>0</v>
      </c>
      <c r="G865" s="138"/>
      <c r="H865" s="67">
        <v>128</v>
      </c>
      <c r="I865" s="28" t="s">
        <v>188</v>
      </c>
      <c r="J865" s="40"/>
      <c r="M865" s="42"/>
      <c r="N865" s="138"/>
      <c r="O865" s="196"/>
      <c r="P865" s="138"/>
      <c r="Q865" s="196"/>
      <c r="R865" s="141"/>
      <c r="S865" s="138"/>
      <c r="T865" s="138"/>
      <c r="U865" s="42"/>
      <c r="V865" s="40"/>
      <c r="Y865" s="41" t="s">
        <v>99</v>
      </c>
      <c r="Z865" s="42">
        <v>0</v>
      </c>
      <c r="AA865" s="40">
        <v>0</v>
      </c>
      <c r="AB865" s="67">
        <v>0</v>
      </c>
      <c r="AC865" s="43">
        <v>0</v>
      </c>
      <c r="AD865" s="56">
        <v>0</v>
      </c>
      <c r="AE865" s="42">
        <v>50749</v>
      </c>
      <c r="AF865" s="40">
        <v>182</v>
      </c>
      <c r="AG865" s="41">
        <v>0</v>
      </c>
      <c r="AH865" s="67">
        <v>4</v>
      </c>
      <c r="AI865" s="28" t="s">
        <v>1317</v>
      </c>
      <c r="AJ865" s="40"/>
      <c r="AM865" s="142"/>
      <c r="AN865" s="142"/>
      <c r="AO865" s="146"/>
      <c r="AP865" s="142"/>
      <c r="AQ865" s="146"/>
      <c r="AR865" s="143"/>
      <c r="AS865" s="143"/>
      <c r="AT865" s="143"/>
      <c r="AU865" s="143"/>
      <c r="AV865" s="146"/>
      <c r="AY865" s="211" t="s">
        <v>108</v>
      </c>
      <c r="AZ865" s="142">
        <v>0</v>
      </c>
      <c r="BA865" s="146">
        <v>0</v>
      </c>
      <c r="BB865" s="142">
        <v>0</v>
      </c>
      <c r="BC865" s="224">
        <v>0</v>
      </c>
      <c r="BD865" s="251">
        <v>0</v>
      </c>
      <c r="BE865" s="142">
        <v>0</v>
      </c>
      <c r="BF865" s="146">
        <v>0</v>
      </c>
      <c r="BG865" s="142"/>
      <c r="BH865" s="143"/>
      <c r="BI865" s="146"/>
      <c r="BJ865" s="28"/>
    </row>
    <row r="866" spans="1:62" x14ac:dyDescent="0.3">
      <c r="A866" s="42" t="s">
        <v>120</v>
      </c>
      <c r="B866" s="138">
        <v>2189</v>
      </c>
      <c r="C866" s="209">
        <v>1455</v>
      </c>
      <c r="D866" s="138">
        <v>0</v>
      </c>
      <c r="E866" s="38">
        <v>0</v>
      </c>
      <c r="F866" s="43">
        <v>0</v>
      </c>
      <c r="G866" s="138"/>
      <c r="H866" s="67"/>
      <c r="I866" s="28"/>
      <c r="J866" s="40"/>
      <c r="M866" s="244" t="s">
        <v>84</v>
      </c>
      <c r="N866" s="142">
        <v>1582</v>
      </c>
      <c r="O866" s="199">
        <v>0</v>
      </c>
      <c r="P866" s="142">
        <v>0</v>
      </c>
      <c r="Q866" s="199">
        <v>0</v>
      </c>
      <c r="R866" s="146">
        <v>0</v>
      </c>
      <c r="S866" s="142">
        <v>0</v>
      </c>
      <c r="T866" s="142">
        <v>0</v>
      </c>
      <c r="U866" s="244"/>
      <c r="V866" s="245"/>
      <c r="Y866" s="41" t="s">
        <v>174</v>
      </c>
      <c r="Z866" s="42">
        <v>0</v>
      </c>
      <c r="AA866" s="40">
        <v>0</v>
      </c>
      <c r="AB866" s="67">
        <v>0</v>
      </c>
      <c r="AC866" s="43">
        <v>0</v>
      </c>
      <c r="AD866" s="56">
        <v>0</v>
      </c>
      <c r="AE866" s="42">
        <v>0</v>
      </c>
      <c r="AF866" s="40">
        <v>2556</v>
      </c>
      <c r="AG866" s="41">
        <v>0</v>
      </c>
      <c r="AH866" s="67"/>
      <c r="AI866" s="43"/>
      <c r="AJ866" s="40"/>
      <c r="AM866" s="134"/>
      <c r="AN866" s="134"/>
      <c r="AO866" s="136"/>
      <c r="AP866" s="134"/>
      <c r="AQ866" s="136"/>
      <c r="AR866" s="134"/>
      <c r="AS866" s="135" t="s">
        <v>140</v>
      </c>
      <c r="AT866" s="135"/>
      <c r="AU866" s="135"/>
      <c r="AV866" s="136"/>
      <c r="AY866" s="247" t="s">
        <v>84</v>
      </c>
      <c r="AZ866" s="247">
        <v>8208</v>
      </c>
      <c r="BA866" s="248">
        <v>8609</v>
      </c>
      <c r="BB866" s="197">
        <v>0</v>
      </c>
      <c r="BC866" s="198">
        <v>0</v>
      </c>
      <c r="BD866" s="249">
        <v>0</v>
      </c>
      <c r="BE866" s="197">
        <v>0</v>
      </c>
      <c r="BF866" s="249">
        <v>0</v>
      </c>
      <c r="BG866" s="197"/>
      <c r="BH866" s="198"/>
      <c r="BI866" s="249">
        <v>124</v>
      </c>
      <c r="BJ866" s="28"/>
    </row>
    <row r="867" spans="1:62" ht="15" thickBot="1" x14ac:dyDescent="0.35">
      <c r="A867" s="42"/>
      <c r="B867" s="138"/>
      <c r="C867" s="28"/>
      <c r="D867" s="138">
        <v>0</v>
      </c>
      <c r="E867" s="38">
        <v>0</v>
      </c>
      <c r="F867" s="43">
        <v>0</v>
      </c>
      <c r="G867" s="138"/>
      <c r="H867" s="67"/>
      <c r="I867" s="28"/>
      <c r="J867" s="40"/>
      <c r="M867" s="42"/>
      <c r="N867" s="138"/>
      <c r="O867" s="196"/>
      <c r="P867" s="138"/>
      <c r="Q867" s="196"/>
      <c r="R867" s="141"/>
      <c r="S867" s="138"/>
      <c r="T867" s="138"/>
      <c r="U867" s="42"/>
      <c r="V867" s="40"/>
      <c r="Y867" s="62" t="s">
        <v>84</v>
      </c>
      <c r="Z867" s="47">
        <v>0</v>
      </c>
      <c r="AA867" s="49">
        <v>0</v>
      </c>
      <c r="AB867" s="47">
        <v>0</v>
      </c>
      <c r="AC867" s="48">
        <v>0</v>
      </c>
      <c r="AD867" s="49">
        <v>0</v>
      </c>
      <c r="AE867" s="47">
        <v>50749</v>
      </c>
      <c r="AF867" s="49">
        <v>2738</v>
      </c>
      <c r="AG867" s="46">
        <v>0</v>
      </c>
      <c r="AH867" s="47"/>
      <c r="AI867" s="48"/>
      <c r="AJ867" s="49">
        <v>4</v>
      </c>
      <c r="AM867" s="138" t="s">
        <v>56</v>
      </c>
      <c r="AN867" s="212">
        <v>4</v>
      </c>
      <c r="AO867" s="141">
        <v>15</v>
      </c>
      <c r="AP867" s="138"/>
      <c r="AQ867" s="141"/>
      <c r="AR867" s="138"/>
      <c r="AS867" s="43" t="s">
        <v>2197</v>
      </c>
      <c r="AT867" s="43" t="s">
        <v>2198</v>
      </c>
      <c r="AU867" s="43"/>
      <c r="AV867" s="141"/>
      <c r="AY867" s="195"/>
      <c r="AZ867" s="134"/>
      <c r="BA867" s="136"/>
      <c r="BB867" s="134"/>
      <c r="BC867" s="135"/>
      <c r="BD867" s="136"/>
      <c r="BE867" s="134"/>
      <c r="BF867" s="136"/>
      <c r="BG867" s="134" t="s">
        <v>1025</v>
      </c>
      <c r="BH867" s="135"/>
      <c r="BI867" s="136"/>
      <c r="BJ867" s="28"/>
    </row>
    <row r="868" spans="1:62" x14ac:dyDescent="0.3">
      <c r="A868" s="244" t="s">
        <v>84</v>
      </c>
      <c r="B868" s="142">
        <v>18623</v>
      </c>
      <c r="C868" s="143">
        <v>14771</v>
      </c>
      <c r="D868" s="142"/>
      <c r="E868" s="143"/>
      <c r="F868" s="143"/>
      <c r="G868" s="142"/>
      <c r="H868" s="244"/>
      <c r="I868" s="143"/>
      <c r="J868" s="245">
        <v>128</v>
      </c>
      <c r="M868" s="42"/>
      <c r="N868" s="138"/>
      <c r="O868" s="196"/>
      <c r="P868" s="138"/>
      <c r="Q868" s="196"/>
      <c r="R868" s="141"/>
      <c r="S868" s="138"/>
      <c r="T868" s="138"/>
      <c r="U868" s="42"/>
      <c r="V868" s="40"/>
      <c r="Y868" s="32"/>
      <c r="Z868" s="33"/>
      <c r="AA868" s="35"/>
      <c r="AB868" s="33"/>
      <c r="AC868" s="34"/>
      <c r="AD868" s="35"/>
      <c r="AE868" s="33"/>
      <c r="AF868" s="35"/>
      <c r="AG868" s="32">
        <v>0</v>
      </c>
      <c r="AH868" s="33" t="s">
        <v>157</v>
      </c>
      <c r="AI868" s="34"/>
      <c r="AJ868" s="35"/>
      <c r="AM868" s="138" t="s">
        <v>72</v>
      </c>
      <c r="AN868" s="212">
        <v>40</v>
      </c>
      <c r="AO868" s="141">
        <v>35</v>
      </c>
      <c r="AP868" s="138"/>
      <c r="AQ868" s="141"/>
      <c r="AR868" s="138"/>
      <c r="AS868" s="43" t="s">
        <v>2199</v>
      </c>
      <c r="AT868" s="43" t="s">
        <v>2200</v>
      </c>
      <c r="AU868" s="43"/>
      <c r="AV868" s="141"/>
      <c r="AY868" s="196" t="s">
        <v>64</v>
      </c>
      <c r="AZ868" s="138">
        <v>129</v>
      </c>
      <c r="BA868" s="141">
        <v>85</v>
      </c>
      <c r="BB868" s="138">
        <v>0</v>
      </c>
      <c r="BC868" s="43">
        <v>0</v>
      </c>
      <c r="BD868" s="209">
        <v>0</v>
      </c>
      <c r="BE868" s="138">
        <v>0</v>
      </c>
      <c r="BF868" s="141">
        <v>0</v>
      </c>
      <c r="BG868" s="138">
        <v>9</v>
      </c>
      <c r="BH868" s="28" t="s">
        <v>1026</v>
      </c>
      <c r="BI868" s="141"/>
      <c r="BJ868" s="28"/>
    </row>
    <row r="869" spans="1:62" x14ac:dyDescent="0.3">
      <c r="A869" s="278" t="s">
        <v>105</v>
      </c>
      <c r="B869" s="134">
        <v>1516</v>
      </c>
      <c r="C869" s="135">
        <v>926</v>
      </c>
      <c r="D869" s="134">
        <v>0</v>
      </c>
      <c r="E869" s="243">
        <v>767</v>
      </c>
      <c r="F869" s="135">
        <v>0</v>
      </c>
      <c r="G869" s="134">
        <v>1</v>
      </c>
      <c r="H869" s="278" t="s">
        <v>162</v>
      </c>
      <c r="I869" s="135"/>
      <c r="J869" s="279"/>
      <c r="M869" s="42"/>
      <c r="N869" s="138"/>
      <c r="O869" s="196"/>
      <c r="P869" s="138"/>
      <c r="Q869" s="196"/>
      <c r="R869" s="141"/>
      <c r="S869" s="138"/>
      <c r="T869" s="138"/>
      <c r="U869" s="42"/>
      <c r="V869" s="40"/>
      <c r="Y869" s="41"/>
      <c r="Z869" s="42"/>
      <c r="AA869" s="56"/>
      <c r="AB869" s="67"/>
      <c r="AC869" s="43"/>
      <c r="AD869" s="56"/>
      <c r="AE869" s="42"/>
      <c r="AF869" s="56"/>
      <c r="AG869" s="41">
        <v>0</v>
      </c>
      <c r="AH869" s="67">
        <v>8</v>
      </c>
      <c r="AI869" s="28" t="s">
        <v>1318</v>
      </c>
      <c r="AJ869" s="40"/>
      <c r="AM869" s="138" t="s">
        <v>78</v>
      </c>
      <c r="AN869" s="212">
        <v>46</v>
      </c>
      <c r="AO869" s="141">
        <v>48</v>
      </c>
      <c r="AP869" s="138"/>
      <c r="AQ869" s="141"/>
      <c r="AR869" s="138"/>
      <c r="AS869" s="43" t="s">
        <v>2201</v>
      </c>
      <c r="AT869" s="43" t="s">
        <v>2202</v>
      </c>
      <c r="AU869" s="43"/>
      <c r="AV869" s="141"/>
      <c r="AY869" s="239" t="s">
        <v>84</v>
      </c>
      <c r="AZ869" s="142">
        <v>129</v>
      </c>
      <c r="BA869" s="146">
        <v>85</v>
      </c>
      <c r="BB869" s="142">
        <v>0</v>
      </c>
      <c r="BC869" s="143">
        <v>0</v>
      </c>
      <c r="BD869" s="146">
        <v>0</v>
      </c>
      <c r="BE869" s="142">
        <v>0</v>
      </c>
      <c r="BF869" s="146">
        <v>0</v>
      </c>
      <c r="BG869" s="142"/>
      <c r="BH869" s="143"/>
      <c r="BI869" s="146">
        <v>9</v>
      </c>
      <c r="BJ869" s="28"/>
    </row>
    <row r="870" spans="1:62" x14ac:dyDescent="0.3">
      <c r="A870" s="42" t="s">
        <v>99</v>
      </c>
      <c r="B870" s="138">
        <v>1205</v>
      </c>
      <c r="C870" s="43">
        <v>495</v>
      </c>
      <c r="D870" s="138">
        <v>0</v>
      </c>
      <c r="E870" s="343">
        <v>955</v>
      </c>
      <c r="F870" s="43">
        <v>0</v>
      </c>
      <c r="G870" s="138"/>
      <c r="H870" s="42"/>
      <c r="I870" s="28"/>
      <c r="J870" s="40"/>
      <c r="M870" s="42"/>
      <c r="N870" s="138"/>
      <c r="O870" s="196"/>
      <c r="P870" s="138"/>
      <c r="Q870" s="196"/>
      <c r="R870" s="141"/>
      <c r="S870" s="138"/>
      <c r="T870" s="138"/>
      <c r="U870" s="42"/>
      <c r="V870" s="40"/>
      <c r="Y870" s="41" t="s">
        <v>1118</v>
      </c>
      <c r="Z870" s="42">
        <v>0</v>
      </c>
      <c r="AA870" s="56">
        <v>0</v>
      </c>
      <c r="AB870" s="67">
        <v>0</v>
      </c>
      <c r="AC870" s="43">
        <v>0</v>
      </c>
      <c r="AD870" s="56">
        <v>0</v>
      </c>
      <c r="AE870" s="42">
        <v>17402</v>
      </c>
      <c r="AF870" s="56">
        <v>0</v>
      </c>
      <c r="AG870" s="41">
        <v>0</v>
      </c>
      <c r="AH870" s="42"/>
      <c r="AI870" s="28"/>
      <c r="AJ870" s="40"/>
      <c r="AM870" s="138" t="s">
        <v>67</v>
      </c>
      <c r="AN870" s="212">
        <v>19</v>
      </c>
      <c r="AO870" s="141">
        <v>25</v>
      </c>
      <c r="AP870" s="138"/>
      <c r="AQ870" s="141"/>
      <c r="AR870" s="138"/>
      <c r="AS870" s="43" t="s">
        <v>2203</v>
      </c>
      <c r="AT870" s="43" t="s">
        <v>2204</v>
      </c>
      <c r="AU870" s="43"/>
      <c r="AV870" s="141"/>
      <c r="AY870" s="195" t="s">
        <v>113</v>
      </c>
      <c r="AZ870" s="134">
        <v>562</v>
      </c>
      <c r="BA870" s="136">
        <v>616</v>
      </c>
      <c r="BB870" s="134">
        <v>0</v>
      </c>
      <c r="BC870" s="135">
        <v>0</v>
      </c>
      <c r="BD870" s="136">
        <v>0</v>
      </c>
      <c r="BE870" s="134">
        <v>0</v>
      </c>
      <c r="BF870" s="136">
        <v>0</v>
      </c>
      <c r="BG870" s="134" t="s">
        <v>994</v>
      </c>
      <c r="BH870" s="135"/>
      <c r="BI870" s="136"/>
      <c r="BJ870" s="28"/>
    </row>
    <row r="871" spans="1:62" x14ac:dyDescent="0.3">
      <c r="A871" s="42" t="s">
        <v>2031</v>
      </c>
      <c r="B871" s="138">
        <v>14</v>
      </c>
      <c r="C871" s="28">
        <v>0</v>
      </c>
      <c r="D871" s="138">
        <v>0</v>
      </c>
      <c r="E871" s="343">
        <v>31</v>
      </c>
      <c r="F871" s="43">
        <v>0</v>
      </c>
      <c r="G871" s="138"/>
      <c r="H871" s="67">
        <v>45</v>
      </c>
      <c r="I871" s="28" t="s">
        <v>101</v>
      </c>
      <c r="J871" s="40"/>
      <c r="M871" s="42"/>
      <c r="N871" s="138"/>
      <c r="O871" s="196"/>
      <c r="P871" s="138"/>
      <c r="Q871" s="196"/>
      <c r="R871" s="141"/>
      <c r="S871" s="138"/>
      <c r="T871" s="138"/>
      <c r="U871" s="42"/>
      <c r="V871" s="40"/>
      <c r="Y871" s="68" t="s">
        <v>99</v>
      </c>
      <c r="Z871" s="42">
        <v>0</v>
      </c>
      <c r="AA871" s="56">
        <v>0</v>
      </c>
      <c r="AB871" s="42">
        <v>0</v>
      </c>
      <c r="AC871" s="43">
        <v>0</v>
      </c>
      <c r="AD871" s="40">
        <v>0</v>
      </c>
      <c r="AE871" s="42">
        <v>120716</v>
      </c>
      <c r="AF871" s="56">
        <v>19454</v>
      </c>
      <c r="AG871" s="41">
        <v>0</v>
      </c>
      <c r="AH871" s="42"/>
      <c r="AI871" s="43"/>
      <c r="AJ871" s="40"/>
      <c r="AM871" s="138" t="s">
        <v>115</v>
      </c>
      <c r="AN871" s="212">
        <v>41</v>
      </c>
      <c r="AO871" s="141">
        <v>19</v>
      </c>
      <c r="AP871" s="212"/>
      <c r="AQ871" s="141"/>
      <c r="AR871" s="138"/>
      <c r="AS871" s="43" t="s">
        <v>2146</v>
      </c>
      <c r="AT871" s="43" t="s">
        <v>2205</v>
      </c>
      <c r="AU871" s="43"/>
      <c r="AV871" s="141"/>
      <c r="AY871" s="196" t="s">
        <v>783</v>
      </c>
      <c r="AZ871" s="138">
        <v>0</v>
      </c>
      <c r="BA871" s="141">
        <v>19</v>
      </c>
      <c r="BB871" s="138">
        <v>0</v>
      </c>
      <c r="BC871" s="43">
        <v>0</v>
      </c>
      <c r="BD871" s="209">
        <v>0</v>
      </c>
      <c r="BE871" s="212">
        <v>0</v>
      </c>
      <c r="BF871" s="141">
        <v>0</v>
      </c>
      <c r="BG871" s="212">
        <v>5</v>
      </c>
      <c r="BH871" s="28" t="s">
        <v>1297</v>
      </c>
      <c r="BI871" s="141" t="s">
        <v>2206</v>
      </c>
      <c r="BJ871" s="28"/>
    </row>
    <row r="872" spans="1:62" ht="15" thickBot="1" x14ac:dyDescent="0.35">
      <c r="A872" s="42" t="s">
        <v>84</v>
      </c>
      <c r="B872" s="142">
        <v>2735</v>
      </c>
      <c r="C872" s="143">
        <v>1421</v>
      </c>
      <c r="D872" s="142">
        <v>0</v>
      </c>
      <c r="E872" s="345">
        <v>1753</v>
      </c>
      <c r="F872" s="143">
        <v>0</v>
      </c>
      <c r="G872" s="142"/>
      <c r="H872" s="244"/>
      <c r="I872" s="143"/>
      <c r="J872" s="245">
        <v>45</v>
      </c>
      <c r="M872" s="47" t="s">
        <v>84</v>
      </c>
      <c r="N872" s="202">
        <v>22790</v>
      </c>
      <c r="O872" s="286">
        <v>73155</v>
      </c>
      <c r="P872" s="202">
        <v>0</v>
      </c>
      <c r="Q872" s="286">
        <v>0</v>
      </c>
      <c r="R872" s="48">
        <v>0</v>
      </c>
      <c r="S872" s="202">
        <v>5523</v>
      </c>
      <c r="T872" s="202">
        <v>236</v>
      </c>
      <c r="U872" s="47"/>
      <c r="V872" s="49"/>
      <c r="Y872" s="68" t="s">
        <v>88</v>
      </c>
      <c r="Z872" s="42">
        <v>0</v>
      </c>
      <c r="AA872" s="56">
        <v>0</v>
      </c>
      <c r="AB872" s="67">
        <v>0</v>
      </c>
      <c r="AC872" s="43">
        <v>0</v>
      </c>
      <c r="AD872" s="56">
        <v>0</v>
      </c>
      <c r="AE872" s="42">
        <v>0</v>
      </c>
      <c r="AF872" s="56">
        <v>9562</v>
      </c>
      <c r="AG872" s="41">
        <v>0</v>
      </c>
      <c r="AH872" s="67"/>
      <c r="AI872" s="28"/>
      <c r="AJ872" s="40"/>
      <c r="AM872" s="138" t="s">
        <v>81</v>
      </c>
      <c r="AN872" s="212">
        <v>5</v>
      </c>
      <c r="AO872" s="141">
        <v>7</v>
      </c>
      <c r="AP872" s="138"/>
      <c r="AQ872" s="141"/>
      <c r="AR872" s="138"/>
      <c r="AS872" s="43" t="s">
        <v>2207</v>
      </c>
      <c r="AT872" s="43" t="s">
        <v>2208</v>
      </c>
      <c r="AU872" s="43"/>
      <c r="AV872" s="141"/>
      <c r="AY872" s="196" t="s">
        <v>164</v>
      </c>
      <c r="AZ872" s="138"/>
      <c r="BA872" s="141">
        <v>8</v>
      </c>
      <c r="BB872" s="138">
        <v>0</v>
      </c>
      <c r="BC872" s="43">
        <v>0</v>
      </c>
      <c r="BD872" s="209">
        <v>0</v>
      </c>
      <c r="BE872" s="138">
        <v>0</v>
      </c>
      <c r="BF872" s="141">
        <v>0</v>
      </c>
      <c r="BG872" s="212">
        <v>48</v>
      </c>
      <c r="BH872" s="43" t="s">
        <v>1292</v>
      </c>
      <c r="BI872" s="141">
        <v>53</v>
      </c>
      <c r="BJ872" s="28"/>
    </row>
    <row r="873" spans="1:62" x14ac:dyDescent="0.3">
      <c r="A873" s="287" t="s">
        <v>181</v>
      </c>
      <c r="B873" s="135">
        <v>3771</v>
      </c>
      <c r="C873" s="135">
        <v>2699</v>
      </c>
      <c r="D873" s="134">
        <v>0</v>
      </c>
      <c r="E873" s="243">
        <v>0</v>
      </c>
      <c r="F873" s="136">
        <v>0</v>
      </c>
      <c r="G873" s="134">
        <v>1</v>
      </c>
      <c r="H873" s="278" t="s">
        <v>182</v>
      </c>
      <c r="I873" s="135"/>
      <c r="J873" s="279"/>
      <c r="Y873" s="68" t="s">
        <v>85</v>
      </c>
      <c r="Z873" s="67">
        <v>0</v>
      </c>
      <c r="AA873" s="56">
        <v>0</v>
      </c>
      <c r="AB873" s="42">
        <v>0</v>
      </c>
      <c r="AC873" s="43">
        <v>0</v>
      </c>
      <c r="AD873" s="40">
        <v>0</v>
      </c>
      <c r="AE873" s="67"/>
      <c r="AF873" s="56">
        <v>6234</v>
      </c>
      <c r="AG873" s="41">
        <v>0</v>
      </c>
      <c r="AH873" s="42"/>
      <c r="AI873" s="28"/>
      <c r="AJ873" s="40"/>
      <c r="AM873" s="138" t="s">
        <v>63</v>
      </c>
      <c r="AN873" s="212">
        <v>19</v>
      </c>
      <c r="AO873" s="141">
        <v>18</v>
      </c>
      <c r="AP873" s="138"/>
      <c r="AQ873" s="141"/>
      <c r="AR873" s="138"/>
      <c r="AS873" s="43"/>
      <c r="AT873" s="43" t="s">
        <v>2209</v>
      </c>
      <c r="AU873" s="43"/>
      <c r="AV873" s="141"/>
      <c r="AY873" s="239" t="s">
        <v>84</v>
      </c>
      <c r="AZ873" s="263">
        <v>562</v>
      </c>
      <c r="BA873" s="146">
        <v>643</v>
      </c>
      <c r="BB873" s="142"/>
      <c r="BC873" s="345"/>
      <c r="BD873" s="387"/>
      <c r="BE873" s="142"/>
      <c r="BF873" s="146"/>
      <c r="BG873" s="142"/>
      <c r="BH873" s="143"/>
      <c r="BI873" s="146"/>
      <c r="BJ873" s="28"/>
    </row>
    <row r="874" spans="1:62" x14ac:dyDescent="0.3">
      <c r="A874" s="288" t="s">
        <v>120</v>
      </c>
      <c r="B874" s="28">
        <v>313</v>
      </c>
      <c r="C874" s="28">
        <v>266</v>
      </c>
      <c r="D874" s="138">
        <v>0</v>
      </c>
      <c r="E874" s="38">
        <v>0</v>
      </c>
      <c r="F874" s="141">
        <v>0</v>
      </c>
      <c r="G874" s="138"/>
      <c r="H874" s="42">
        <v>13</v>
      </c>
      <c r="I874" s="28" t="s">
        <v>188</v>
      </c>
      <c r="J874" s="40"/>
      <c r="Y874" s="68" t="s">
        <v>574</v>
      </c>
      <c r="Z874" s="67">
        <v>0</v>
      </c>
      <c r="AA874" s="56">
        <v>0</v>
      </c>
      <c r="AB874" s="67">
        <v>0</v>
      </c>
      <c r="AC874" s="43">
        <v>0</v>
      </c>
      <c r="AD874" s="56">
        <v>0</v>
      </c>
      <c r="AE874" s="67"/>
      <c r="AF874" s="56">
        <v>12337</v>
      </c>
      <c r="AG874" s="41">
        <v>0</v>
      </c>
      <c r="AH874" s="67"/>
      <c r="AI874" s="28"/>
      <c r="AJ874" s="40"/>
      <c r="AM874" s="138" t="s">
        <v>122</v>
      </c>
      <c r="AN874" s="212">
        <v>22</v>
      </c>
      <c r="AO874" s="141">
        <v>2</v>
      </c>
      <c r="AP874" s="138"/>
      <c r="AQ874" s="141"/>
      <c r="AR874" s="138"/>
      <c r="AS874" s="43" t="s">
        <v>1360</v>
      </c>
      <c r="AT874" s="43" t="s">
        <v>2041</v>
      </c>
      <c r="AU874" s="43"/>
      <c r="AV874" s="141"/>
      <c r="AY874" s="134" t="s">
        <v>108</v>
      </c>
      <c r="AZ874" s="240">
        <v>3</v>
      </c>
      <c r="BA874" s="135">
        <v>2</v>
      </c>
      <c r="BB874" s="134"/>
      <c r="BC874" s="243"/>
      <c r="BD874" s="381"/>
      <c r="BE874" s="135"/>
      <c r="BF874" s="136"/>
      <c r="BG874" s="134" t="s">
        <v>140</v>
      </c>
      <c r="BH874" s="135"/>
      <c r="BI874" s="136"/>
      <c r="BJ874" s="28"/>
    </row>
    <row r="875" spans="1:62" x14ac:dyDescent="0.3">
      <c r="A875" s="288" t="s">
        <v>84</v>
      </c>
      <c r="B875" s="28">
        <v>4084</v>
      </c>
      <c r="C875" s="43">
        <v>2965</v>
      </c>
      <c r="D875" s="138">
        <v>0</v>
      </c>
      <c r="E875" s="38">
        <v>0</v>
      </c>
      <c r="F875" s="141">
        <v>0</v>
      </c>
      <c r="G875" s="138"/>
      <c r="H875" s="42">
        <v>13</v>
      </c>
      <c r="I875" s="28" t="s">
        <v>727</v>
      </c>
      <c r="J875" s="40"/>
      <c r="Y875" s="68" t="s">
        <v>108</v>
      </c>
      <c r="Z875" s="42">
        <v>0</v>
      </c>
      <c r="AA875" s="40">
        <v>0</v>
      </c>
      <c r="AB875" s="42">
        <v>0</v>
      </c>
      <c r="AC875" s="43">
        <v>0</v>
      </c>
      <c r="AD875" s="40">
        <v>0</v>
      </c>
      <c r="AE875" s="42"/>
      <c r="AF875" s="40">
        <v>17011</v>
      </c>
      <c r="AG875" s="41">
        <v>0</v>
      </c>
      <c r="AH875" s="42"/>
      <c r="AI875" s="28"/>
      <c r="AJ875" s="40"/>
      <c r="AM875" s="138" t="s">
        <v>132</v>
      </c>
      <c r="AN875" s="212">
        <v>2</v>
      </c>
      <c r="AO875" s="141">
        <v>2</v>
      </c>
      <c r="AP875" s="138"/>
      <c r="AQ875" s="141"/>
      <c r="AR875" s="138"/>
      <c r="AS875" s="43" t="s">
        <v>2210</v>
      </c>
      <c r="AT875" s="43" t="s">
        <v>1565</v>
      </c>
      <c r="AU875" s="43"/>
      <c r="AV875" s="141"/>
      <c r="AY875" s="138" t="s">
        <v>133</v>
      </c>
      <c r="AZ875" s="212">
        <v>17</v>
      </c>
      <c r="BA875" s="43">
        <v>13</v>
      </c>
      <c r="BB875" s="138"/>
      <c r="BC875" s="43"/>
      <c r="BD875" s="141"/>
      <c r="BE875" s="43"/>
      <c r="BF875" s="141"/>
      <c r="BG875" s="138"/>
      <c r="BH875" s="28"/>
      <c r="BI875" s="141"/>
      <c r="BJ875" s="28"/>
    </row>
    <row r="876" spans="1:62" ht="15" thickBot="1" x14ac:dyDescent="0.35">
      <c r="A876" s="289"/>
      <c r="B876" s="48"/>
      <c r="C876" s="48"/>
      <c r="D876" s="202"/>
      <c r="E876" s="48"/>
      <c r="F876" s="203"/>
      <c r="G876" s="202"/>
      <c r="H876" s="47">
        <v>5</v>
      </c>
      <c r="I876" s="51" t="s">
        <v>1464</v>
      </c>
      <c r="J876" s="49">
        <v>31</v>
      </c>
      <c r="Y876" s="68" t="s">
        <v>105</v>
      </c>
      <c r="Z876" s="42">
        <v>0</v>
      </c>
      <c r="AA876" s="40">
        <v>0</v>
      </c>
      <c r="AB876" s="42">
        <v>0</v>
      </c>
      <c r="AC876" s="43">
        <v>0</v>
      </c>
      <c r="AD876" s="40">
        <v>0</v>
      </c>
      <c r="AE876" s="42">
        <v>34130</v>
      </c>
      <c r="AF876" s="40">
        <v>6403</v>
      </c>
      <c r="AG876" s="41">
        <v>0</v>
      </c>
      <c r="AH876" s="42"/>
      <c r="AI876" s="28"/>
      <c r="AJ876" s="40"/>
      <c r="AM876" s="138" t="s">
        <v>230</v>
      </c>
      <c r="AN876" s="138">
        <v>8</v>
      </c>
      <c r="AO876" s="141">
        <v>2</v>
      </c>
      <c r="AP876" s="138"/>
      <c r="AQ876" s="141"/>
      <c r="AR876" s="138"/>
      <c r="AS876" s="220" t="s">
        <v>2211</v>
      </c>
      <c r="AT876" s="43" t="s">
        <v>803</v>
      </c>
      <c r="AU876" s="371"/>
      <c r="AV876" s="141"/>
      <c r="AY876" s="138" t="s">
        <v>158</v>
      </c>
      <c r="AZ876" s="212">
        <v>9</v>
      </c>
      <c r="BA876" s="43">
        <v>0</v>
      </c>
      <c r="BB876" s="138"/>
      <c r="BC876" s="43"/>
      <c r="BD876" s="141"/>
      <c r="BE876" s="43"/>
      <c r="BF876" s="141"/>
      <c r="BG876" s="138"/>
      <c r="BH876" s="28"/>
      <c r="BI876" s="141"/>
      <c r="BJ876" s="28"/>
    </row>
    <row r="877" spans="1:62" ht="15" thickBot="1" x14ac:dyDescent="0.35">
      <c r="A877" s="254" t="s">
        <v>84</v>
      </c>
      <c r="B877" s="274">
        <v>55282</v>
      </c>
      <c r="C877" s="172">
        <v>42051</v>
      </c>
      <c r="D877" s="275">
        <v>0</v>
      </c>
      <c r="E877" s="210">
        <v>2467</v>
      </c>
      <c r="F877" s="253">
        <v>0</v>
      </c>
      <c r="G877" s="171">
        <v>8</v>
      </c>
      <c r="H877" s="171"/>
      <c r="I877" s="170"/>
      <c r="J877" s="172">
        <v>413</v>
      </c>
      <c r="Y877" s="62" t="s">
        <v>84</v>
      </c>
      <c r="Z877" s="47">
        <v>0</v>
      </c>
      <c r="AA877" s="49">
        <v>0</v>
      </c>
      <c r="AB877" s="47">
        <v>0</v>
      </c>
      <c r="AC877" s="51">
        <v>0</v>
      </c>
      <c r="AD877" s="49"/>
      <c r="AE877" s="47">
        <v>172248</v>
      </c>
      <c r="AF877" s="49">
        <v>71001</v>
      </c>
      <c r="AG877" s="46">
        <v>0</v>
      </c>
      <c r="AH877" s="47"/>
      <c r="AI877" s="48"/>
      <c r="AJ877" s="49">
        <v>8</v>
      </c>
      <c r="AM877" s="138" t="s">
        <v>84</v>
      </c>
      <c r="AN877" s="138">
        <v>206</v>
      </c>
      <c r="AO877" s="141">
        <v>173</v>
      </c>
      <c r="AP877" s="138"/>
      <c r="AQ877" s="141"/>
      <c r="AR877" s="142"/>
      <c r="AS877" s="224" t="s">
        <v>2212</v>
      </c>
      <c r="AT877" s="224" t="s">
        <v>2213</v>
      </c>
      <c r="AU877" s="143"/>
      <c r="AV877" s="146">
        <v>181</v>
      </c>
      <c r="AY877" s="138" t="s">
        <v>85</v>
      </c>
      <c r="AZ877" s="212">
        <v>1</v>
      </c>
      <c r="BA877" s="43">
        <v>6</v>
      </c>
      <c r="BB877" s="382"/>
      <c r="BC877" s="43"/>
      <c r="BD877" s="141"/>
      <c r="BE877" s="43"/>
      <c r="BF877" s="141"/>
      <c r="BG877" s="212" t="s">
        <v>142</v>
      </c>
      <c r="BH877" s="43"/>
      <c r="BI877" s="209" t="s">
        <v>1890</v>
      </c>
      <c r="BJ877" s="28"/>
    </row>
    <row r="878" spans="1:62" ht="15" thickBot="1" x14ac:dyDescent="0.35">
      <c r="Y878" s="32"/>
      <c r="Z878" s="33"/>
      <c r="AA878" s="35"/>
      <c r="AB878" s="33"/>
      <c r="AC878" s="123"/>
      <c r="AD878" s="35"/>
      <c r="AE878" s="33"/>
      <c r="AF878" s="35"/>
      <c r="AG878" s="32"/>
      <c r="AH878" s="33" t="s">
        <v>1326</v>
      </c>
      <c r="AI878" s="34"/>
      <c r="AJ878" s="35"/>
      <c r="AM878" s="171" t="s">
        <v>84</v>
      </c>
      <c r="AN878" s="171">
        <v>1868</v>
      </c>
      <c r="AO878" s="172">
        <v>1778</v>
      </c>
      <c r="AP878" s="170"/>
      <c r="AQ878" s="172"/>
      <c r="AR878" s="48"/>
      <c r="AS878" s="48"/>
      <c r="AT878" s="48"/>
      <c r="AU878" s="48"/>
      <c r="AV878" s="49">
        <v>334</v>
      </c>
      <c r="AY878" s="138" t="s">
        <v>214</v>
      </c>
      <c r="AZ878" s="212">
        <v>2</v>
      </c>
      <c r="BA878" s="43">
        <v>0</v>
      </c>
      <c r="BB878" s="268"/>
      <c r="BC878" s="255"/>
      <c r="BD878" s="141"/>
      <c r="BE878" s="43"/>
      <c r="BF878" s="141"/>
      <c r="BG878" s="212" t="s">
        <v>146</v>
      </c>
      <c r="BH878" s="43"/>
      <c r="BI878" s="372" t="s">
        <v>2083</v>
      </c>
      <c r="BJ878" s="28"/>
    </row>
    <row r="879" spans="1:62" x14ac:dyDescent="0.3">
      <c r="V879" s="184"/>
      <c r="Y879" s="41" t="s">
        <v>102</v>
      </c>
      <c r="Z879" s="42">
        <v>567</v>
      </c>
      <c r="AA879" s="40">
        <v>441</v>
      </c>
      <c r="AB879" s="67">
        <v>0</v>
      </c>
      <c r="AC879" s="43">
        <v>0</v>
      </c>
      <c r="AD879" s="56">
        <v>0</v>
      </c>
      <c r="AE879" s="42">
        <v>0</v>
      </c>
      <c r="AF879" s="40">
        <v>0</v>
      </c>
      <c r="AG879" s="41">
        <v>0</v>
      </c>
      <c r="AH879" s="43">
        <v>8</v>
      </c>
      <c r="AI879" s="28" t="s">
        <v>145</v>
      </c>
      <c r="AJ879" s="40" t="s">
        <v>2214</v>
      </c>
      <c r="AM879" s="28"/>
      <c r="AN879" s="28"/>
      <c r="AO879" s="28"/>
      <c r="AP879" s="28"/>
      <c r="AQ879" s="28"/>
      <c r="AR879" s="28"/>
      <c r="AS879" s="43"/>
      <c r="AT879" s="43"/>
      <c r="AU879" s="28"/>
      <c r="AV879" s="28"/>
      <c r="AY879" s="138" t="s">
        <v>218</v>
      </c>
      <c r="AZ879" s="212">
        <v>4</v>
      </c>
      <c r="BA879" s="43">
        <v>34</v>
      </c>
      <c r="BB879" s="268"/>
      <c r="BC879" s="43"/>
      <c r="BD879" s="141"/>
      <c r="BE879" s="43"/>
      <c r="BF879" s="141"/>
      <c r="BG879" s="212"/>
      <c r="BH879" s="43"/>
      <c r="BI879" s="209"/>
      <c r="BJ879" s="28"/>
    </row>
    <row r="880" spans="1:62" ht="15" thickBot="1" x14ac:dyDescent="0.35">
      <c r="Y880" s="46" t="s">
        <v>84</v>
      </c>
      <c r="Z880" s="47">
        <v>567</v>
      </c>
      <c r="AA880" s="49">
        <v>441</v>
      </c>
      <c r="AB880" s="47">
        <v>0</v>
      </c>
      <c r="AC880" s="48">
        <v>0</v>
      </c>
      <c r="AD880" s="49">
        <v>0</v>
      </c>
      <c r="AE880" s="47">
        <v>0</v>
      </c>
      <c r="AF880" s="49">
        <v>0</v>
      </c>
      <c r="AG880" s="46">
        <v>0</v>
      </c>
      <c r="AH880" s="67">
        <v>3</v>
      </c>
      <c r="AI880" s="48" t="s">
        <v>98</v>
      </c>
      <c r="AJ880" s="49">
        <v>14</v>
      </c>
      <c r="AM880" s="28"/>
      <c r="AN880" s="28"/>
      <c r="AO880" s="28"/>
      <c r="AP880" s="28"/>
      <c r="AQ880" s="28"/>
      <c r="AR880" s="28"/>
      <c r="AS880" s="220"/>
      <c r="AT880" s="220"/>
      <c r="AU880" s="28"/>
      <c r="AV880" s="28"/>
      <c r="AY880" s="138" t="s">
        <v>211</v>
      </c>
      <c r="AZ880" s="212">
        <v>1</v>
      </c>
      <c r="BA880" s="43">
        <v>1</v>
      </c>
      <c r="BB880" s="268"/>
      <c r="BC880" s="43"/>
      <c r="BD880" s="141"/>
      <c r="BE880" s="43"/>
      <c r="BF880" s="141"/>
      <c r="BG880" s="212" t="s">
        <v>151</v>
      </c>
      <c r="BH880" s="43"/>
      <c r="BI880" s="209"/>
      <c r="BJ880" s="28"/>
    </row>
    <row r="881" spans="25:62" ht="15" thickBot="1" x14ac:dyDescent="0.35">
      <c r="Y881" s="254" t="s">
        <v>84</v>
      </c>
      <c r="Z881" s="171">
        <v>3878</v>
      </c>
      <c r="AA881" s="172">
        <v>2986</v>
      </c>
      <c r="AB881" s="271">
        <v>0</v>
      </c>
      <c r="AC881" s="170">
        <v>0</v>
      </c>
      <c r="AD881" s="172">
        <v>0</v>
      </c>
      <c r="AE881" s="47">
        <v>222997</v>
      </c>
      <c r="AF881" s="49">
        <v>73739</v>
      </c>
      <c r="AG881" s="46">
        <v>0</v>
      </c>
      <c r="AH881" s="291" t="s">
        <v>199</v>
      </c>
      <c r="AI881" s="170"/>
      <c r="AJ881" s="172">
        <v>58</v>
      </c>
      <c r="AM881" s="28"/>
      <c r="AN881" s="28"/>
      <c r="AO881" s="28"/>
      <c r="AP881" s="28"/>
      <c r="AQ881" s="28"/>
      <c r="AR881" s="28"/>
      <c r="AS881" s="43"/>
      <c r="AT881" s="43"/>
      <c r="AU881" s="28"/>
      <c r="AV881" s="28"/>
      <c r="AY881" s="138" t="s">
        <v>652</v>
      </c>
      <c r="AZ881" s="212">
        <v>4</v>
      </c>
      <c r="BA881" s="43">
        <v>4</v>
      </c>
      <c r="BB881" s="268"/>
      <c r="BC881" s="43"/>
      <c r="BD881" s="141"/>
      <c r="BE881" s="43"/>
      <c r="BF881" s="141"/>
      <c r="BG881" s="333" t="s">
        <v>2215</v>
      </c>
      <c r="BH881" s="383"/>
      <c r="BI881" s="209" t="s">
        <v>2216</v>
      </c>
      <c r="BJ881" s="28"/>
    </row>
    <row r="882" spans="25:62" x14ac:dyDescent="0.3">
      <c r="Y882" s="43"/>
      <c r="Z882" s="28"/>
      <c r="AA882" s="28"/>
      <c r="AB882" s="28"/>
      <c r="AC882" s="43"/>
      <c r="AD882" s="28"/>
      <c r="AE882" s="28"/>
      <c r="AF882" s="28"/>
      <c r="AG882" s="28"/>
      <c r="AH882" s="28"/>
      <c r="AI882" s="28"/>
      <c r="AJ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Y882" s="138" t="s">
        <v>169</v>
      </c>
      <c r="AZ882" s="212">
        <v>0</v>
      </c>
      <c r="BA882" s="43">
        <v>4</v>
      </c>
      <c r="BB882" s="268"/>
      <c r="BC882" s="43"/>
      <c r="BD882" s="141"/>
      <c r="BE882" s="43"/>
      <c r="BF882" s="141"/>
      <c r="BG882" s="212" t="s">
        <v>159</v>
      </c>
      <c r="BH882" s="220"/>
      <c r="BI882" s="209" t="s">
        <v>736</v>
      </c>
      <c r="BJ882" s="28"/>
    </row>
    <row r="883" spans="25:62" x14ac:dyDescent="0.3">
      <c r="Y883" s="43"/>
      <c r="Z883" s="28"/>
      <c r="AA883" s="28"/>
      <c r="AB883" s="28"/>
      <c r="AC883" s="43"/>
      <c r="AD883" s="28"/>
      <c r="AE883" s="28"/>
      <c r="AF883" s="28"/>
      <c r="AG883" s="28"/>
      <c r="AH883" s="28"/>
      <c r="AI883" s="28"/>
      <c r="AJ883" s="28"/>
      <c r="AS883" s="43"/>
      <c r="AT883" s="43"/>
      <c r="AU883" s="43"/>
      <c r="AV883" s="28"/>
      <c r="AY883" s="138" t="s">
        <v>137</v>
      </c>
      <c r="AZ883" s="212">
        <v>3</v>
      </c>
      <c r="BA883" s="43">
        <v>0</v>
      </c>
      <c r="BB883" s="268"/>
      <c r="BC883" s="43"/>
      <c r="BD883" s="141"/>
      <c r="BE883" s="43"/>
      <c r="BF883" s="141"/>
      <c r="BG883" s="212" t="s">
        <v>276</v>
      </c>
      <c r="BH883" s="43"/>
      <c r="BI883" s="209" t="s">
        <v>447</v>
      </c>
      <c r="BJ883" s="28"/>
    </row>
    <row r="884" spans="25:62" x14ac:dyDescent="0.3">
      <c r="Y884" s="43"/>
      <c r="Z884" s="28"/>
      <c r="AA884" s="28"/>
      <c r="AB884" s="28"/>
      <c r="AC884" s="43"/>
      <c r="AD884" s="28"/>
      <c r="AE884" s="28"/>
      <c r="AF884" s="28"/>
      <c r="AG884" s="28"/>
      <c r="AH884" s="28"/>
      <c r="AI884" s="28"/>
      <c r="AJ884" s="28"/>
      <c r="AO884" s="229"/>
      <c r="AS884" s="28"/>
      <c r="AT884" s="43"/>
      <c r="AU884" s="43"/>
      <c r="AV884" s="28"/>
      <c r="AY884" s="138" t="s">
        <v>113</v>
      </c>
      <c r="AZ884" s="212">
        <v>94</v>
      </c>
      <c r="BA884" s="43">
        <v>101</v>
      </c>
      <c r="BB884" s="268"/>
      <c r="BC884" s="270"/>
      <c r="BD884" s="141"/>
      <c r="BE884" s="43"/>
      <c r="BF884" s="141"/>
      <c r="BG884" s="212" t="s">
        <v>1820</v>
      </c>
      <c r="BH884" s="43" t="s">
        <v>1862</v>
      </c>
      <c r="BI884" s="209" t="s">
        <v>1565</v>
      </c>
      <c r="BJ884" s="28"/>
    </row>
    <row r="885" spans="25:62" x14ac:dyDescent="0.3">
      <c r="Y885" s="28"/>
      <c r="Z885" s="28"/>
      <c r="AA885" s="28"/>
      <c r="AB885" s="28"/>
      <c r="AC885" s="43"/>
      <c r="AD885" s="28"/>
      <c r="AE885" s="28"/>
      <c r="AF885" s="28"/>
      <c r="AG885" s="28"/>
      <c r="AH885" s="28"/>
      <c r="AI885" s="28"/>
      <c r="AJ885" s="28"/>
      <c r="AS885" s="43"/>
      <c r="AT885" s="43"/>
      <c r="AU885" s="43"/>
      <c r="AV885" s="28"/>
      <c r="AY885" s="138" t="s">
        <v>669</v>
      </c>
      <c r="AZ885" s="212">
        <v>8</v>
      </c>
      <c r="BA885" s="43">
        <v>0</v>
      </c>
      <c r="BB885" s="268"/>
      <c r="BC885" s="43"/>
      <c r="BD885" s="141"/>
      <c r="BE885" s="43"/>
      <c r="BF885" s="141"/>
      <c r="BG885" s="212" t="s">
        <v>513</v>
      </c>
      <c r="BH885" s="43" t="s">
        <v>2217</v>
      </c>
      <c r="BI885" s="209" t="s">
        <v>1428</v>
      </c>
      <c r="BJ885" s="28"/>
    </row>
    <row r="886" spans="25:62" x14ac:dyDescent="0.3">
      <c r="Y886" s="28"/>
      <c r="Z886" s="28"/>
      <c r="AA886" s="28"/>
      <c r="AB886" s="43"/>
      <c r="AC886" s="43"/>
      <c r="AD886" s="43"/>
      <c r="AE886" s="28"/>
      <c r="AF886" s="28"/>
      <c r="AG886" s="28"/>
      <c r="AH886" s="43"/>
      <c r="AI886" s="28"/>
      <c r="AJ886" s="28"/>
      <c r="AS886" s="43"/>
      <c r="AT886" s="28"/>
      <c r="AU886" s="28"/>
      <c r="AV886" s="28"/>
      <c r="AY886" s="138" t="s">
        <v>596</v>
      </c>
      <c r="AZ886" s="212">
        <v>2</v>
      </c>
      <c r="BA886" s="43">
        <v>0</v>
      </c>
      <c r="BB886" s="268"/>
      <c r="BC886" s="43"/>
      <c r="BD886" s="141"/>
      <c r="BE886" s="43"/>
      <c r="BF886" s="141"/>
      <c r="BG886" s="212" t="s">
        <v>1498</v>
      </c>
      <c r="BH886" s="222" t="s">
        <v>2218</v>
      </c>
      <c r="BI886" s="209" t="s">
        <v>626</v>
      </c>
      <c r="BJ886" s="28"/>
    </row>
    <row r="887" spans="25:62" x14ac:dyDescent="0.3">
      <c r="Y887" s="28"/>
      <c r="Z887" s="28"/>
      <c r="AA887" s="28"/>
      <c r="AB887" s="28"/>
      <c r="AC887" s="28"/>
      <c r="AD887" s="28"/>
      <c r="AE887" s="28"/>
      <c r="AF887" s="28"/>
      <c r="AG887" s="28"/>
      <c r="AH887" s="43"/>
      <c r="AI887" s="28"/>
      <c r="AJ887" s="28"/>
      <c r="AS887" s="43"/>
      <c r="AT887" s="28"/>
      <c r="AU887" s="28"/>
      <c r="AV887" s="28"/>
      <c r="AY887" s="138" t="s">
        <v>164</v>
      </c>
      <c r="AZ887" s="212">
        <v>5</v>
      </c>
      <c r="BA887" s="43">
        <v>8</v>
      </c>
      <c r="BB887" s="268"/>
      <c r="BC887" s="270"/>
      <c r="BD887" s="141"/>
      <c r="BE887" s="43"/>
      <c r="BF887" s="141"/>
      <c r="BG887" s="212" t="s">
        <v>1780</v>
      </c>
      <c r="BH887" s="43" t="s">
        <v>2219</v>
      </c>
      <c r="BI887" s="373" t="s">
        <v>940</v>
      </c>
      <c r="BJ887" s="28"/>
    </row>
    <row r="888" spans="25:62" x14ac:dyDescent="0.3">
      <c r="Y888" s="28"/>
      <c r="Z888" s="28"/>
      <c r="AA888" s="28"/>
      <c r="AB888" s="43"/>
      <c r="AC888" s="28"/>
      <c r="AD888" s="28"/>
      <c r="AE888" s="28"/>
      <c r="AF888" s="28"/>
      <c r="AG888" s="28"/>
      <c r="AH888" s="43"/>
      <c r="AI888" s="28"/>
      <c r="AJ888" s="28"/>
      <c r="AQ888" s="28"/>
      <c r="AS888" s="43"/>
      <c r="AT888" s="28"/>
      <c r="AU888" s="28"/>
      <c r="AV888" s="28"/>
      <c r="AY888" s="138" t="s">
        <v>523</v>
      </c>
      <c r="AZ888" s="212">
        <v>0</v>
      </c>
      <c r="BA888" s="43">
        <v>4</v>
      </c>
      <c r="BB888" s="268"/>
      <c r="BC888" s="270"/>
      <c r="BD888" s="141"/>
      <c r="BE888" s="43"/>
      <c r="BF888" s="141"/>
      <c r="BG888" s="212" t="s">
        <v>2220</v>
      </c>
      <c r="BH888" s="43" t="s">
        <v>2215</v>
      </c>
      <c r="BI888" s="209" t="s">
        <v>2221</v>
      </c>
      <c r="BJ888" s="28"/>
    </row>
    <row r="889" spans="25:62" x14ac:dyDescent="0.3">
      <c r="AQ889" s="28"/>
      <c r="AS889" s="43"/>
      <c r="AT889" s="43"/>
      <c r="AU889" s="43"/>
      <c r="AV889" s="28"/>
      <c r="AY889" s="138" t="s">
        <v>99</v>
      </c>
      <c r="AZ889" s="212">
        <v>0</v>
      </c>
      <c r="BA889" s="43">
        <v>8</v>
      </c>
      <c r="BB889" s="268"/>
      <c r="BC889" s="270"/>
      <c r="BD889" s="141"/>
      <c r="BE889" s="43"/>
      <c r="BF889" s="141"/>
      <c r="BG889" s="212" t="s">
        <v>510</v>
      </c>
      <c r="BH889" s="43" t="s">
        <v>918</v>
      </c>
      <c r="BI889" s="209" t="s">
        <v>2222</v>
      </c>
      <c r="BJ889" s="28"/>
    </row>
    <row r="890" spans="25:62" ht="15.6" x14ac:dyDescent="0.3">
      <c r="AE890" s="28"/>
      <c r="AO890" s="28"/>
      <c r="AQ890" s="28"/>
      <c r="AS890" s="43"/>
      <c r="AT890" s="28"/>
      <c r="AU890" s="28"/>
      <c r="AV890" s="28"/>
      <c r="AY890" s="374" t="s">
        <v>987</v>
      </c>
      <c r="AZ890" s="212">
        <v>0</v>
      </c>
      <c r="BA890" s="43">
        <v>3</v>
      </c>
      <c r="BB890" s="268"/>
      <c r="BC890" s="270"/>
      <c r="BD890" s="141"/>
      <c r="BE890" s="43"/>
      <c r="BF890" s="141"/>
      <c r="BG890" s="212" t="s">
        <v>2223</v>
      </c>
      <c r="BH890" s="258" t="s">
        <v>2224</v>
      </c>
      <c r="BI890" s="373" t="s">
        <v>1500</v>
      </c>
      <c r="BJ890" s="28"/>
    </row>
    <row r="891" spans="25:62" ht="15.6" x14ac:dyDescent="0.3">
      <c r="AO891" s="28"/>
      <c r="AQ891" s="28"/>
      <c r="AY891" s="138" t="s">
        <v>2225</v>
      </c>
      <c r="AZ891" s="212">
        <v>0</v>
      </c>
      <c r="BA891" s="43">
        <v>2</v>
      </c>
      <c r="BB891" s="268"/>
      <c r="BC891" s="270"/>
      <c r="BD891" s="141"/>
      <c r="BE891" s="43"/>
      <c r="BF891" s="141" t="s">
        <v>6</v>
      </c>
      <c r="BG891" s="212" t="s">
        <v>254</v>
      </c>
      <c r="BH891" s="258" t="s">
        <v>803</v>
      </c>
      <c r="BI891" s="209" t="s">
        <v>2226</v>
      </c>
      <c r="BJ891" s="28"/>
    </row>
    <row r="892" spans="25:62" x14ac:dyDescent="0.3">
      <c r="AO892" s="28"/>
      <c r="AQ892" s="28"/>
      <c r="AY892" s="138" t="s">
        <v>64</v>
      </c>
      <c r="AZ892" s="212">
        <v>3</v>
      </c>
      <c r="BA892" s="43">
        <v>0</v>
      </c>
      <c r="BB892" s="268"/>
      <c r="BC892" s="270"/>
      <c r="BD892" s="141"/>
      <c r="BE892" s="43"/>
      <c r="BF892" s="141" t="s">
        <v>150</v>
      </c>
      <c r="BG892" s="212" t="s">
        <v>507</v>
      </c>
      <c r="BH892" s="228" t="s">
        <v>548</v>
      </c>
      <c r="BI892" s="213" t="s">
        <v>1332</v>
      </c>
      <c r="BJ892" s="28"/>
    </row>
    <row r="893" spans="25:62" ht="15.6" x14ac:dyDescent="0.3">
      <c r="Y893" s="43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138" t="s">
        <v>501</v>
      </c>
      <c r="AZ893" s="212">
        <v>2</v>
      </c>
      <c r="BA893" s="43">
        <v>0</v>
      </c>
      <c r="BB893" s="268"/>
      <c r="BC893" s="270"/>
      <c r="BD893" s="141"/>
      <c r="BE893" s="43"/>
      <c r="BF893" s="141"/>
      <c r="BG893" s="138" t="s">
        <v>2227</v>
      </c>
      <c r="BH893" s="258" t="s">
        <v>258</v>
      </c>
      <c r="BI893" s="141" t="s">
        <v>803</v>
      </c>
      <c r="BJ893" s="28"/>
    </row>
    <row r="894" spans="25:62" ht="16.2" thickBot="1" x14ac:dyDescent="0.35">
      <c r="Y894" s="28"/>
      <c r="Z894" s="28"/>
      <c r="AA894" s="28"/>
      <c r="AB894" s="28"/>
      <c r="AC894" s="43"/>
      <c r="AD894" s="28"/>
      <c r="AE894" s="28"/>
      <c r="AF894" s="28"/>
      <c r="AG894" s="28"/>
      <c r="AH894" s="28"/>
      <c r="AI894" s="28"/>
      <c r="AJ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43"/>
      <c r="AX894" s="28"/>
      <c r="AY894" s="138" t="s">
        <v>574</v>
      </c>
      <c r="AZ894" s="263">
        <v>0</v>
      </c>
      <c r="BA894" s="143">
        <v>6</v>
      </c>
      <c r="BB894" s="375"/>
      <c r="BC894" s="376"/>
      <c r="BD894" s="146"/>
      <c r="BE894" s="224"/>
      <c r="BF894" s="146"/>
      <c r="BG894" s="138" t="s">
        <v>333</v>
      </c>
      <c r="BH894" s="258" t="s">
        <v>1007</v>
      </c>
      <c r="BI894" s="141">
        <v>66</v>
      </c>
      <c r="BJ894" s="28"/>
    </row>
    <row r="895" spans="25:62" ht="15" thickBot="1" x14ac:dyDescent="0.35">
      <c r="Y895" s="28"/>
      <c r="Z895" s="28"/>
      <c r="AA895" s="28"/>
      <c r="AB895" s="28"/>
      <c r="AC895" s="43"/>
      <c r="AD895" s="28"/>
      <c r="AE895" s="28"/>
      <c r="AF895" s="28"/>
      <c r="AG895" s="28"/>
      <c r="AH895" s="28"/>
      <c r="AI895" s="28"/>
      <c r="AJ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71" t="s">
        <v>84</v>
      </c>
      <c r="AZ895" s="72">
        <v>158</v>
      </c>
      <c r="BA895" s="357">
        <v>196</v>
      </c>
      <c r="BB895" s="48" t="s">
        <v>84</v>
      </c>
      <c r="BC895" s="48"/>
      <c r="BD895" s="48">
        <v>0</v>
      </c>
      <c r="BE895" s="47">
        <v>78815</v>
      </c>
      <c r="BF895" s="49">
        <v>23000</v>
      </c>
      <c r="BG895" s="351"/>
      <c r="BH895" s="170"/>
      <c r="BI895" s="172">
        <v>283</v>
      </c>
      <c r="BJ895" s="28"/>
    </row>
    <row r="896" spans="25:62" x14ac:dyDescent="0.3">
      <c r="Y896" s="28"/>
      <c r="Z896" s="28"/>
      <c r="AA896" s="28"/>
      <c r="AB896" s="43"/>
      <c r="AC896" s="43"/>
      <c r="AD896" s="43"/>
      <c r="AE896" s="28"/>
      <c r="AF896" s="28"/>
      <c r="AG896" s="28"/>
      <c r="AH896" s="28"/>
      <c r="AI896" s="28"/>
      <c r="AJ896" s="28"/>
      <c r="AM896" s="28"/>
      <c r="AN896" s="28"/>
      <c r="AO896" s="28"/>
      <c r="AP896" s="28"/>
      <c r="AQ896" s="28"/>
      <c r="AR896" s="28"/>
      <c r="AS896" s="28"/>
      <c r="AT896" s="28"/>
      <c r="AU896" s="43"/>
      <c r="AV896" s="28"/>
      <c r="AW896" s="28"/>
      <c r="AX896" s="28"/>
      <c r="AY896" s="200" t="s">
        <v>223</v>
      </c>
      <c r="AZ896" s="295">
        <v>9213</v>
      </c>
      <c r="BA896" s="296">
        <v>9598</v>
      </c>
      <c r="BB896" s="297"/>
      <c r="BC896" s="34" t="s">
        <v>1503</v>
      </c>
      <c r="BD896" s="34"/>
      <c r="BE896" s="34"/>
      <c r="BF896" s="34"/>
      <c r="BG896" s="298">
        <v>741</v>
      </c>
      <c r="BH896" s="35"/>
      <c r="BI896" s="35"/>
      <c r="BJ896" s="28"/>
    </row>
    <row r="897" spans="25:62" ht="15" thickBot="1" x14ac:dyDescent="0.35"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M897" s="28"/>
      <c r="AN897" s="28"/>
      <c r="AO897" s="28"/>
      <c r="AP897" s="28"/>
      <c r="AQ897" s="43"/>
      <c r="AR897" s="28"/>
      <c r="AS897" s="28"/>
      <c r="AT897" s="28"/>
      <c r="AU897" s="43"/>
      <c r="AV897" s="43"/>
      <c r="AW897" s="28"/>
      <c r="AX897" s="28"/>
      <c r="AY897" s="138" t="s">
        <v>1340</v>
      </c>
      <c r="AZ897" s="28"/>
      <c r="BA897" s="299">
        <v>66</v>
      </c>
      <c r="BB897" s="47"/>
      <c r="BC897" s="48" t="s">
        <v>1504</v>
      </c>
      <c r="BD897" s="48"/>
      <c r="BE897" s="48"/>
      <c r="BF897" s="48"/>
      <c r="BG897" s="300">
        <v>261</v>
      </c>
      <c r="BH897" s="301">
        <v>1002</v>
      </c>
      <c r="BI897" s="40"/>
      <c r="BJ897" s="28"/>
    </row>
    <row r="898" spans="25:62" ht="15" thickBot="1" x14ac:dyDescent="0.35">
      <c r="Y898" s="28"/>
      <c r="Z898" s="28"/>
      <c r="AA898" s="28"/>
      <c r="AB898" s="43"/>
      <c r="AC898" s="43"/>
      <c r="AD898" s="43"/>
      <c r="AE898" s="28"/>
      <c r="AF898" s="28"/>
      <c r="AG898" s="28"/>
      <c r="AH898" s="28"/>
      <c r="AI898" s="28"/>
      <c r="AJ898" s="28"/>
      <c r="AM898" s="43"/>
      <c r="AN898" s="43"/>
      <c r="AO898" s="43"/>
      <c r="AP898" s="28"/>
      <c r="AQ898" s="43"/>
      <c r="AR898" s="28"/>
      <c r="AS898" s="28"/>
      <c r="AT898" s="28"/>
      <c r="AU898" s="43"/>
      <c r="AV898" s="43"/>
      <c r="AW898" s="43"/>
      <c r="AX898" s="28"/>
      <c r="AY898" s="202" t="s">
        <v>229</v>
      </c>
      <c r="AZ898" s="48"/>
      <c r="BA898" s="302">
        <v>2</v>
      </c>
      <c r="BB898" s="28"/>
      <c r="BC898" s="28"/>
      <c r="BD898" s="28"/>
      <c r="BE898" s="28"/>
      <c r="BF898" s="42"/>
      <c r="BG898" s="28"/>
      <c r="BH898" s="42"/>
      <c r="BI898" s="40"/>
      <c r="BJ898" s="28"/>
    </row>
    <row r="899" spans="25:62" x14ac:dyDescent="0.3">
      <c r="Y899" s="28"/>
      <c r="Z899" s="28"/>
      <c r="AA899" s="28"/>
      <c r="AB899" s="43"/>
      <c r="AC899" s="43"/>
      <c r="AD899" s="43"/>
      <c r="AE899" s="28"/>
      <c r="AF899" s="28"/>
      <c r="AG899" s="28"/>
      <c r="AH899" s="43"/>
      <c r="AI899" s="28"/>
      <c r="AJ899" s="28"/>
      <c r="AM899" s="28"/>
      <c r="AN899" s="28"/>
      <c r="AO899" s="28"/>
      <c r="AP899" s="28"/>
      <c r="AQ899" s="28"/>
      <c r="AR899" s="28"/>
      <c r="AS899" s="28"/>
      <c r="AT899" s="28"/>
      <c r="AU899" s="43"/>
      <c r="AV899" s="43"/>
      <c r="AW899" s="28"/>
      <c r="AX899" s="28"/>
      <c r="AY899" s="200" t="s">
        <v>232</v>
      </c>
      <c r="AZ899" s="34"/>
      <c r="BA899" s="303" t="s">
        <v>233</v>
      </c>
      <c r="BB899" s="34"/>
      <c r="BC899" s="298">
        <v>1868</v>
      </c>
      <c r="BD899" s="35"/>
      <c r="BE899" s="33" t="s">
        <v>234</v>
      </c>
      <c r="BF899" s="34"/>
      <c r="BG899" s="34" t="s">
        <v>233</v>
      </c>
      <c r="BH899" s="34"/>
      <c r="BI899" s="304">
        <v>9213</v>
      </c>
      <c r="BJ899" s="28"/>
    </row>
    <row r="900" spans="25:62" ht="15" thickBot="1" x14ac:dyDescent="0.35">
      <c r="Y900" s="28"/>
      <c r="Z900" s="28"/>
      <c r="AA900" s="28"/>
      <c r="AB900" s="43"/>
      <c r="AC900" s="43"/>
      <c r="AD900" s="43"/>
      <c r="AE900" s="28"/>
      <c r="AF900" s="28"/>
      <c r="AG900" s="28"/>
      <c r="AH900" s="43"/>
      <c r="AI900" s="43"/>
      <c r="AJ900" s="28"/>
      <c r="AM900" s="28"/>
      <c r="AN900" s="28"/>
      <c r="AO900" s="28"/>
      <c r="AP900" s="28"/>
      <c r="AQ900" s="28"/>
      <c r="AR900" s="28"/>
      <c r="AS900" s="43"/>
      <c r="AT900" s="43"/>
      <c r="AU900" s="28"/>
      <c r="AV900" s="28"/>
      <c r="AW900" s="28"/>
      <c r="AX900" s="28"/>
      <c r="AY900" s="202"/>
      <c r="AZ900" s="48"/>
      <c r="BA900" s="48" t="s">
        <v>236</v>
      </c>
      <c r="BB900" s="48"/>
      <c r="BC900" s="300">
        <v>1778</v>
      </c>
      <c r="BD900" s="49"/>
      <c r="BE900" s="42"/>
      <c r="BF900" s="28"/>
      <c r="BG900" s="28" t="s">
        <v>236</v>
      </c>
      <c r="BH900" s="28"/>
      <c r="BI900" s="174">
        <v>9598</v>
      </c>
      <c r="BJ900" s="28"/>
    </row>
    <row r="901" spans="25:62" ht="15" thickBot="1" x14ac:dyDescent="0.35">
      <c r="Y901" s="28"/>
      <c r="Z901" s="43"/>
      <c r="AA901" s="28"/>
      <c r="AB901" s="43"/>
      <c r="AC901" s="28"/>
      <c r="AD901" s="28"/>
      <c r="AE901" s="28"/>
      <c r="AF901" s="28"/>
      <c r="AG901" s="28"/>
      <c r="AH901" s="28"/>
      <c r="AI901" s="28"/>
      <c r="AJ901" s="28"/>
      <c r="AM901" s="28"/>
      <c r="AN901" s="43"/>
      <c r="AO901" s="43"/>
      <c r="AP901" s="28"/>
      <c r="AQ901" s="43"/>
      <c r="AR901" s="28"/>
      <c r="AS901" s="43"/>
      <c r="AT901" s="43"/>
      <c r="AU901" s="28"/>
      <c r="AV901" s="28"/>
      <c r="AW901" s="28"/>
      <c r="AX901" s="28"/>
      <c r="AY901" s="210" t="s">
        <v>238</v>
      </c>
      <c r="AZ901" s="170" t="s">
        <v>239</v>
      </c>
      <c r="BA901" s="172"/>
      <c r="BB901" s="171" t="s">
        <v>240</v>
      </c>
      <c r="BC901" s="170" t="s">
        <v>241</v>
      </c>
      <c r="BD901" s="170"/>
      <c r="BE901" s="171"/>
      <c r="BF901" s="170" t="s">
        <v>242</v>
      </c>
      <c r="BG901" s="305" t="s">
        <v>243</v>
      </c>
      <c r="BH901" s="170"/>
      <c r="BI901" s="172"/>
      <c r="BJ901" s="28"/>
    </row>
    <row r="902" spans="25:62" x14ac:dyDescent="0.3">
      <c r="Y902" s="28"/>
      <c r="Z902" s="28"/>
      <c r="AA902" s="28"/>
      <c r="AB902" s="43"/>
      <c r="AC902" s="43"/>
      <c r="AD902" s="43"/>
      <c r="AE902" s="28"/>
      <c r="AF902" s="28"/>
      <c r="AG902" s="28"/>
      <c r="AH902" s="28"/>
      <c r="AI902" s="28"/>
      <c r="AJ902" s="28"/>
      <c r="AM902" s="28"/>
      <c r="AN902" s="43"/>
      <c r="AO902" s="43"/>
      <c r="AP902" s="28"/>
      <c r="AQ902" s="43"/>
      <c r="AR902" s="28"/>
      <c r="AS902" s="43"/>
      <c r="AT902" s="43"/>
      <c r="AU902" s="28"/>
      <c r="AV902" s="43"/>
      <c r="AW902" s="43"/>
      <c r="AX902" s="28"/>
      <c r="AY902" s="200" t="s">
        <v>233</v>
      </c>
      <c r="AZ902" s="34"/>
      <c r="BA902" s="304">
        <v>55282</v>
      </c>
      <c r="BB902" s="306" t="s">
        <v>233</v>
      </c>
      <c r="BC902" s="28"/>
      <c r="BD902" s="174">
        <v>3878</v>
      </c>
      <c r="BE902" s="42" t="s">
        <v>233</v>
      </c>
      <c r="BF902" s="28"/>
      <c r="BG902" s="174">
        <v>13091</v>
      </c>
      <c r="BH902" s="28" t="s">
        <v>245</v>
      </c>
      <c r="BI902" s="174">
        <v>68373</v>
      </c>
      <c r="BJ902" s="28"/>
    </row>
    <row r="903" spans="25:62" ht="15" thickBot="1" x14ac:dyDescent="0.35">
      <c r="Y903" s="28"/>
      <c r="Z903" s="28"/>
      <c r="AA903" s="28"/>
      <c r="AB903" s="43"/>
      <c r="AC903" s="43"/>
      <c r="AD903" s="43"/>
      <c r="AE903" s="28"/>
      <c r="AF903" s="28"/>
      <c r="AG903" s="28"/>
      <c r="AH903" s="43"/>
      <c r="AI903" s="28"/>
      <c r="AJ903" s="28"/>
      <c r="AM903" s="28"/>
      <c r="AN903" s="43"/>
      <c r="AO903" s="43"/>
      <c r="AP903" s="28"/>
      <c r="AQ903" s="43"/>
      <c r="AR903" s="28"/>
      <c r="AS903" s="43"/>
      <c r="AT903" s="43"/>
      <c r="AU903" s="28"/>
      <c r="AV903" s="43"/>
      <c r="AW903" s="43"/>
      <c r="AX903" s="28"/>
      <c r="AY903" s="202" t="s">
        <v>236</v>
      </c>
      <c r="AZ903" s="48"/>
      <c r="BA903" s="301">
        <v>42051</v>
      </c>
      <c r="BB903" s="307" t="s">
        <v>236</v>
      </c>
      <c r="BC903" s="48"/>
      <c r="BD903" s="301">
        <v>2986</v>
      </c>
      <c r="BE903" s="42" t="s">
        <v>236</v>
      </c>
      <c r="BF903" s="28"/>
      <c r="BG903" s="174">
        <v>12584</v>
      </c>
      <c r="BH903" s="28"/>
      <c r="BI903" s="174">
        <v>54635</v>
      </c>
      <c r="BJ903" s="140">
        <v>123008</v>
      </c>
    </row>
    <row r="904" spans="25:62" ht="15" thickBot="1" x14ac:dyDescent="0.35">
      <c r="Y904" s="28"/>
      <c r="Z904" s="28"/>
      <c r="AA904" s="28"/>
      <c r="AB904" s="43"/>
      <c r="AC904" s="43"/>
      <c r="AD904" s="43"/>
      <c r="AE904" s="28"/>
      <c r="AF904" s="28"/>
      <c r="AG904" s="28"/>
      <c r="AH904" s="43"/>
      <c r="AI904" s="43"/>
      <c r="AJ904" s="28"/>
      <c r="AM904" s="28"/>
      <c r="AN904" s="43"/>
      <c r="AO904" s="43"/>
      <c r="AP904" s="28"/>
      <c r="AQ904" s="28"/>
      <c r="AR904" s="28"/>
      <c r="AS904" s="43"/>
      <c r="AT904" s="43"/>
      <c r="AU904" s="28"/>
      <c r="AV904" s="28"/>
      <c r="AW904" s="28"/>
      <c r="AX904" s="28"/>
      <c r="AY904" s="377" t="s">
        <v>1505</v>
      </c>
      <c r="AZ904" s="170"/>
      <c r="BA904" s="272"/>
      <c r="BB904" s="271" t="s">
        <v>1506</v>
      </c>
      <c r="BC904" s="170"/>
      <c r="BD904" s="170"/>
      <c r="BE904" s="171"/>
      <c r="BF904" s="170" t="s">
        <v>1507</v>
      </c>
      <c r="BG904" s="170"/>
      <c r="BH904" s="170"/>
      <c r="BI904" s="308"/>
      <c r="BJ904" s="28"/>
    </row>
    <row r="905" spans="25:62" x14ac:dyDescent="0.3">
      <c r="Y905" s="43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378" t="s">
        <v>43</v>
      </c>
      <c r="AZ905" s="34" t="s">
        <v>44</v>
      </c>
      <c r="BA905" s="309"/>
      <c r="BB905" s="123" t="s">
        <v>43</v>
      </c>
      <c r="BC905" s="123" t="s">
        <v>44</v>
      </c>
      <c r="BD905" s="35"/>
      <c r="BE905" s="34"/>
      <c r="BF905" s="298">
        <v>2467</v>
      </c>
      <c r="BG905" s="298"/>
      <c r="BH905" s="34"/>
      <c r="BI905" s="35"/>
      <c r="BJ905" s="28"/>
    </row>
    <row r="906" spans="25:62" ht="15" thickBot="1" x14ac:dyDescent="0.35"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Y906" s="379">
        <v>245787</v>
      </c>
      <c r="AZ906" s="300">
        <v>146894</v>
      </c>
      <c r="BA906" s="311"/>
      <c r="BB906" s="312">
        <v>84338</v>
      </c>
      <c r="BC906" s="300">
        <v>23236</v>
      </c>
      <c r="BD906" s="49"/>
      <c r="BE906" s="48"/>
      <c r="BF906" s="48"/>
      <c r="BG906" s="48"/>
      <c r="BH906" s="48"/>
      <c r="BI906" s="49"/>
      <c r="BJ906" s="28"/>
    </row>
  </sheetData>
  <mergeCells count="104">
    <mergeCell ref="BB839:BF839"/>
    <mergeCell ref="A840:H840"/>
    <mergeCell ref="O840:U840"/>
    <mergeCell ref="Y840:AG840"/>
    <mergeCell ref="AM838:AT838"/>
    <mergeCell ref="A839:C839"/>
    <mergeCell ref="D839:E839"/>
    <mergeCell ref="P839:S839"/>
    <mergeCell ref="AB839:AF839"/>
    <mergeCell ref="AO839:AS839"/>
    <mergeCell ref="B764:G764"/>
    <mergeCell ref="O764:U764"/>
    <mergeCell ref="AA764:AH764"/>
    <mergeCell ref="AO836:AS836"/>
    <mergeCell ref="Q837:S837"/>
    <mergeCell ref="AP837:AT837"/>
    <mergeCell ref="AO762:AT762"/>
    <mergeCell ref="B763:F763"/>
    <mergeCell ref="P763:S763"/>
    <mergeCell ref="AC763:AF763"/>
    <mergeCell ref="AP763:AT763"/>
    <mergeCell ref="BC763:BF763"/>
    <mergeCell ref="B693:G693"/>
    <mergeCell ref="O693:U693"/>
    <mergeCell ref="AA693:AH693"/>
    <mergeCell ref="AP760:AS760"/>
    <mergeCell ref="Q761:S761"/>
    <mergeCell ref="AQ761:AR761"/>
    <mergeCell ref="AO691:AT691"/>
    <mergeCell ref="B692:F692"/>
    <mergeCell ref="P692:S692"/>
    <mergeCell ref="AC692:AF692"/>
    <mergeCell ref="AP692:AT692"/>
    <mergeCell ref="BC692:BF692"/>
    <mergeCell ref="B609:G609"/>
    <mergeCell ref="O609:U609"/>
    <mergeCell ref="AA609:AH609"/>
    <mergeCell ref="AP689:AS689"/>
    <mergeCell ref="Q690:S690"/>
    <mergeCell ref="AQ690:AR690"/>
    <mergeCell ref="AO607:AT607"/>
    <mergeCell ref="B608:F608"/>
    <mergeCell ref="P608:S608"/>
    <mergeCell ref="AC608:AF608"/>
    <mergeCell ref="AP608:AT608"/>
    <mergeCell ref="BC608:BF608"/>
    <mergeCell ref="B533:G533"/>
    <mergeCell ref="O533:U533"/>
    <mergeCell ref="AA533:AH533"/>
    <mergeCell ref="AP605:AS605"/>
    <mergeCell ref="Q606:S606"/>
    <mergeCell ref="AQ606:AR606"/>
    <mergeCell ref="AO531:AT531"/>
    <mergeCell ref="B532:F532"/>
    <mergeCell ref="P532:S532"/>
    <mergeCell ref="AC532:AF532"/>
    <mergeCell ref="AP532:AT532"/>
    <mergeCell ref="BC532:BF532"/>
    <mergeCell ref="B450:G450"/>
    <mergeCell ref="O450:U450"/>
    <mergeCell ref="AA450:AH450"/>
    <mergeCell ref="AP529:AS529"/>
    <mergeCell ref="Q530:S530"/>
    <mergeCell ref="AQ530:AR530"/>
    <mergeCell ref="AO448:AT448"/>
    <mergeCell ref="B449:F449"/>
    <mergeCell ref="P449:S449"/>
    <mergeCell ref="AC449:AF449"/>
    <mergeCell ref="AP449:AT449"/>
    <mergeCell ref="BC449:BF449"/>
    <mergeCell ref="B379:F379"/>
    <mergeCell ref="P379:S379"/>
    <mergeCell ref="AC379:AF379"/>
    <mergeCell ref="AP379:AR379"/>
    <mergeCell ref="AP446:AS446"/>
    <mergeCell ref="Q447:S447"/>
    <mergeCell ref="AQ447:AR447"/>
    <mergeCell ref="Q304:S304"/>
    <mergeCell ref="B306:F306"/>
    <mergeCell ref="P306:S306"/>
    <mergeCell ref="AC306:AF306"/>
    <mergeCell ref="AP306:AR306"/>
    <mergeCell ref="Q377:S377"/>
    <mergeCell ref="Q3:S3"/>
    <mergeCell ref="B5:F5"/>
    <mergeCell ref="P5:S5"/>
    <mergeCell ref="AC5:AF5"/>
    <mergeCell ref="AP5:AR5"/>
    <mergeCell ref="Q82:S82"/>
    <mergeCell ref="AP226:AR226"/>
    <mergeCell ref="Q233:S233"/>
    <mergeCell ref="B235:F235"/>
    <mergeCell ref="P235:S235"/>
    <mergeCell ref="AC235:AF235"/>
    <mergeCell ref="AP235:AR235"/>
    <mergeCell ref="B84:F84"/>
    <mergeCell ref="P84:S84"/>
    <mergeCell ref="AC84:AF84"/>
    <mergeCell ref="AP84:AR84"/>
    <mergeCell ref="Q156:S156"/>
    <mergeCell ref="B158:F158"/>
    <mergeCell ref="P158:S158"/>
    <mergeCell ref="AC158:AF158"/>
    <mergeCell ref="AP158:AR15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I860"/>
  <sheetViews>
    <sheetView topLeftCell="AU284" zoomScale="85" zoomScaleNormal="85" zoomScalePageLayoutView="75" workbookViewId="0">
      <selection activeCell="AZ290" sqref="AZ290:BB300"/>
    </sheetView>
  </sheetViews>
  <sheetFormatPr defaultColWidth="11.44140625" defaultRowHeight="14.4" x14ac:dyDescent="0.3"/>
  <sheetData>
    <row r="2" spans="2:61" x14ac:dyDescent="0.3">
      <c r="AO2" t="s">
        <v>4</v>
      </c>
      <c r="BB2" t="s">
        <v>4</v>
      </c>
      <c r="BI2" s="28"/>
    </row>
    <row r="3" spans="2:61" ht="15.6" x14ac:dyDescent="0.3">
      <c r="E3" s="1" t="s">
        <v>4</v>
      </c>
      <c r="P3" s="1" t="s">
        <v>4</v>
      </c>
      <c r="AA3" t="s">
        <v>4</v>
      </c>
      <c r="AP3" t="s">
        <v>2</v>
      </c>
      <c r="BC3" t="s">
        <v>2</v>
      </c>
      <c r="BI3" s="28"/>
    </row>
    <row r="4" spans="2:61" x14ac:dyDescent="0.3">
      <c r="F4" t="s">
        <v>2</v>
      </c>
      <c r="Q4" t="s">
        <v>2</v>
      </c>
      <c r="AB4" t="s">
        <v>2</v>
      </c>
      <c r="AN4" t="s">
        <v>12</v>
      </c>
      <c r="AV4" t="s">
        <v>6</v>
      </c>
      <c r="BA4" t="s">
        <v>12</v>
      </c>
    </row>
    <row r="5" spans="2:61" x14ac:dyDescent="0.3">
      <c r="D5" t="s">
        <v>12</v>
      </c>
      <c r="O5" t="s">
        <v>12</v>
      </c>
      <c r="W5" t="s">
        <v>6</v>
      </c>
      <c r="Z5" t="s">
        <v>12</v>
      </c>
      <c r="AH5" t="s">
        <v>6</v>
      </c>
      <c r="AP5" t="s">
        <v>1508</v>
      </c>
      <c r="BB5" s="408" t="s">
        <v>1287</v>
      </c>
      <c r="BC5" s="408"/>
      <c r="BD5" s="408"/>
    </row>
    <row r="6" spans="2:61" x14ac:dyDescent="0.3">
      <c r="F6" t="s">
        <v>10</v>
      </c>
      <c r="K6" s="5"/>
      <c r="Q6" t="s">
        <v>656</v>
      </c>
      <c r="V6" s="5"/>
      <c r="AB6" t="s">
        <v>948</v>
      </c>
      <c r="AT6" s="194" t="s">
        <v>951</v>
      </c>
      <c r="BG6" s="194" t="s">
        <v>951</v>
      </c>
    </row>
    <row r="7" spans="2:61" ht="15" thickBot="1" x14ac:dyDescent="0.35">
      <c r="J7" s="5" t="s">
        <v>26</v>
      </c>
      <c r="U7" s="5" t="s">
        <v>26</v>
      </c>
      <c r="AF7" s="194" t="s">
        <v>951</v>
      </c>
      <c r="AL7" s="134" t="s">
        <v>17</v>
      </c>
      <c r="AM7" s="134" t="s">
        <v>39</v>
      </c>
      <c r="AN7" s="136"/>
      <c r="AO7" s="134" t="s">
        <v>29</v>
      </c>
      <c r="AP7" s="136" t="s">
        <v>30</v>
      </c>
      <c r="AQ7" s="135" t="s">
        <v>40</v>
      </c>
      <c r="AR7" s="135"/>
      <c r="AS7" s="135"/>
      <c r="AT7" s="135"/>
      <c r="AU7" s="136"/>
      <c r="AY7" s="134" t="s">
        <v>17</v>
      </c>
      <c r="AZ7" s="134" t="s">
        <v>39</v>
      </c>
      <c r="BA7" s="136"/>
      <c r="BB7" s="134" t="s">
        <v>29</v>
      </c>
      <c r="BC7" s="136" t="s">
        <v>30</v>
      </c>
      <c r="BD7" s="135" t="s">
        <v>40</v>
      </c>
      <c r="BE7" s="135"/>
      <c r="BF7" s="135"/>
      <c r="BG7" s="135"/>
      <c r="BH7" s="136"/>
    </row>
    <row r="8" spans="2:61" x14ac:dyDescent="0.3">
      <c r="B8" s="6" t="s">
        <v>17</v>
      </c>
      <c r="C8" s="6" t="s">
        <v>39</v>
      </c>
      <c r="D8" s="7"/>
      <c r="E8" s="6" t="s">
        <v>29</v>
      </c>
      <c r="F8" s="7" t="s">
        <v>30</v>
      </c>
      <c r="G8" s="8" t="s">
        <v>40</v>
      </c>
      <c r="H8" s="8"/>
      <c r="I8" s="8"/>
      <c r="J8" s="8"/>
      <c r="K8" s="7"/>
      <c r="M8" s="6" t="s">
        <v>17</v>
      </c>
      <c r="N8" s="6" t="s">
        <v>39</v>
      </c>
      <c r="O8" s="7"/>
      <c r="P8" s="6" t="s">
        <v>29</v>
      </c>
      <c r="Q8" s="7" t="s">
        <v>30</v>
      </c>
      <c r="R8" s="8" t="s">
        <v>40</v>
      </c>
      <c r="S8" s="8"/>
      <c r="T8" s="8"/>
      <c r="U8" s="8"/>
      <c r="V8" s="7"/>
      <c r="X8" s="134" t="s">
        <v>17</v>
      </c>
      <c r="Y8" s="134" t="s">
        <v>39</v>
      </c>
      <c r="Z8" s="136"/>
      <c r="AA8" s="134" t="s">
        <v>29</v>
      </c>
      <c r="AB8" s="136" t="s">
        <v>30</v>
      </c>
      <c r="AC8" s="135" t="s">
        <v>40</v>
      </c>
      <c r="AD8" s="135"/>
      <c r="AE8" s="135"/>
      <c r="AF8" s="135"/>
      <c r="AG8" s="136"/>
      <c r="AL8" s="138" t="s">
        <v>42</v>
      </c>
      <c r="AM8" s="138" t="s">
        <v>43</v>
      </c>
      <c r="AN8" s="141" t="s">
        <v>44</v>
      </c>
      <c r="AO8" s="138" t="s">
        <v>43</v>
      </c>
      <c r="AP8" s="141" t="s">
        <v>44</v>
      </c>
      <c r="AQ8" s="28"/>
      <c r="AR8" s="28"/>
      <c r="AS8" s="28"/>
      <c r="AT8" s="28"/>
      <c r="AU8" s="141"/>
      <c r="AY8" s="138" t="s">
        <v>42</v>
      </c>
      <c r="AZ8" s="138" t="s">
        <v>43</v>
      </c>
      <c r="BA8" s="141" t="s">
        <v>44</v>
      </c>
      <c r="BB8" s="138" t="s">
        <v>43</v>
      </c>
      <c r="BC8" s="141" t="s">
        <v>44</v>
      </c>
      <c r="BD8" s="28"/>
      <c r="BE8" s="28"/>
      <c r="BF8" s="28"/>
      <c r="BG8" s="28"/>
      <c r="BH8" s="141"/>
    </row>
    <row r="9" spans="2:61" ht="15" thickBot="1" x14ac:dyDescent="0.35">
      <c r="B9" s="13" t="s">
        <v>42</v>
      </c>
      <c r="C9" s="10" t="s">
        <v>43</v>
      </c>
      <c r="D9" s="11" t="s">
        <v>44</v>
      </c>
      <c r="E9" s="13" t="s">
        <v>43</v>
      </c>
      <c r="F9" s="26" t="s">
        <v>44</v>
      </c>
      <c r="G9" s="27"/>
      <c r="H9" s="27"/>
      <c r="I9" s="27"/>
      <c r="J9" s="27"/>
      <c r="K9" s="26"/>
      <c r="M9" s="13" t="s">
        <v>42</v>
      </c>
      <c r="N9" s="10" t="s">
        <v>43</v>
      </c>
      <c r="O9" s="11" t="s">
        <v>44</v>
      </c>
      <c r="P9" s="13" t="s">
        <v>43</v>
      </c>
      <c r="Q9" s="26" t="s">
        <v>44</v>
      </c>
      <c r="R9" s="27"/>
      <c r="S9" s="27"/>
      <c r="T9" s="27"/>
      <c r="U9" s="27"/>
      <c r="V9" s="26"/>
      <c r="X9" s="138" t="s">
        <v>42</v>
      </c>
      <c r="Y9" s="138" t="s">
        <v>43</v>
      </c>
      <c r="Z9" s="141" t="s">
        <v>44</v>
      </c>
      <c r="AA9" s="138" t="s">
        <v>43</v>
      </c>
      <c r="AB9" s="141" t="s">
        <v>44</v>
      </c>
      <c r="AC9" s="28"/>
      <c r="AD9" s="28"/>
      <c r="AE9" s="28"/>
      <c r="AF9" s="28"/>
      <c r="AG9" s="141"/>
      <c r="AL9" s="134"/>
      <c r="AM9" s="134"/>
      <c r="AN9" s="136"/>
      <c r="AO9" s="134"/>
      <c r="AP9" s="136"/>
      <c r="AQ9" s="135"/>
      <c r="AR9" s="135"/>
      <c r="AS9" s="135"/>
      <c r="AT9" s="135"/>
      <c r="AU9" s="136"/>
      <c r="AY9" s="134" t="s">
        <v>56</v>
      </c>
      <c r="AZ9" s="134">
        <v>1249</v>
      </c>
      <c r="BA9" s="136">
        <v>1201</v>
      </c>
      <c r="BB9" s="134"/>
      <c r="BC9" s="136"/>
      <c r="BD9" s="135"/>
      <c r="BE9" s="135" t="s">
        <v>91</v>
      </c>
      <c r="BF9" s="135"/>
      <c r="BG9" s="135"/>
      <c r="BH9" s="136"/>
    </row>
    <row r="10" spans="2:61" x14ac:dyDescent="0.3">
      <c r="B10" s="6" t="s">
        <v>56</v>
      </c>
      <c r="C10" s="29">
        <v>1311</v>
      </c>
      <c r="D10" s="30">
        <v>1201</v>
      </c>
      <c r="G10" s="6"/>
      <c r="H10" s="8"/>
      <c r="I10" s="31" t="s">
        <v>57</v>
      </c>
      <c r="J10" s="8"/>
      <c r="K10" s="7"/>
      <c r="L10" s="28"/>
      <c r="M10" s="6" t="s">
        <v>56</v>
      </c>
      <c r="N10" s="29">
        <v>472</v>
      </c>
      <c r="O10" s="30">
        <v>514</v>
      </c>
      <c r="R10" s="6"/>
      <c r="S10" s="8"/>
      <c r="T10" s="31" t="s">
        <v>57</v>
      </c>
      <c r="U10" s="8"/>
      <c r="V10" s="7"/>
      <c r="W10" s="28"/>
      <c r="X10" s="134"/>
      <c r="Y10" s="134"/>
      <c r="Z10" s="136"/>
      <c r="AA10" s="134"/>
      <c r="AB10" s="136"/>
      <c r="AC10" s="135"/>
      <c r="AD10" s="135"/>
      <c r="AE10" s="135"/>
      <c r="AF10" s="135"/>
      <c r="AG10" s="136"/>
      <c r="AL10" s="138" t="s">
        <v>6</v>
      </c>
      <c r="AM10" s="138"/>
      <c r="AN10" s="141"/>
      <c r="AO10" s="138"/>
      <c r="AP10" s="141"/>
      <c r="AQ10" s="28"/>
      <c r="AR10" s="28" t="s">
        <v>91</v>
      </c>
      <c r="AS10" s="28"/>
      <c r="AT10" s="28"/>
      <c r="AU10" s="141"/>
      <c r="AY10" s="138" t="s">
        <v>63</v>
      </c>
      <c r="AZ10" s="138">
        <v>0</v>
      </c>
      <c r="BA10" s="141">
        <v>4</v>
      </c>
      <c r="BB10" s="138"/>
      <c r="BC10" s="141"/>
      <c r="BD10" s="28"/>
      <c r="BE10" s="28">
        <v>86</v>
      </c>
      <c r="BF10" s="28" t="s">
        <v>1026</v>
      </c>
      <c r="BG10" s="28"/>
      <c r="BH10" s="141"/>
    </row>
    <row r="11" spans="2:61" x14ac:dyDescent="0.3">
      <c r="B11" s="36" t="s">
        <v>63</v>
      </c>
      <c r="C11" s="36">
        <v>43</v>
      </c>
      <c r="D11" s="39">
        <v>98</v>
      </c>
      <c r="F11" s="18"/>
      <c r="G11" s="10"/>
      <c r="H11" s="18"/>
      <c r="I11" s="18"/>
      <c r="J11" s="18"/>
      <c r="K11" s="11"/>
      <c r="L11" s="28"/>
      <c r="M11" s="36" t="s">
        <v>63</v>
      </c>
      <c r="N11" s="36">
        <v>4</v>
      </c>
      <c r="O11" s="39">
        <v>4</v>
      </c>
      <c r="Q11" s="18"/>
      <c r="R11" s="10"/>
      <c r="S11" s="18"/>
      <c r="T11" s="18"/>
      <c r="U11" s="18"/>
      <c r="V11" s="11"/>
      <c r="W11" s="28"/>
      <c r="X11" s="138" t="s">
        <v>6</v>
      </c>
      <c r="Y11" s="138"/>
      <c r="Z11" s="141"/>
      <c r="AA11" s="138"/>
      <c r="AB11" s="141"/>
      <c r="AC11" s="28"/>
      <c r="AD11" s="28" t="s">
        <v>91</v>
      </c>
      <c r="AE11" s="28"/>
      <c r="AF11" s="28"/>
      <c r="AG11" s="141"/>
      <c r="AL11" s="138" t="s">
        <v>56</v>
      </c>
      <c r="AM11" s="138">
        <v>1421</v>
      </c>
      <c r="AN11" s="141">
        <v>1420</v>
      </c>
      <c r="AO11" s="138"/>
      <c r="AP11" s="141"/>
      <c r="AQ11" s="28"/>
      <c r="AR11" s="28"/>
      <c r="AS11" s="28"/>
      <c r="AT11" s="28"/>
      <c r="AU11" s="141"/>
      <c r="AY11" s="138" t="s">
        <v>84</v>
      </c>
      <c r="AZ11" s="138">
        <v>1249</v>
      </c>
      <c r="BA11" s="141">
        <f>SUM(BA9:BA10)</f>
        <v>1205</v>
      </c>
      <c r="BB11" s="138"/>
      <c r="BC11" s="141"/>
      <c r="BD11" s="28"/>
      <c r="BE11" s="43">
        <v>1</v>
      </c>
      <c r="BF11" s="28" t="s">
        <v>1292</v>
      </c>
      <c r="BG11" s="43"/>
      <c r="BH11" s="141"/>
    </row>
    <row r="12" spans="2:61" x14ac:dyDescent="0.3">
      <c r="B12" s="36" t="s">
        <v>67</v>
      </c>
      <c r="C12" s="36">
        <v>380</v>
      </c>
      <c r="D12" s="39">
        <v>360</v>
      </c>
      <c r="F12" s="18"/>
      <c r="G12" s="10"/>
      <c r="H12" s="37">
        <v>78</v>
      </c>
      <c r="I12" s="37" t="s">
        <v>68</v>
      </c>
      <c r="J12" s="18"/>
      <c r="K12" s="11"/>
      <c r="L12" s="28"/>
      <c r="M12" s="36" t="s">
        <v>67</v>
      </c>
      <c r="N12" s="36">
        <v>252</v>
      </c>
      <c r="O12" s="39">
        <v>262</v>
      </c>
      <c r="Q12" s="18"/>
      <c r="R12" s="10"/>
      <c r="S12" s="37">
        <v>43</v>
      </c>
      <c r="T12" s="37" t="s">
        <v>68</v>
      </c>
      <c r="U12" s="18"/>
      <c r="V12" s="11"/>
      <c r="W12" s="28"/>
      <c r="X12" s="138" t="s">
        <v>56</v>
      </c>
      <c r="Y12" s="138">
        <v>1197</v>
      </c>
      <c r="Z12" s="141">
        <f>1117+9+16</f>
        <v>1142</v>
      </c>
      <c r="AA12" s="138"/>
      <c r="AB12" s="141"/>
      <c r="AC12" s="28"/>
      <c r="AD12" s="28"/>
      <c r="AE12" s="28"/>
      <c r="AF12" s="28"/>
      <c r="AG12" s="141"/>
      <c r="AL12" s="142" t="s">
        <v>6</v>
      </c>
      <c r="AM12" s="142"/>
      <c r="AN12" s="146"/>
      <c r="AO12" s="142"/>
      <c r="AP12" s="146"/>
      <c r="AQ12" s="143"/>
      <c r="AR12" s="143">
        <v>102</v>
      </c>
      <c r="AS12" s="143" t="s">
        <v>73</v>
      </c>
      <c r="AT12" s="143"/>
      <c r="AU12" s="146">
        <f>SUM(AR12)</f>
        <v>102</v>
      </c>
      <c r="AY12" s="142" t="s">
        <v>6</v>
      </c>
      <c r="AZ12" s="142"/>
      <c r="BA12" s="146"/>
      <c r="BB12" s="142"/>
      <c r="BC12" s="146"/>
      <c r="BD12" s="143"/>
      <c r="BE12" s="143">
        <v>1</v>
      </c>
      <c r="BF12" s="143" t="s">
        <v>1294</v>
      </c>
      <c r="BG12" s="143"/>
      <c r="BH12" s="146">
        <v>88</v>
      </c>
    </row>
    <row r="13" spans="2:61" x14ac:dyDescent="0.3">
      <c r="B13" s="36" t="s">
        <v>72</v>
      </c>
      <c r="C13" s="36">
        <v>0</v>
      </c>
      <c r="D13" s="39">
        <v>9</v>
      </c>
      <c r="F13" s="18"/>
      <c r="G13" s="10"/>
      <c r="H13" s="37">
        <v>69</v>
      </c>
      <c r="I13" s="37" t="s">
        <v>73</v>
      </c>
      <c r="J13" s="18"/>
      <c r="K13" s="11"/>
      <c r="L13" s="28"/>
      <c r="M13" s="36" t="s">
        <v>72</v>
      </c>
      <c r="N13" s="36">
        <v>0</v>
      </c>
      <c r="O13" s="39">
        <v>0</v>
      </c>
      <c r="Q13" s="18"/>
      <c r="R13" s="10"/>
      <c r="S13" s="37">
        <v>47</v>
      </c>
      <c r="T13" s="37" t="s">
        <v>73</v>
      </c>
      <c r="U13" s="18"/>
      <c r="V13" s="11"/>
      <c r="W13" s="28"/>
      <c r="X13" s="142" t="s">
        <v>6</v>
      </c>
      <c r="Y13" s="142"/>
      <c r="Z13" s="146"/>
      <c r="AA13" s="142"/>
      <c r="AB13" s="146"/>
      <c r="AC13" s="143"/>
      <c r="AD13" s="143">
        <v>82</v>
      </c>
      <c r="AE13" s="143" t="s">
        <v>73</v>
      </c>
      <c r="AF13" s="143"/>
      <c r="AG13" s="146">
        <f>SUM(AD13)</f>
        <v>82</v>
      </c>
      <c r="AL13" s="134"/>
      <c r="AM13" s="134"/>
      <c r="AN13" s="136"/>
      <c r="AO13" s="134"/>
      <c r="AP13" s="136"/>
      <c r="AQ13" s="135"/>
      <c r="AR13" s="135"/>
      <c r="AS13" s="135"/>
      <c r="AT13" s="135"/>
      <c r="AU13" s="136"/>
      <c r="AY13" s="134"/>
      <c r="AZ13" s="134"/>
      <c r="BA13" s="136"/>
      <c r="BB13" s="134"/>
      <c r="BC13" s="136"/>
      <c r="BD13" s="135"/>
      <c r="BE13" s="135"/>
      <c r="BF13" s="135"/>
      <c r="BG13" s="135"/>
      <c r="BH13" s="136"/>
    </row>
    <row r="14" spans="2:61" x14ac:dyDescent="0.3">
      <c r="B14" s="36" t="s">
        <v>78</v>
      </c>
      <c r="C14" s="36">
        <v>0</v>
      </c>
      <c r="D14" s="39">
        <v>0</v>
      </c>
      <c r="F14" s="18"/>
      <c r="G14" s="10"/>
      <c r="H14" s="37"/>
      <c r="I14" s="37"/>
      <c r="J14" s="18"/>
      <c r="K14" s="11"/>
      <c r="L14" s="28"/>
      <c r="M14" s="36" t="s">
        <v>78</v>
      </c>
      <c r="N14" s="36">
        <v>0</v>
      </c>
      <c r="O14" s="39">
        <v>0</v>
      </c>
      <c r="Q14" s="18"/>
      <c r="R14" s="10"/>
      <c r="S14" s="37"/>
      <c r="T14" s="37"/>
      <c r="U14" s="18" t="s">
        <v>6</v>
      </c>
      <c r="V14" s="11"/>
      <c r="W14" s="28"/>
      <c r="X14" s="134"/>
      <c r="Y14" s="134"/>
      <c r="Z14" s="136"/>
      <c r="AA14" s="134"/>
      <c r="AB14" s="136"/>
      <c r="AC14" s="135"/>
      <c r="AD14" s="135"/>
      <c r="AE14" s="135"/>
      <c r="AF14" s="135"/>
      <c r="AG14" s="136"/>
      <c r="AL14" s="138" t="s">
        <v>63</v>
      </c>
      <c r="AM14" s="138">
        <v>78</v>
      </c>
      <c r="AN14" s="141">
        <v>126</v>
      </c>
      <c r="AO14" s="138"/>
      <c r="AP14" s="141"/>
      <c r="AQ14" s="28"/>
      <c r="AR14" s="28" t="s">
        <v>110</v>
      </c>
      <c r="AS14" s="28" t="s">
        <v>111</v>
      </c>
      <c r="AT14" s="28" t="s">
        <v>112</v>
      </c>
      <c r="AU14" s="141"/>
      <c r="AY14" s="138"/>
      <c r="AZ14" s="138"/>
      <c r="BA14" s="141"/>
      <c r="BB14" s="138"/>
      <c r="BC14" s="141"/>
      <c r="BD14" s="28"/>
      <c r="BE14" s="28" t="s">
        <v>110</v>
      </c>
      <c r="BF14" s="28" t="s">
        <v>111</v>
      </c>
      <c r="BG14" s="28" t="s">
        <v>112</v>
      </c>
      <c r="BH14" s="141"/>
    </row>
    <row r="15" spans="2:61" x14ac:dyDescent="0.3">
      <c r="B15" s="52" t="s">
        <v>81</v>
      </c>
      <c r="C15" s="36">
        <v>0</v>
      </c>
      <c r="D15" s="39">
        <v>0</v>
      </c>
      <c r="G15" s="42"/>
      <c r="H15" s="28"/>
      <c r="I15" s="28"/>
      <c r="J15" s="28"/>
      <c r="K15" s="40"/>
      <c r="L15" s="28"/>
      <c r="M15" s="52" t="s">
        <v>81</v>
      </c>
      <c r="N15" s="36">
        <v>0</v>
      </c>
      <c r="O15" s="39">
        <v>0</v>
      </c>
      <c r="R15" s="42"/>
      <c r="S15" s="28"/>
      <c r="T15" s="28"/>
      <c r="U15" s="28"/>
      <c r="V15" s="40"/>
      <c r="W15" s="28"/>
      <c r="X15" s="138" t="s">
        <v>63</v>
      </c>
      <c r="Y15" s="138">
        <v>68</v>
      </c>
      <c r="Z15" s="141">
        <v>119</v>
      </c>
      <c r="AA15" s="138"/>
      <c r="AB15" s="141"/>
      <c r="AC15" s="28"/>
      <c r="AD15" s="28" t="s">
        <v>110</v>
      </c>
      <c r="AE15" s="28" t="s">
        <v>111</v>
      </c>
      <c r="AF15" s="28" t="s">
        <v>112</v>
      </c>
      <c r="AG15" s="141"/>
      <c r="AL15" s="138" t="s">
        <v>115</v>
      </c>
      <c r="AM15" s="138">
        <v>70</v>
      </c>
      <c r="AN15" s="141">
        <v>86</v>
      </c>
      <c r="AO15" s="138"/>
      <c r="AP15" s="141"/>
      <c r="AQ15" s="28"/>
      <c r="AR15" s="28"/>
      <c r="AS15" s="28"/>
      <c r="AT15" s="28"/>
      <c r="AU15" s="141"/>
      <c r="AY15" s="138" t="s">
        <v>56</v>
      </c>
      <c r="AZ15" s="138">
        <v>0</v>
      </c>
      <c r="BA15" s="141">
        <v>0</v>
      </c>
      <c r="BB15" s="138">
        <v>0</v>
      </c>
      <c r="BC15" s="141">
        <v>0</v>
      </c>
      <c r="BD15" s="43"/>
      <c r="BE15" s="28"/>
      <c r="BF15" s="28"/>
      <c r="BG15" s="28"/>
      <c r="BH15" s="141"/>
    </row>
    <row r="16" spans="2:61" ht="15" thickBot="1" x14ac:dyDescent="0.35">
      <c r="B16" s="13" t="s">
        <v>84</v>
      </c>
      <c r="C16" s="13">
        <f>SUM(C10:C15)</f>
        <v>1734</v>
      </c>
      <c r="D16" s="26">
        <f>SUM(D10:D15)</f>
        <v>1668</v>
      </c>
      <c r="F16" s="18"/>
      <c r="G16" s="13"/>
      <c r="H16" s="27"/>
      <c r="I16" s="27"/>
      <c r="J16" s="27"/>
      <c r="K16" s="26">
        <f>SUM(H12:H13)</f>
        <v>147</v>
      </c>
      <c r="L16" s="28"/>
      <c r="M16" s="52" t="s">
        <v>115</v>
      </c>
      <c r="N16" s="52">
        <v>0</v>
      </c>
      <c r="O16" s="86">
        <v>0</v>
      </c>
      <c r="R16" s="42"/>
      <c r="S16" s="28"/>
      <c r="T16" s="28"/>
      <c r="U16" s="28"/>
      <c r="V16" s="40"/>
      <c r="W16" s="28"/>
      <c r="X16" s="138" t="s">
        <v>115</v>
      </c>
      <c r="Y16" s="138">
        <v>82</v>
      </c>
      <c r="Z16" s="141">
        <v>73</v>
      </c>
      <c r="AA16" s="138"/>
      <c r="AB16" s="141"/>
      <c r="AC16" s="28"/>
      <c r="AD16" s="28"/>
      <c r="AE16" s="28"/>
      <c r="AF16" s="28"/>
      <c r="AG16" s="141"/>
      <c r="AL16" s="138" t="s">
        <v>72</v>
      </c>
      <c r="AM16" s="138">
        <v>27</v>
      </c>
      <c r="AN16" s="141">
        <v>32</v>
      </c>
      <c r="AO16" s="138"/>
      <c r="AP16" s="141"/>
      <c r="AQ16" s="28"/>
      <c r="AR16" s="28"/>
      <c r="AS16" s="28"/>
      <c r="AT16" s="28"/>
      <c r="AU16" s="141"/>
      <c r="AY16" s="138" t="s">
        <v>72</v>
      </c>
      <c r="AZ16" s="138">
        <v>6</v>
      </c>
      <c r="BA16" s="141">
        <v>6</v>
      </c>
      <c r="BB16" s="138">
        <v>0</v>
      </c>
      <c r="BC16" s="141">
        <v>0</v>
      </c>
      <c r="BD16" s="28"/>
      <c r="BE16" s="43"/>
      <c r="BF16" s="28"/>
      <c r="BG16" s="28"/>
      <c r="BH16" s="141"/>
    </row>
    <row r="17" spans="2:61" ht="15" thickBot="1" x14ac:dyDescent="0.35">
      <c r="B17" s="32" t="s">
        <v>6</v>
      </c>
      <c r="C17" s="43"/>
      <c r="D17" s="54"/>
      <c r="E17" s="33"/>
      <c r="F17" s="35"/>
      <c r="G17" s="33"/>
      <c r="H17" s="34" t="s">
        <v>91</v>
      </c>
      <c r="I17" s="34"/>
      <c r="J17" s="34"/>
      <c r="K17" s="35"/>
      <c r="L17" s="28"/>
      <c r="M17" s="13" t="s">
        <v>84</v>
      </c>
      <c r="N17" s="13">
        <f>SUM(N10:N16)</f>
        <v>728</v>
      </c>
      <c r="O17" s="26">
        <f>SUM(O10:O16)</f>
        <v>780</v>
      </c>
      <c r="Q17" s="18"/>
      <c r="R17" s="13"/>
      <c r="S17" s="27"/>
      <c r="T17" s="27"/>
      <c r="U17" s="27"/>
      <c r="V17" s="26">
        <f>SUM(S12:S13)</f>
        <v>90</v>
      </c>
      <c r="W17" s="28"/>
      <c r="X17" s="138" t="s">
        <v>72</v>
      </c>
      <c r="Y17" s="138">
        <v>0</v>
      </c>
      <c r="Z17" s="141">
        <v>0</v>
      </c>
      <c r="AA17" s="138"/>
      <c r="AB17" s="141"/>
      <c r="AC17" s="28"/>
      <c r="AD17" s="28"/>
      <c r="AE17" s="28"/>
      <c r="AF17" s="28"/>
      <c r="AG17" s="141"/>
      <c r="AL17" s="138" t="s">
        <v>78</v>
      </c>
      <c r="AM17" s="138">
        <v>24</v>
      </c>
      <c r="AN17" s="141">
        <v>51</v>
      </c>
      <c r="AO17" s="138"/>
      <c r="AP17" s="141"/>
      <c r="AQ17" s="28"/>
      <c r="AR17" s="28"/>
      <c r="AS17" s="28"/>
      <c r="AT17" s="28"/>
      <c r="AU17" s="141"/>
      <c r="AV17" t="s">
        <v>6</v>
      </c>
      <c r="AY17" s="138" t="s">
        <v>78</v>
      </c>
      <c r="AZ17" s="138">
        <v>21</v>
      </c>
      <c r="BA17" s="141">
        <v>13</v>
      </c>
      <c r="BB17" s="138">
        <v>0</v>
      </c>
      <c r="BC17" s="141">
        <v>0</v>
      </c>
      <c r="BD17" s="28"/>
      <c r="BE17" s="28"/>
      <c r="BF17" s="28"/>
      <c r="BG17" s="28"/>
      <c r="BH17" s="141"/>
    </row>
    <row r="18" spans="2:61" x14ac:dyDescent="0.3">
      <c r="B18" s="41"/>
      <c r="E18" s="42"/>
      <c r="F18" s="40"/>
      <c r="G18" s="42"/>
      <c r="H18" s="28"/>
      <c r="I18" s="28"/>
      <c r="J18" s="28"/>
      <c r="K18" s="40"/>
      <c r="L18" s="28" t="s">
        <v>6</v>
      </c>
      <c r="M18" s="32" t="s">
        <v>6</v>
      </c>
      <c r="N18" s="43"/>
      <c r="O18" s="54"/>
      <c r="P18" s="33"/>
      <c r="Q18" s="35"/>
      <c r="R18" s="33"/>
      <c r="S18" s="34" t="s">
        <v>91</v>
      </c>
      <c r="T18" s="34"/>
      <c r="U18" s="34"/>
      <c r="V18" s="35"/>
      <c r="W18" s="28" t="s">
        <v>6</v>
      </c>
      <c r="X18" s="138" t="s">
        <v>78</v>
      </c>
      <c r="Y18" s="138">
        <v>44</v>
      </c>
      <c r="Z18" s="141">
        <v>48</v>
      </c>
      <c r="AA18" s="138"/>
      <c r="AB18" s="141"/>
      <c r="AC18" s="28"/>
      <c r="AD18" s="28"/>
      <c r="AE18" s="28"/>
      <c r="AF18" s="28"/>
      <c r="AG18" s="141"/>
      <c r="AH18" t="s">
        <v>6</v>
      </c>
      <c r="AL18" s="138" t="s">
        <v>122</v>
      </c>
      <c r="AM18" s="138">
        <v>45</v>
      </c>
      <c r="AN18" s="141">
        <v>50</v>
      </c>
      <c r="AO18" s="138"/>
      <c r="AP18" s="141"/>
      <c r="AQ18" s="28"/>
      <c r="AR18" s="28">
        <v>37</v>
      </c>
      <c r="AS18" s="28" t="s">
        <v>123</v>
      </c>
      <c r="AT18" s="28"/>
      <c r="AU18" s="141"/>
      <c r="AY18" s="138" t="s">
        <v>67</v>
      </c>
      <c r="AZ18" s="138">
        <v>77</v>
      </c>
      <c r="BA18" s="141">
        <v>84</v>
      </c>
      <c r="BB18" s="138">
        <v>0</v>
      </c>
      <c r="BC18" s="141">
        <v>0</v>
      </c>
      <c r="BD18" s="28"/>
      <c r="BE18" s="43">
        <v>26</v>
      </c>
      <c r="BF18" s="28" t="s">
        <v>123</v>
      </c>
      <c r="BG18" s="28" t="s">
        <v>6</v>
      </c>
      <c r="BH18" s="141"/>
    </row>
    <row r="19" spans="2:61" x14ac:dyDescent="0.3">
      <c r="B19" s="41" t="s">
        <v>56</v>
      </c>
      <c r="C19">
        <v>760</v>
      </c>
      <c r="D19">
        <v>812</v>
      </c>
      <c r="E19" s="42"/>
      <c r="F19" s="40"/>
      <c r="G19" s="42"/>
      <c r="H19" s="28"/>
      <c r="I19" s="28"/>
      <c r="J19" s="28"/>
      <c r="K19" s="40"/>
      <c r="L19" s="28"/>
      <c r="M19" s="41" t="s">
        <v>56</v>
      </c>
      <c r="N19" s="43">
        <v>1008</v>
      </c>
      <c r="O19" s="54">
        <v>917</v>
      </c>
      <c r="P19" s="42"/>
      <c r="Q19" s="40"/>
      <c r="R19" s="42"/>
      <c r="S19" s="28"/>
      <c r="T19" s="28"/>
      <c r="U19" s="28"/>
      <c r="V19" s="40"/>
      <c r="W19" s="28"/>
      <c r="X19" s="138" t="s">
        <v>122</v>
      </c>
      <c r="Y19" s="138">
        <v>64</v>
      </c>
      <c r="Z19" s="141">
        <v>59</v>
      </c>
      <c r="AA19" s="138"/>
      <c r="AB19" s="141"/>
      <c r="AC19" s="28"/>
      <c r="AD19" s="28">
        <v>36</v>
      </c>
      <c r="AE19" s="28" t="s">
        <v>123</v>
      </c>
      <c r="AF19" s="28"/>
      <c r="AG19" s="141"/>
      <c r="AL19" s="138" t="s">
        <v>125</v>
      </c>
      <c r="AM19" s="138">
        <v>0</v>
      </c>
      <c r="AN19" s="141">
        <v>0</v>
      </c>
      <c r="AO19" s="138"/>
      <c r="AP19" s="141"/>
      <c r="AQ19" s="28"/>
      <c r="AR19" s="28">
        <v>69</v>
      </c>
      <c r="AS19" s="28" t="s">
        <v>126</v>
      </c>
      <c r="AT19" s="28"/>
      <c r="AU19" s="141"/>
      <c r="AV19" t="s">
        <v>6</v>
      </c>
      <c r="AW19" t="s">
        <v>6</v>
      </c>
      <c r="AY19" s="138" t="s">
        <v>132</v>
      </c>
      <c r="AZ19" s="138">
        <v>5</v>
      </c>
      <c r="BA19" s="141">
        <v>3</v>
      </c>
      <c r="BB19" s="138">
        <v>0</v>
      </c>
      <c r="BC19" s="141">
        <v>0</v>
      </c>
      <c r="BD19" s="28"/>
      <c r="BE19" s="43">
        <v>47</v>
      </c>
      <c r="BF19" s="28" t="s">
        <v>126</v>
      </c>
      <c r="BG19" s="28"/>
      <c r="BH19" s="141"/>
    </row>
    <row r="20" spans="2:61" ht="15" thickBot="1" x14ac:dyDescent="0.35">
      <c r="B20" s="62" t="s">
        <v>6</v>
      </c>
      <c r="C20" s="43"/>
      <c r="D20" s="43"/>
      <c r="E20" s="47"/>
      <c r="F20" s="49"/>
      <c r="G20" s="47"/>
      <c r="H20" s="48">
        <v>80</v>
      </c>
      <c r="I20" s="48" t="s">
        <v>73</v>
      </c>
      <c r="J20" s="48"/>
      <c r="K20" s="49">
        <f>SUM(H20)</f>
        <v>80</v>
      </c>
      <c r="L20" s="28"/>
      <c r="M20" s="62" t="s">
        <v>6</v>
      </c>
      <c r="N20" s="43"/>
      <c r="O20" s="43"/>
      <c r="P20" s="47"/>
      <c r="Q20" s="49"/>
      <c r="R20" s="47"/>
      <c r="S20" s="48">
        <f>164/2</f>
        <v>82</v>
      </c>
      <c r="T20" s="48" t="s">
        <v>73</v>
      </c>
      <c r="U20" s="48"/>
      <c r="V20" s="49">
        <f>SUM(S20)</f>
        <v>82</v>
      </c>
      <c r="W20" s="28" t="s">
        <v>6</v>
      </c>
      <c r="X20" s="138" t="s">
        <v>125</v>
      </c>
      <c r="Y20" s="138">
        <v>9</v>
      </c>
      <c r="Z20" s="141">
        <v>1</v>
      </c>
      <c r="AA20" s="138"/>
      <c r="AB20" s="141"/>
      <c r="AC20" s="28"/>
      <c r="AD20" s="28">
        <v>52</v>
      </c>
      <c r="AE20" s="28" t="s">
        <v>126</v>
      </c>
      <c r="AF20" s="28"/>
      <c r="AG20" s="141"/>
      <c r="AH20" t="s">
        <v>6</v>
      </c>
      <c r="AL20" s="138" t="s">
        <v>128</v>
      </c>
      <c r="AM20" s="138">
        <v>4</v>
      </c>
      <c r="AN20" s="141">
        <v>2</v>
      </c>
      <c r="AO20" s="138"/>
      <c r="AP20" s="141"/>
      <c r="AQ20" s="28"/>
      <c r="AR20" s="28">
        <v>26</v>
      </c>
      <c r="AS20" s="28" t="s">
        <v>129</v>
      </c>
      <c r="AT20" s="28"/>
      <c r="AU20" s="141"/>
      <c r="AW20" t="s">
        <v>6</v>
      </c>
      <c r="AY20" s="138" t="s">
        <v>128</v>
      </c>
      <c r="AZ20" s="138">
        <v>3</v>
      </c>
      <c r="BA20" s="141">
        <v>0</v>
      </c>
      <c r="BB20" s="138">
        <v>0</v>
      </c>
      <c r="BC20" s="141">
        <v>0</v>
      </c>
      <c r="BD20" s="28"/>
      <c r="BE20" s="43">
        <v>41</v>
      </c>
      <c r="BF20" s="28" t="s">
        <v>129</v>
      </c>
      <c r="BG20" s="28" t="s">
        <v>6</v>
      </c>
      <c r="BH20" s="141"/>
    </row>
    <row r="21" spans="2:61" x14ac:dyDescent="0.3">
      <c r="B21" s="10"/>
      <c r="C21" s="29"/>
      <c r="D21" s="31"/>
      <c r="E21" s="33"/>
      <c r="F21" s="7"/>
      <c r="G21" s="8"/>
      <c r="H21" s="8"/>
      <c r="I21" s="8"/>
      <c r="J21" s="8"/>
      <c r="K21" s="7"/>
      <c r="L21" s="28"/>
      <c r="M21" s="10"/>
      <c r="N21" s="29"/>
      <c r="O21" s="31"/>
      <c r="P21" s="33"/>
      <c r="Q21" s="7"/>
      <c r="R21" s="8"/>
      <c r="S21" s="8"/>
      <c r="T21" s="8"/>
      <c r="U21" s="8"/>
      <c r="V21" s="7"/>
      <c r="W21" s="28"/>
      <c r="X21" s="138" t="s">
        <v>128</v>
      </c>
      <c r="Y21" s="138">
        <v>3</v>
      </c>
      <c r="Z21" s="141">
        <v>0</v>
      </c>
      <c r="AA21" s="138"/>
      <c r="AB21" s="141"/>
      <c r="AC21" s="28"/>
      <c r="AD21" s="28">
        <v>30</v>
      </c>
      <c r="AE21" s="28" t="s">
        <v>129</v>
      </c>
      <c r="AF21" s="28"/>
      <c r="AG21" s="141"/>
      <c r="AL21" s="138" t="s">
        <v>132</v>
      </c>
      <c r="AM21" s="138">
        <v>0</v>
      </c>
      <c r="AN21" s="141">
        <v>0</v>
      </c>
      <c r="AO21" s="138"/>
      <c r="AP21" s="141"/>
      <c r="AQ21" s="28"/>
      <c r="AR21" s="28"/>
      <c r="AS21" s="28"/>
      <c r="AT21" s="28"/>
      <c r="AU21" s="141"/>
      <c r="AY21" s="138" t="s">
        <v>115</v>
      </c>
      <c r="AZ21" s="138">
        <v>55</v>
      </c>
      <c r="BA21" s="141">
        <v>65</v>
      </c>
      <c r="BB21" s="138">
        <v>0</v>
      </c>
      <c r="BC21" s="141">
        <v>0</v>
      </c>
      <c r="BD21" s="28"/>
      <c r="BE21" s="28"/>
      <c r="BF21" s="28"/>
      <c r="BG21" s="28"/>
      <c r="BH21" s="141"/>
    </row>
    <row r="22" spans="2:61" x14ac:dyDescent="0.3">
      <c r="B22" s="36" t="s">
        <v>63</v>
      </c>
      <c r="C22" s="10">
        <v>74</v>
      </c>
      <c r="D22" s="18">
        <v>40</v>
      </c>
      <c r="E22" s="42"/>
      <c r="F22" s="11"/>
      <c r="G22" s="18"/>
      <c r="H22" s="18" t="s">
        <v>110</v>
      </c>
      <c r="I22" s="18" t="s">
        <v>111</v>
      </c>
      <c r="J22" s="18" t="s">
        <v>112</v>
      </c>
      <c r="K22" s="11"/>
      <c r="L22" s="45"/>
      <c r="M22" s="36" t="s">
        <v>63</v>
      </c>
      <c r="N22" s="10">
        <v>66</v>
      </c>
      <c r="O22" s="18">
        <v>128</v>
      </c>
      <c r="P22" s="42"/>
      <c r="Q22" s="11"/>
      <c r="R22" s="18"/>
      <c r="S22" s="18" t="s">
        <v>110</v>
      </c>
      <c r="T22" s="18" t="s">
        <v>111</v>
      </c>
      <c r="U22" s="18" t="s">
        <v>112</v>
      </c>
      <c r="V22" s="11"/>
      <c r="W22" s="45"/>
      <c r="X22" s="138" t="s">
        <v>132</v>
      </c>
      <c r="Y22" s="138">
        <v>0</v>
      </c>
      <c r="Z22" s="141">
        <v>0</v>
      </c>
      <c r="AA22" s="138"/>
      <c r="AB22" s="141"/>
      <c r="AC22" s="28"/>
      <c r="AD22" s="28"/>
      <c r="AE22" s="28"/>
      <c r="AF22" s="28"/>
      <c r="AG22" s="141"/>
      <c r="AL22" s="138" t="s">
        <v>81</v>
      </c>
      <c r="AM22" s="138">
        <v>28</v>
      </c>
      <c r="AN22" s="141">
        <v>25</v>
      </c>
      <c r="AO22" s="138"/>
      <c r="AP22" s="141"/>
      <c r="AQ22" s="28"/>
      <c r="AR22" s="28"/>
      <c r="AS22" s="28"/>
      <c r="AT22" s="28"/>
      <c r="AU22" s="141"/>
      <c r="AW22" t="s">
        <v>6</v>
      </c>
      <c r="AY22" s="138" t="s">
        <v>81</v>
      </c>
      <c r="AZ22" s="138">
        <v>10</v>
      </c>
      <c r="BA22" s="141">
        <v>10</v>
      </c>
      <c r="BB22" s="138">
        <v>0</v>
      </c>
      <c r="BC22" s="141">
        <v>0</v>
      </c>
      <c r="BD22" s="28"/>
      <c r="BE22" s="28"/>
      <c r="BF22" s="28"/>
      <c r="BG22" s="28"/>
      <c r="BH22" s="141" t="s">
        <v>6</v>
      </c>
    </row>
    <row r="23" spans="2:61" x14ac:dyDescent="0.3">
      <c r="B23" s="10" t="s">
        <v>115</v>
      </c>
      <c r="C23" s="36">
        <v>90</v>
      </c>
      <c r="D23" s="37">
        <v>71</v>
      </c>
      <c r="E23" s="42"/>
      <c r="F23" s="11"/>
      <c r="G23" s="18"/>
      <c r="H23" s="18"/>
      <c r="I23" s="18"/>
      <c r="J23" s="18"/>
      <c r="K23" s="11"/>
      <c r="L23" s="28"/>
      <c r="M23" s="10" t="s">
        <v>115</v>
      </c>
      <c r="N23" s="36">
        <v>32</v>
      </c>
      <c r="O23" s="37">
        <v>32</v>
      </c>
      <c r="P23" s="42"/>
      <c r="Q23" s="11"/>
      <c r="R23" s="18"/>
      <c r="S23" s="18"/>
      <c r="T23" s="18"/>
      <c r="U23" s="18"/>
      <c r="V23" s="11"/>
      <c r="W23" s="28"/>
      <c r="X23" s="138" t="s">
        <v>81</v>
      </c>
      <c r="Y23" s="138">
        <v>50</v>
      </c>
      <c r="Z23" s="141">
        <v>4</v>
      </c>
      <c r="AA23" s="138"/>
      <c r="AB23" s="141"/>
      <c r="AC23" s="28"/>
      <c r="AD23" s="28"/>
      <c r="AE23" s="28"/>
      <c r="AF23" s="28"/>
      <c r="AG23" s="141"/>
      <c r="AL23" s="138" t="s">
        <v>138</v>
      </c>
      <c r="AM23" s="138">
        <v>2</v>
      </c>
      <c r="AN23" s="141">
        <v>3</v>
      </c>
      <c r="AO23" s="138"/>
      <c r="AP23" s="141"/>
      <c r="AQ23" s="28"/>
      <c r="AR23" s="28"/>
      <c r="AS23" s="28"/>
      <c r="AT23" s="28"/>
      <c r="AU23" s="141"/>
      <c r="AY23" s="138" t="s">
        <v>122</v>
      </c>
      <c r="AZ23" s="138">
        <v>63</v>
      </c>
      <c r="BA23" s="141">
        <v>49</v>
      </c>
      <c r="BB23" s="138">
        <v>0</v>
      </c>
      <c r="BC23" s="141">
        <v>0</v>
      </c>
      <c r="BD23" s="28"/>
      <c r="BE23" s="28"/>
      <c r="BF23" s="28"/>
      <c r="BG23" s="28"/>
      <c r="BH23" s="141"/>
    </row>
    <row r="24" spans="2:61" x14ac:dyDescent="0.3">
      <c r="B24" s="52" t="s">
        <v>72</v>
      </c>
      <c r="C24" s="52">
        <v>3</v>
      </c>
      <c r="D24" s="54">
        <v>0</v>
      </c>
      <c r="E24" s="42"/>
      <c r="F24" s="40"/>
      <c r="G24" s="28"/>
      <c r="H24" s="28"/>
      <c r="I24" s="28"/>
      <c r="J24" s="28"/>
      <c r="K24" s="40"/>
      <c r="L24" s="28"/>
      <c r="M24" s="52" t="s">
        <v>72</v>
      </c>
      <c r="N24" s="52">
        <v>4</v>
      </c>
      <c r="O24" s="54">
        <v>4</v>
      </c>
      <c r="P24" s="42"/>
      <c r="Q24" s="40"/>
      <c r="R24" s="28"/>
      <c r="S24" s="28"/>
      <c r="T24" s="28"/>
      <c r="U24" s="28"/>
      <c r="V24" s="40"/>
      <c r="W24" s="28"/>
      <c r="X24" s="138" t="s">
        <v>138</v>
      </c>
      <c r="Y24" s="138">
        <v>4</v>
      </c>
      <c r="Z24" s="141">
        <v>5</v>
      </c>
      <c r="AA24" s="138"/>
      <c r="AB24" s="141"/>
      <c r="AC24" s="28"/>
      <c r="AD24" s="28"/>
      <c r="AE24" s="28"/>
      <c r="AF24" s="28"/>
      <c r="AG24" s="141"/>
      <c r="AL24" s="138" t="s">
        <v>56</v>
      </c>
      <c r="AM24" s="138">
        <v>0</v>
      </c>
      <c r="AN24" s="141">
        <v>3</v>
      </c>
      <c r="AO24" s="138"/>
      <c r="AP24" s="141"/>
      <c r="AQ24" s="28"/>
      <c r="AR24" s="28"/>
      <c r="AS24" s="28"/>
      <c r="AT24" s="28"/>
      <c r="AU24" s="141"/>
      <c r="AY24" s="138" t="s">
        <v>230</v>
      </c>
      <c r="AZ24" s="138">
        <v>0</v>
      </c>
      <c r="BA24" s="141">
        <v>4</v>
      </c>
      <c r="BB24" s="138">
        <v>0</v>
      </c>
      <c r="BC24" s="141">
        <v>0</v>
      </c>
      <c r="BD24" s="28"/>
      <c r="BE24" s="28"/>
      <c r="BF24" s="28"/>
      <c r="BG24" s="28"/>
      <c r="BH24" s="141"/>
    </row>
    <row r="25" spans="2:61" x14ac:dyDescent="0.3">
      <c r="B25" s="36" t="s">
        <v>78</v>
      </c>
      <c r="C25" s="36">
        <f>28+2</f>
        <v>30</v>
      </c>
      <c r="D25" s="37">
        <v>8</v>
      </c>
      <c r="E25" s="42"/>
      <c r="F25" s="11"/>
      <c r="G25" s="18"/>
      <c r="H25" s="37"/>
      <c r="I25" s="18"/>
      <c r="J25" s="37"/>
      <c r="K25" s="11"/>
      <c r="L25" s="28"/>
      <c r="M25" s="36" t="s">
        <v>78</v>
      </c>
      <c r="N25" s="36">
        <v>37</v>
      </c>
      <c r="O25" s="37">
        <v>48</v>
      </c>
      <c r="P25" s="42"/>
      <c r="Q25" s="11"/>
      <c r="R25" s="18"/>
      <c r="S25" s="37"/>
      <c r="T25" s="18"/>
      <c r="U25" s="37"/>
      <c r="V25" s="11"/>
      <c r="W25" s="28"/>
      <c r="X25" s="138" t="s">
        <v>56</v>
      </c>
      <c r="Y25" s="138">
        <v>0</v>
      </c>
      <c r="Z25" s="141">
        <v>4</v>
      </c>
      <c r="AA25" s="138"/>
      <c r="AB25" s="141"/>
      <c r="AC25" s="28"/>
      <c r="AD25" s="28"/>
      <c r="AE25" s="28"/>
      <c r="AF25" s="28"/>
      <c r="AG25" s="141"/>
      <c r="AL25" s="138" t="s">
        <v>67</v>
      </c>
      <c r="AM25" s="138">
        <v>140</v>
      </c>
      <c r="AN25" s="141">
        <v>89</v>
      </c>
      <c r="AO25" s="138"/>
      <c r="AP25" s="141"/>
      <c r="AQ25" s="28"/>
      <c r="AR25" s="28"/>
      <c r="AS25" s="28"/>
      <c r="AT25" s="28"/>
      <c r="AU25" s="141"/>
      <c r="AY25" s="138" t="s">
        <v>63</v>
      </c>
      <c r="AZ25" s="138">
        <v>53</v>
      </c>
      <c r="BA25" s="141">
        <v>94</v>
      </c>
      <c r="BB25" s="138">
        <v>0</v>
      </c>
      <c r="BC25" s="141">
        <v>0</v>
      </c>
      <c r="BD25" s="28"/>
      <c r="BE25" s="28"/>
      <c r="BF25" s="28"/>
      <c r="BG25" s="28"/>
      <c r="BH25" s="141"/>
    </row>
    <row r="26" spans="2:61" x14ac:dyDescent="0.3">
      <c r="B26" s="10" t="s">
        <v>122</v>
      </c>
      <c r="C26" s="36">
        <v>108</v>
      </c>
      <c r="D26" s="37">
        <v>61</v>
      </c>
      <c r="E26" s="42"/>
      <c r="F26" s="11"/>
      <c r="G26" s="18"/>
      <c r="H26" s="18">
        <v>32</v>
      </c>
      <c r="I26" s="18" t="s">
        <v>123</v>
      </c>
      <c r="J26" s="18"/>
      <c r="K26" s="11"/>
      <c r="L26" s="28"/>
      <c r="M26" s="10" t="s">
        <v>122</v>
      </c>
      <c r="N26" s="36">
        <v>70</v>
      </c>
      <c r="O26" s="37">
        <v>41</v>
      </c>
      <c r="P26" s="42"/>
      <c r="Q26" s="11"/>
      <c r="R26" s="18"/>
      <c r="S26" s="18">
        <v>34</v>
      </c>
      <c r="T26" s="18" t="s">
        <v>123</v>
      </c>
      <c r="U26" s="18"/>
      <c r="V26" s="11"/>
      <c r="W26" s="28"/>
      <c r="X26" s="138" t="s">
        <v>67</v>
      </c>
      <c r="Y26" s="138">
        <v>79</v>
      </c>
      <c r="Z26" s="141">
        <v>54</v>
      </c>
      <c r="AA26" s="138"/>
      <c r="AB26" s="141"/>
      <c r="AC26" s="28"/>
      <c r="AD26" s="28"/>
      <c r="AE26" s="28"/>
      <c r="AF26" s="28"/>
      <c r="AG26" s="141"/>
      <c r="AL26" s="142" t="s">
        <v>84</v>
      </c>
      <c r="AM26" s="142">
        <f>SUM(AM14:AM25)</f>
        <v>418</v>
      </c>
      <c r="AN26" s="146">
        <f>SUM(AN14:AN25)</f>
        <v>467</v>
      </c>
      <c r="AO26" s="142"/>
      <c r="AP26" s="146">
        <v>0</v>
      </c>
      <c r="AQ26" s="143"/>
      <c r="AR26" s="143"/>
      <c r="AS26" s="143"/>
      <c r="AT26" s="143"/>
      <c r="AU26" s="146">
        <f>SUM(AR18:AR20)</f>
        <v>132</v>
      </c>
      <c r="AY26" s="142" t="s">
        <v>84</v>
      </c>
      <c r="AZ26" s="142">
        <f>SUM(AZ15:AZ25)</f>
        <v>293</v>
      </c>
      <c r="BA26" s="146">
        <f>SUM(BA15:BA25)</f>
        <v>328</v>
      </c>
      <c r="BB26" s="142">
        <v>0</v>
      </c>
      <c r="BC26" s="146">
        <v>0</v>
      </c>
      <c r="BD26" s="143"/>
      <c r="BE26" s="143"/>
      <c r="BF26" s="143"/>
      <c r="BG26" s="143"/>
      <c r="BH26" s="146">
        <v>114</v>
      </c>
    </row>
    <row r="27" spans="2:61" x14ac:dyDescent="0.3">
      <c r="B27" s="10" t="s">
        <v>125</v>
      </c>
      <c r="C27" s="36">
        <v>0</v>
      </c>
      <c r="D27" s="37">
        <v>0</v>
      </c>
      <c r="E27" s="42"/>
      <c r="F27" s="11"/>
      <c r="G27" s="18"/>
      <c r="H27" s="18">
        <v>34</v>
      </c>
      <c r="I27" s="18" t="s">
        <v>126</v>
      </c>
      <c r="J27" s="18"/>
      <c r="K27" s="11"/>
      <c r="L27" s="28"/>
      <c r="M27" s="10" t="s">
        <v>125</v>
      </c>
      <c r="N27" s="36">
        <v>0</v>
      </c>
      <c r="O27" s="37">
        <v>0</v>
      </c>
      <c r="P27" s="42"/>
      <c r="Q27" s="11"/>
      <c r="R27" s="18"/>
      <c r="S27" s="18">
        <v>42</v>
      </c>
      <c r="T27" s="18" t="s">
        <v>126</v>
      </c>
      <c r="U27" s="18"/>
      <c r="V27" s="11"/>
      <c r="W27" s="28"/>
      <c r="X27" s="142" t="s">
        <v>84</v>
      </c>
      <c r="Y27" s="142">
        <f>SUM(Y15:Y26)</f>
        <v>403</v>
      </c>
      <c r="Z27" s="146">
        <f>SUM(Z15:Z26)</f>
        <v>367</v>
      </c>
      <c r="AA27" s="142"/>
      <c r="AB27" s="146">
        <v>0</v>
      </c>
      <c r="AC27" s="143"/>
      <c r="AD27" s="143"/>
      <c r="AE27" s="143"/>
      <c r="AF27" s="143"/>
      <c r="AG27" s="146">
        <f>SUM(AD19:AD21)</f>
        <v>118</v>
      </c>
      <c r="AL27" s="134"/>
      <c r="AM27" s="134"/>
      <c r="AN27" s="136"/>
      <c r="AO27" s="134"/>
      <c r="AP27" s="136"/>
      <c r="AQ27" s="135"/>
      <c r="AR27" s="135"/>
      <c r="AS27" s="135"/>
      <c r="AT27" s="135"/>
      <c r="AU27" s="136"/>
      <c r="AY27" s="134"/>
      <c r="AZ27" s="134">
        <v>0</v>
      </c>
      <c r="BA27" s="136">
        <v>0</v>
      </c>
      <c r="BB27" s="134">
        <v>0</v>
      </c>
      <c r="BC27" s="136">
        <v>0</v>
      </c>
      <c r="BD27" s="135"/>
      <c r="BE27" s="135"/>
      <c r="BF27" s="135"/>
      <c r="BG27" s="135"/>
      <c r="BH27" s="136"/>
      <c r="BI27" s="28"/>
    </row>
    <row r="28" spans="2:61" x14ac:dyDescent="0.3">
      <c r="B28" s="84" t="s">
        <v>128</v>
      </c>
      <c r="C28" s="52">
        <v>4</v>
      </c>
      <c r="D28" s="37">
        <v>4</v>
      </c>
      <c r="E28" s="42"/>
      <c r="F28" s="40"/>
      <c r="G28" s="28"/>
      <c r="H28" s="28">
        <v>23</v>
      </c>
      <c r="I28" s="28" t="s">
        <v>129</v>
      </c>
      <c r="J28" s="28"/>
      <c r="K28" s="40"/>
      <c r="M28" s="84" t="s">
        <v>128</v>
      </c>
      <c r="N28" s="52">
        <v>0</v>
      </c>
      <c r="O28" s="37">
        <v>0</v>
      </c>
      <c r="P28" s="42"/>
      <c r="Q28" s="40"/>
      <c r="R28" s="28"/>
      <c r="S28" s="28">
        <v>10</v>
      </c>
      <c r="T28" s="28" t="s">
        <v>129</v>
      </c>
      <c r="U28" s="28"/>
      <c r="V28" s="40"/>
      <c r="X28" s="134"/>
      <c r="Y28" s="134"/>
      <c r="Z28" s="136"/>
      <c r="AA28" s="134"/>
      <c r="AB28" s="136"/>
      <c r="AC28" s="135"/>
      <c r="AD28" s="135"/>
      <c r="AE28" s="135"/>
      <c r="AF28" s="135"/>
      <c r="AG28" s="136"/>
      <c r="AL28" s="138" t="s">
        <v>63</v>
      </c>
      <c r="AM28" s="138">
        <v>0</v>
      </c>
      <c r="AN28" s="141">
        <v>0</v>
      </c>
      <c r="AO28" s="138"/>
      <c r="AP28" s="141"/>
      <c r="AQ28" s="28"/>
      <c r="AR28" s="28"/>
      <c r="AS28" s="28"/>
      <c r="AT28" s="28"/>
      <c r="AU28" s="141"/>
      <c r="AY28" s="138" t="s">
        <v>56</v>
      </c>
      <c r="AZ28" s="138">
        <v>0</v>
      </c>
      <c r="BA28" s="141">
        <v>0</v>
      </c>
      <c r="BB28" s="138">
        <v>0</v>
      </c>
      <c r="BC28" s="141">
        <v>0</v>
      </c>
      <c r="BD28" s="28"/>
      <c r="BE28" s="28" t="s">
        <v>173</v>
      </c>
      <c r="BF28" s="28"/>
      <c r="BG28" s="28"/>
      <c r="BH28" s="141"/>
      <c r="BI28" s="28"/>
    </row>
    <row r="29" spans="2:61" x14ac:dyDescent="0.3">
      <c r="B29" s="84" t="s">
        <v>132</v>
      </c>
      <c r="C29" s="42">
        <v>0</v>
      </c>
      <c r="D29" s="37">
        <v>0</v>
      </c>
      <c r="E29" s="42"/>
      <c r="F29" s="40"/>
      <c r="G29" s="28"/>
      <c r="H29" s="28"/>
      <c r="I29" s="28"/>
      <c r="J29" s="28"/>
      <c r="K29" s="40"/>
      <c r="L29" s="28"/>
      <c r="M29" s="84" t="s">
        <v>132</v>
      </c>
      <c r="N29" s="42">
        <v>0</v>
      </c>
      <c r="O29" s="37">
        <v>0</v>
      </c>
      <c r="P29" s="42"/>
      <c r="Q29" s="40"/>
      <c r="R29" s="28"/>
      <c r="S29" s="28"/>
      <c r="T29" s="28"/>
      <c r="U29" s="28"/>
      <c r="V29" s="40"/>
      <c r="W29" s="28"/>
      <c r="X29" s="138" t="s">
        <v>63</v>
      </c>
      <c r="Y29" s="138">
        <v>2</v>
      </c>
      <c r="Z29" s="141">
        <v>2</v>
      </c>
      <c r="AA29" s="138"/>
      <c r="AB29" s="141"/>
      <c r="AC29" s="28"/>
      <c r="AD29" s="28"/>
      <c r="AE29" s="28"/>
      <c r="AF29" s="28"/>
      <c r="AG29" s="141"/>
      <c r="AL29" s="138" t="s">
        <v>536</v>
      </c>
      <c r="AM29" s="138">
        <v>0</v>
      </c>
      <c r="AN29" s="141">
        <v>0</v>
      </c>
      <c r="AO29" s="138"/>
      <c r="AP29" s="141"/>
      <c r="AQ29" s="28"/>
      <c r="AR29" s="28"/>
      <c r="AS29" s="28"/>
      <c r="AT29" s="28"/>
      <c r="AU29" s="141"/>
      <c r="AY29" s="138" t="s">
        <v>67</v>
      </c>
      <c r="AZ29" s="138">
        <v>0</v>
      </c>
      <c r="BA29" s="141">
        <v>0</v>
      </c>
      <c r="BB29" s="138">
        <v>0</v>
      </c>
      <c r="BC29" s="141">
        <v>0</v>
      </c>
      <c r="BD29" s="28"/>
      <c r="BE29" s="28"/>
      <c r="BF29" s="28"/>
      <c r="BG29" s="28"/>
      <c r="BH29" s="141"/>
      <c r="BI29" s="28"/>
    </row>
    <row r="30" spans="2:61" x14ac:dyDescent="0.3">
      <c r="B30" s="84" t="s">
        <v>81</v>
      </c>
      <c r="C30" s="42">
        <v>35</v>
      </c>
      <c r="D30" s="37">
        <v>18</v>
      </c>
      <c r="E30" s="42"/>
      <c r="F30" s="40"/>
      <c r="G30" s="28"/>
      <c r="H30" s="28"/>
      <c r="I30" s="28"/>
      <c r="J30" s="28"/>
      <c r="K30" s="40"/>
      <c r="L30" s="28"/>
      <c r="M30" s="84" t="s">
        <v>81</v>
      </c>
      <c r="N30" s="42">
        <v>41</v>
      </c>
      <c r="O30" s="37">
        <v>18</v>
      </c>
      <c r="P30" s="42"/>
      <c r="Q30" s="40"/>
      <c r="R30" s="28"/>
      <c r="S30" s="28"/>
      <c r="T30" s="28"/>
      <c r="U30" s="28"/>
      <c r="V30" s="40"/>
      <c r="W30" s="28"/>
      <c r="X30" s="138" t="s">
        <v>536</v>
      </c>
      <c r="Y30" s="138">
        <v>0</v>
      </c>
      <c r="Z30" s="141">
        <v>0</v>
      </c>
      <c r="AA30" s="138"/>
      <c r="AB30" s="141"/>
      <c r="AC30" s="28"/>
      <c r="AD30" s="28"/>
      <c r="AE30" s="28"/>
      <c r="AF30" s="28"/>
      <c r="AG30" s="141"/>
      <c r="AL30" s="138" t="s">
        <v>56</v>
      </c>
      <c r="AM30" s="138">
        <v>0</v>
      </c>
      <c r="AN30" s="141">
        <v>0</v>
      </c>
      <c r="AO30" s="138"/>
      <c r="AP30" s="141"/>
      <c r="AQ30" s="28"/>
      <c r="AR30" s="28" t="s">
        <v>173</v>
      </c>
      <c r="AS30" s="28"/>
      <c r="AT30" s="28"/>
      <c r="AU30" s="141"/>
      <c r="AY30" s="138" t="s">
        <v>78</v>
      </c>
      <c r="AZ30" s="138">
        <v>0</v>
      </c>
      <c r="BA30" s="141">
        <v>0</v>
      </c>
      <c r="BB30" s="138">
        <v>0</v>
      </c>
      <c r="BC30" s="141">
        <v>0</v>
      </c>
      <c r="BD30" s="28"/>
      <c r="BE30" s="28">
        <v>0</v>
      </c>
      <c r="BF30" s="28" t="s">
        <v>183</v>
      </c>
      <c r="BG30" s="28"/>
      <c r="BH30" s="141"/>
      <c r="BI30" s="28"/>
    </row>
    <row r="31" spans="2:61" x14ac:dyDescent="0.3">
      <c r="B31" s="10" t="s">
        <v>138</v>
      </c>
      <c r="C31" s="36">
        <v>3</v>
      </c>
      <c r="D31" s="37">
        <v>0</v>
      </c>
      <c r="E31" s="42"/>
      <c r="F31" s="11"/>
      <c r="G31" s="18"/>
      <c r="H31" s="18"/>
      <c r="I31" s="18"/>
      <c r="J31" s="18"/>
      <c r="K31" s="11"/>
      <c r="L31" s="28"/>
      <c r="M31" s="10" t="s">
        <v>138</v>
      </c>
      <c r="N31" s="36">
        <v>2</v>
      </c>
      <c r="O31" s="37">
        <v>2</v>
      </c>
      <c r="P31" s="42"/>
      <c r="Q31" s="11"/>
      <c r="R31" s="18"/>
      <c r="S31" s="18"/>
      <c r="T31" s="18"/>
      <c r="U31" s="18"/>
      <c r="V31" s="11"/>
      <c r="W31" s="28"/>
      <c r="X31" s="138" t="s">
        <v>56</v>
      </c>
      <c r="Y31" s="138">
        <v>5</v>
      </c>
      <c r="Z31" s="141">
        <v>5</v>
      </c>
      <c r="AA31" s="138"/>
      <c r="AB31" s="141"/>
      <c r="AC31" s="28"/>
      <c r="AD31" s="28" t="s">
        <v>173</v>
      </c>
      <c r="AE31" s="28"/>
      <c r="AF31" s="28"/>
      <c r="AG31" s="141"/>
      <c r="AL31" s="138" t="s">
        <v>67</v>
      </c>
      <c r="AM31" s="138">
        <v>0</v>
      </c>
      <c r="AN31" s="141">
        <v>0</v>
      </c>
      <c r="AO31" s="138"/>
      <c r="AP31" s="141"/>
      <c r="AQ31" s="28"/>
      <c r="AR31" s="28"/>
      <c r="AS31" s="28"/>
      <c r="AT31" s="28"/>
      <c r="AU31" s="141"/>
      <c r="AY31" s="142" t="s">
        <v>84</v>
      </c>
      <c r="AZ31" s="142">
        <v>0</v>
      </c>
      <c r="BA31" s="146">
        <v>0</v>
      </c>
      <c r="BB31" s="142">
        <v>0</v>
      </c>
      <c r="BC31" s="146">
        <v>0</v>
      </c>
      <c r="BD31" s="143"/>
      <c r="BE31" s="143"/>
      <c r="BF31" s="143"/>
      <c r="BG31" s="143"/>
      <c r="BH31" s="146"/>
      <c r="BI31" s="43"/>
    </row>
    <row r="32" spans="2:61" x14ac:dyDescent="0.3">
      <c r="B32" s="84" t="s">
        <v>56</v>
      </c>
      <c r="C32" s="42">
        <v>16</v>
      </c>
      <c r="D32" s="54">
        <v>6</v>
      </c>
      <c r="E32" s="42"/>
      <c r="F32" s="40"/>
      <c r="G32" s="28"/>
      <c r="H32" s="28"/>
      <c r="I32" s="28"/>
      <c r="J32" s="28"/>
      <c r="K32" s="40"/>
      <c r="L32" s="28"/>
      <c r="M32" s="84" t="s">
        <v>56</v>
      </c>
      <c r="N32" s="42">
        <v>0</v>
      </c>
      <c r="O32" s="54">
        <v>0</v>
      </c>
      <c r="P32" s="42"/>
      <c r="Q32" s="40"/>
      <c r="R32" s="28"/>
      <c r="S32" s="28"/>
      <c r="T32" s="28"/>
      <c r="U32" s="28"/>
      <c r="V32" s="40"/>
      <c r="W32" s="28"/>
      <c r="X32" s="138" t="s">
        <v>67</v>
      </c>
      <c r="Y32" s="138">
        <v>2</v>
      </c>
      <c r="Z32" s="141">
        <v>2</v>
      </c>
      <c r="AA32" s="138"/>
      <c r="AB32" s="141"/>
      <c r="AC32" s="28"/>
      <c r="AD32" s="28"/>
      <c r="AE32" s="28"/>
      <c r="AF32" s="28"/>
      <c r="AG32" s="141"/>
      <c r="AL32" s="138" t="s">
        <v>78</v>
      </c>
      <c r="AM32" s="138">
        <v>0</v>
      </c>
      <c r="AN32" s="141">
        <v>0</v>
      </c>
      <c r="AO32" s="138"/>
      <c r="AP32" s="141"/>
      <c r="AQ32" s="28"/>
      <c r="AR32" s="28">
        <v>0</v>
      </c>
      <c r="AS32" s="28" t="s">
        <v>183</v>
      </c>
      <c r="AT32" s="28"/>
      <c r="AU32" s="141"/>
      <c r="AW32" t="s">
        <v>6</v>
      </c>
      <c r="AY32" s="134" t="s">
        <v>56</v>
      </c>
      <c r="AZ32" s="134">
        <v>19</v>
      </c>
      <c r="BA32" s="136">
        <v>30</v>
      </c>
      <c r="BB32" s="134">
        <v>0</v>
      </c>
      <c r="BC32" s="136">
        <v>0</v>
      </c>
      <c r="BD32" s="134"/>
      <c r="BE32" s="135" t="s">
        <v>140</v>
      </c>
      <c r="BF32" s="135"/>
      <c r="BG32" s="135"/>
      <c r="BH32" s="136"/>
      <c r="BI32" s="43"/>
    </row>
    <row r="33" spans="1:61" x14ac:dyDescent="0.3">
      <c r="B33" s="36" t="s">
        <v>67</v>
      </c>
      <c r="C33" s="10">
        <v>8</v>
      </c>
      <c r="D33" s="18">
        <f>37+9</f>
        <v>46</v>
      </c>
      <c r="E33" s="42"/>
      <c r="F33" s="11"/>
      <c r="G33" s="18"/>
      <c r="H33" s="18"/>
      <c r="I33" s="18"/>
      <c r="J33" s="18"/>
      <c r="K33" s="11"/>
      <c r="L33" s="28"/>
      <c r="M33" s="36" t="s">
        <v>67</v>
      </c>
      <c r="N33" s="10">
        <v>17</v>
      </c>
      <c r="O33" s="18">
        <v>24</v>
      </c>
      <c r="P33" s="42"/>
      <c r="Q33" s="11"/>
      <c r="R33" s="18"/>
      <c r="S33" s="18"/>
      <c r="T33" s="18"/>
      <c r="U33" s="18"/>
      <c r="V33" s="11"/>
      <c r="W33" s="28"/>
      <c r="X33" s="138" t="s">
        <v>78</v>
      </c>
      <c r="Y33" s="138">
        <v>5</v>
      </c>
      <c r="Z33" s="141">
        <v>5</v>
      </c>
      <c r="AA33" s="138"/>
      <c r="AB33" s="141"/>
      <c r="AC33" s="28"/>
      <c r="AD33" s="28">
        <v>10</v>
      </c>
      <c r="AE33" s="28" t="s">
        <v>183</v>
      </c>
      <c r="AF33" s="28"/>
      <c r="AG33" s="141"/>
      <c r="AJ33" t="s">
        <v>6</v>
      </c>
      <c r="AL33" s="138" t="s">
        <v>115</v>
      </c>
      <c r="AM33" s="138">
        <v>0</v>
      </c>
      <c r="AN33" s="141">
        <v>0</v>
      </c>
      <c r="AO33" s="138"/>
      <c r="AP33" s="141"/>
      <c r="AQ33" s="28"/>
      <c r="AR33" s="28" t="s">
        <v>6</v>
      </c>
      <c r="AS33" s="28"/>
      <c r="AT33" s="28"/>
      <c r="AU33" s="141"/>
      <c r="AY33" s="138" t="s">
        <v>72</v>
      </c>
      <c r="AZ33" s="138">
        <v>21</v>
      </c>
      <c r="BA33" s="141">
        <v>29</v>
      </c>
      <c r="BB33" s="138">
        <v>0</v>
      </c>
      <c r="BC33" s="141">
        <v>0</v>
      </c>
      <c r="BD33" s="138"/>
      <c r="BE33" s="43">
        <v>4</v>
      </c>
      <c r="BF33" s="28" t="s">
        <v>1294</v>
      </c>
      <c r="BG33" s="28" t="s">
        <v>175</v>
      </c>
      <c r="BH33" s="141"/>
      <c r="BI33" s="28"/>
    </row>
    <row r="34" spans="1:61" ht="15" thickBot="1" x14ac:dyDescent="0.35">
      <c r="A34" s="95"/>
      <c r="B34" s="13" t="s">
        <v>84</v>
      </c>
      <c r="C34" s="13">
        <f>SUM(C22:C33)</f>
        <v>371</v>
      </c>
      <c r="D34" s="27">
        <f>SUM(D22:D33)</f>
        <v>254</v>
      </c>
      <c r="E34" s="47"/>
      <c r="F34" s="26">
        <f>SUM(F26:F33)</f>
        <v>0</v>
      </c>
      <c r="G34" s="27"/>
      <c r="H34" s="27"/>
      <c r="I34" s="27"/>
      <c r="J34" s="27"/>
      <c r="K34" s="26">
        <f>SUM(H26:H28)</f>
        <v>89</v>
      </c>
      <c r="L34" s="28"/>
      <c r="M34" s="13" t="s">
        <v>84</v>
      </c>
      <c r="N34" s="13">
        <f>SUM(N22:N33)</f>
        <v>269</v>
      </c>
      <c r="O34" s="27">
        <f>SUM(O22:O33)</f>
        <v>297</v>
      </c>
      <c r="P34" s="47"/>
      <c r="Q34" s="26">
        <f>SUM(Q26:Q33)</f>
        <v>0</v>
      </c>
      <c r="R34" s="27"/>
      <c r="S34" s="27"/>
      <c r="T34" s="27"/>
      <c r="U34" s="27"/>
      <c r="V34" s="26">
        <f>SUM(S26:S28)</f>
        <v>86</v>
      </c>
      <c r="W34" s="28"/>
      <c r="X34" s="138" t="s">
        <v>115</v>
      </c>
      <c r="Y34" s="138">
        <v>0</v>
      </c>
      <c r="Z34" s="141">
        <v>0</v>
      </c>
      <c r="AA34" s="138"/>
      <c r="AB34" s="141"/>
      <c r="AC34" s="28"/>
      <c r="AD34" s="28" t="s">
        <v>6</v>
      </c>
      <c r="AE34" s="28"/>
      <c r="AF34" s="28"/>
      <c r="AG34" s="141"/>
      <c r="AL34" s="138" t="s">
        <v>72</v>
      </c>
      <c r="AM34" s="138">
        <v>0</v>
      </c>
      <c r="AN34" s="141">
        <v>0</v>
      </c>
      <c r="AO34" s="138"/>
      <c r="AP34" s="141"/>
      <c r="AQ34" s="28"/>
      <c r="AR34" s="28"/>
      <c r="AS34" s="28"/>
      <c r="AT34" s="28"/>
      <c r="AU34" s="141"/>
      <c r="AY34" s="138" t="s">
        <v>78</v>
      </c>
      <c r="AZ34" s="138">
        <v>32</v>
      </c>
      <c r="BA34" s="141">
        <v>65</v>
      </c>
      <c r="BB34" s="138">
        <v>0</v>
      </c>
      <c r="BC34" s="141">
        <v>0</v>
      </c>
      <c r="BD34" s="138"/>
      <c r="BE34" s="43">
        <v>17</v>
      </c>
      <c r="BF34" s="28" t="s">
        <v>213</v>
      </c>
      <c r="BG34" s="43" t="s">
        <v>1308</v>
      </c>
      <c r="BH34" s="141"/>
      <c r="BI34" s="28"/>
    </row>
    <row r="35" spans="1:61" x14ac:dyDescent="0.3">
      <c r="B35" s="32"/>
      <c r="C35" s="53"/>
      <c r="D35" s="97"/>
      <c r="E35" s="33"/>
      <c r="F35" s="7"/>
      <c r="G35" s="6"/>
      <c r="H35" s="8"/>
      <c r="I35" s="31"/>
      <c r="J35" s="8"/>
      <c r="K35" s="7"/>
      <c r="L35" s="28"/>
      <c r="M35" s="32"/>
      <c r="N35" s="53"/>
      <c r="O35" s="97"/>
      <c r="P35" s="33"/>
      <c r="Q35" s="7"/>
      <c r="R35" s="6"/>
      <c r="S35" s="8"/>
      <c r="T35" s="31"/>
      <c r="U35" s="8"/>
      <c r="V35" s="7"/>
      <c r="W35" s="28"/>
      <c r="X35" s="138" t="s">
        <v>72</v>
      </c>
      <c r="Y35" s="138">
        <v>0</v>
      </c>
      <c r="Z35" s="141">
        <v>0</v>
      </c>
      <c r="AA35" s="138"/>
      <c r="AB35" s="141"/>
      <c r="AC35" s="28"/>
      <c r="AD35" s="28"/>
      <c r="AE35" s="28"/>
      <c r="AF35" s="28"/>
      <c r="AG35" s="141"/>
      <c r="AL35" s="142" t="s">
        <v>84</v>
      </c>
      <c r="AM35" s="142">
        <f>SUM(AM28:AM34)</f>
        <v>0</v>
      </c>
      <c r="AN35" s="146">
        <f>SUM(AN28:AN34)</f>
        <v>0</v>
      </c>
      <c r="AO35" s="142"/>
      <c r="AP35" s="146"/>
      <c r="AQ35" s="143"/>
      <c r="AR35" s="143"/>
      <c r="AS35" s="143"/>
      <c r="AT35" s="143"/>
      <c r="AU35" s="146">
        <f>SUM(AR32)</f>
        <v>0</v>
      </c>
      <c r="AY35" s="138" t="s">
        <v>67</v>
      </c>
      <c r="AZ35" s="138">
        <v>24</v>
      </c>
      <c r="BA35" s="141">
        <v>42</v>
      </c>
      <c r="BB35" s="138">
        <v>0</v>
      </c>
      <c r="BC35" s="141">
        <v>0</v>
      </c>
      <c r="BD35" s="138"/>
      <c r="BE35" s="43">
        <v>1</v>
      </c>
      <c r="BF35" s="43" t="s">
        <v>1067</v>
      </c>
      <c r="BG35" s="28" t="s">
        <v>1309</v>
      </c>
      <c r="BH35" s="141"/>
      <c r="BI35" s="28"/>
    </row>
    <row r="36" spans="1:61" ht="15" thickBot="1" x14ac:dyDescent="0.35">
      <c r="B36" s="62"/>
      <c r="C36" s="72"/>
      <c r="D36" s="73"/>
      <c r="E36" s="47"/>
      <c r="F36" s="49"/>
      <c r="G36" s="47"/>
      <c r="H36" s="48"/>
      <c r="I36" s="48"/>
      <c r="J36" s="48"/>
      <c r="K36" s="49"/>
      <c r="L36" s="28"/>
      <c r="M36" s="62"/>
      <c r="N36" s="72"/>
      <c r="O36" s="73"/>
      <c r="P36" s="47"/>
      <c r="Q36" s="49"/>
      <c r="R36" s="47"/>
      <c r="S36" s="48"/>
      <c r="T36" s="48"/>
      <c r="U36" s="48"/>
      <c r="V36" s="49"/>
      <c r="W36" s="28"/>
      <c r="X36" s="142" t="s">
        <v>84</v>
      </c>
      <c r="Y36" s="142">
        <f>SUM(Y29:Y35)</f>
        <v>14</v>
      </c>
      <c r="Z36" s="146">
        <f>SUM(Z29:Z35)</f>
        <v>14</v>
      </c>
      <c r="AA36" s="142"/>
      <c r="AB36" s="146"/>
      <c r="AC36" s="143"/>
      <c r="AD36" s="143"/>
      <c r="AE36" s="143"/>
      <c r="AF36" s="143"/>
      <c r="AG36" s="146">
        <f>SUM(AD33)</f>
        <v>10</v>
      </c>
      <c r="AL36" s="134"/>
      <c r="AM36" s="134"/>
      <c r="AN36" s="136"/>
      <c r="AO36" s="134"/>
      <c r="AP36" s="136"/>
      <c r="AQ36" s="135"/>
      <c r="AR36" s="135"/>
      <c r="AS36" s="135"/>
      <c r="AT36" s="135"/>
      <c r="AU36" s="136"/>
      <c r="AY36" s="138" t="s">
        <v>115</v>
      </c>
      <c r="AZ36" s="138">
        <v>14</v>
      </c>
      <c r="BA36" s="141">
        <v>14</v>
      </c>
      <c r="BB36" s="138">
        <v>0</v>
      </c>
      <c r="BC36" s="141">
        <v>0</v>
      </c>
      <c r="BD36" s="138"/>
      <c r="BE36" s="43"/>
      <c r="BF36" s="43" t="s">
        <v>1310</v>
      </c>
      <c r="BG36" s="43" t="s">
        <v>330</v>
      </c>
      <c r="BH36" s="141"/>
      <c r="BI36" s="28"/>
    </row>
    <row r="37" spans="1:61" x14ac:dyDescent="0.3">
      <c r="B37" s="67" t="s">
        <v>63</v>
      </c>
      <c r="C37" s="33">
        <v>6</v>
      </c>
      <c r="D37" s="35">
        <v>1</v>
      </c>
      <c r="G37" s="33"/>
      <c r="H37" s="34"/>
      <c r="I37" s="34"/>
      <c r="J37" s="34"/>
      <c r="K37" s="35"/>
      <c r="L37" s="28"/>
      <c r="M37" s="67" t="s">
        <v>63</v>
      </c>
      <c r="N37" s="33">
        <v>2</v>
      </c>
      <c r="O37" s="35">
        <v>2</v>
      </c>
      <c r="R37" s="33"/>
      <c r="S37" s="34"/>
      <c r="T37" s="34"/>
      <c r="U37" s="34"/>
      <c r="V37" s="35"/>
      <c r="W37" s="28"/>
      <c r="X37" s="134"/>
      <c r="Y37" s="134"/>
      <c r="Z37" s="136"/>
      <c r="AA37" s="134"/>
      <c r="AB37" s="136"/>
      <c r="AC37" s="135"/>
      <c r="AD37" s="135"/>
      <c r="AE37" s="135"/>
      <c r="AF37" s="135"/>
      <c r="AG37" s="136"/>
      <c r="AL37" s="138" t="s">
        <v>63</v>
      </c>
      <c r="AM37" s="138">
        <f>3+1+11</f>
        <v>15</v>
      </c>
      <c r="AN37" s="141">
        <f>2+3+13</f>
        <v>18</v>
      </c>
      <c r="AO37" s="138"/>
      <c r="AP37" s="141"/>
      <c r="AQ37" s="28"/>
      <c r="AR37" s="28" t="s">
        <v>140</v>
      </c>
      <c r="AS37" s="28"/>
      <c r="AT37" s="28"/>
      <c r="AU37" s="141"/>
      <c r="AY37" s="138" t="s">
        <v>81</v>
      </c>
      <c r="AZ37" s="138">
        <v>13</v>
      </c>
      <c r="BA37" s="141">
        <v>11</v>
      </c>
      <c r="BB37" s="138">
        <v>0</v>
      </c>
      <c r="BC37" s="141">
        <v>0</v>
      </c>
      <c r="BD37" s="138"/>
      <c r="BE37" s="43">
        <v>9</v>
      </c>
      <c r="BF37" s="43" t="s">
        <v>1312</v>
      </c>
      <c r="BG37" s="43" t="s">
        <v>519</v>
      </c>
      <c r="BH37" s="141"/>
      <c r="BI37" s="28"/>
    </row>
    <row r="38" spans="1:61" x14ac:dyDescent="0.3">
      <c r="B38" s="67" t="s">
        <v>168</v>
      </c>
      <c r="C38" s="42">
        <v>0</v>
      </c>
      <c r="D38" s="40">
        <v>0</v>
      </c>
      <c r="G38" s="42"/>
      <c r="H38" s="28"/>
      <c r="I38" s="28"/>
      <c r="J38" s="28"/>
      <c r="K38" s="40"/>
      <c r="L38" s="28"/>
      <c r="M38" s="67" t="s">
        <v>536</v>
      </c>
      <c r="N38" s="42">
        <v>0</v>
      </c>
      <c r="O38" s="40">
        <v>0</v>
      </c>
      <c r="R38" s="42"/>
      <c r="S38" s="28"/>
      <c r="T38" s="28"/>
      <c r="U38" s="28"/>
      <c r="V38" s="40"/>
      <c r="W38" s="28"/>
      <c r="X38" s="138" t="s">
        <v>63</v>
      </c>
      <c r="Y38" s="138">
        <f>2+2+7</f>
        <v>11</v>
      </c>
      <c r="Z38" s="141">
        <f>2+6+7</f>
        <v>15</v>
      </c>
      <c r="AA38" s="138"/>
      <c r="AB38" s="141"/>
      <c r="AC38" s="28"/>
      <c r="AD38" s="28" t="s">
        <v>140</v>
      </c>
      <c r="AE38" s="28"/>
      <c r="AF38" s="28"/>
      <c r="AG38" s="141"/>
      <c r="AL38" s="138" t="s">
        <v>78</v>
      </c>
      <c r="AM38" s="138">
        <f>5+53</f>
        <v>58</v>
      </c>
      <c r="AN38" s="141">
        <f>5+19</f>
        <v>24</v>
      </c>
      <c r="AO38" s="138"/>
      <c r="AP38" s="141"/>
      <c r="AQ38" s="28"/>
      <c r="AR38" s="28">
        <v>2</v>
      </c>
      <c r="AS38" s="28" t="s">
        <v>471</v>
      </c>
      <c r="AT38" s="28"/>
      <c r="AU38" s="141"/>
      <c r="AY38" s="138" t="s">
        <v>230</v>
      </c>
      <c r="AZ38" s="138">
        <v>1</v>
      </c>
      <c r="BA38" s="141">
        <v>2</v>
      </c>
      <c r="BB38" s="138">
        <v>0</v>
      </c>
      <c r="BC38" s="141">
        <v>0</v>
      </c>
      <c r="BD38" s="138"/>
      <c r="BE38" s="43">
        <v>22</v>
      </c>
      <c r="BF38" s="43" t="s">
        <v>216</v>
      </c>
      <c r="BG38" s="43" t="s">
        <v>1313</v>
      </c>
      <c r="BH38" s="141"/>
      <c r="BI38" s="28"/>
    </row>
    <row r="39" spans="1:61" x14ac:dyDescent="0.3">
      <c r="B39" s="52" t="s">
        <v>56</v>
      </c>
      <c r="C39" s="52">
        <v>1</v>
      </c>
      <c r="D39" s="85">
        <v>8</v>
      </c>
      <c r="E39" s="28"/>
      <c r="F39" s="28"/>
      <c r="G39" s="42"/>
      <c r="H39" s="28" t="s">
        <v>173</v>
      </c>
      <c r="I39" s="28"/>
      <c r="J39" s="28"/>
      <c r="K39" s="40"/>
      <c r="L39" s="28"/>
      <c r="M39" s="52" t="s">
        <v>56</v>
      </c>
      <c r="N39" s="52">
        <v>4</v>
      </c>
      <c r="O39" s="85">
        <v>4</v>
      </c>
      <c r="P39" s="28"/>
      <c r="Q39" s="28"/>
      <c r="R39" s="42"/>
      <c r="S39" s="28" t="s">
        <v>173</v>
      </c>
      <c r="T39" s="28"/>
      <c r="U39" s="28"/>
      <c r="V39" s="40"/>
      <c r="W39" s="28"/>
      <c r="X39" s="138" t="s">
        <v>78</v>
      </c>
      <c r="Y39" s="138">
        <f>13+13+8</f>
        <v>34</v>
      </c>
      <c r="Z39" s="141">
        <f>43+1+26+1</f>
        <v>71</v>
      </c>
      <c r="AA39" s="138"/>
      <c r="AB39" s="141"/>
      <c r="AC39" s="28"/>
      <c r="AD39" s="28">
        <v>19</v>
      </c>
      <c r="AE39" s="28" t="s">
        <v>204</v>
      </c>
      <c r="AF39" s="28"/>
      <c r="AG39" s="141"/>
      <c r="AL39" s="138" t="s">
        <v>209</v>
      </c>
      <c r="AM39" s="138">
        <v>0</v>
      </c>
      <c r="AN39" s="141">
        <v>0</v>
      </c>
      <c r="AO39" s="138"/>
      <c r="AP39" s="141"/>
      <c r="AQ39" s="28"/>
      <c r="AR39" s="28">
        <v>2</v>
      </c>
      <c r="AS39" s="28" t="s">
        <v>1517</v>
      </c>
      <c r="AT39" s="28" t="s">
        <v>6</v>
      </c>
      <c r="AU39" s="141"/>
      <c r="AY39" s="138" t="s">
        <v>63</v>
      </c>
      <c r="AZ39" s="138">
        <v>7</v>
      </c>
      <c r="BA39" s="141">
        <v>42</v>
      </c>
      <c r="BB39" s="138">
        <v>0</v>
      </c>
      <c r="BC39" s="141">
        <v>0</v>
      </c>
      <c r="BD39" s="138"/>
      <c r="BE39" s="43">
        <v>1</v>
      </c>
      <c r="BF39" s="43" t="s">
        <v>1314</v>
      </c>
      <c r="BG39" s="43" t="s">
        <v>1315</v>
      </c>
      <c r="BH39" s="141"/>
      <c r="BI39" s="28"/>
    </row>
    <row r="40" spans="1:61" x14ac:dyDescent="0.3">
      <c r="B40" s="52" t="s">
        <v>67</v>
      </c>
      <c r="C40" s="52">
        <v>8</v>
      </c>
      <c r="D40" s="56">
        <v>7</v>
      </c>
      <c r="G40" s="42"/>
      <c r="H40" s="28"/>
      <c r="I40" s="28"/>
      <c r="J40" s="28"/>
      <c r="K40" s="40"/>
      <c r="L40" s="28"/>
      <c r="M40" s="52" t="s">
        <v>67</v>
      </c>
      <c r="N40" s="52">
        <v>5</v>
      </c>
      <c r="O40" s="56">
        <v>10</v>
      </c>
      <c r="R40" s="42"/>
      <c r="S40" s="28"/>
      <c r="T40" s="28"/>
      <c r="U40" s="28"/>
      <c r="V40" s="40"/>
      <c r="W40" s="28"/>
      <c r="X40" s="138" t="s">
        <v>209</v>
      </c>
      <c r="Y40" s="138">
        <v>0</v>
      </c>
      <c r="Z40" s="141">
        <v>0</v>
      </c>
      <c r="AA40" s="138"/>
      <c r="AB40" s="141"/>
      <c r="AC40" s="28"/>
      <c r="AD40" s="28">
        <v>4</v>
      </c>
      <c r="AE40" s="28" t="s">
        <v>210</v>
      </c>
      <c r="AF40" s="28" t="s">
        <v>6</v>
      </c>
      <c r="AG40" s="141"/>
      <c r="AL40" s="138" t="s">
        <v>168</v>
      </c>
      <c r="AM40" s="138">
        <v>0</v>
      </c>
      <c r="AN40" s="141">
        <v>0</v>
      </c>
      <c r="AO40" s="138"/>
      <c r="AP40" s="141"/>
      <c r="AQ40" s="28"/>
      <c r="AR40" s="28">
        <f>17+2+3</f>
        <v>22</v>
      </c>
      <c r="AS40" s="28" t="s">
        <v>213</v>
      </c>
      <c r="AT40" s="28" t="s">
        <v>6</v>
      </c>
      <c r="AU40" s="141"/>
      <c r="AY40" s="138" t="s">
        <v>122</v>
      </c>
      <c r="AZ40" s="138">
        <v>8</v>
      </c>
      <c r="BA40" s="141">
        <v>8</v>
      </c>
      <c r="BB40" s="138">
        <v>0</v>
      </c>
      <c r="BC40" s="141">
        <v>0</v>
      </c>
      <c r="BD40" s="138"/>
      <c r="BE40" s="43">
        <v>67</v>
      </c>
      <c r="BF40" s="43" t="s">
        <v>215</v>
      </c>
      <c r="BG40" s="43"/>
      <c r="BH40" s="141"/>
      <c r="BI40" s="28"/>
    </row>
    <row r="41" spans="1:61" x14ac:dyDescent="0.3">
      <c r="B41" s="10" t="s">
        <v>78</v>
      </c>
      <c r="C41" s="52">
        <v>0</v>
      </c>
      <c r="D41" s="85">
        <v>1</v>
      </c>
      <c r="E41" s="28"/>
      <c r="F41" s="28"/>
      <c r="G41" s="42"/>
      <c r="H41" s="28">
        <v>11</v>
      </c>
      <c r="I41" s="28" t="s">
        <v>183</v>
      </c>
      <c r="J41" s="28"/>
      <c r="K41" s="40"/>
      <c r="L41" s="37"/>
      <c r="M41" s="10" t="s">
        <v>78</v>
      </c>
      <c r="N41" s="52">
        <v>0</v>
      </c>
      <c r="O41" s="85">
        <v>0</v>
      </c>
      <c r="P41" s="28"/>
      <c r="Q41" s="28"/>
      <c r="R41" s="42"/>
      <c r="S41" s="28">
        <v>15</v>
      </c>
      <c r="T41" s="28" t="s">
        <v>183</v>
      </c>
      <c r="U41" s="28"/>
      <c r="V41" s="40"/>
      <c r="W41" s="37"/>
      <c r="X41" s="138" t="s">
        <v>168</v>
      </c>
      <c r="Y41" s="138">
        <v>0</v>
      </c>
      <c r="Z41" s="141">
        <v>0</v>
      </c>
      <c r="AA41" s="138"/>
      <c r="AB41" s="141"/>
      <c r="AC41" s="28"/>
      <c r="AD41" s="28">
        <f>29+2+6</f>
        <v>37</v>
      </c>
      <c r="AE41" s="28" t="s">
        <v>213</v>
      </c>
      <c r="AF41" s="28" t="s">
        <v>6</v>
      </c>
      <c r="AG41" s="141"/>
      <c r="AL41" s="138" t="s">
        <v>81</v>
      </c>
      <c r="AM41" s="138">
        <f>2+8</f>
        <v>10</v>
      </c>
      <c r="AN41" s="141">
        <f>1+4</f>
        <v>5</v>
      </c>
      <c r="AO41" s="138"/>
      <c r="AP41" s="141"/>
      <c r="AQ41" s="28"/>
      <c r="AR41" s="28"/>
      <c r="AS41" s="28" t="s">
        <v>898</v>
      </c>
      <c r="AT41" s="28"/>
      <c r="AU41" s="141" t="s">
        <v>6</v>
      </c>
      <c r="AY41" s="138" t="s">
        <v>132</v>
      </c>
      <c r="AZ41" s="138">
        <v>0</v>
      </c>
      <c r="BA41" s="141">
        <v>1</v>
      </c>
      <c r="BB41" s="138">
        <v>0</v>
      </c>
      <c r="BC41" s="141">
        <v>0</v>
      </c>
      <c r="BD41" s="138"/>
      <c r="BE41" s="43">
        <v>1</v>
      </c>
      <c r="BF41" s="43" t="s">
        <v>1314</v>
      </c>
      <c r="BG41" s="28"/>
      <c r="BH41" s="141"/>
      <c r="BI41" s="28"/>
    </row>
    <row r="42" spans="1:61" x14ac:dyDescent="0.3">
      <c r="B42" s="52" t="s">
        <v>81</v>
      </c>
      <c r="C42" s="52">
        <v>0</v>
      </c>
      <c r="D42" s="85">
        <v>0</v>
      </c>
      <c r="E42" s="28"/>
      <c r="F42" s="28"/>
      <c r="G42" s="42"/>
      <c r="H42" s="28" t="s">
        <v>6</v>
      </c>
      <c r="I42" s="28"/>
      <c r="J42" s="28"/>
      <c r="K42" s="40"/>
      <c r="L42" s="28"/>
      <c r="M42" s="52" t="s">
        <v>115</v>
      </c>
      <c r="N42" s="52">
        <v>1</v>
      </c>
      <c r="O42" s="85">
        <v>1</v>
      </c>
      <c r="P42" s="28"/>
      <c r="Q42" s="28"/>
      <c r="R42" s="42"/>
      <c r="S42" s="28" t="s">
        <v>6</v>
      </c>
      <c r="T42" s="28"/>
      <c r="U42" s="28"/>
      <c r="V42" s="40"/>
      <c r="W42" s="28"/>
      <c r="X42" s="138" t="s">
        <v>81</v>
      </c>
      <c r="Y42" s="138">
        <v>4</v>
      </c>
      <c r="Z42" s="141">
        <v>4</v>
      </c>
      <c r="AA42" s="138"/>
      <c r="AB42" s="141"/>
      <c r="AC42" s="28"/>
      <c r="AD42" s="28">
        <v>1</v>
      </c>
      <c r="AE42" s="28" t="s">
        <v>898</v>
      </c>
      <c r="AF42" s="28"/>
      <c r="AG42" s="141" t="s">
        <v>6</v>
      </c>
      <c r="AL42" s="138" t="s">
        <v>72</v>
      </c>
      <c r="AM42" s="138">
        <f>26+3</f>
        <v>29</v>
      </c>
      <c r="AN42" s="141">
        <f>1+19</f>
        <v>20</v>
      </c>
      <c r="AO42" s="138"/>
      <c r="AP42" s="141"/>
      <c r="AQ42" s="28"/>
      <c r="AR42" s="43">
        <v>1</v>
      </c>
      <c r="AS42" s="28" t="s">
        <v>216</v>
      </c>
      <c r="AT42" s="28"/>
      <c r="AU42" s="141"/>
      <c r="AY42" s="138" t="s">
        <v>1319</v>
      </c>
      <c r="AZ42" s="138">
        <v>0</v>
      </c>
      <c r="BA42" s="141">
        <v>0</v>
      </c>
      <c r="BB42" s="138">
        <v>0</v>
      </c>
      <c r="BC42" s="141">
        <v>0</v>
      </c>
      <c r="BD42" s="138"/>
      <c r="BE42" s="43">
        <v>12</v>
      </c>
      <c r="BF42" s="43" t="s">
        <v>903</v>
      </c>
      <c r="BG42" s="28"/>
      <c r="BH42" s="141"/>
      <c r="BI42" s="28"/>
    </row>
    <row r="43" spans="1:61" ht="15" thickBot="1" x14ac:dyDescent="0.35">
      <c r="B43" s="52" t="s">
        <v>72</v>
      </c>
      <c r="C43" s="52">
        <v>6</v>
      </c>
      <c r="D43" s="85">
        <v>1</v>
      </c>
      <c r="G43" s="42"/>
      <c r="H43" s="28"/>
      <c r="I43" s="28"/>
      <c r="J43" s="28"/>
      <c r="K43" s="40"/>
      <c r="L43" s="28"/>
      <c r="M43" s="52" t="s">
        <v>72</v>
      </c>
      <c r="N43" s="52">
        <v>1</v>
      </c>
      <c r="O43" s="85">
        <v>1</v>
      </c>
      <c r="R43" s="42"/>
      <c r="S43" s="28"/>
      <c r="T43" s="28"/>
      <c r="U43" s="28"/>
      <c r="V43" s="40"/>
      <c r="W43" s="28"/>
      <c r="X43" s="138" t="s">
        <v>72</v>
      </c>
      <c r="Y43" s="138">
        <f>4+8+11+15</f>
        <v>38</v>
      </c>
      <c r="Z43" s="141">
        <f>7+16+2+16</f>
        <v>41</v>
      </c>
      <c r="AA43" s="138"/>
      <c r="AB43" s="141"/>
      <c r="AC43" s="28"/>
      <c r="AD43" s="43">
        <v>23</v>
      </c>
      <c r="AE43" s="28" t="s">
        <v>216</v>
      </c>
      <c r="AF43" s="28"/>
      <c r="AG43" s="141"/>
      <c r="AL43" s="138" t="s">
        <v>115</v>
      </c>
      <c r="AM43" s="138">
        <f>1+11</f>
        <v>12</v>
      </c>
      <c r="AN43" s="141">
        <f>1+13</f>
        <v>14</v>
      </c>
      <c r="AO43" s="138"/>
      <c r="AP43" s="141"/>
      <c r="AQ43" s="28"/>
      <c r="AR43" s="43">
        <v>1</v>
      </c>
      <c r="AS43" s="28" t="s">
        <v>773</v>
      </c>
      <c r="AT43" s="28"/>
      <c r="AU43" s="141"/>
      <c r="AY43" s="138" t="s">
        <v>84</v>
      </c>
      <c r="AZ43" s="138">
        <f>SUM(AZ27:AZ42)</f>
        <v>139</v>
      </c>
      <c r="BA43" s="141">
        <f>SUM(BA32:BA42)</f>
        <v>244</v>
      </c>
      <c r="BB43" s="138">
        <v>0</v>
      </c>
      <c r="BC43" s="141">
        <v>0</v>
      </c>
      <c r="BD43" s="142"/>
      <c r="BE43" s="224">
        <v>4</v>
      </c>
      <c r="BF43" s="224" t="s">
        <v>244</v>
      </c>
      <c r="BG43" s="143"/>
      <c r="BH43" s="146">
        <v>167</v>
      </c>
      <c r="BI43" s="28"/>
    </row>
    <row r="44" spans="1:61" ht="15" thickBot="1" x14ac:dyDescent="0.35">
      <c r="B44" s="52" t="s">
        <v>84</v>
      </c>
      <c r="C44" s="47">
        <f>SUM(C37:C43)</f>
        <v>21</v>
      </c>
      <c r="D44" s="49">
        <f>SUM(D37:D43)</f>
        <v>18</v>
      </c>
      <c r="E44" s="28"/>
      <c r="F44" s="28"/>
      <c r="G44" s="47"/>
      <c r="H44" s="48"/>
      <c r="I44" s="48"/>
      <c r="J44" s="48"/>
      <c r="K44" s="49">
        <f>SUM(H41)</f>
        <v>11</v>
      </c>
      <c r="L44" s="28"/>
      <c r="M44" s="52" t="s">
        <v>84</v>
      </c>
      <c r="N44" s="47">
        <f>SUM(N37:N43)</f>
        <v>13</v>
      </c>
      <c r="O44" s="49">
        <f>SUM(O37:O43)</f>
        <v>18</v>
      </c>
      <c r="P44" s="28"/>
      <c r="Q44" s="28"/>
      <c r="R44" s="47"/>
      <c r="S44" s="48"/>
      <c r="T44" s="48"/>
      <c r="U44" s="48"/>
      <c r="V44" s="49">
        <f>SUM(S41)</f>
        <v>15</v>
      </c>
      <c r="W44" s="28"/>
      <c r="X44" s="138" t="s">
        <v>115</v>
      </c>
      <c r="Y44" s="138">
        <f>3+3</f>
        <v>6</v>
      </c>
      <c r="Z44" s="141">
        <f>13+3</f>
        <v>16</v>
      </c>
      <c r="AA44" s="138"/>
      <c r="AB44" s="141"/>
      <c r="AC44" s="28"/>
      <c r="AD44" s="28">
        <v>10</v>
      </c>
      <c r="AE44" s="28" t="s">
        <v>217</v>
      </c>
      <c r="AF44" s="28"/>
      <c r="AG44" s="141"/>
      <c r="AL44" s="138" t="s">
        <v>56</v>
      </c>
      <c r="AM44" s="138">
        <f>1+9+3</f>
        <v>13</v>
      </c>
      <c r="AN44" s="141">
        <f>4+3</f>
        <v>7</v>
      </c>
      <c r="AO44" s="138"/>
      <c r="AP44" s="141"/>
      <c r="AQ44" s="28"/>
      <c r="AR44" s="43">
        <v>1</v>
      </c>
      <c r="AS44" s="28" t="s">
        <v>967</v>
      </c>
      <c r="AT44" s="28"/>
      <c r="AU44" s="141"/>
      <c r="AY44" s="171" t="s">
        <v>84</v>
      </c>
      <c r="AZ44" s="171">
        <v>1681</v>
      </c>
      <c r="BA44" s="172">
        <v>1777</v>
      </c>
      <c r="BB44" s="170"/>
      <c r="BC44" s="172"/>
      <c r="BD44" s="48"/>
      <c r="BE44" s="48"/>
      <c r="BF44" s="48"/>
      <c r="BG44" s="48"/>
      <c r="BH44" s="49">
        <v>369</v>
      </c>
      <c r="BI44" s="28"/>
    </row>
    <row r="45" spans="1:61" x14ac:dyDescent="0.3">
      <c r="B45" s="32" t="s">
        <v>63</v>
      </c>
      <c r="C45" s="123">
        <f>2+3</f>
        <v>5</v>
      </c>
      <c r="D45" s="123">
        <f>1+3</f>
        <v>4</v>
      </c>
      <c r="E45" s="33"/>
      <c r="F45" s="7"/>
      <c r="G45" s="6"/>
      <c r="H45" s="34" t="s">
        <v>140</v>
      </c>
      <c r="I45" s="8"/>
      <c r="J45" s="8"/>
      <c r="K45" s="7"/>
      <c r="L45" s="28"/>
      <c r="M45" s="32" t="s">
        <v>63</v>
      </c>
      <c r="N45" s="123">
        <f>8+3</f>
        <v>11</v>
      </c>
      <c r="O45" s="123">
        <f>8+3</f>
        <v>11</v>
      </c>
      <c r="P45" s="33"/>
      <c r="Q45" s="7"/>
      <c r="R45" s="6"/>
      <c r="S45" s="34" t="s">
        <v>140</v>
      </c>
      <c r="T45" s="8"/>
      <c r="U45" s="8"/>
      <c r="V45" s="7"/>
      <c r="W45" s="28"/>
      <c r="X45" s="138" t="s">
        <v>56</v>
      </c>
      <c r="Y45" s="138">
        <f>8+2</f>
        <v>10</v>
      </c>
      <c r="Z45" s="141">
        <v>5</v>
      </c>
      <c r="AA45" s="138"/>
      <c r="AB45" s="141"/>
      <c r="AC45" s="28"/>
      <c r="AD45" s="43">
        <v>1</v>
      </c>
      <c r="AE45" s="28" t="s">
        <v>967</v>
      </c>
      <c r="AF45" s="28"/>
      <c r="AG45" s="141"/>
      <c r="AL45" s="138" t="s">
        <v>138</v>
      </c>
      <c r="AM45" s="138">
        <v>0</v>
      </c>
      <c r="AN45" s="141">
        <v>0</v>
      </c>
      <c r="AO45" s="138"/>
      <c r="AP45" s="141"/>
      <c r="AQ45" s="28"/>
      <c r="AR45" s="43"/>
      <c r="AS45" s="28" t="s">
        <v>221</v>
      </c>
      <c r="AT45" s="28"/>
      <c r="AU45" s="141"/>
      <c r="BD45" s="43"/>
      <c r="BE45" s="43"/>
      <c r="BF45" s="43"/>
      <c r="BG45" s="28"/>
      <c r="BH45" s="28"/>
      <c r="BI45" s="28"/>
    </row>
    <row r="46" spans="1:61" x14ac:dyDescent="0.3">
      <c r="B46" s="44" t="s">
        <v>78</v>
      </c>
      <c r="C46" s="37">
        <f>24+5+5</f>
        <v>34</v>
      </c>
      <c r="D46" s="37">
        <f>31+2+9</f>
        <v>42</v>
      </c>
      <c r="E46" s="42"/>
      <c r="F46" s="11"/>
      <c r="G46" s="10"/>
      <c r="H46" s="37">
        <v>2</v>
      </c>
      <c r="I46" s="37" t="s">
        <v>204</v>
      </c>
      <c r="J46" s="18"/>
      <c r="K46" s="11"/>
      <c r="L46" s="28"/>
      <c r="M46" s="44" t="s">
        <v>78</v>
      </c>
      <c r="N46" s="37">
        <f>2+16+4</f>
        <v>22</v>
      </c>
      <c r="O46" s="37">
        <f>29+18+4</f>
        <v>51</v>
      </c>
      <c r="P46" s="42"/>
      <c r="Q46" s="11"/>
      <c r="R46" s="10"/>
      <c r="S46" s="37">
        <v>3</v>
      </c>
      <c r="T46" s="37" t="s">
        <v>204</v>
      </c>
      <c r="U46" s="18"/>
      <c r="V46" s="11"/>
      <c r="W46" s="28"/>
      <c r="X46" s="138" t="s">
        <v>138</v>
      </c>
      <c r="Y46" s="138">
        <v>0</v>
      </c>
      <c r="Z46" s="141">
        <v>0</v>
      </c>
      <c r="AA46" s="138"/>
      <c r="AB46" s="141"/>
      <c r="AC46" s="28"/>
      <c r="AD46" s="43">
        <v>2</v>
      </c>
      <c r="AE46" s="28" t="s">
        <v>221</v>
      </c>
      <c r="AF46" s="28"/>
      <c r="AG46" s="141"/>
      <c r="AL46" s="138" t="s">
        <v>67</v>
      </c>
      <c r="AM46" s="138">
        <f>1+1+51</f>
        <v>53</v>
      </c>
      <c r="AN46" s="141">
        <f>1+33+3</f>
        <v>37</v>
      </c>
      <c r="AO46" s="138"/>
      <c r="AP46" s="141"/>
      <c r="AQ46" s="28"/>
      <c r="AR46" s="43">
        <v>4</v>
      </c>
      <c r="AS46" s="28" t="s">
        <v>653</v>
      </c>
      <c r="AT46" s="28"/>
      <c r="AU46" s="141"/>
      <c r="BD46" s="28"/>
      <c r="BE46" s="28"/>
      <c r="BF46" s="28"/>
      <c r="BG46" s="28"/>
      <c r="BH46" s="28"/>
      <c r="BI46" s="28"/>
    </row>
    <row r="47" spans="1:61" x14ac:dyDescent="0.3">
      <c r="B47" s="125" t="s">
        <v>209</v>
      </c>
      <c r="C47" s="54">
        <v>0</v>
      </c>
      <c r="D47" s="54">
        <v>0</v>
      </c>
      <c r="E47" s="42"/>
      <c r="F47" s="40"/>
      <c r="G47" s="42"/>
      <c r="H47" s="28">
        <f>3+1</f>
        <v>4</v>
      </c>
      <c r="I47" s="28" t="s">
        <v>210</v>
      </c>
      <c r="J47" s="28"/>
      <c r="K47" s="40"/>
      <c r="L47" s="28"/>
      <c r="M47" s="125" t="s">
        <v>209</v>
      </c>
      <c r="N47" s="54">
        <v>0</v>
      </c>
      <c r="O47" s="54">
        <v>0</v>
      </c>
      <c r="P47" s="42"/>
      <c r="Q47" s="40"/>
      <c r="R47" s="42"/>
      <c r="S47" s="28">
        <v>2</v>
      </c>
      <c r="T47" s="28" t="s">
        <v>210</v>
      </c>
      <c r="U47" s="28" t="s">
        <v>6</v>
      </c>
      <c r="V47" s="40"/>
      <c r="W47" s="28"/>
      <c r="X47" s="138" t="s">
        <v>67</v>
      </c>
      <c r="Y47" s="138">
        <f>4+20+1</f>
        <v>25</v>
      </c>
      <c r="Z47" s="141">
        <f>4+25+1</f>
        <v>30</v>
      </c>
      <c r="AA47" s="138"/>
      <c r="AB47" s="141"/>
      <c r="AC47" s="28"/>
      <c r="AD47" s="43">
        <v>0</v>
      </c>
      <c r="AE47" s="28" t="s">
        <v>653</v>
      </c>
      <c r="AF47" s="28"/>
      <c r="AG47" s="141"/>
      <c r="AL47" s="138" t="s">
        <v>122</v>
      </c>
      <c r="AM47" s="138">
        <v>5</v>
      </c>
      <c r="AN47" s="141">
        <v>10</v>
      </c>
      <c r="AO47" s="138"/>
      <c r="AP47" s="141"/>
      <c r="AQ47" s="28"/>
      <c r="AR47" s="28">
        <v>2</v>
      </c>
      <c r="AS47" s="28" t="s">
        <v>618</v>
      </c>
      <c r="AT47" s="28"/>
      <c r="AU47" s="141"/>
      <c r="BD47" s="28"/>
      <c r="BE47" s="28"/>
      <c r="BF47" s="28"/>
      <c r="BG47" s="28"/>
      <c r="BH47" s="28"/>
      <c r="BI47" s="28"/>
    </row>
    <row r="48" spans="1:61" x14ac:dyDescent="0.3">
      <c r="B48" s="44" t="s">
        <v>168</v>
      </c>
      <c r="C48" s="37">
        <v>1</v>
      </c>
      <c r="D48" s="18">
        <v>1</v>
      </c>
      <c r="E48" s="42"/>
      <c r="F48" s="11"/>
      <c r="G48" s="10"/>
      <c r="H48" s="37">
        <f>12+13+7</f>
        <v>32</v>
      </c>
      <c r="I48" s="37" t="s">
        <v>213</v>
      </c>
      <c r="J48" s="18"/>
      <c r="K48" s="11"/>
      <c r="M48" s="44" t="s">
        <v>168</v>
      </c>
      <c r="N48" s="54">
        <v>1</v>
      </c>
      <c r="O48" s="54">
        <v>0</v>
      </c>
      <c r="P48" s="42"/>
      <c r="Q48" s="11"/>
      <c r="R48" s="10"/>
      <c r="S48" s="37">
        <f>4+5+8+2+3</f>
        <v>22</v>
      </c>
      <c r="T48" s="37" t="s">
        <v>213</v>
      </c>
      <c r="U48" s="18" t="s">
        <v>6</v>
      </c>
      <c r="V48" s="11"/>
      <c r="X48" s="138" t="s">
        <v>122</v>
      </c>
      <c r="Y48" s="138">
        <v>2</v>
      </c>
      <c r="Z48" s="141">
        <v>5</v>
      </c>
      <c r="AA48" s="138"/>
      <c r="AB48" s="141"/>
      <c r="AC48" s="28"/>
      <c r="AD48" s="28">
        <v>3</v>
      </c>
      <c r="AE48" s="28" t="s">
        <v>618</v>
      </c>
      <c r="AF48" s="28"/>
      <c r="AG48" s="141"/>
      <c r="AL48" s="138" t="s">
        <v>227</v>
      </c>
      <c r="AM48" s="138">
        <v>0</v>
      </c>
      <c r="AN48" s="141">
        <v>0</v>
      </c>
      <c r="AO48" s="138"/>
      <c r="AP48" s="141"/>
      <c r="AQ48" s="28"/>
      <c r="AR48" s="43">
        <v>2</v>
      </c>
      <c r="AS48" s="28" t="s">
        <v>1531</v>
      </c>
      <c r="AT48" s="28"/>
      <c r="AU48" s="141"/>
      <c r="BD48" s="28"/>
      <c r="BE48" s="28"/>
      <c r="BF48" s="28"/>
      <c r="BG48" s="28"/>
      <c r="BH48" s="28"/>
      <c r="BI48" s="28"/>
    </row>
    <row r="49" spans="2:60" x14ac:dyDescent="0.3">
      <c r="B49" s="125" t="s">
        <v>81</v>
      </c>
      <c r="C49" s="54">
        <v>16</v>
      </c>
      <c r="D49" s="45">
        <v>4</v>
      </c>
      <c r="E49" s="42"/>
      <c r="F49" s="40"/>
      <c r="G49" s="42"/>
      <c r="H49" s="54">
        <v>1</v>
      </c>
      <c r="I49" s="128" t="s">
        <v>215</v>
      </c>
      <c r="J49" s="28"/>
      <c r="K49" s="40" t="s">
        <v>6</v>
      </c>
      <c r="M49" s="125" t="s">
        <v>81</v>
      </c>
      <c r="N49" s="54">
        <v>5</v>
      </c>
      <c r="O49" s="54">
        <v>0</v>
      </c>
      <c r="P49" s="42"/>
      <c r="Q49" s="40"/>
      <c r="R49" s="42"/>
      <c r="S49" s="54">
        <v>21</v>
      </c>
      <c r="T49" s="128" t="s">
        <v>222</v>
      </c>
      <c r="U49" s="28" t="s">
        <v>520</v>
      </c>
      <c r="V49" s="40" t="s">
        <v>6</v>
      </c>
      <c r="X49" s="138" t="s">
        <v>227</v>
      </c>
      <c r="Y49" s="138">
        <v>0</v>
      </c>
      <c r="Z49" s="141">
        <v>0</v>
      </c>
      <c r="AA49" s="138"/>
      <c r="AB49" s="141"/>
      <c r="AC49" s="28"/>
      <c r="AD49" s="28">
        <v>1</v>
      </c>
      <c r="AE49" s="28" t="s">
        <v>352</v>
      </c>
      <c r="AF49" s="28"/>
      <c r="AG49" s="141"/>
      <c r="AL49" s="138" t="s">
        <v>230</v>
      </c>
      <c r="AM49" s="138">
        <f>3+1</f>
        <v>4</v>
      </c>
      <c r="AN49" s="141">
        <f>3+1</f>
        <v>4</v>
      </c>
      <c r="AO49" s="138"/>
      <c r="AP49" s="141"/>
      <c r="AQ49" s="28"/>
      <c r="AR49" s="28">
        <v>7</v>
      </c>
      <c r="AS49" s="28" t="s">
        <v>655</v>
      </c>
      <c r="AT49" s="28"/>
      <c r="AU49" s="141"/>
    </row>
    <row r="50" spans="2:60" x14ac:dyDescent="0.3">
      <c r="B50" s="125" t="s">
        <v>72</v>
      </c>
      <c r="C50" s="54">
        <f>9+16+1+5</f>
        <v>31</v>
      </c>
      <c r="D50" s="45">
        <f>18+11+4+9</f>
        <v>42</v>
      </c>
      <c r="E50" s="42"/>
      <c r="F50" s="40"/>
      <c r="G50" s="42"/>
      <c r="H50" s="54">
        <v>15</v>
      </c>
      <c r="I50" s="54" t="s">
        <v>216</v>
      </c>
      <c r="J50" s="45"/>
      <c r="K50" s="40"/>
      <c r="M50" s="125" t="s">
        <v>72</v>
      </c>
      <c r="N50" s="54">
        <f>6+3+4+2+2+3</f>
        <v>20</v>
      </c>
      <c r="O50" s="45">
        <f>17+3+3+12+3+2+3</f>
        <v>43</v>
      </c>
      <c r="P50" s="42"/>
      <c r="Q50" s="40"/>
      <c r="R50" s="42"/>
      <c r="S50" s="54">
        <v>14</v>
      </c>
      <c r="T50" s="54" t="s">
        <v>216</v>
      </c>
      <c r="U50" s="45" t="s">
        <v>680</v>
      </c>
      <c r="V50" s="40"/>
      <c r="X50" s="138" t="s">
        <v>230</v>
      </c>
      <c r="Y50" s="138">
        <f>1+6+16+1</f>
        <v>24</v>
      </c>
      <c r="Z50" s="141">
        <f>4+3+21+6</f>
        <v>34</v>
      </c>
      <c r="AA50" s="138"/>
      <c r="AB50" s="141"/>
      <c r="AC50" s="28"/>
      <c r="AD50" s="28">
        <v>13</v>
      </c>
      <c r="AE50" s="28" t="s">
        <v>655</v>
      </c>
      <c r="AF50" s="28"/>
      <c r="AG50" s="141"/>
      <c r="AL50" s="138" t="s">
        <v>125</v>
      </c>
      <c r="AM50" s="138">
        <v>0</v>
      </c>
      <c r="AN50" s="141">
        <v>0</v>
      </c>
      <c r="AO50" s="138"/>
      <c r="AP50" s="141"/>
      <c r="AQ50" s="28"/>
      <c r="AR50" s="43">
        <v>2</v>
      </c>
      <c r="AS50" s="28" t="s">
        <v>1067</v>
      </c>
      <c r="AT50" s="28"/>
      <c r="AU50" s="141"/>
    </row>
    <row r="51" spans="2:60" x14ac:dyDescent="0.3">
      <c r="B51" s="125" t="s">
        <v>115</v>
      </c>
      <c r="C51" s="54">
        <v>3</v>
      </c>
      <c r="D51" s="45">
        <f>2+4</f>
        <v>6</v>
      </c>
      <c r="E51" s="42"/>
      <c r="F51" s="40"/>
      <c r="G51" s="42"/>
      <c r="H51" s="54">
        <v>12</v>
      </c>
      <c r="I51" s="54" t="s">
        <v>217</v>
      </c>
      <c r="J51" s="28"/>
      <c r="K51" s="40"/>
      <c r="M51" s="125" t="s">
        <v>115</v>
      </c>
      <c r="N51" s="54">
        <v>3</v>
      </c>
      <c r="O51" s="45">
        <f>8+2</f>
        <v>10</v>
      </c>
      <c r="P51" s="42"/>
      <c r="Q51" s="40"/>
      <c r="R51" s="42"/>
      <c r="S51" s="54">
        <v>6</v>
      </c>
      <c r="T51" s="54" t="s">
        <v>217</v>
      </c>
      <c r="U51" s="28"/>
      <c r="V51" s="40"/>
      <c r="X51" s="138" t="s">
        <v>125</v>
      </c>
      <c r="Y51" s="138">
        <v>0</v>
      </c>
      <c r="Z51" s="141">
        <v>0</v>
      </c>
      <c r="AA51" s="138"/>
      <c r="AB51" s="141"/>
      <c r="AC51" s="28"/>
      <c r="AD51" s="43">
        <v>10</v>
      </c>
      <c r="AE51" s="28" t="s">
        <v>217</v>
      </c>
      <c r="AF51" s="28"/>
      <c r="AG51" s="141"/>
      <c r="AL51" s="138" t="s">
        <v>132</v>
      </c>
      <c r="AM51" s="138">
        <v>2</v>
      </c>
      <c r="AN51" s="141">
        <v>2</v>
      </c>
      <c r="AO51" s="138"/>
      <c r="AP51" s="141"/>
      <c r="AQ51" s="28"/>
      <c r="AR51" s="43">
        <v>5</v>
      </c>
      <c r="AS51" s="28" t="s">
        <v>682</v>
      </c>
      <c r="AT51" s="28"/>
      <c r="AU51" s="141"/>
    </row>
    <row r="52" spans="2:60" x14ac:dyDescent="0.3">
      <c r="B52" s="125" t="s">
        <v>56</v>
      </c>
      <c r="C52" s="54">
        <f>6+3+1+13+1</f>
        <v>24</v>
      </c>
      <c r="D52" s="45">
        <f>11+3+3+2</f>
        <v>19</v>
      </c>
      <c r="E52" s="42"/>
      <c r="F52" s="40"/>
      <c r="G52" s="42"/>
      <c r="H52" s="54">
        <v>12</v>
      </c>
      <c r="I52" s="54" t="s">
        <v>219</v>
      </c>
      <c r="J52" s="28"/>
      <c r="K52" s="40"/>
      <c r="M52" s="125" t="s">
        <v>56</v>
      </c>
      <c r="N52" s="54">
        <v>1</v>
      </c>
      <c r="O52" s="45">
        <f>3+2</f>
        <v>5</v>
      </c>
      <c r="P52" s="42"/>
      <c r="Q52" s="40"/>
      <c r="R52" s="42"/>
      <c r="S52" s="54">
        <v>1</v>
      </c>
      <c r="T52" s="54" t="s">
        <v>681</v>
      </c>
      <c r="U52" s="28"/>
      <c r="V52" s="40"/>
      <c r="X52" s="138" t="s">
        <v>132</v>
      </c>
      <c r="Y52" s="138">
        <v>3</v>
      </c>
      <c r="Z52" s="141">
        <v>4</v>
      </c>
      <c r="AA52" s="138"/>
      <c r="AB52" s="141"/>
      <c r="AC52" s="28"/>
      <c r="AD52" s="43">
        <v>2</v>
      </c>
      <c r="AE52" s="28" t="s">
        <v>682</v>
      </c>
      <c r="AF52" s="28"/>
      <c r="AG52" s="141"/>
      <c r="AL52" s="138" t="s">
        <v>536</v>
      </c>
      <c r="AM52" s="138">
        <v>0</v>
      </c>
      <c r="AN52" s="141">
        <v>0</v>
      </c>
      <c r="AO52" s="138"/>
      <c r="AP52" s="141"/>
      <c r="AQ52" s="28"/>
      <c r="AR52" s="43">
        <f>23+9+18+20</f>
        <v>70</v>
      </c>
      <c r="AS52" s="28" t="s">
        <v>555</v>
      </c>
      <c r="AT52" s="28"/>
      <c r="AU52" s="141"/>
    </row>
    <row r="53" spans="2:60" ht="15" thickBot="1" x14ac:dyDescent="0.35">
      <c r="B53" s="125" t="s">
        <v>138</v>
      </c>
      <c r="C53" s="54">
        <v>0</v>
      </c>
      <c r="D53" s="45">
        <v>0</v>
      </c>
      <c r="E53" s="42"/>
      <c r="F53" s="40"/>
      <c r="G53" s="42"/>
      <c r="H53" s="54">
        <v>3</v>
      </c>
      <c r="I53" s="54" t="s">
        <v>221</v>
      </c>
      <c r="J53" s="28"/>
      <c r="K53" s="40"/>
      <c r="M53" s="125" t="s">
        <v>138</v>
      </c>
      <c r="N53" s="54">
        <v>0</v>
      </c>
      <c r="O53" s="45">
        <v>0</v>
      </c>
      <c r="P53" s="42"/>
      <c r="Q53" s="40"/>
      <c r="R53" s="42"/>
      <c r="S53" s="54">
        <v>10</v>
      </c>
      <c r="T53" s="54" t="s">
        <v>221</v>
      </c>
      <c r="U53" s="28"/>
      <c r="V53" s="40"/>
      <c r="X53" s="138" t="s">
        <v>536</v>
      </c>
      <c r="Y53" s="138">
        <v>0</v>
      </c>
      <c r="Z53" s="141">
        <v>2</v>
      </c>
      <c r="AA53" s="138"/>
      <c r="AB53" s="141"/>
      <c r="AC53" s="28"/>
      <c r="AD53" s="43">
        <v>45</v>
      </c>
      <c r="AE53" s="28" t="s">
        <v>555</v>
      </c>
      <c r="AF53" s="28"/>
      <c r="AG53" s="141"/>
      <c r="AL53" s="138" t="s">
        <v>84</v>
      </c>
      <c r="AM53" s="138">
        <f>SUM(AM37:AM52)</f>
        <v>201</v>
      </c>
      <c r="AN53" s="141">
        <f>SUM(AN37:AN52)</f>
        <v>141</v>
      </c>
      <c r="AO53" s="138"/>
      <c r="AP53" s="141"/>
      <c r="AQ53" s="28"/>
      <c r="AR53" s="28">
        <v>1</v>
      </c>
      <c r="AS53" s="28" t="s">
        <v>244</v>
      </c>
      <c r="AT53" s="28"/>
      <c r="AU53" s="141">
        <f>SUM(AR38:AR53)</f>
        <v>122</v>
      </c>
    </row>
    <row r="54" spans="2:60" ht="15" thickBot="1" x14ac:dyDescent="0.35">
      <c r="B54" s="125" t="s">
        <v>67</v>
      </c>
      <c r="C54" s="28">
        <f>9+2+2+1</f>
        <v>14</v>
      </c>
      <c r="D54" s="45">
        <f>1+2+1</f>
        <v>4</v>
      </c>
      <c r="E54" s="42"/>
      <c r="F54" s="40"/>
      <c r="G54" s="42"/>
      <c r="H54" s="54">
        <v>28</v>
      </c>
      <c r="I54" s="54" t="s">
        <v>222</v>
      </c>
      <c r="J54" s="28"/>
      <c r="K54" s="40"/>
      <c r="M54" s="125" t="s">
        <v>67</v>
      </c>
      <c r="N54" s="54">
        <f>2+2+10+2</f>
        <v>16</v>
      </c>
      <c r="O54" s="45">
        <f>3+2+11+2</f>
        <v>18</v>
      </c>
      <c r="P54" s="42"/>
      <c r="Q54" s="40"/>
      <c r="R54" s="42"/>
      <c r="S54" s="54">
        <v>1</v>
      </c>
      <c r="T54" s="54" t="s">
        <v>653</v>
      </c>
      <c r="U54" s="28"/>
      <c r="V54" s="40"/>
      <c r="X54" s="138" t="s">
        <v>84</v>
      </c>
      <c r="Y54" s="138">
        <v>116</v>
      </c>
      <c r="Z54" s="141">
        <v>187</v>
      </c>
      <c r="AA54" s="138"/>
      <c r="AB54" s="141"/>
      <c r="AC54" s="28"/>
      <c r="AD54" s="28"/>
      <c r="AE54" s="28" t="s">
        <v>6</v>
      </c>
      <c r="AF54" s="28"/>
      <c r="AG54" s="141">
        <f>SUM(AD39:AD54)</f>
        <v>171</v>
      </c>
      <c r="AL54" s="171" t="s">
        <v>84</v>
      </c>
      <c r="AM54" s="207">
        <f>SUM(AM53+AM35+AM26+AM11)</f>
        <v>2040</v>
      </c>
      <c r="AN54" s="207">
        <f>SUM(AN53+AN35+AN26+AN11)</f>
        <v>2028</v>
      </c>
      <c r="AO54" s="207"/>
      <c r="AP54" s="208"/>
      <c r="AQ54" s="170"/>
      <c r="AR54" s="170"/>
      <c r="AS54" s="170"/>
      <c r="AT54" s="170"/>
      <c r="AU54" s="172">
        <f>SUM(AU11:AU53)</f>
        <v>356</v>
      </c>
      <c r="BB54" t="s">
        <v>4</v>
      </c>
    </row>
    <row r="55" spans="2:60" ht="15" thickBot="1" x14ac:dyDescent="0.35">
      <c r="B55" s="125" t="s">
        <v>122</v>
      </c>
      <c r="C55" s="43">
        <f>11+3</f>
        <v>14</v>
      </c>
      <c r="D55" s="45">
        <v>0</v>
      </c>
      <c r="E55" s="42"/>
      <c r="F55" s="40"/>
      <c r="G55" s="42"/>
      <c r="H55" s="54">
        <v>1</v>
      </c>
      <c r="I55" s="54" t="s">
        <v>224</v>
      </c>
      <c r="J55" s="28"/>
      <c r="K55" s="40"/>
      <c r="M55" s="125" t="s">
        <v>122</v>
      </c>
      <c r="N55" s="54">
        <v>2</v>
      </c>
      <c r="O55" s="45">
        <v>2</v>
      </c>
      <c r="P55" s="42"/>
      <c r="Q55" s="40"/>
      <c r="R55" s="42"/>
      <c r="S55" s="54">
        <v>3</v>
      </c>
      <c r="T55" s="54" t="s">
        <v>618</v>
      </c>
      <c r="U55" s="28"/>
      <c r="V55" s="40"/>
      <c r="X55" s="171" t="s">
        <v>84</v>
      </c>
      <c r="Y55" s="207">
        <v>2134</v>
      </c>
      <c r="Z55" s="208">
        <v>2199</v>
      </c>
      <c r="AA55" s="207"/>
      <c r="AB55" s="208"/>
      <c r="AC55" s="170"/>
      <c r="AD55" s="170"/>
      <c r="AE55" s="170"/>
      <c r="AF55" s="170"/>
      <c r="AG55" s="172">
        <f>SUM(AG12:AG54)</f>
        <v>381</v>
      </c>
      <c r="BC55" t="s">
        <v>2</v>
      </c>
    </row>
    <row r="56" spans="2:60" x14ac:dyDescent="0.3">
      <c r="B56" s="125" t="s">
        <v>227</v>
      </c>
      <c r="C56" s="43">
        <v>0</v>
      </c>
      <c r="D56" s="45">
        <v>0</v>
      </c>
      <c r="E56" s="42"/>
      <c r="F56" s="40"/>
      <c r="G56" s="42"/>
      <c r="H56" s="54">
        <v>0</v>
      </c>
      <c r="I56" s="54" t="s">
        <v>228</v>
      </c>
      <c r="J56" s="28"/>
      <c r="K56" s="40"/>
      <c r="M56" s="125" t="s">
        <v>227</v>
      </c>
      <c r="N56" s="54">
        <v>0</v>
      </c>
      <c r="O56" s="45">
        <v>0</v>
      </c>
      <c r="P56" s="42"/>
      <c r="Q56" s="40"/>
      <c r="R56" s="42"/>
      <c r="S56" s="54">
        <v>3</v>
      </c>
      <c r="T56" s="54" t="s">
        <v>352</v>
      </c>
      <c r="U56" s="28"/>
      <c r="V56" s="40"/>
      <c r="BA56" t="s">
        <v>12</v>
      </c>
    </row>
    <row r="57" spans="2:60" ht="15" thickBot="1" x14ac:dyDescent="0.35">
      <c r="B57" s="41" t="s">
        <v>230</v>
      </c>
      <c r="C57" s="43">
        <f>1+1+5</f>
        <v>7</v>
      </c>
      <c r="D57" s="45">
        <f>3+1+3+9</f>
        <v>16</v>
      </c>
      <c r="E57" s="42"/>
      <c r="F57" s="40"/>
      <c r="G57" s="42"/>
      <c r="H57" s="54">
        <v>0</v>
      </c>
      <c r="I57" s="54" t="s">
        <v>231</v>
      </c>
      <c r="J57" s="28"/>
      <c r="K57" s="40"/>
      <c r="M57" s="41" t="s">
        <v>230</v>
      </c>
      <c r="N57" s="54">
        <f>2+9+4+12</f>
        <v>27</v>
      </c>
      <c r="O57" s="45">
        <f>5+12+4+8</f>
        <v>29</v>
      </c>
      <c r="P57" s="42"/>
      <c r="Q57" s="40"/>
      <c r="R57" s="42"/>
      <c r="S57" s="54">
        <v>3</v>
      </c>
      <c r="T57" s="54" t="s">
        <v>655</v>
      </c>
      <c r="U57" s="28"/>
      <c r="V57" s="40"/>
      <c r="AW57" t="s">
        <v>6</v>
      </c>
      <c r="BB57" s="408" t="s">
        <v>1341</v>
      </c>
      <c r="BC57" s="408"/>
      <c r="BD57" s="408"/>
    </row>
    <row r="58" spans="2:60" ht="15" thickBot="1" x14ac:dyDescent="0.35">
      <c r="B58" s="68" t="s">
        <v>125</v>
      </c>
      <c r="C58" s="43">
        <v>0</v>
      </c>
      <c r="D58" s="45">
        <v>0</v>
      </c>
      <c r="E58" s="42"/>
      <c r="F58" s="40"/>
      <c r="G58" s="42"/>
      <c r="H58" s="54">
        <v>2</v>
      </c>
      <c r="I58" s="54" t="s">
        <v>235</v>
      </c>
      <c r="J58" s="28"/>
      <c r="K58" s="40"/>
      <c r="M58" s="68" t="s">
        <v>125</v>
      </c>
      <c r="N58" s="54">
        <v>0</v>
      </c>
      <c r="O58" s="45">
        <v>0</v>
      </c>
      <c r="P58" s="42"/>
      <c r="Q58" s="40"/>
      <c r="R58" s="42"/>
      <c r="S58" s="54">
        <v>1</v>
      </c>
      <c r="T58" s="54" t="s">
        <v>351</v>
      </c>
      <c r="U58" s="28"/>
      <c r="V58" s="40"/>
      <c r="AL58" s="317" t="s">
        <v>1532</v>
      </c>
      <c r="AM58" s="210">
        <v>2134</v>
      </c>
      <c r="AN58" s="318">
        <v>2199</v>
      </c>
      <c r="AO58" s="170"/>
      <c r="AP58" s="170"/>
      <c r="AQ58" s="170"/>
      <c r="AR58" s="170"/>
      <c r="AS58" s="170"/>
      <c r="AT58" s="170"/>
      <c r="AU58" s="172"/>
      <c r="BG58" s="194" t="s">
        <v>951</v>
      </c>
    </row>
    <row r="59" spans="2:60" x14ac:dyDescent="0.3">
      <c r="B59" s="68" t="s">
        <v>132</v>
      </c>
      <c r="C59" s="43">
        <v>2</v>
      </c>
      <c r="D59" s="45">
        <v>0</v>
      </c>
      <c r="E59" s="42"/>
      <c r="F59" s="40"/>
      <c r="G59" s="42"/>
      <c r="H59" s="54">
        <v>4</v>
      </c>
      <c r="I59" s="54" t="s">
        <v>237</v>
      </c>
      <c r="J59" s="28"/>
      <c r="K59" s="40"/>
      <c r="M59" s="68" t="s">
        <v>132</v>
      </c>
      <c r="N59" s="54">
        <v>8</v>
      </c>
      <c r="O59" s="45">
        <v>18</v>
      </c>
      <c r="P59" s="42"/>
      <c r="Q59" s="40"/>
      <c r="R59" s="42"/>
      <c r="S59" s="54">
        <v>2</v>
      </c>
      <c r="T59" s="54" t="s">
        <v>682</v>
      </c>
      <c r="U59" s="28"/>
      <c r="V59" s="40"/>
      <c r="AY59" s="134" t="s">
        <v>17</v>
      </c>
      <c r="AZ59" s="134" t="s">
        <v>39</v>
      </c>
      <c r="BA59" s="136"/>
      <c r="BB59" s="134" t="s">
        <v>29</v>
      </c>
      <c r="BC59" s="136" t="s">
        <v>30</v>
      </c>
      <c r="BD59" s="135" t="s">
        <v>40</v>
      </c>
      <c r="BE59" s="135"/>
      <c r="BF59" s="135"/>
      <c r="BG59" s="135"/>
      <c r="BH59" s="136"/>
    </row>
    <row r="60" spans="2:60" x14ac:dyDescent="0.3">
      <c r="B60" s="41" t="s">
        <v>6</v>
      </c>
      <c r="E60" s="42"/>
      <c r="F60" s="40"/>
      <c r="G60" s="42"/>
      <c r="H60" s="54">
        <v>4</v>
      </c>
      <c r="I60" s="54" t="s">
        <v>244</v>
      </c>
      <c r="J60" s="28"/>
      <c r="K60" s="40"/>
      <c r="M60" s="41" t="s">
        <v>6</v>
      </c>
      <c r="P60" s="42"/>
      <c r="Q60" s="40"/>
      <c r="R60" s="42"/>
      <c r="S60" s="54">
        <v>9</v>
      </c>
      <c r="T60" s="54" t="s">
        <v>555</v>
      </c>
      <c r="U60" s="28"/>
      <c r="V60" s="40"/>
      <c r="AY60" s="138" t="s">
        <v>42</v>
      </c>
      <c r="AZ60" s="138" t="s">
        <v>43</v>
      </c>
      <c r="BA60" s="141" t="s">
        <v>44</v>
      </c>
      <c r="BB60" s="138" t="s">
        <v>43</v>
      </c>
      <c r="BC60" s="141" t="s">
        <v>44</v>
      </c>
      <c r="BD60" s="28"/>
      <c r="BE60" s="28"/>
      <c r="BF60" s="28"/>
      <c r="BG60" s="28"/>
      <c r="BH60" s="141"/>
    </row>
    <row r="61" spans="2:60" ht="15" thickBot="1" x14ac:dyDescent="0.35">
      <c r="B61" s="46" t="s">
        <v>84</v>
      </c>
      <c r="C61" s="48">
        <f>SUM(C45:C60)</f>
        <v>151</v>
      </c>
      <c r="D61" s="48">
        <f>SUM(D45:D60)</f>
        <v>138</v>
      </c>
      <c r="E61" s="47"/>
      <c r="F61" s="49"/>
      <c r="G61" s="47"/>
      <c r="H61" s="48">
        <v>7</v>
      </c>
      <c r="I61" s="48" t="s">
        <v>246</v>
      </c>
      <c r="J61" s="48"/>
      <c r="K61" s="49">
        <f>SUM(H47:H59)</f>
        <v>114</v>
      </c>
      <c r="M61" s="46" t="s">
        <v>84</v>
      </c>
      <c r="N61" s="48">
        <f>SUM(N45:N60)</f>
        <v>116</v>
      </c>
      <c r="O61" s="48">
        <f>SUM(O45:O60)</f>
        <v>187</v>
      </c>
      <c r="P61" s="47"/>
      <c r="Q61" s="49"/>
      <c r="R61" s="47"/>
      <c r="S61" s="48">
        <v>2</v>
      </c>
      <c r="T61" s="48" t="s">
        <v>244</v>
      </c>
      <c r="U61" s="48"/>
      <c r="V61" s="49">
        <f>SUM(S46:S61)+2</f>
        <v>105</v>
      </c>
      <c r="AY61" s="134"/>
      <c r="AZ61" s="134"/>
      <c r="BA61" s="136"/>
      <c r="BB61" s="134"/>
      <c r="BC61" s="136"/>
      <c r="BD61" s="135"/>
      <c r="BE61" s="135" t="s">
        <v>91</v>
      </c>
      <c r="BF61" s="135"/>
      <c r="BG61" s="135"/>
      <c r="BH61" s="136"/>
    </row>
    <row r="62" spans="2:60" ht="15" thickBot="1" x14ac:dyDescent="0.35">
      <c r="B62" s="147" t="s">
        <v>84</v>
      </c>
      <c r="C62" s="147">
        <f>SUM(+C61+C44+C34+C19+C16)</f>
        <v>3037</v>
      </c>
      <c r="D62" s="148">
        <f>SUM(D61+D44+D34+D19+D16)</f>
        <v>2890</v>
      </c>
      <c r="E62" s="147"/>
      <c r="F62" s="148"/>
      <c r="G62" s="149" t="s">
        <v>247</v>
      </c>
      <c r="H62" s="149"/>
      <c r="I62" s="149"/>
      <c r="J62" s="149"/>
      <c r="K62" s="148">
        <f>SUM(K16:K61)</f>
        <v>441</v>
      </c>
      <c r="M62" s="169" t="s">
        <v>84</v>
      </c>
      <c r="N62" s="170">
        <f>SUM(N61+N44+N34+N19+N17)</f>
        <v>2134</v>
      </c>
      <c r="O62" s="170">
        <f>SUM(O61+O44+O34+O19+O17)</f>
        <v>2199</v>
      </c>
      <c r="P62" s="171"/>
      <c r="Q62" s="172"/>
      <c r="R62" s="170"/>
      <c r="S62" s="170"/>
      <c r="T62" s="170"/>
      <c r="U62" s="170"/>
      <c r="V62" s="172">
        <f>SUM(V61+V44+V34+V20+V17)</f>
        <v>378</v>
      </c>
      <c r="AY62" s="138" t="s">
        <v>56</v>
      </c>
      <c r="AZ62" s="138">
        <v>1183</v>
      </c>
      <c r="BA62" s="141">
        <v>1263</v>
      </c>
      <c r="BB62" s="138">
        <v>0</v>
      </c>
      <c r="BC62" s="141">
        <v>0</v>
      </c>
      <c r="BD62" s="28"/>
      <c r="BE62" s="43">
        <v>59</v>
      </c>
      <c r="BF62" s="28" t="s">
        <v>1026</v>
      </c>
      <c r="BG62" s="28"/>
      <c r="BH62" s="141"/>
    </row>
    <row r="63" spans="2:60" ht="15" thickTop="1" x14ac:dyDescent="0.3">
      <c r="AY63" s="138"/>
      <c r="AZ63" s="138"/>
      <c r="BA63" s="141"/>
      <c r="BB63" s="138"/>
      <c r="BC63" s="141"/>
      <c r="BD63" s="28"/>
      <c r="BE63" s="43">
        <v>19</v>
      </c>
      <c r="BF63" s="28" t="s">
        <v>1292</v>
      </c>
      <c r="BG63" s="43"/>
      <c r="BH63" s="141"/>
    </row>
    <row r="64" spans="2:60" x14ac:dyDescent="0.3">
      <c r="AY64" s="142" t="s">
        <v>6</v>
      </c>
      <c r="AZ64" s="142"/>
      <c r="BA64" s="146"/>
      <c r="BB64" s="142"/>
      <c r="BC64" s="146"/>
      <c r="BD64" s="143"/>
      <c r="BE64" s="143"/>
      <c r="BF64" s="143"/>
      <c r="BG64" s="143"/>
      <c r="BH64" s="146">
        <v>78</v>
      </c>
    </row>
    <row r="65" spans="2:60" x14ac:dyDescent="0.3">
      <c r="AY65" s="134"/>
      <c r="AZ65" s="134"/>
      <c r="BA65" s="136"/>
      <c r="BB65" s="134"/>
      <c r="BC65" s="136"/>
      <c r="BD65" s="135"/>
      <c r="BE65" s="135"/>
      <c r="BF65" s="135"/>
      <c r="BG65" s="135"/>
      <c r="BH65" s="136"/>
    </row>
    <row r="66" spans="2:60" x14ac:dyDescent="0.3">
      <c r="AY66" s="138"/>
      <c r="AZ66" s="138"/>
      <c r="BA66" s="141"/>
      <c r="BB66" s="138"/>
      <c r="BC66" s="141"/>
      <c r="BD66" s="28"/>
      <c r="BE66" s="28" t="s">
        <v>110</v>
      </c>
      <c r="BF66" s="28" t="s">
        <v>111</v>
      </c>
      <c r="BG66" s="28" t="s">
        <v>112</v>
      </c>
      <c r="BH66" s="141"/>
    </row>
    <row r="67" spans="2:60" ht="15.6" x14ac:dyDescent="0.3">
      <c r="E67" s="1" t="s">
        <v>4</v>
      </c>
      <c r="AA67" t="s">
        <v>4</v>
      </c>
      <c r="AY67" s="138"/>
      <c r="AZ67" s="138"/>
      <c r="BA67" s="141"/>
      <c r="BB67" s="138"/>
      <c r="BC67" s="141"/>
      <c r="BD67" s="43"/>
      <c r="BE67" s="28"/>
      <c r="BF67" s="28"/>
      <c r="BG67" s="28"/>
      <c r="BH67" s="141"/>
    </row>
    <row r="68" spans="2:60" x14ac:dyDescent="0.3">
      <c r="F68" t="s">
        <v>2</v>
      </c>
      <c r="AB68" t="s">
        <v>2</v>
      </c>
      <c r="AY68" s="138" t="s">
        <v>56</v>
      </c>
      <c r="AZ68" s="138">
        <v>26</v>
      </c>
      <c r="BA68" s="141">
        <v>26</v>
      </c>
      <c r="BB68" s="138">
        <v>0</v>
      </c>
      <c r="BC68" s="141">
        <v>0</v>
      </c>
      <c r="BD68" s="28"/>
      <c r="BE68" s="43"/>
      <c r="BF68" s="28"/>
      <c r="BG68" s="28"/>
      <c r="BH68" s="141"/>
    </row>
    <row r="69" spans="2:60" x14ac:dyDescent="0.3">
      <c r="D69" t="s">
        <v>12</v>
      </c>
      <c r="Z69" t="s">
        <v>12</v>
      </c>
      <c r="AH69" t="s">
        <v>6</v>
      </c>
      <c r="AY69" s="138" t="s">
        <v>72</v>
      </c>
      <c r="AZ69" s="138">
        <v>11</v>
      </c>
      <c r="BA69" s="141">
        <v>9</v>
      </c>
      <c r="BB69" s="138">
        <v>0</v>
      </c>
      <c r="BC69" s="141">
        <v>0</v>
      </c>
      <c r="BD69" s="28"/>
      <c r="BE69" s="28"/>
      <c r="BF69" s="28"/>
      <c r="BG69" s="28"/>
      <c r="BH69" s="141"/>
    </row>
    <row r="70" spans="2:60" x14ac:dyDescent="0.3">
      <c r="F70" t="s">
        <v>248</v>
      </c>
      <c r="K70" s="5"/>
      <c r="AB70" t="s">
        <v>973</v>
      </c>
      <c r="AY70" s="138" t="s">
        <v>78</v>
      </c>
      <c r="AZ70" s="138">
        <v>2</v>
      </c>
      <c r="BA70" s="141">
        <v>37</v>
      </c>
      <c r="BB70" s="138">
        <v>0</v>
      </c>
      <c r="BC70" s="141">
        <v>0</v>
      </c>
      <c r="BD70" s="28"/>
      <c r="BE70" s="43">
        <v>9</v>
      </c>
      <c r="BF70" s="28" t="s">
        <v>123</v>
      </c>
      <c r="BG70" s="28" t="s">
        <v>6</v>
      </c>
      <c r="BH70" s="141"/>
    </row>
    <row r="71" spans="2:60" ht="15" thickBot="1" x14ac:dyDescent="0.35">
      <c r="J71" s="5" t="s">
        <v>26</v>
      </c>
      <c r="AF71" s="194" t="s">
        <v>951</v>
      </c>
      <c r="AO71" t="s">
        <v>4</v>
      </c>
      <c r="AY71" s="138" t="s">
        <v>67</v>
      </c>
      <c r="AZ71" s="138">
        <v>76</v>
      </c>
      <c r="BA71" s="141">
        <v>56</v>
      </c>
      <c r="BB71" s="138">
        <v>0</v>
      </c>
      <c r="BC71" s="141">
        <v>0</v>
      </c>
      <c r="BD71" s="28"/>
      <c r="BE71" s="43">
        <v>24</v>
      </c>
      <c r="BF71" s="28" t="s">
        <v>126</v>
      </c>
      <c r="BG71" s="28"/>
      <c r="BH71" s="141"/>
    </row>
    <row r="72" spans="2:60" ht="15.6" x14ac:dyDescent="0.3">
      <c r="B72" s="6" t="s">
        <v>17</v>
      </c>
      <c r="C72" s="6" t="s">
        <v>39</v>
      </c>
      <c r="D72" s="7"/>
      <c r="E72" s="6" t="s">
        <v>29</v>
      </c>
      <c r="F72" s="7" t="s">
        <v>30</v>
      </c>
      <c r="G72" s="8" t="s">
        <v>40</v>
      </c>
      <c r="H72" s="8"/>
      <c r="I72" s="8"/>
      <c r="J72" s="8"/>
      <c r="K72" s="7"/>
      <c r="P72" s="1" t="s">
        <v>4</v>
      </c>
      <c r="X72" s="134" t="s">
        <v>17</v>
      </c>
      <c r="Y72" s="134" t="s">
        <v>39</v>
      </c>
      <c r="Z72" s="136"/>
      <c r="AA72" s="134" t="s">
        <v>29</v>
      </c>
      <c r="AB72" s="136" t="s">
        <v>30</v>
      </c>
      <c r="AC72" s="135" t="s">
        <v>40</v>
      </c>
      <c r="AD72" s="135"/>
      <c r="AE72" s="135"/>
      <c r="AF72" s="135"/>
      <c r="AG72" s="136"/>
      <c r="AP72" t="s">
        <v>2</v>
      </c>
      <c r="AY72" s="138" t="s">
        <v>128</v>
      </c>
      <c r="AZ72" s="138">
        <v>2</v>
      </c>
      <c r="BA72" s="141">
        <v>4</v>
      </c>
      <c r="BB72" s="138">
        <v>0</v>
      </c>
      <c r="BC72" s="141">
        <v>0</v>
      </c>
      <c r="BD72" s="28"/>
      <c r="BE72" s="43">
        <v>10</v>
      </c>
      <c r="BF72" s="28" t="s">
        <v>129</v>
      </c>
      <c r="BG72" s="28" t="s">
        <v>6</v>
      </c>
      <c r="BH72" s="141"/>
    </row>
    <row r="73" spans="2:60" ht="15" thickBot="1" x14ac:dyDescent="0.35">
      <c r="B73" s="13" t="s">
        <v>42</v>
      </c>
      <c r="C73" s="10" t="s">
        <v>43</v>
      </c>
      <c r="D73" s="11" t="s">
        <v>44</v>
      </c>
      <c r="E73" s="13" t="s">
        <v>43</v>
      </c>
      <c r="F73" s="26" t="s">
        <v>44</v>
      </c>
      <c r="G73" s="27"/>
      <c r="H73" s="27"/>
      <c r="I73" s="27"/>
      <c r="J73" s="27"/>
      <c r="K73" s="26"/>
      <c r="Q73" t="s">
        <v>2</v>
      </c>
      <c r="X73" s="138" t="s">
        <v>42</v>
      </c>
      <c r="Y73" s="138" t="s">
        <v>43</v>
      </c>
      <c r="Z73" s="141" t="s">
        <v>44</v>
      </c>
      <c r="AA73" s="138" t="s">
        <v>43</v>
      </c>
      <c r="AB73" s="141" t="s">
        <v>44</v>
      </c>
      <c r="AC73" s="28"/>
      <c r="AD73" s="28"/>
      <c r="AE73" s="28"/>
      <c r="AF73" s="28"/>
      <c r="AG73" s="141"/>
      <c r="AN73" t="s">
        <v>12</v>
      </c>
      <c r="AV73" t="s">
        <v>6</v>
      </c>
      <c r="AY73" s="138" t="s">
        <v>115</v>
      </c>
      <c r="AZ73" s="138">
        <v>44</v>
      </c>
      <c r="BA73" s="141">
        <v>12</v>
      </c>
      <c r="BB73" s="138">
        <v>0</v>
      </c>
      <c r="BC73" s="141">
        <v>0</v>
      </c>
      <c r="BD73" s="28"/>
      <c r="BE73" s="28"/>
      <c r="BF73" s="28"/>
      <c r="BG73" s="28"/>
      <c r="BH73" s="141"/>
    </row>
    <row r="74" spans="2:60" x14ac:dyDescent="0.3">
      <c r="B74" s="6" t="s">
        <v>56</v>
      </c>
      <c r="C74" s="29">
        <v>1014</v>
      </c>
      <c r="D74" s="30">
        <v>1061</v>
      </c>
      <c r="G74" s="6"/>
      <c r="H74" s="8"/>
      <c r="I74" s="31" t="s">
        <v>57</v>
      </c>
      <c r="J74" s="8"/>
      <c r="K74" s="7"/>
      <c r="L74" s="28"/>
      <c r="O74" t="s">
        <v>12</v>
      </c>
      <c r="W74" t="s">
        <v>6</v>
      </c>
      <c r="X74" s="134"/>
      <c r="Y74" s="134"/>
      <c r="Z74" s="136"/>
      <c r="AA74" s="134"/>
      <c r="AB74" s="136"/>
      <c r="AC74" s="135"/>
      <c r="AD74" s="135"/>
      <c r="AE74" s="135"/>
      <c r="AF74" s="135"/>
      <c r="AG74" s="136"/>
      <c r="AP74" t="s">
        <v>1533</v>
      </c>
      <c r="AY74" s="138" t="s">
        <v>81</v>
      </c>
      <c r="AZ74" s="138">
        <v>4</v>
      </c>
      <c r="BA74" s="141">
        <v>4</v>
      </c>
      <c r="BB74" s="138">
        <v>0</v>
      </c>
      <c r="BC74" s="141">
        <v>0</v>
      </c>
      <c r="BD74" s="28"/>
      <c r="BE74" s="28"/>
      <c r="BF74" s="28"/>
      <c r="BG74" s="28"/>
      <c r="BH74" s="141" t="s">
        <v>6</v>
      </c>
    </row>
    <row r="75" spans="2:60" x14ac:dyDescent="0.3">
      <c r="B75" s="36" t="s">
        <v>63</v>
      </c>
      <c r="C75" s="36">
        <v>109</v>
      </c>
      <c r="D75" s="39">
        <v>30</v>
      </c>
      <c r="F75" s="18"/>
      <c r="G75" s="10"/>
      <c r="H75" s="18"/>
      <c r="I75" s="18"/>
      <c r="J75" s="18"/>
      <c r="K75" s="11"/>
      <c r="L75" s="28"/>
      <c r="Q75" t="s">
        <v>683</v>
      </c>
      <c r="V75" s="5"/>
      <c r="X75" s="138" t="s">
        <v>6</v>
      </c>
      <c r="Y75" s="138"/>
      <c r="Z75" s="141"/>
      <c r="AA75" s="138"/>
      <c r="AB75" s="141"/>
      <c r="AC75" s="28"/>
      <c r="AD75" s="28" t="s">
        <v>91</v>
      </c>
      <c r="AE75" s="28"/>
      <c r="AF75" s="28"/>
      <c r="AG75" s="141"/>
      <c r="AT75" s="194" t="s">
        <v>951</v>
      </c>
      <c r="AY75" s="138" t="s">
        <v>122</v>
      </c>
      <c r="AZ75" s="138">
        <v>14</v>
      </c>
      <c r="BA75" s="141">
        <v>14</v>
      </c>
      <c r="BB75" s="138">
        <v>0</v>
      </c>
      <c r="BC75" s="141">
        <v>0</v>
      </c>
      <c r="BD75" s="28"/>
      <c r="BE75" s="28"/>
      <c r="BF75" s="28"/>
      <c r="BG75" s="28"/>
      <c r="BH75" s="141"/>
    </row>
    <row r="76" spans="2:60" ht="15" thickBot="1" x14ac:dyDescent="0.35">
      <c r="B76" s="36" t="s">
        <v>67</v>
      </c>
      <c r="C76" s="36">
        <v>433</v>
      </c>
      <c r="D76" s="39">
        <v>457</v>
      </c>
      <c r="F76" s="18"/>
      <c r="G76" s="10"/>
      <c r="H76" s="37">
        <v>67</v>
      </c>
      <c r="I76" s="37" t="s">
        <v>68</v>
      </c>
      <c r="J76" s="18"/>
      <c r="K76" s="11"/>
      <c r="L76" s="28"/>
      <c r="U76" s="5" t="s">
        <v>26</v>
      </c>
      <c r="X76" s="138" t="s">
        <v>56</v>
      </c>
      <c r="Y76" s="138">
        <v>1160</v>
      </c>
      <c r="Z76" s="141">
        <v>1257</v>
      </c>
      <c r="AA76" s="138"/>
      <c r="AB76" s="141"/>
      <c r="AC76" s="28"/>
      <c r="AD76" s="28"/>
      <c r="AE76" s="28"/>
      <c r="AF76" s="28"/>
      <c r="AG76" s="141"/>
      <c r="AL76" s="134" t="s">
        <v>17</v>
      </c>
      <c r="AM76" s="134" t="s">
        <v>39</v>
      </c>
      <c r="AN76" s="136"/>
      <c r="AO76" s="134" t="s">
        <v>29</v>
      </c>
      <c r="AP76" s="136" t="s">
        <v>30</v>
      </c>
      <c r="AQ76" s="135" t="s">
        <v>40</v>
      </c>
      <c r="AR76" s="135"/>
      <c r="AS76" s="135"/>
      <c r="AT76" s="135"/>
      <c r="AU76" s="136"/>
      <c r="AY76" s="138" t="s">
        <v>230</v>
      </c>
      <c r="AZ76" s="138">
        <v>5</v>
      </c>
      <c r="BA76" s="141">
        <v>5</v>
      </c>
      <c r="BB76" s="138">
        <v>0</v>
      </c>
      <c r="BC76" s="141">
        <v>0</v>
      </c>
      <c r="BD76" s="28"/>
      <c r="BE76" s="28"/>
      <c r="BF76" s="28"/>
      <c r="BG76" s="28"/>
      <c r="BH76" s="141"/>
    </row>
    <row r="77" spans="2:60" x14ac:dyDescent="0.3">
      <c r="B77" s="36" t="s">
        <v>72</v>
      </c>
      <c r="C77" s="36">
        <v>7</v>
      </c>
      <c r="D77" s="39">
        <v>7</v>
      </c>
      <c r="F77" s="18"/>
      <c r="G77" s="10"/>
      <c r="H77" s="37">
        <v>71</v>
      </c>
      <c r="I77" s="37" t="s">
        <v>73</v>
      </c>
      <c r="J77" s="18"/>
      <c r="K77" s="11"/>
      <c r="L77" s="28"/>
      <c r="M77" s="6" t="s">
        <v>17</v>
      </c>
      <c r="N77" s="6" t="s">
        <v>39</v>
      </c>
      <c r="O77" s="7"/>
      <c r="P77" s="6" t="s">
        <v>29</v>
      </c>
      <c r="Q77" s="7" t="s">
        <v>30</v>
      </c>
      <c r="R77" s="8" t="s">
        <v>40</v>
      </c>
      <c r="S77" s="8"/>
      <c r="T77" s="8"/>
      <c r="U77" s="8"/>
      <c r="V77" s="7"/>
      <c r="X77" s="142" t="s">
        <v>6</v>
      </c>
      <c r="Y77" s="142"/>
      <c r="Z77" s="146"/>
      <c r="AA77" s="142"/>
      <c r="AB77" s="146"/>
      <c r="AC77" s="143"/>
      <c r="AD77" s="143">
        <v>86</v>
      </c>
      <c r="AE77" s="143" t="s">
        <v>73</v>
      </c>
      <c r="AF77" s="143"/>
      <c r="AG77" s="146">
        <f>SUM(AD77)</f>
        <v>86</v>
      </c>
      <c r="AL77" s="138" t="s">
        <v>42</v>
      </c>
      <c r="AM77" s="138" t="s">
        <v>43</v>
      </c>
      <c r="AN77" s="141" t="s">
        <v>44</v>
      </c>
      <c r="AO77" s="138" t="s">
        <v>43</v>
      </c>
      <c r="AP77" s="141" t="s">
        <v>44</v>
      </c>
      <c r="AQ77" s="28"/>
      <c r="AR77" s="28"/>
      <c r="AS77" s="28"/>
      <c r="AT77" s="28"/>
      <c r="AU77" s="141"/>
      <c r="AY77" s="138" t="s">
        <v>63</v>
      </c>
      <c r="AZ77" s="138">
        <v>181</v>
      </c>
      <c r="BA77" s="141">
        <v>160</v>
      </c>
      <c r="BB77" s="138">
        <v>0</v>
      </c>
      <c r="BC77" s="141">
        <v>0</v>
      </c>
      <c r="BD77" s="28"/>
      <c r="BE77" s="28"/>
      <c r="BF77" s="28"/>
      <c r="BG77" s="28"/>
      <c r="BH77" s="141"/>
    </row>
    <row r="78" spans="2:60" ht="15" thickBot="1" x14ac:dyDescent="0.35">
      <c r="B78" s="36" t="s">
        <v>78</v>
      </c>
      <c r="C78" s="36">
        <v>13</v>
      </c>
      <c r="D78" s="39">
        <v>13</v>
      </c>
      <c r="F78" s="18"/>
      <c r="G78" s="10"/>
      <c r="H78" s="37"/>
      <c r="I78" s="37"/>
      <c r="J78" s="18"/>
      <c r="K78" s="11"/>
      <c r="L78" s="28"/>
      <c r="M78" s="13" t="s">
        <v>42</v>
      </c>
      <c r="N78" s="10" t="s">
        <v>43</v>
      </c>
      <c r="O78" s="11" t="s">
        <v>44</v>
      </c>
      <c r="P78" s="13" t="s">
        <v>43</v>
      </c>
      <c r="Q78" s="26" t="s">
        <v>44</v>
      </c>
      <c r="R78" s="27"/>
      <c r="S78" s="27"/>
      <c r="T78" s="27"/>
      <c r="U78" s="27"/>
      <c r="V78" s="26"/>
      <c r="X78" s="134"/>
      <c r="Y78" s="134"/>
      <c r="Z78" s="136"/>
      <c r="AA78" s="134"/>
      <c r="AB78" s="136"/>
      <c r="AC78" s="135"/>
      <c r="AD78" s="135"/>
      <c r="AE78" s="135"/>
      <c r="AF78" s="135"/>
      <c r="AG78" s="136"/>
      <c r="AL78" s="134"/>
      <c r="AM78" s="134"/>
      <c r="AN78" s="136"/>
      <c r="AO78" s="134"/>
      <c r="AP78" s="136"/>
      <c r="AQ78" s="135"/>
      <c r="AR78" s="135"/>
      <c r="AS78" s="135"/>
      <c r="AT78" s="135"/>
      <c r="AU78" s="136"/>
      <c r="AY78" s="142" t="s">
        <v>84</v>
      </c>
      <c r="AZ78" s="142">
        <v>365</v>
      </c>
      <c r="BA78" s="146">
        <v>327</v>
      </c>
      <c r="BB78" s="142">
        <v>0</v>
      </c>
      <c r="BC78" s="146">
        <v>0</v>
      </c>
      <c r="BD78" s="143"/>
      <c r="BE78" s="143"/>
      <c r="BF78" s="143"/>
      <c r="BG78" s="143"/>
      <c r="BH78" s="146">
        <v>43</v>
      </c>
    </row>
    <row r="79" spans="2:60" x14ac:dyDescent="0.3">
      <c r="B79" s="52" t="s">
        <v>81</v>
      </c>
      <c r="C79" s="36">
        <v>0</v>
      </c>
      <c r="D79" s="39">
        <v>0</v>
      </c>
      <c r="G79" s="42"/>
      <c r="H79" s="28"/>
      <c r="I79" s="28"/>
      <c r="J79" s="28"/>
      <c r="K79" s="40"/>
      <c r="L79" s="28"/>
      <c r="M79" s="6" t="s">
        <v>56</v>
      </c>
      <c r="N79" s="29">
        <v>871</v>
      </c>
      <c r="O79" s="30">
        <f>952+9</f>
        <v>961</v>
      </c>
      <c r="R79" s="6"/>
      <c r="S79" s="8"/>
      <c r="T79" s="31" t="s">
        <v>57</v>
      </c>
      <c r="U79" s="8"/>
      <c r="V79" s="7"/>
      <c r="W79" s="28"/>
      <c r="X79" s="138" t="s">
        <v>63</v>
      </c>
      <c r="Y79" s="138">
        <v>134</v>
      </c>
      <c r="Z79" s="141">
        <v>108</v>
      </c>
      <c r="AA79" s="138"/>
      <c r="AB79" s="141"/>
      <c r="AC79" s="28"/>
      <c r="AD79" s="28" t="s">
        <v>110</v>
      </c>
      <c r="AE79" s="28" t="s">
        <v>111</v>
      </c>
      <c r="AF79" s="28" t="s">
        <v>112</v>
      </c>
      <c r="AG79" s="141"/>
      <c r="AL79" s="138"/>
      <c r="AM79" s="138" t="s">
        <v>6</v>
      </c>
      <c r="AN79" s="141" t="s">
        <v>6</v>
      </c>
      <c r="AO79" s="138"/>
      <c r="AP79" s="141"/>
      <c r="AQ79" s="28"/>
      <c r="AR79" s="28" t="s">
        <v>91</v>
      </c>
      <c r="AS79" s="28"/>
      <c r="AT79" s="28"/>
      <c r="AU79" s="141"/>
      <c r="AY79" s="134"/>
      <c r="AZ79" s="134">
        <v>0</v>
      </c>
      <c r="BA79" s="136">
        <v>0</v>
      </c>
      <c r="BB79" s="134">
        <v>0</v>
      </c>
      <c r="BC79" s="136">
        <v>0</v>
      </c>
      <c r="BD79" s="135"/>
      <c r="BE79" s="135"/>
      <c r="BF79" s="135"/>
      <c r="BG79" s="135"/>
      <c r="BH79" s="136"/>
    </row>
    <row r="80" spans="2:60" ht="15" thickBot="1" x14ac:dyDescent="0.35">
      <c r="B80" s="13" t="s">
        <v>84</v>
      </c>
      <c r="C80" s="13">
        <f>SUM(C74:C79)</f>
        <v>1576</v>
      </c>
      <c r="D80" s="26">
        <f>SUM(D74:D79)</f>
        <v>1568</v>
      </c>
      <c r="F80" s="18"/>
      <c r="G80" s="13"/>
      <c r="H80" s="27"/>
      <c r="I80" s="27"/>
      <c r="J80" s="27"/>
      <c r="K80" s="26">
        <f>SUM(H76:H77)</f>
        <v>138</v>
      </c>
      <c r="L80" s="28"/>
      <c r="M80" s="36" t="s">
        <v>63</v>
      </c>
      <c r="N80" s="36">
        <v>102</v>
      </c>
      <c r="O80" s="39">
        <v>81</v>
      </c>
      <c r="Q80" s="18"/>
      <c r="R80" s="10"/>
      <c r="S80" s="18"/>
      <c r="T80" s="18"/>
      <c r="U80" s="18"/>
      <c r="V80" s="11"/>
      <c r="W80" s="28"/>
      <c r="X80" s="138" t="s">
        <v>115</v>
      </c>
      <c r="Y80" s="138">
        <v>51</v>
      </c>
      <c r="Z80" s="141">
        <v>28</v>
      </c>
      <c r="AA80" s="138"/>
      <c r="AB80" s="141"/>
      <c r="AC80" s="28"/>
      <c r="AD80" s="28"/>
      <c r="AE80" s="28"/>
      <c r="AF80" s="28"/>
      <c r="AG80" s="141"/>
      <c r="AL80" s="138" t="s">
        <v>56</v>
      </c>
      <c r="AM80" s="138">
        <f>1362+6</f>
        <v>1368</v>
      </c>
      <c r="AN80" s="141">
        <f>1413+8</f>
        <v>1421</v>
      </c>
      <c r="AO80" s="138"/>
      <c r="AP80" s="141"/>
      <c r="AQ80" s="28"/>
      <c r="AR80" s="28"/>
      <c r="AS80" s="28"/>
      <c r="AT80" s="28"/>
      <c r="AU80" s="141"/>
      <c r="AY80" s="138" t="s">
        <v>56</v>
      </c>
      <c r="AZ80" s="138">
        <v>0</v>
      </c>
      <c r="BA80" s="141">
        <v>0</v>
      </c>
      <c r="BB80" s="138">
        <v>0</v>
      </c>
      <c r="BC80" s="141">
        <v>0</v>
      </c>
      <c r="BD80" s="28"/>
      <c r="BE80" s="28" t="s">
        <v>173</v>
      </c>
      <c r="BF80" s="28"/>
      <c r="BG80" s="28"/>
      <c r="BH80" s="141"/>
    </row>
    <row r="81" spans="2:60" x14ac:dyDescent="0.3">
      <c r="B81" s="32" t="s">
        <v>6</v>
      </c>
      <c r="C81" s="43"/>
      <c r="D81" s="54"/>
      <c r="E81" s="33"/>
      <c r="F81" s="35"/>
      <c r="G81" s="33"/>
      <c r="H81" s="34" t="s">
        <v>91</v>
      </c>
      <c r="I81" s="34"/>
      <c r="J81" s="34"/>
      <c r="K81" s="35"/>
      <c r="L81" s="28"/>
      <c r="M81" s="36" t="s">
        <v>67</v>
      </c>
      <c r="N81" s="36">
        <v>351</v>
      </c>
      <c r="O81" s="39">
        <v>347</v>
      </c>
      <c r="Q81" s="18"/>
      <c r="R81" s="10"/>
      <c r="S81" s="37">
        <v>57</v>
      </c>
      <c r="T81" s="37" t="s">
        <v>68</v>
      </c>
      <c r="U81" s="18"/>
      <c r="V81" s="11"/>
      <c r="W81" s="28"/>
      <c r="X81" s="138" t="s">
        <v>72</v>
      </c>
      <c r="Y81" s="138">
        <v>0</v>
      </c>
      <c r="Z81" s="141">
        <v>0</v>
      </c>
      <c r="AA81" s="138"/>
      <c r="AB81" s="141"/>
      <c r="AC81" s="28"/>
      <c r="AD81" s="28"/>
      <c r="AE81" s="28"/>
      <c r="AF81" s="28"/>
      <c r="AG81" s="141"/>
      <c r="AL81" s="142" t="s">
        <v>6</v>
      </c>
      <c r="AM81" s="142"/>
      <c r="AN81" s="146"/>
      <c r="AO81" s="142"/>
      <c r="AP81" s="146"/>
      <c r="AQ81" s="143"/>
      <c r="AR81" s="143">
        <v>98</v>
      </c>
      <c r="AS81" s="143" t="s">
        <v>73</v>
      </c>
      <c r="AT81" s="143"/>
      <c r="AU81" s="146">
        <f>SUM(AR81)</f>
        <v>98</v>
      </c>
      <c r="AY81" s="138" t="s">
        <v>67</v>
      </c>
      <c r="AZ81" s="138">
        <v>0</v>
      </c>
      <c r="BA81" s="141">
        <v>0</v>
      </c>
      <c r="BB81" s="138">
        <v>0</v>
      </c>
      <c r="BC81" s="141">
        <v>0</v>
      </c>
      <c r="BD81" s="28"/>
      <c r="BE81" s="28"/>
      <c r="BF81" s="28"/>
      <c r="BG81" s="28"/>
      <c r="BH81" s="141"/>
    </row>
    <row r="82" spans="2:60" x14ac:dyDescent="0.3">
      <c r="B82" s="41"/>
      <c r="E82" s="42"/>
      <c r="F82" s="40"/>
      <c r="G82" s="42"/>
      <c r="H82" s="28"/>
      <c r="I82" s="28"/>
      <c r="J82" s="28"/>
      <c r="K82" s="40"/>
      <c r="L82" s="28" t="s">
        <v>6</v>
      </c>
      <c r="M82" s="36" t="s">
        <v>72</v>
      </c>
      <c r="N82" s="36">
        <v>16</v>
      </c>
      <c r="O82" s="39">
        <v>23</v>
      </c>
      <c r="Q82" s="18"/>
      <c r="R82" s="10"/>
      <c r="S82" s="37">
        <v>55</v>
      </c>
      <c r="T82" s="37" t="s">
        <v>73</v>
      </c>
      <c r="U82" s="18"/>
      <c r="V82" s="11"/>
      <c r="W82" s="28"/>
      <c r="X82" s="138" t="s">
        <v>78</v>
      </c>
      <c r="Y82" s="138">
        <v>48</v>
      </c>
      <c r="Z82" s="141">
        <v>50</v>
      </c>
      <c r="AA82" s="138"/>
      <c r="AB82" s="141"/>
      <c r="AC82" s="28"/>
      <c r="AD82" s="28"/>
      <c r="AE82" s="28"/>
      <c r="AF82" s="28"/>
      <c r="AG82" s="141"/>
      <c r="AH82" t="s">
        <v>6</v>
      </c>
      <c r="AL82" s="134"/>
      <c r="AM82" s="134"/>
      <c r="AN82" s="136"/>
      <c r="AO82" s="134"/>
      <c r="AP82" s="136"/>
      <c r="AQ82" s="135"/>
      <c r="AR82" s="135"/>
      <c r="AS82" s="135"/>
      <c r="AT82" s="135"/>
      <c r="AU82" s="136"/>
      <c r="AY82" s="138" t="s">
        <v>78</v>
      </c>
      <c r="AZ82" s="138">
        <v>0</v>
      </c>
      <c r="BA82" s="141">
        <v>0</v>
      </c>
      <c r="BB82" s="138">
        <v>0</v>
      </c>
      <c r="BC82" s="141">
        <v>0</v>
      </c>
      <c r="BD82" s="28"/>
      <c r="BE82" s="28">
        <v>0</v>
      </c>
      <c r="BF82" s="28" t="s">
        <v>183</v>
      </c>
      <c r="BG82" s="28"/>
      <c r="BH82" s="141"/>
    </row>
    <row r="83" spans="2:60" x14ac:dyDescent="0.3">
      <c r="B83" s="41" t="s">
        <v>56</v>
      </c>
      <c r="C83">
        <v>821</v>
      </c>
      <c r="D83">
        <v>766</v>
      </c>
      <c r="E83" s="42"/>
      <c r="F83" s="40"/>
      <c r="G83" s="42"/>
      <c r="H83" s="28"/>
      <c r="I83" s="28"/>
      <c r="J83" s="28"/>
      <c r="K83" s="40"/>
      <c r="L83" s="28"/>
      <c r="M83" s="36" t="s">
        <v>78</v>
      </c>
      <c r="N83" s="36">
        <v>29</v>
      </c>
      <c r="O83" s="39">
        <v>21</v>
      </c>
      <c r="Q83" s="18"/>
      <c r="R83" s="10"/>
      <c r="S83" s="37"/>
      <c r="T83" s="37"/>
      <c r="U83" s="18" t="s">
        <v>6</v>
      </c>
      <c r="V83" s="11"/>
      <c r="W83" s="28"/>
      <c r="X83" s="138" t="s">
        <v>122</v>
      </c>
      <c r="Y83" s="138">
        <v>53</v>
      </c>
      <c r="Z83" s="141">
        <v>49</v>
      </c>
      <c r="AA83" s="138"/>
      <c r="AB83" s="141"/>
      <c r="AC83" s="28"/>
      <c r="AD83" s="28">
        <v>35</v>
      </c>
      <c r="AE83" s="28" t="s">
        <v>123</v>
      </c>
      <c r="AF83" s="28"/>
      <c r="AG83" s="141"/>
      <c r="AL83" s="138" t="s">
        <v>63</v>
      </c>
      <c r="AM83" s="138">
        <v>181</v>
      </c>
      <c r="AN83" s="141">
        <v>151</v>
      </c>
      <c r="AO83" s="138"/>
      <c r="AP83" s="141"/>
      <c r="AQ83" s="28"/>
      <c r="AR83" s="28" t="s">
        <v>110</v>
      </c>
      <c r="AS83" s="28" t="s">
        <v>111</v>
      </c>
      <c r="AT83" s="28" t="s">
        <v>112</v>
      </c>
      <c r="AU83" s="141"/>
      <c r="AY83" s="142" t="s">
        <v>84</v>
      </c>
      <c r="AZ83" s="142">
        <v>0</v>
      </c>
      <c r="BA83" s="146">
        <v>0</v>
      </c>
      <c r="BB83" s="142">
        <v>0</v>
      </c>
      <c r="BC83" s="146">
        <v>0</v>
      </c>
      <c r="BD83" s="143"/>
      <c r="BE83" s="143"/>
      <c r="BF83" s="143"/>
      <c r="BG83" s="143"/>
      <c r="BH83" s="146"/>
    </row>
    <row r="84" spans="2:60" ht="15" thickBot="1" x14ac:dyDescent="0.35">
      <c r="B84" s="62" t="s">
        <v>6</v>
      </c>
      <c r="C84" s="43"/>
      <c r="D84" s="43"/>
      <c r="E84" s="47"/>
      <c r="F84" s="49"/>
      <c r="G84" s="47"/>
      <c r="H84" s="48">
        <v>79</v>
      </c>
      <c r="I84" s="48" t="s">
        <v>73</v>
      </c>
      <c r="J84" s="48"/>
      <c r="K84" s="49">
        <f>SUM(H84)</f>
        <v>79</v>
      </c>
      <c r="L84" s="28"/>
      <c r="M84" s="52" t="s">
        <v>81</v>
      </c>
      <c r="N84" s="36">
        <v>0</v>
      </c>
      <c r="O84" s="39">
        <v>0</v>
      </c>
      <c r="R84" s="42"/>
      <c r="S84" s="28"/>
      <c r="T84" s="28"/>
      <c r="U84" s="28"/>
      <c r="V84" s="40"/>
      <c r="W84" s="28"/>
      <c r="X84" s="138" t="s">
        <v>125</v>
      </c>
      <c r="Y84" s="138">
        <v>3</v>
      </c>
      <c r="Z84" s="141">
        <v>2</v>
      </c>
      <c r="AA84" s="138"/>
      <c r="AB84" s="141"/>
      <c r="AC84" s="28"/>
      <c r="AD84" s="28">
        <v>30</v>
      </c>
      <c r="AE84" s="28" t="s">
        <v>126</v>
      </c>
      <c r="AF84" s="28"/>
      <c r="AG84" s="141"/>
      <c r="AH84" t="s">
        <v>6</v>
      </c>
      <c r="AL84" s="138" t="s">
        <v>115</v>
      </c>
      <c r="AM84" s="138">
        <v>78</v>
      </c>
      <c r="AN84" s="141">
        <v>27</v>
      </c>
      <c r="AO84" s="138"/>
      <c r="AP84" s="141"/>
      <c r="AQ84" s="28"/>
      <c r="AR84" s="28"/>
      <c r="AS84" s="28"/>
      <c r="AT84" s="28"/>
      <c r="AU84" s="141"/>
      <c r="AY84" s="134"/>
      <c r="AZ84" s="134"/>
      <c r="BA84" s="136"/>
      <c r="BB84" s="134">
        <v>0</v>
      </c>
      <c r="BC84" s="136">
        <v>0</v>
      </c>
      <c r="BD84" s="134"/>
      <c r="BE84" s="135" t="s">
        <v>140</v>
      </c>
      <c r="BF84" s="135"/>
      <c r="BG84" s="135"/>
      <c r="BH84" s="136"/>
    </row>
    <row r="85" spans="2:60" x14ac:dyDescent="0.3">
      <c r="B85" s="10"/>
      <c r="C85" s="29"/>
      <c r="D85" s="31"/>
      <c r="E85" s="33"/>
      <c r="F85" s="7"/>
      <c r="G85" s="8"/>
      <c r="H85" s="8"/>
      <c r="I85" s="8"/>
      <c r="J85" s="8"/>
      <c r="K85" s="7"/>
      <c r="L85" s="28"/>
      <c r="M85" s="52" t="s">
        <v>115</v>
      </c>
      <c r="N85" s="52">
        <v>0</v>
      </c>
      <c r="O85" s="86">
        <v>0</v>
      </c>
      <c r="R85" s="42"/>
      <c r="S85" s="28"/>
      <c r="T85" s="28"/>
      <c r="U85" s="28"/>
      <c r="V85" s="40"/>
      <c r="W85" s="28"/>
      <c r="X85" s="138" t="s">
        <v>128</v>
      </c>
      <c r="Y85" s="138">
        <v>0</v>
      </c>
      <c r="Z85" s="141">
        <v>0</v>
      </c>
      <c r="AA85" s="138"/>
      <c r="AB85" s="141"/>
      <c r="AC85" s="28"/>
      <c r="AD85" s="28">
        <v>35</v>
      </c>
      <c r="AE85" s="28" t="s">
        <v>129</v>
      </c>
      <c r="AF85" s="28"/>
      <c r="AG85" s="141"/>
      <c r="AL85" s="138" t="s">
        <v>72</v>
      </c>
      <c r="AM85" s="138">
        <v>8</v>
      </c>
      <c r="AN85" s="141">
        <v>11</v>
      </c>
      <c r="AO85" s="138"/>
      <c r="AP85" s="141"/>
      <c r="AQ85" s="28"/>
      <c r="AR85" s="28"/>
      <c r="AS85" s="28"/>
      <c r="AT85" s="28"/>
      <c r="AU85" s="141"/>
      <c r="AY85" s="138" t="s">
        <v>56</v>
      </c>
      <c r="AZ85" s="138">
        <v>58</v>
      </c>
      <c r="BA85" s="141">
        <v>69</v>
      </c>
      <c r="BB85" s="138">
        <v>0</v>
      </c>
      <c r="BC85" s="141">
        <v>0</v>
      </c>
      <c r="BD85" s="138"/>
      <c r="BE85" s="43" t="s">
        <v>873</v>
      </c>
      <c r="BF85" s="28" t="s">
        <v>1001</v>
      </c>
      <c r="BG85" s="28"/>
      <c r="BH85" s="141"/>
    </row>
    <row r="86" spans="2:60" ht="15" thickBot="1" x14ac:dyDescent="0.35">
      <c r="B86" s="36" t="s">
        <v>63</v>
      </c>
      <c r="C86" s="10">
        <v>48</v>
      </c>
      <c r="D86" s="18">
        <v>102</v>
      </c>
      <c r="E86" s="42"/>
      <c r="F86" s="11"/>
      <c r="G86" s="18"/>
      <c r="H86" s="18" t="s">
        <v>110</v>
      </c>
      <c r="I86" s="18" t="s">
        <v>111</v>
      </c>
      <c r="J86" s="18" t="s">
        <v>112</v>
      </c>
      <c r="K86" s="11"/>
      <c r="L86" s="45"/>
      <c r="M86" s="13" t="s">
        <v>84</v>
      </c>
      <c r="N86" s="13">
        <f>SUM(N79:N85)</f>
        <v>1369</v>
      </c>
      <c r="O86" s="26">
        <f>SUM(O79:O85)</f>
        <v>1433</v>
      </c>
      <c r="Q86" s="18"/>
      <c r="R86" s="13"/>
      <c r="S86" s="27"/>
      <c r="T86" s="27"/>
      <c r="U86" s="27"/>
      <c r="V86" s="26">
        <f>SUM(S81:S82)</f>
        <v>112</v>
      </c>
      <c r="W86" s="28"/>
      <c r="X86" s="138" t="s">
        <v>132</v>
      </c>
      <c r="Y86" s="138">
        <v>0</v>
      </c>
      <c r="Z86" s="141">
        <v>0</v>
      </c>
      <c r="AA86" s="138"/>
      <c r="AB86" s="141"/>
      <c r="AC86" s="28"/>
      <c r="AD86" s="28"/>
      <c r="AE86" s="28"/>
      <c r="AF86" s="28"/>
      <c r="AG86" s="141"/>
      <c r="AL86" s="138" t="s">
        <v>78</v>
      </c>
      <c r="AM86" s="138">
        <v>15</v>
      </c>
      <c r="AN86" s="141">
        <v>45</v>
      </c>
      <c r="AO86" s="138"/>
      <c r="AP86" s="141"/>
      <c r="AQ86" s="28"/>
      <c r="AR86" s="28"/>
      <c r="AS86" s="28"/>
      <c r="AT86" s="28"/>
      <c r="AU86" s="141"/>
      <c r="AV86" t="s">
        <v>6</v>
      </c>
      <c r="AY86" s="138" t="s">
        <v>72</v>
      </c>
      <c r="AZ86" s="138">
        <v>41</v>
      </c>
      <c r="BA86" s="141">
        <v>20</v>
      </c>
      <c r="BB86" s="138">
        <v>0</v>
      </c>
      <c r="BC86" s="141">
        <v>0</v>
      </c>
      <c r="BD86" s="138"/>
      <c r="BE86" s="43" t="s">
        <v>1351</v>
      </c>
      <c r="BF86" s="28"/>
      <c r="BG86" s="43"/>
      <c r="BH86" s="141"/>
    </row>
    <row r="87" spans="2:60" x14ac:dyDescent="0.3">
      <c r="B87" s="10" t="s">
        <v>115</v>
      </c>
      <c r="C87" s="36">
        <v>37</v>
      </c>
      <c r="D87" s="37">
        <v>25</v>
      </c>
      <c r="E87" s="42"/>
      <c r="F87" s="11"/>
      <c r="G87" s="18"/>
      <c r="H87" s="18"/>
      <c r="I87" s="18"/>
      <c r="J87" s="18"/>
      <c r="K87" s="11"/>
      <c r="L87" s="28"/>
      <c r="M87" s="32" t="s">
        <v>6</v>
      </c>
      <c r="N87" s="43"/>
      <c r="O87" s="54"/>
      <c r="P87" s="33"/>
      <c r="Q87" s="35"/>
      <c r="R87" s="33"/>
      <c r="S87" s="34" t="s">
        <v>91</v>
      </c>
      <c r="T87" s="34"/>
      <c r="U87" s="34"/>
      <c r="V87" s="35"/>
      <c r="W87" s="28" t="s">
        <v>6</v>
      </c>
      <c r="X87" s="138" t="s">
        <v>81</v>
      </c>
      <c r="Y87" s="138">
        <v>6</v>
      </c>
      <c r="Z87" s="141">
        <v>0</v>
      </c>
      <c r="AA87" s="138"/>
      <c r="AB87" s="141"/>
      <c r="AC87" s="28"/>
      <c r="AD87" s="28"/>
      <c r="AE87" s="28"/>
      <c r="AF87" s="28"/>
      <c r="AG87" s="141"/>
      <c r="AL87" s="138" t="s">
        <v>122</v>
      </c>
      <c r="AM87" s="138">
        <v>11</v>
      </c>
      <c r="AN87" s="141">
        <v>4</v>
      </c>
      <c r="AO87" s="138"/>
      <c r="AP87" s="141"/>
      <c r="AQ87" s="28"/>
      <c r="AR87" s="28">
        <v>35</v>
      </c>
      <c r="AS87" s="28" t="s">
        <v>123</v>
      </c>
      <c r="AT87" s="28"/>
      <c r="AU87" s="141"/>
      <c r="AY87" s="138" t="s">
        <v>78</v>
      </c>
      <c r="AZ87" s="138">
        <v>97</v>
      </c>
      <c r="BA87" s="141">
        <v>65</v>
      </c>
      <c r="BB87" s="138">
        <v>0</v>
      </c>
      <c r="BC87" s="141">
        <v>0</v>
      </c>
      <c r="BD87" s="138"/>
      <c r="BE87" s="43" t="s">
        <v>1352</v>
      </c>
      <c r="BF87" s="43"/>
      <c r="BG87" s="28"/>
      <c r="BH87" s="141"/>
    </row>
    <row r="88" spans="2:60" x14ac:dyDescent="0.3">
      <c r="B88" s="52" t="s">
        <v>72</v>
      </c>
      <c r="C88" s="52">
        <v>0</v>
      </c>
      <c r="D88" s="54">
        <v>3</v>
      </c>
      <c r="E88" s="42"/>
      <c r="F88" s="40"/>
      <c r="G88" s="28"/>
      <c r="H88" s="28"/>
      <c r="I88" s="28"/>
      <c r="J88" s="28"/>
      <c r="K88" s="40"/>
      <c r="L88" s="28"/>
      <c r="M88" s="41" t="s">
        <v>56</v>
      </c>
      <c r="N88" s="43">
        <v>749</v>
      </c>
      <c r="O88" s="54">
        <v>785</v>
      </c>
      <c r="P88" s="42"/>
      <c r="Q88" s="40"/>
      <c r="R88" s="42"/>
      <c r="S88" s="28"/>
      <c r="T88" s="28"/>
      <c r="U88" s="28"/>
      <c r="V88" s="40"/>
      <c r="W88" s="28"/>
      <c r="X88" s="138" t="s">
        <v>138</v>
      </c>
      <c r="Y88" s="138">
        <v>0</v>
      </c>
      <c r="Z88" s="141">
        <v>0</v>
      </c>
      <c r="AA88" s="138"/>
      <c r="AB88" s="141"/>
      <c r="AC88" s="28"/>
      <c r="AD88" s="28"/>
      <c r="AE88" s="28"/>
      <c r="AF88" s="28"/>
      <c r="AG88" s="141"/>
      <c r="AL88" s="138" t="s">
        <v>125</v>
      </c>
      <c r="AM88" s="138">
        <v>0</v>
      </c>
      <c r="AN88" s="141">
        <v>6</v>
      </c>
      <c r="AO88" s="138"/>
      <c r="AP88" s="141"/>
      <c r="AQ88" s="28"/>
      <c r="AR88" s="28">
        <v>50</v>
      </c>
      <c r="AS88" s="28" t="s">
        <v>126</v>
      </c>
      <c r="AT88" s="28"/>
      <c r="AU88" s="141"/>
      <c r="AW88" t="s">
        <v>6</v>
      </c>
      <c r="AY88" s="138" t="s">
        <v>67</v>
      </c>
      <c r="AZ88" s="138">
        <v>8</v>
      </c>
      <c r="BA88" s="141">
        <v>17</v>
      </c>
      <c r="BB88" s="138">
        <v>0</v>
      </c>
      <c r="BC88" s="141">
        <v>0</v>
      </c>
      <c r="BD88" s="138"/>
      <c r="BE88" s="43" t="s">
        <v>1353</v>
      </c>
      <c r="BF88" s="43"/>
      <c r="BG88" s="43"/>
      <c r="BH88" s="141"/>
    </row>
    <row r="89" spans="2:60" ht="15" thickBot="1" x14ac:dyDescent="0.35">
      <c r="B89" s="36" t="s">
        <v>78</v>
      </c>
      <c r="C89" s="36">
        <v>69</v>
      </c>
      <c r="D89" s="37">
        <v>67</v>
      </c>
      <c r="E89" s="42"/>
      <c r="F89" s="11"/>
      <c r="G89" s="18"/>
      <c r="H89" s="37"/>
      <c r="I89" s="18"/>
      <c r="J89" s="37"/>
      <c r="K89" s="11"/>
      <c r="L89" s="28"/>
      <c r="M89" s="62" t="s">
        <v>6</v>
      </c>
      <c r="N89" s="43"/>
      <c r="O89" s="43"/>
      <c r="P89" s="47"/>
      <c r="Q89" s="49"/>
      <c r="R89" s="47"/>
      <c r="S89" s="48">
        <v>79</v>
      </c>
      <c r="T89" s="48" t="s">
        <v>73</v>
      </c>
      <c r="U89" s="48"/>
      <c r="V89" s="49">
        <f>SUM(S89)</f>
        <v>79</v>
      </c>
      <c r="W89" s="28"/>
      <c r="X89" s="138" t="s">
        <v>536</v>
      </c>
      <c r="Y89" s="138">
        <v>5</v>
      </c>
      <c r="Z89" s="141">
        <v>5</v>
      </c>
      <c r="AA89" s="138"/>
      <c r="AB89" s="141"/>
      <c r="AC89" s="28"/>
      <c r="AD89" s="28"/>
      <c r="AE89" s="28"/>
      <c r="AF89" s="28"/>
      <c r="AG89" s="141"/>
      <c r="AL89" s="138" t="s">
        <v>128</v>
      </c>
      <c r="AM89" s="138">
        <v>0</v>
      </c>
      <c r="AN89" s="141">
        <v>0</v>
      </c>
      <c r="AO89" s="138"/>
      <c r="AP89" s="141"/>
      <c r="AQ89" s="28"/>
      <c r="AR89" s="28">
        <v>30</v>
      </c>
      <c r="AS89" s="28" t="s">
        <v>129</v>
      </c>
      <c r="AT89" s="28"/>
      <c r="AU89" s="141"/>
      <c r="AW89" t="s">
        <v>6</v>
      </c>
      <c r="AY89" s="138" t="s">
        <v>1354</v>
      </c>
      <c r="AZ89" s="138">
        <v>0</v>
      </c>
      <c r="BA89" s="141">
        <v>0</v>
      </c>
      <c r="BB89" s="138">
        <v>0</v>
      </c>
      <c r="BC89" s="141">
        <v>0</v>
      </c>
      <c r="BD89" s="138"/>
      <c r="BE89" s="43" t="s">
        <v>1355</v>
      </c>
      <c r="BF89" s="43"/>
      <c r="BG89" s="43"/>
      <c r="BH89" s="141"/>
    </row>
    <row r="90" spans="2:60" x14ac:dyDescent="0.3">
      <c r="B90" s="10" t="s">
        <v>122</v>
      </c>
      <c r="C90" s="36">
        <v>53</v>
      </c>
      <c r="D90" s="37">
        <v>39</v>
      </c>
      <c r="E90" s="42"/>
      <c r="F90" s="11"/>
      <c r="G90" s="18"/>
      <c r="H90" s="18">
        <v>25</v>
      </c>
      <c r="I90" s="18" t="s">
        <v>123</v>
      </c>
      <c r="J90" s="18"/>
      <c r="K90" s="11"/>
      <c r="L90" s="28"/>
      <c r="M90" s="10"/>
      <c r="N90" s="29"/>
      <c r="O90" s="31"/>
      <c r="P90" s="33"/>
      <c r="Q90" s="7"/>
      <c r="R90" s="8"/>
      <c r="S90" s="8"/>
      <c r="T90" s="8"/>
      <c r="U90" s="8"/>
      <c r="V90" s="7"/>
      <c r="W90" s="28"/>
      <c r="X90" s="138" t="s">
        <v>67</v>
      </c>
      <c r="Y90" s="138">
        <v>39</v>
      </c>
      <c r="Z90" s="141">
        <v>51</v>
      </c>
      <c r="AA90" s="138"/>
      <c r="AB90" s="141"/>
      <c r="AC90" s="28"/>
      <c r="AD90" s="28"/>
      <c r="AE90" s="28"/>
      <c r="AF90" s="28"/>
      <c r="AG90" s="141"/>
      <c r="AL90" s="138" t="s">
        <v>132</v>
      </c>
      <c r="AM90" s="138">
        <v>0</v>
      </c>
      <c r="AN90" s="141">
        <v>0</v>
      </c>
      <c r="AO90" s="138"/>
      <c r="AP90" s="141"/>
      <c r="AQ90" s="28"/>
      <c r="AR90" s="28"/>
      <c r="AS90" s="28"/>
      <c r="AT90" s="28"/>
      <c r="AU90" s="141"/>
      <c r="AY90" s="138" t="s">
        <v>115</v>
      </c>
      <c r="AZ90" s="138">
        <v>26</v>
      </c>
      <c r="BA90" s="141">
        <v>26</v>
      </c>
      <c r="BB90" s="138">
        <v>0</v>
      </c>
      <c r="BC90" s="141">
        <v>0</v>
      </c>
      <c r="BD90" s="138"/>
      <c r="BE90" s="43" t="s">
        <v>333</v>
      </c>
      <c r="BF90" s="43"/>
      <c r="BG90" s="43"/>
      <c r="BH90" s="141"/>
    </row>
    <row r="91" spans="2:60" x14ac:dyDescent="0.3">
      <c r="B91" s="10" t="s">
        <v>125</v>
      </c>
      <c r="C91" s="36">
        <v>16</v>
      </c>
      <c r="D91" s="37">
        <v>25</v>
      </c>
      <c r="E91" s="42"/>
      <c r="F91" s="11"/>
      <c r="G91" s="18"/>
      <c r="H91" s="18">
        <v>38</v>
      </c>
      <c r="I91" s="18" t="s">
        <v>126</v>
      </c>
      <c r="J91" s="18"/>
      <c r="K91" s="11"/>
      <c r="L91" s="28"/>
      <c r="M91" s="36" t="s">
        <v>63</v>
      </c>
      <c r="N91" s="10">
        <v>91</v>
      </c>
      <c r="O91" s="18">
        <v>112</v>
      </c>
      <c r="P91" s="42"/>
      <c r="Q91" s="11"/>
      <c r="R91" s="18"/>
      <c r="S91" s="18" t="s">
        <v>110</v>
      </c>
      <c r="T91" s="18" t="s">
        <v>111</v>
      </c>
      <c r="U91" s="18" t="s">
        <v>112</v>
      </c>
      <c r="V91" s="11"/>
      <c r="W91" s="45"/>
      <c r="X91" s="142" t="s">
        <v>84</v>
      </c>
      <c r="Y91" s="142">
        <f>SUM(Y79:Y90)</f>
        <v>339</v>
      </c>
      <c r="Z91" s="146">
        <f>SUM(Z79:Z90)</f>
        <v>293</v>
      </c>
      <c r="AA91" s="142"/>
      <c r="AB91" s="146">
        <v>0</v>
      </c>
      <c r="AC91" s="143"/>
      <c r="AD91" s="143"/>
      <c r="AE91" s="143"/>
      <c r="AF91" s="143"/>
      <c r="AG91" s="146">
        <f>SUM(AD83:AD85)</f>
        <v>100</v>
      </c>
      <c r="AL91" s="138" t="s">
        <v>81</v>
      </c>
      <c r="AM91" s="138">
        <v>12</v>
      </c>
      <c r="AN91" s="141">
        <v>11</v>
      </c>
      <c r="AO91" s="138"/>
      <c r="AP91" s="141"/>
      <c r="AQ91" s="28"/>
      <c r="AR91" s="28"/>
      <c r="AS91" s="28"/>
      <c r="AT91" s="28"/>
      <c r="AU91" s="141"/>
      <c r="AW91" t="s">
        <v>6</v>
      </c>
      <c r="AY91" s="138" t="s">
        <v>230</v>
      </c>
      <c r="AZ91" s="138">
        <v>0</v>
      </c>
      <c r="BA91" s="141">
        <v>0</v>
      </c>
      <c r="BB91" s="138">
        <v>0</v>
      </c>
      <c r="BC91" s="141">
        <v>0</v>
      </c>
      <c r="BD91" s="138"/>
      <c r="BE91" s="43" t="s">
        <v>1356</v>
      </c>
      <c r="BF91" s="43"/>
      <c r="BG91" s="43"/>
      <c r="BH91" s="141"/>
    </row>
    <row r="92" spans="2:60" x14ac:dyDescent="0.3">
      <c r="B92" s="84" t="s">
        <v>128</v>
      </c>
      <c r="C92" s="52">
        <v>17</v>
      </c>
      <c r="D92" s="37">
        <v>13</v>
      </c>
      <c r="E92" s="42"/>
      <c r="F92" s="40"/>
      <c r="G92" s="28"/>
      <c r="H92" s="28">
        <v>43</v>
      </c>
      <c r="I92" s="28" t="s">
        <v>129</v>
      </c>
      <c r="J92" s="28"/>
      <c r="K92" s="40"/>
      <c r="M92" s="10" t="s">
        <v>115</v>
      </c>
      <c r="N92" s="36">
        <v>43</v>
      </c>
      <c r="O92" s="37">
        <v>13</v>
      </c>
      <c r="P92" s="42"/>
      <c r="Q92" s="11"/>
      <c r="R92" s="18"/>
      <c r="S92" s="18"/>
      <c r="T92" s="18"/>
      <c r="U92" s="18"/>
      <c r="V92" s="11"/>
      <c r="W92" s="28"/>
      <c r="X92" s="134"/>
      <c r="Y92" s="134"/>
      <c r="Z92" s="136"/>
      <c r="AA92" s="134"/>
      <c r="AB92" s="136"/>
      <c r="AC92" s="135"/>
      <c r="AD92" s="135"/>
      <c r="AE92" s="135"/>
      <c r="AF92" s="135"/>
      <c r="AG92" s="136"/>
      <c r="AL92" s="138" t="s">
        <v>138</v>
      </c>
      <c r="AM92" s="138">
        <v>0</v>
      </c>
      <c r="AN92" s="141">
        <v>0</v>
      </c>
      <c r="AO92" s="138"/>
      <c r="AP92" s="141"/>
      <c r="AQ92" s="28"/>
      <c r="AR92" s="28"/>
      <c r="AS92" s="28"/>
      <c r="AT92" s="28"/>
      <c r="AU92" s="141"/>
      <c r="AY92" s="138" t="s">
        <v>81</v>
      </c>
      <c r="AZ92" s="138">
        <v>19</v>
      </c>
      <c r="BA92" s="141">
        <v>23</v>
      </c>
      <c r="BB92" s="138">
        <v>0</v>
      </c>
      <c r="BC92" s="141">
        <v>0</v>
      </c>
      <c r="BD92" s="138"/>
      <c r="BE92" s="43" t="s">
        <v>320</v>
      </c>
      <c r="BF92" s="43"/>
      <c r="BG92" s="43"/>
      <c r="BH92" s="141"/>
    </row>
    <row r="93" spans="2:60" x14ac:dyDescent="0.3">
      <c r="B93" s="84" t="s">
        <v>132</v>
      </c>
      <c r="C93" s="42">
        <v>0</v>
      </c>
      <c r="D93" s="37">
        <v>0</v>
      </c>
      <c r="E93" s="42"/>
      <c r="F93" s="40"/>
      <c r="G93" s="28"/>
      <c r="H93" s="28"/>
      <c r="I93" s="28"/>
      <c r="J93" s="28"/>
      <c r="K93" s="40"/>
      <c r="L93" s="28"/>
      <c r="M93" s="52" t="s">
        <v>72</v>
      </c>
      <c r="N93" s="52">
        <v>18</v>
      </c>
      <c r="O93" s="54">
        <v>19</v>
      </c>
      <c r="P93" s="42"/>
      <c r="Q93" s="40"/>
      <c r="R93" s="28"/>
      <c r="S93" s="28"/>
      <c r="T93" s="28"/>
      <c r="U93" s="28"/>
      <c r="V93" s="40"/>
      <c r="W93" s="28"/>
      <c r="X93" s="138" t="s">
        <v>63</v>
      </c>
      <c r="Y93" s="138">
        <v>3</v>
      </c>
      <c r="Z93" s="141">
        <v>3</v>
      </c>
      <c r="AA93" s="138"/>
      <c r="AB93" s="141"/>
      <c r="AC93" s="28"/>
      <c r="AD93" s="28"/>
      <c r="AE93" s="28"/>
      <c r="AF93" s="28"/>
      <c r="AG93" s="141"/>
      <c r="AL93" s="138" t="s">
        <v>56</v>
      </c>
      <c r="AM93" s="138">
        <v>0</v>
      </c>
      <c r="AN93" s="141">
        <v>0</v>
      </c>
      <c r="AO93" s="138"/>
      <c r="AP93" s="141"/>
      <c r="AQ93" s="28"/>
      <c r="AR93" s="28"/>
      <c r="AS93" s="28"/>
      <c r="AT93" s="28"/>
      <c r="AU93" s="141"/>
      <c r="AY93" s="138" t="s">
        <v>122</v>
      </c>
      <c r="AZ93" s="138">
        <v>21</v>
      </c>
      <c r="BA93" s="141">
        <v>8</v>
      </c>
      <c r="BB93" s="138">
        <v>0</v>
      </c>
      <c r="BC93" s="141">
        <v>0</v>
      </c>
      <c r="BD93" s="138"/>
      <c r="BE93" s="43" t="s">
        <v>1358</v>
      </c>
      <c r="BF93" s="43"/>
      <c r="BG93" s="28"/>
      <c r="BH93" s="141"/>
    </row>
    <row r="94" spans="2:60" x14ac:dyDescent="0.3">
      <c r="B94" s="84" t="s">
        <v>81</v>
      </c>
      <c r="C94" s="42">
        <v>10</v>
      </c>
      <c r="D94" s="37">
        <v>6</v>
      </c>
      <c r="E94" s="42"/>
      <c r="F94" s="40"/>
      <c r="G94" s="28"/>
      <c r="H94" s="28"/>
      <c r="I94" s="28"/>
      <c r="J94" s="28"/>
      <c r="K94" s="40"/>
      <c r="L94" s="28"/>
      <c r="M94" s="36" t="s">
        <v>78</v>
      </c>
      <c r="N94" s="36">
        <v>65</v>
      </c>
      <c r="O94" s="37">
        <v>70</v>
      </c>
      <c r="P94" s="42"/>
      <c r="Q94" s="11"/>
      <c r="R94" s="18"/>
      <c r="S94" s="37"/>
      <c r="T94" s="18"/>
      <c r="U94" s="37"/>
      <c r="V94" s="11"/>
      <c r="W94" s="28"/>
      <c r="X94" s="138" t="s">
        <v>536</v>
      </c>
      <c r="Y94" s="138">
        <v>0</v>
      </c>
      <c r="Z94" s="141">
        <v>0</v>
      </c>
      <c r="AA94" s="138"/>
      <c r="AB94" s="141"/>
      <c r="AC94" s="28"/>
      <c r="AD94" s="28"/>
      <c r="AE94" s="28"/>
      <c r="AF94" s="28"/>
      <c r="AG94" s="141"/>
      <c r="AL94" s="138" t="s">
        <v>67</v>
      </c>
      <c r="AM94" s="138">
        <v>72</v>
      </c>
      <c r="AN94" s="141">
        <v>72</v>
      </c>
      <c r="AO94" s="138"/>
      <c r="AP94" s="141"/>
      <c r="AQ94" s="28"/>
      <c r="AR94" s="28"/>
      <c r="AS94" s="28"/>
      <c r="AT94" s="28"/>
      <c r="AU94" s="141"/>
      <c r="AY94" s="138" t="s">
        <v>63</v>
      </c>
      <c r="AZ94" s="138">
        <v>73</v>
      </c>
      <c r="BA94" s="141">
        <v>68</v>
      </c>
      <c r="BB94" s="138">
        <v>0</v>
      </c>
      <c r="BC94" s="141">
        <v>0</v>
      </c>
      <c r="BD94" s="138"/>
      <c r="BE94" s="43" t="s">
        <v>1360</v>
      </c>
      <c r="BF94" s="43"/>
      <c r="BG94" s="28"/>
      <c r="BH94" s="141"/>
    </row>
    <row r="95" spans="2:60" ht="15" thickBot="1" x14ac:dyDescent="0.35">
      <c r="B95" s="10" t="s">
        <v>138</v>
      </c>
      <c r="C95" s="36">
        <v>0</v>
      </c>
      <c r="D95" s="37">
        <v>0</v>
      </c>
      <c r="E95" s="42"/>
      <c r="F95" s="11"/>
      <c r="G95" s="18"/>
      <c r="H95" s="18"/>
      <c r="I95" s="18"/>
      <c r="J95" s="18"/>
      <c r="K95" s="11"/>
      <c r="L95" s="28"/>
      <c r="M95" s="10" t="s">
        <v>122</v>
      </c>
      <c r="N95" s="36">
        <v>57</v>
      </c>
      <c r="O95" s="37">
        <v>56</v>
      </c>
      <c r="P95" s="42"/>
      <c r="Q95" s="11"/>
      <c r="R95" s="18"/>
      <c r="S95" s="18">
        <v>47</v>
      </c>
      <c r="T95" s="18" t="s">
        <v>123</v>
      </c>
      <c r="U95" s="18"/>
      <c r="V95" s="11"/>
      <c r="W95" s="28"/>
      <c r="X95" s="138" t="s">
        <v>56</v>
      </c>
      <c r="Y95" s="138">
        <v>0</v>
      </c>
      <c r="Z95" s="141">
        <v>9</v>
      </c>
      <c r="AA95" s="138"/>
      <c r="AB95" s="141"/>
      <c r="AC95" s="28"/>
      <c r="AD95" s="28" t="s">
        <v>173</v>
      </c>
      <c r="AE95" s="28"/>
      <c r="AF95" s="28"/>
      <c r="AG95" s="141"/>
      <c r="AL95" s="142" t="s">
        <v>84</v>
      </c>
      <c r="AM95" s="142">
        <f>SUM(AM83:AM94)</f>
        <v>377</v>
      </c>
      <c r="AN95" s="146">
        <f>SUM(AN83:AN94)</f>
        <v>327</v>
      </c>
      <c r="AO95" s="142"/>
      <c r="AP95" s="146">
        <v>0</v>
      </c>
      <c r="AQ95" s="143"/>
      <c r="AR95" s="143"/>
      <c r="AS95" s="143"/>
      <c r="AT95" s="143"/>
      <c r="AU95" s="146">
        <f>SUM(AR87:AR89)</f>
        <v>115</v>
      </c>
      <c r="AY95" s="138" t="s">
        <v>84</v>
      </c>
      <c r="AZ95" s="138">
        <f>SUM(AZ85:AZ94)</f>
        <v>343</v>
      </c>
      <c r="BA95" s="141">
        <f>SUM(BA85:BA94)</f>
        <v>296</v>
      </c>
      <c r="BB95" s="138">
        <v>0</v>
      </c>
      <c r="BC95" s="141">
        <v>0</v>
      </c>
      <c r="BD95" s="142"/>
      <c r="BE95" s="224" t="s">
        <v>1364</v>
      </c>
      <c r="BF95" s="224"/>
      <c r="BG95" s="143"/>
      <c r="BH95" s="146">
        <v>199</v>
      </c>
    </row>
    <row r="96" spans="2:60" ht="15" thickBot="1" x14ac:dyDescent="0.35">
      <c r="B96" s="84" t="s">
        <v>56</v>
      </c>
      <c r="C96" s="42">
        <v>7</v>
      </c>
      <c r="D96" s="54">
        <v>4</v>
      </c>
      <c r="E96" s="42"/>
      <c r="F96" s="40"/>
      <c r="G96" s="28"/>
      <c r="H96" s="28"/>
      <c r="I96" s="28"/>
      <c r="J96" s="28"/>
      <c r="K96" s="40"/>
      <c r="L96" s="28"/>
      <c r="M96" s="10" t="s">
        <v>125</v>
      </c>
      <c r="N96" s="36">
        <v>13</v>
      </c>
      <c r="O96" s="37">
        <v>14</v>
      </c>
      <c r="P96" s="42"/>
      <c r="Q96" s="11"/>
      <c r="R96" s="18"/>
      <c r="S96" s="18">
        <v>43</v>
      </c>
      <c r="T96" s="18" t="s">
        <v>126</v>
      </c>
      <c r="U96" s="18"/>
      <c r="V96" s="11"/>
      <c r="W96" s="28"/>
      <c r="X96" s="138" t="s">
        <v>67</v>
      </c>
      <c r="Y96" s="138">
        <v>2</v>
      </c>
      <c r="Z96" s="141">
        <v>12</v>
      </c>
      <c r="AA96" s="138"/>
      <c r="AB96" s="141"/>
      <c r="AC96" s="28"/>
      <c r="AD96" s="28"/>
      <c r="AE96" s="28"/>
      <c r="AF96" s="28"/>
      <c r="AG96" s="141"/>
      <c r="AL96" s="134"/>
      <c r="AM96" s="134"/>
      <c r="AN96" s="136"/>
      <c r="AO96" s="134"/>
      <c r="AP96" s="136"/>
      <c r="AQ96" s="135"/>
      <c r="AR96" s="135"/>
      <c r="AS96" s="135"/>
      <c r="AT96" s="135"/>
      <c r="AU96" s="136"/>
      <c r="AY96" s="171" t="s">
        <v>84</v>
      </c>
      <c r="AZ96" s="171">
        <v>1891</v>
      </c>
      <c r="BA96" s="172">
        <v>1886</v>
      </c>
      <c r="BB96" s="170">
        <v>0</v>
      </c>
      <c r="BC96" s="172">
        <v>0</v>
      </c>
      <c r="BD96" s="48"/>
      <c r="BE96" s="48"/>
      <c r="BF96" s="48"/>
      <c r="BG96" s="48"/>
      <c r="BH96" s="49">
        <v>320</v>
      </c>
    </row>
    <row r="97" spans="1:49" x14ac:dyDescent="0.3">
      <c r="B97" s="36" t="s">
        <v>67</v>
      </c>
      <c r="C97" s="10">
        <v>51</v>
      </c>
      <c r="D97" s="18">
        <v>26</v>
      </c>
      <c r="E97" s="42"/>
      <c r="F97" s="11"/>
      <c r="G97" s="18"/>
      <c r="H97" s="18"/>
      <c r="I97" s="18"/>
      <c r="J97" s="18"/>
      <c r="K97" s="11"/>
      <c r="L97" s="28"/>
      <c r="M97" s="84" t="s">
        <v>128</v>
      </c>
      <c r="N97" s="52">
        <v>3</v>
      </c>
      <c r="O97" s="37">
        <v>6</v>
      </c>
      <c r="P97" s="42"/>
      <c r="Q97" s="40"/>
      <c r="R97" s="28"/>
      <c r="S97" s="28">
        <v>14</v>
      </c>
      <c r="T97" s="28" t="s">
        <v>129</v>
      </c>
      <c r="U97" s="28"/>
      <c r="V97" s="40"/>
      <c r="X97" s="138" t="s">
        <v>78</v>
      </c>
      <c r="Y97" s="138">
        <v>0</v>
      </c>
      <c r="Z97" s="141">
        <v>0</v>
      </c>
      <c r="AA97" s="138"/>
      <c r="AB97" s="141"/>
      <c r="AC97" s="28"/>
      <c r="AD97" s="28">
        <v>10</v>
      </c>
      <c r="AE97" s="28" t="s">
        <v>183</v>
      </c>
      <c r="AF97" s="28"/>
      <c r="AG97" s="141"/>
      <c r="AL97" s="138" t="s">
        <v>63</v>
      </c>
      <c r="AM97" s="138">
        <v>0</v>
      </c>
      <c r="AN97" s="141">
        <v>0</v>
      </c>
      <c r="AO97" s="138"/>
      <c r="AP97" s="141"/>
      <c r="AQ97" s="28"/>
      <c r="AR97" s="28"/>
      <c r="AS97" s="28"/>
      <c r="AT97" s="28"/>
      <c r="AU97" s="141"/>
    </row>
    <row r="98" spans="1:49" ht="15" thickBot="1" x14ac:dyDescent="0.35">
      <c r="A98" s="95"/>
      <c r="B98" s="13" t="s">
        <v>84</v>
      </c>
      <c r="C98" s="13">
        <f>SUM(C86:C97)</f>
        <v>308</v>
      </c>
      <c r="D98" s="27">
        <f>SUM(D86:D97)</f>
        <v>310</v>
      </c>
      <c r="E98" s="47"/>
      <c r="F98" s="26">
        <f>SUM(F90:F97)</f>
        <v>0</v>
      </c>
      <c r="G98" s="27"/>
      <c r="H98" s="27"/>
      <c r="I98" s="27"/>
      <c r="J98" s="27"/>
      <c r="K98" s="26">
        <f>SUM(H90:H92)</f>
        <v>106</v>
      </c>
      <c r="L98" s="28"/>
      <c r="M98" s="84" t="s">
        <v>132</v>
      </c>
      <c r="N98" s="42">
        <v>0</v>
      </c>
      <c r="O98" s="37">
        <v>0</v>
      </c>
      <c r="P98" s="42"/>
      <c r="Q98" s="40"/>
      <c r="R98" s="28"/>
      <c r="S98" s="28"/>
      <c r="T98" s="28"/>
      <c r="U98" s="28"/>
      <c r="V98" s="40"/>
      <c r="W98" s="28"/>
      <c r="X98" s="138" t="s">
        <v>115</v>
      </c>
      <c r="Y98" s="138">
        <v>0</v>
      </c>
      <c r="Z98" s="141">
        <v>0</v>
      </c>
      <c r="AA98" s="138"/>
      <c r="AB98" s="141"/>
      <c r="AC98" s="28"/>
      <c r="AD98" s="28" t="s">
        <v>6</v>
      </c>
      <c r="AE98" s="28"/>
      <c r="AF98" s="28"/>
      <c r="AG98" s="141"/>
      <c r="AL98" s="138" t="s">
        <v>536</v>
      </c>
      <c r="AM98" s="138">
        <v>0</v>
      </c>
      <c r="AN98" s="141">
        <v>0</v>
      </c>
      <c r="AO98" s="138"/>
      <c r="AP98" s="141"/>
      <c r="AQ98" s="28"/>
      <c r="AR98" s="28"/>
      <c r="AS98" s="28"/>
      <c r="AT98" s="28"/>
      <c r="AU98" s="141"/>
    </row>
    <row r="99" spans="1:49" x14ac:dyDescent="0.3">
      <c r="B99" s="32"/>
      <c r="C99" s="53"/>
      <c r="D99" s="97"/>
      <c r="E99" s="33"/>
      <c r="F99" s="7"/>
      <c r="G99" s="6"/>
      <c r="H99" s="8"/>
      <c r="I99" s="31"/>
      <c r="J99" s="8"/>
      <c r="K99" s="7"/>
      <c r="L99" s="28"/>
      <c r="M99" s="84" t="s">
        <v>81</v>
      </c>
      <c r="N99" s="42">
        <v>3</v>
      </c>
      <c r="O99" s="37">
        <v>0</v>
      </c>
      <c r="P99" s="42"/>
      <c r="Q99" s="40"/>
      <c r="R99" s="28"/>
      <c r="S99" s="28"/>
      <c r="T99" s="28"/>
      <c r="U99" s="28"/>
      <c r="V99" s="40"/>
      <c r="W99" s="28"/>
      <c r="X99" s="138" t="s">
        <v>72</v>
      </c>
      <c r="Y99" s="138">
        <v>1</v>
      </c>
      <c r="Z99" s="141">
        <v>1</v>
      </c>
      <c r="AA99" s="138"/>
      <c r="AB99" s="141"/>
      <c r="AC99" s="28"/>
      <c r="AD99" s="28"/>
      <c r="AE99" s="28"/>
      <c r="AF99" s="28"/>
      <c r="AG99" s="141"/>
      <c r="AL99" s="138" t="s">
        <v>56</v>
      </c>
      <c r="AM99" s="138">
        <v>0</v>
      </c>
      <c r="AN99" s="141">
        <v>0</v>
      </c>
      <c r="AO99" s="138"/>
      <c r="AP99" s="141"/>
      <c r="AQ99" s="28"/>
      <c r="AR99" s="28" t="s">
        <v>173</v>
      </c>
      <c r="AS99" s="28"/>
      <c r="AT99" s="28"/>
      <c r="AU99" s="141"/>
    </row>
    <row r="100" spans="1:49" ht="15" thickBot="1" x14ac:dyDescent="0.35">
      <c r="B100" s="62"/>
      <c r="C100" s="72"/>
      <c r="D100" s="73"/>
      <c r="E100" s="47"/>
      <c r="F100" s="49"/>
      <c r="G100" s="47"/>
      <c r="H100" s="48"/>
      <c r="I100" s="48"/>
      <c r="J100" s="48"/>
      <c r="K100" s="49"/>
      <c r="L100" s="28"/>
      <c r="M100" s="10" t="s">
        <v>138</v>
      </c>
      <c r="N100" s="36">
        <v>0</v>
      </c>
      <c r="O100" s="37">
        <v>0</v>
      </c>
      <c r="P100" s="42"/>
      <c r="Q100" s="11"/>
      <c r="R100" s="18"/>
      <c r="S100" s="18"/>
      <c r="T100" s="18"/>
      <c r="U100" s="18"/>
      <c r="V100" s="11"/>
      <c r="W100" s="28"/>
      <c r="X100" s="142" t="s">
        <v>84</v>
      </c>
      <c r="Y100" s="142">
        <f>SUM(Y93:Y99)</f>
        <v>6</v>
      </c>
      <c r="Z100" s="146">
        <f>SUM(Z93:Z99)</f>
        <v>25</v>
      </c>
      <c r="AA100" s="142"/>
      <c r="AB100" s="146"/>
      <c r="AC100" s="143"/>
      <c r="AD100" s="143"/>
      <c r="AE100" s="143"/>
      <c r="AF100" s="143"/>
      <c r="AG100" s="146">
        <f>SUM(AD97)</f>
        <v>10</v>
      </c>
      <c r="AL100" s="138" t="s">
        <v>67</v>
      </c>
      <c r="AM100" s="138">
        <v>0</v>
      </c>
      <c r="AN100" s="141">
        <v>0</v>
      </c>
      <c r="AO100" s="138"/>
      <c r="AP100" s="141"/>
      <c r="AQ100" s="28"/>
      <c r="AR100" s="28"/>
      <c r="AS100" s="28"/>
      <c r="AT100" s="28"/>
      <c r="AU100" s="141"/>
    </row>
    <row r="101" spans="1:49" x14ac:dyDescent="0.3">
      <c r="B101" s="67" t="s">
        <v>63</v>
      </c>
      <c r="C101" s="33">
        <v>12</v>
      </c>
      <c r="D101" s="35">
        <v>3</v>
      </c>
      <c r="G101" s="33"/>
      <c r="H101" s="34"/>
      <c r="I101" s="34"/>
      <c r="J101" s="34"/>
      <c r="K101" s="35"/>
      <c r="L101" s="28"/>
      <c r="M101" s="84" t="s">
        <v>56</v>
      </c>
      <c r="N101" s="42">
        <v>31</v>
      </c>
      <c r="O101" s="54">
        <v>26</v>
      </c>
      <c r="P101" s="42"/>
      <c r="Q101" s="40"/>
      <c r="R101" s="28"/>
      <c r="S101" s="28"/>
      <c r="T101" s="28"/>
      <c r="U101" s="28"/>
      <c r="V101" s="40"/>
      <c r="W101" s="28"/>
      <c r="X101" s="134"/>
      <c r="Y101" s="134"/>
      <c r="Z101" s="136"/>
      <c r="AA101" s="134"/>
      <c r="AB101" s="136"/>
      <c r="AC101" s="135"/>
      <c r="AD101" s="135"/>
      <c r="AE101" s="135"/>
      <c r="AF101" s="135"/>
      <c r="AG101" s="136"/>
      <c r="AL101" s="138" t="s">
        <v>78</v>
      </c>
      <c r="AM101" s="138">
        <v>0</v>
      </c>
      <c r="AN101" s="141">
        <v>0</v>
      </c>
      <c r="AO101" s="138"/>
      <c r="AP101" s="141"/>
      <c r="AQ101" s="28"/>
      <c r="AR101" s="28">
        <v>0</v>
      </c>
      <c r="AS101" s="28" t="s">
        <v>183</v>
      </c>
      <c r="AT101" s="28"/>
      <c r="AU101" s="141"/>
      <c r="AW101" t="s">
        <v>6</v>
      </c>
    </row>
    <row r="102" spans="1:49" x14ac:dyDescent="0.3">
      <c r="B102" s="67" t="s">
        <v>168</v>
      </c>
      <c r="C102" s="42">
        <v>0</v>
      </c>
      <c r="D102" s="40">
        <v>0</v>
      </c>
      <c r="G102" s="42"/>
      <c r="H102" s="28"/>
      <c r="I102" s="28"/>
      <c r="J102" s="28"/>
      <c r="K102" s="40"/>
      <c r="L102" s="28"/>
      <c r="M102" s="36" t="s">
        <v>67</v>
      </c>
      <c r="N102" s="10">
        <v>21</v>
      </c>
      <c r="O102" s="18">
        <v>19</v>
      </c>
      <c r="P102" s="42"/>
      <c r="Q102" s="11"/>
      <c r="R102" s="18"/>
      <c r="S102" s="18"/>
      <c r="T102" s="18"/>
      <c r="U102" s="18"/>
      <c r="V102" s="11"/>
      <c r="W102" s="28"/>
      <c r="X102" s="138" t="s">
        <v>63</v>
      </c>
      <c r="Y102" s="138">
        <v>15</v>
      </c>
      <c r="Z102" s="141">
        <v>27</v>
      </c>
      <c r="AA102" s="138"/>
      <c r="AB102" s="141"/>
      <c r="AC102" s="28"/>
      <c r="AD102" s="28" t="s">
        <v>140</v>
      </c>
      <c r="AE102" s="28"/>
      <c r="AF102" s="28"/>
      <c r="AG102" s="141"/>
      <c r="AJ102" t="s">
        <v>6</v>
      </c>
      <c r="AL102" s="138" t="s">
        <v>115</v>
      </c>
      <c r="AM102" s="138">
        <v>0</v>
      </c>
      <c r="AN102" s="141">
        <v>0</v>
      </c>
      <c r="AO102" s="138"/>
      <c r="AP102" s="141"/>
      <c r="AQ102" s="28"/>
      <c r="AR102" s="28" t="s">
        <v>6</v>
      </c>
      <c r="AS102" s="28"/>
      <c r="AT102" s="28"/>
      <c r="AU102" s="141"/>
    </row>
    <row r="103" spans="1:49" ht="15" thickBot="1" x14ac:dyDescent="0.35">
      <c r="B103" s="52" t="s">
        <v>56</v>
      </c>
      <c r="C103" s="52">
        <v>1</v>
      </c>
      <c r="D103" s="85">
        <v>1</v>
      </c>
      <c r="E103" s="28"/>
      <c r="F103" s="28"/>
      <c r="G103" s="42"/>
      <c r="H103" s="28" t="s">
        <v>173</v>
      </c>
      <c r="I103" s="28"/>
      <c r="J103" s="28"/>
      <c r="K103" s="40"/>
      <c r="L103" s="28"/>
      <c r="M103" s="13" t="s">
        <v>84</v>
      </c>
      <c r="N103" s="13">
        <f>SUM(N91:N102)</f>
        <v>345</v>
      </c>
      <c r="O103" s="27">
        <f>SUM(O91:O102)</f>
        <v>335</v>
      </c>
      <c r="P103" s="47"/>
      <c r="Q103" s="26">
        <f>SUM(Q95:Q102)</f>
        <v>0</v>
      </c>
      <c r="R103" s="27"/>
      <c r="S103" s="27"/>
      <c r="T103" s="27"/>
      <c r="U103" s="27"/>
      <c r="V103" s="26">
        <f>SUM(S95:S97)</f>
        <v>104</v>
      </c>
      <c r="W103" s="28"/>
      <c r="X103" s="138" t="s">
        <v>78</v>
      </c>
      <c r="Y103" s="138">
        <v>39</v>
      </c>
      <c r="Z103" s="141">
        <v>35</v>
      </c>
      <c r="AA103" s="138"/>
      <c r="AB103" s="141"/>
      <c r="AC103" s="28"/>
      <c r="AD103" s="28">
        <v>20</v>
      </c>
      <c r="AE103" s="28" t="s">
        <v>204</v>
      </c>
      <c r="AF103" s="28"/>
      <c r="AG103" s="141"/>
      <c r="AL103" s="138" t="s">
        <v>72</v>
      </c>
      <c r="AM103" s="138">
        <v>0</v>
      </c>
      <c r="AN103" s="141">
        <v>0</v>
      </c>
      <c r="AO103" s="138"/>
      <c r="AP103" s="141"/>
      <c r="AQ103" s="28"/>
      <c r="AR103" s="28"/>
      <c r="AS103" s="28"/>
      <c r="AT103" s="28"/>
      <c r="AU103" s="141"/>
    </row>
    <row r="104" spans="1:49" x14ac:dyDescent="0.3">
      <c r="B104" s="52" t="s">
        <v>67</v>
      </c>
      <c r="C104" s="52">
        <v>4</v>
      </c>
      <c r="D104" s="56">
        <v>6</v>
      </c>
      <c r="G104" s="42"/>
      <c r="H104" s="28"/>
      <c r="I104" s="28"/>
      <c r="J104" s="28"/>
      <c r="K104" s="40"/>
      <c r="L104" s="28"/>
      <c r="M104" s="32"/>
      <c r="N104" s="53"/>
      <c r="O104" s="97"/>
      <c r="P104" s="33"/>
      <c r="Q104" s="7"/>
      <c r="R104" s="6"/>
      <c r="S104" s="8"/>
      <c r="T104" s="31"/>
      <c r="U104" s="8"/>
      <c r="V104" s="7"/>
      <c r="W104" s="28"/>
      <c r="X104" s="138" t="s">
        <v>209</v>
      </c>
      <c r="Y104" s="138">
        <v>0</v>
      </c>
      <c r="Z104" s="141">
        <v>0</v>
      </c>
      <c r="AA104" s="138"/>
      <c r="AB104" s="141"/>
      <c r="AC104" s="28"/>
      <c r="AD104" s="28">
        <v>2</v>
      </c>
      <c r="AE104" s="28" t="s">
        <v>210</v>
      </c>
      <c r="AF104" s="28" t="s">
        <v>6</v>
      </c>
      <c r="AG104" s="141"/>
      <c r="AL104" s="142" t="s">
        <v>84</v>
      </c>
      <c r="AM104" s="142">
        <f>SUM(AM97:AM103)</f>
        <v>0</v>
      </c>
      <c r="AN104" s="146">
        <f>SUM(AN97:AN103)</f>
        <v>0</v>
      </c>
      <c r="AO104" s="142"/>
      <c r="AP104" s="146"/>
      <c r="AQ104" s="143"/>
      <c r="AR104" s="143"/>
      <c r="AS104" s="143"/>
      <c r="AT104" s="143"/>
      <c r="AU104" s="146">
        <f>SUM(AR101)</f>
        <v>0</v>
      </c>
    </row>
    <row r="105" spans="1:49" ht="15" thickBot="1" x14ac:dyDescent="0.35">
      <c r="B105" s="10" t="s">
        <v>78</v>
      </c>
      <c r="C105" s="52">
        <v>5</v>
      </c>
      <c r="D105" s="85">
        <v>5</v>
      </c>
      <c r="E105" s="28"/>
      <c r="F105" s="28"/>
      <c r="G105" s="42"/>
      <c r="H105" s="28">
        <v>15</v>
      </c>
      <c r="I105" s="28" t="s">
        <v>183</v>
      </c>
      <c r="J105" s="28"/>
      <c r="K105" s="40"/>
      <c r="L105" s="37"/>
      <c r="M105" s="62"/>
      <c r="N105" s="72"/>
      <c r="O105" s="73"/>
      <c r="P105" s="47"/>
      <c r="Q105" s="49"/>
      <c r="R105" s="47"/>
      <c r="S105" s="48"/>
      <c r="T105" s="48"/>
      <c r="U105" s="48"/>
      <c r="V105" s="49"/>
      <c r="W105" s="28"/>
      <c r="X105" s="138" t="s">
        <v>168</v>
      </c>
      <c r="Y105" s="138">
        <v>0</v>
      </c>
      <c r="Z105" s="141">
        <v>0</v>
      </c>
      <c r="AA105" s="138"/>
      <c r="AB105" s="141"/>
      <c r="AC105" s="28"/>
      <c r="AD105" s="28">
        <v>15</v>
      </c>
      <c r="AE105" s="28" t="s">
        <v>213</v>
      </c>
      <c r="AF105" s="28" t="s">
        <v>6</v>
      </c>
      <c r="AG105" s="141"/>
      <c r="AL105" s="134"/>
      <c r="AM105" s="134"/>
      <c r="AN105" s="136"/>
      <c r="AO105" s="134"/>
      <c r="AP105" s="136"/>
      <c r="AQ105" s="135"/>
      <c r="AR105" s="135"/>
      <c r="AS105" s="135"/>
      <c r="AT105" s="135"/>
      <c r="AU105" s="136"/>
    </row>
    <row r="106" spans="1:49" x14ac:dyDescent="0.3">
      <c r="B106" s="52" t="s">
        <v>81</v>
      </c>
      <c r="C106" s="52">
        <v>1</v>
      </c>
      <c r="D106" s="85">
        <v>1</v>
      </c>
      <c r="E106" s="28"/>
      <c r="F106" s="28"/>
      <c r="G106" s="42"/>
      <c r="H106" s="28" t="s">
        <v>6</v>
      </c>
      <c r="I106" s="28"/>
      <c r="J106" s="28"/>
      <c r="K106" s="40"/>
      <c r="L106" s="28"/>
      <c r="M106" s="67" t="s">
        <v>63</v>
      </c>
      <c r="N106" s="33">
        <v>2</v>
      </c>
      <c r="O106" s="35">
        <v>2</v>
      </c>
      <c r="R106" s="33"/>
      <c r="S106" s="34"/>
      <c r="T106" s="34"/>
      <c r="U106" s="34"/>
      <c r="V106" s="35"/>
      <c r="W106" s="28"/>
      <c r="X106" s="138" t="s">
        <v>81</v>
      </c>
      <c r="Y106" s="138">
        <v>11</v>
      </c>
      <c r="Z106" s="141">
        <v>9</v>
      </c>
      <c r="AA106" s="138"/>
      <c r="AB106" s="141"/>
      <c r="AC106" s="28"/>
      <c r="AD106" s="43">
        <v>4</v>
      </c>
      <c r="AE106" s="28" t="s">
        <v>983</v>
      </c>
      <c r="AF106" s="28"/>
      <c r="AG106" s="141" t="s">
        <v>6</v>
      </c>
      <c r="AL106" s="138" t="s">
        <v>63</v>
      </c>
      <c r="AM106" s="138">
        <v>23</v>
      </c>
      <c r="AN106" s="141">
        <v>29</v>
      </c>
      <c r="AO106" s="138"/>
      <c r="AP106" s="141"/>
      <c r="AQ106" s="28"/>
      <c r="AR106" s="28" t="s">
        <v>140</v>
      </c>
      <c r="AS106" s="28"/>
      <c r="AT106" s="28"/>
      <c r="AU106" s="141"/>
    </row>
    <row r="107" spans="1:49" x14ac:dyDescent="0.3">
      <c r="B107" s="52" t="s">
        <v>72</v>
      </c>
      <c r="C107" s="52">
        <v>0</v>
      </c>
      <c r="D107" s="85">
        <v>0</v>
      </c>
      <c r="G107" s="42"/>
      <c r="H107" s="28"/>
      <c r="I107" s="28"/>
      <c r="J107" s="28"/>
      <c r="K107" s="40"/>
      <c r="L107" s="28"/>
      <c r="M107" s="67" t="s">
        <v>536</v>
      </c>
      <c r="N107" s="42">
        <v>0</v>
      </c>
      <c r="O107" s="40">
        <v>0</v>
      </c>
      <c r="R107" s="42"/>
      <c r="S107" s="28"/>
      <c r="T107" s="28"/>
      <c r="U107" s="28"/>
      <c r="V107" s="40"/>
      <c r="W107" s="28"/>
      <c r="X107" s="138" t="s">
        <v>72</v>
      </c>
      <c r="Y107" s="138">
        <v>10</v>
      </c>
      <c r="Z107" s="141">
        <v>24</v>
      </c>
      <c r="AA107" s="138"/>
      <c r="AB107" s="141"/>
      <c r="AC107" s="28"/>
      <c r="AD107" s="43">
        <v>0</v>
      </c>
      <c r="AE107" s="28" t="s">
        <v>216</v>
      </c>
      <c r="AF107" s="28"/>
      <c r="AG107" s="141"/>
      <c r="AL107" s="138" t="s">
        <v>78</v>
      </c>
      <c r="AM107" s="138">
        <f>2+58+7</f>
        <v>67</v>
      </c>
      <c r="AN107" s="141">
        <f>4+53+7</f>
        <v>64</v>
      </c>
      <c r="AO107" s="138"/>
      <c r="AP107" s="141"/>
      <c r="AQ107" s="28"/>
      <c r="AR107" s="28"/>
      <c r="AS107" s="28" t="s">
        <v>471</v>
      </c>
      <c r="AT107" s="28"/>
      <c r="AU107" s="141"/>
    </row>
    <row r="108" spans="1:49" ht="15" thickBot="1" x14ac:dyDescent="0.35">
      <c r="B108" s="52" t="s">
        <v>84</v>
      </c>
      <c r="C108" s="47">
        <f>SUM(C101:C107)</f>
        <v>23</v>
      </c>
      <c r="D108" s="49">
        <f>SUM(D101:D107)</f>
        <v>16</v>
      </c>
      <c r="E108" s="28"/>
      <c r="F108" s="28"/>
      <c r="G108" s="47"/>
      <c r="H108" s="48"/>
      <c r="I108" s="48"/>
      <c r="J108" s="48"/>
      <c r="K108" s="49">
        <f>SUM(H105)</f>
        <v>15</v>
      </c>
      <c r="L108" s="28"/>
      <c r="M108" s="52" t="s">
        <v>56</v>
      </c>
      <c r="N108" s="52">
        <v>2</v>
      </c>
      <c r="O108" s="85">
        <v>6</v>
      </c>
      <c r="P108" s="28"/>
      <c r="Q108" s="28"/>
      <c r="R108" s="42"/>
      <c r="S108" s="28" t="s">
        <v>173</v>
      </c>
      <c r="T108" s="28"/>
      <c r="U108" s="28"/>
      <c r="V108" s="40"/>
      <c r="W108" s="28"/>
      <c r="X108" s="138" t="s">
        <v>115</v>
      </c>
      <c r="Y108" s="138">
        <v>31</v>
      </c>
      <c r="Z108" s="141">
        <v>42</v>
      </c>
      <c r="AA108" s="138"/>
      <c r="AB108" s="141"/>
      <c r="AC108" s="28"/>
      <c r="AD108" s="43">
        <v>6</v>
      </c>
      <c r="AE108" s="28" t="s">
        <v>217</v>
      </c>
      <c r="AF108" s="28"/>
      <c r="AG108" s="141"/>
      <c r="AL108" s="138" t="s">
        <v>209</v>
      </c>
      <c r="AM108" s="138">
        <v>0</v>
      </c>
      <c r="AN108" s="141">
        <v>0</v>
      </c>
      <c r="AO108" s="138"/>
      <c r="AP108" s="141"/>
      <c r="AQ108" s="28"/>
      <c r="AR108" s="28">
        <v>1</v>
      </c>
      <c r="AS108" s="28" t="s">
        <v>1517</v>
      </c>
      <c r="AT108" s="28"/>
      <c r="AU108" s="141"/>
    </row>
    <row r="109" spans="1:49" x14ac:dyDescent="0.3">
      <c r="B109" s="32" t="s">
        <v>63</v>
      </c>
      <c r="C109" s="123">
        <v>9</v>
      </c>
      <c r="D109" s="123">
        <v>13</v>
      </c>
      <c r="E109" s="33"/>
      <c r="F109" s="7"/>
      <c r="G109" s="6"/>
      <c r="H109" s="34" t="s">
        <v>140</v>
      </c>
      <c r="I109" s="8"/>
      <c r="J109" s="8"/>
      <c r="K109" s="7"/>
      <c r="L109" s="28"/>
      <c r="M109" s="52" t="s">
        <v>67</v>
      </c>
      <c r="N109" s="52">
        <v>7</v>
      </c>
      <c r="O109" s="56">
        <v>7</v>
      </c>
      <c r="R109" s="42"/>
      <c r="S109" s="28"/>
      <c r="T109" s="28"/>
      <c r="U109" s="28"/>
      <c r="V109" s="40"/>
      <c r="W109" s="28"/>
      <c r="X109" s="138" t="s">
        <v>56</v>
      </c>
      <c r="Y109" s="138">
        <v>15</v>
      </c>
      <c r="Z109" s="141">
        <v>26</v>
      </c>
      <c r="AA109" s="138"/>
      <c r="AB109" s="141"/>
      <c r="AC109" s="28"/>
      <c r="AD109" s="43">
        <v>0</v>
      </c>
      <c r="AE109" s="28" t="s">
        <v>967</v>
      </c>
      <c r="AF109" s="28"/>
      <c r="AG109" s="141"/>
      <c r="AL109" s="138" t="s">
        <v>168</v>
      </c>
      <c r="AM109" s="138">
        <v>0</v>
      </c>
      <c r="AN109" s="141">
        <v>0</v>
      </c>
      <c r="AO109" s="138"/>
      <c r="AP109" s="141"/>
      <c r="AQ109" s="28"/>
      <c r="AR109" s="28">
        <f>2+1+17+10</f>
        <v>30</v>
      </c>
      <c r="AS109" s="28" t="s">
        <v>213</v>
      </c>
      <c r="AT109" s="28" t="s">
        <v>6</v>
      </c>
      <c r="AU109" s="141"/>
    </row>
    <row r="110" spans="1:49" x14ac:dyDescent="0.3">
      <c r="B110" s="44" t="s">
        <v>78</v>
      </c>
      <c r="C110" s="37">
        <f>33+4</f>
        <v>37</v>
      </c>
      <c r="D110" s="37">
        <f>23+1+11</f>
        <v>35</v>
      </c>
      <c r="E110" s="42"/>
      <c r="F110" s="11"/>
      <c r="G110" s="10"/>
      <c r="H110" s="37">
        <v>2</v>
      </c>
      <c r="I110" s="37" t="s">
        <v>204</v>
      </c>
      <c r="J110" s="18"/>
      <c r="K110" s="11"/>
      <c r="L110" s="28"/>
      <c r="M110" s="10" t="s">
        <v>78</v>
      </c>
      <c r="N110" s="52">
        <v>0</v>
      </c>
      <c r="O110" s="85">
        <v>1</v>
      </c>
      <c r="P110" s="28"/>
      <c r="Q110" s="28"/>
      <c r="R110" s="42"/>
      <c r="S110" s="28">
        <v>11</v>
      </c>
      <c r="T110" s="28" t="s">
        <v>183</v>
      </c>
      <c r="U110" s="28"/>
      <c r="V110" s="40"/>
      <c r="W110" s="37"/>
      <c r="X110" s="138" t="s">
        <v>138</v>
      </c>
      <c r="Y110" s="138">
        <v>2</v>
      </c>
      <c r="Z110" s="141">
        <v>2</v>
      </c>
      <c r="AA110" s="138"/>
      <c r="AB110" s="141"/>
      <c r="AC110" s="28"/>
      <c r="AD110" s="43">
        <v>11</v>
      </c>
      <c r="AE110" s="28" t="s">
        <v>221</v>
      </c>
      <c r="AF110" s="28"/>
      <c r="AG110" s="141"/>
      <c r="AL110" s="138" t="s">
        <v>81</v>
      </c>
      <c r="AM110" s="138">
        <v>5</v>
      </c>
      <c r="AN110" s="141">
        <v>6</v>
      </c>
      <c r="AO110" s="138"/>
      <c r="AP110" s="141"/>
      <c r="AQ110" s="28"/>
      <c r="AR110" s="28">
        <v>3</v>
      </c>
      <c r="AS110" s="28" t="s">
        <v>123</v>
      </c>
      <c r="AT110" s="28"/>
      <c r="AU110" s="141" t="s">
        <v>6</v>
      </c>
    </row>
    <row r="111" spans="1:49" x14ac:dyDescent="0.3">
      <c r="B111" s="125" t="s">
        <v>209</v>
      </c>
      <c r="C111" s="54">
        <v>0</v>
      </c>
      <c r="D111" s="54">
        <v>0</v>
      </c>
      <c r="E111" s="42"/>
      <c r="F111" s="40"/>
      <c r="G111" s="42"/>
      <c r="H111" s="28">
        <v>1</v>
      </c>
      <c r="I111" s="28" t="s">
        <v>210</v>
      </c>
      <c r="J111" s="28"/>
      <c r="K111" s="40"/>
      <c r="L111" s="28"/>
      <c r="M111" s="52" t="s">
        <v>115</v>
      </c>
      <c r="N111" s="52">
        <v>0</v>
      </c>
      <c r="O111" s="85">
        <v>0</v>
      </c>
      <c r="P111" s="28"/>
      <c r="Q111" s="28"/>
      <c r="R111" s="42"/>
      <c r="S111" s="28" t="s">
        <v>6</v>
      </c>
      <c r="T111" s="28"/>
      <c r="U111" s="28"/>
      <c r="V111" s="40"/>
      <c r="W111" s="28"/>
      <c r="X111" s="138" t="s">
        <v>67</v>
      </c>
      <c r="Y111" s="138">
        <v>20</v>
      </c>
      <c r="Z111" s="141">
        <v>17</v>
      </c>
      <c r="AA111" s="138"/>
      <c r="AB111" s="141"/>
      <c r="AC111" s="28"/>
      <c r="AD111" s="43">
        <v>0</v>
      </c>
      <c r="AE111" s="28" t="s">
        <v>653</v>
      </c>
      <c r="AF111" s="28"/>
      <c r="AG111" s="141"/>
      <c r="AL111" s="138" t="s">
        <v>72</v>
      </c>
      <c r="AM111" s="138">
        <f>2+11+2</f>
        <v>15</v>
      </c>
      <c r="AN111" s="141">
        <f>2+37+6</f>
        <v>45</v>
      </c>
      <c r="AO111" s="138"/>
      <c r="AP111" s="141"/>
      <c r="AQ111" s="28"/>
      <c r="AR111" s="43">
        <v>76</v>
      </c>
      <c r="AS111" s="28" t="s">
        <v>216</v>
      </c>
      <c r="AT111" s="28"/>
      <c r="AU111" s="141"/>
    </row>
    <row r="112" spans="1:49" x14ac:dyDescent="0.3">
      <c r="B112" s="44" t="s">
        <v>168</v>
      </c>
      <c r="C112" s="37">
        <v>0</v>
      </c>
      <c r="D112" s="18">
        <v>0</v>
      </c>
      <c r="E112" s="42"/>
      <c r="F112" s="11"/>
      <c r="G112" s="10"/>
      <c r="H112" s="37">
        <v>34</v>
      </c>
      <c r="I112" s="37" t="s">
        <v>213</v>
      </c>
      <c r="J112" s="18"/>
      <c r="K112" s="11"/>
      <c r="M112" s="52" t="s">
        <v>72</v>
      </c>
      <c r="N112" s="52">
        <v>1</v>
      </c>
      <c r="O112" s="85">
        <v>0</v>
      </c>
      <c r="R112" s="42"/>
      <c r="S112" s="28"/>
      <c r="T112" s="28"/>
      <c r="U112" s="28"/>
      <c r="V112" s="40"/>
      <c r="W112" s="28"/>
      <c r="X112" s="138" t="s">
        <v>122</v>
      </c>
      <c r="Y112" s="138">
        <v>12</v>
      </c>
      <c r="Z112" s="141">
        <v>15</v>
      </c>
      <c r="AA112" s="138"/>
      <c r="AB112" s="141"/>
      <c r="AC112" s="28"/>
      <c r="AD112" s="43">
        <v>0</v>
      </c>
      <c r="AE112" s="28" t="s">
        <v>618</v>
      </c>
      <c r="AF112" s="28"/>
      <c r="AG112" s="141"/>
      <c r="AL112" s="138" t="s">
        <v>115</v>
      </c>
      <c r="AM112" s="138">
        <f>3+11</f>
        <v>14</v>
      </c>
      <c r="AN112" s="141">
        <f>3+8</f>
        <v>11</v>
      </c>
      <c r="AO112" s="138"/>
      <c r="AP112" s="141"/>
      <c r="AQ112" s="28"/>
      <c r="AR112" s="43">
        <v>2</v>
      </c>
      <c r="AS112" s="28" t="s">
        <v>217</v>
      </c>
      <c r="AT112" s="28"/>
      <c r="AU112" s="141"/>
    </row>
    <row r="113" spans="2:56" ht="15" thickBot="1" x14ac:dyDescent="0.35">
      <c r="B113" s="125" t="s">
        <v>81</v>
      </c>
      <c r="C113" s="54">
        <v>7</v>
      </c>
      <c r="D113" s="45">
        <f>5+3</f>
        <v>8</v>
      </c>
      <c r="E113" s="42"/>
      <c r="F113" s="40"/>
      <c r="G113" s="42"/>
      <c r="H113" s="54">
        <v>1</v>
      </c>
      <c r="I113" s="128" t="s">
        <v>215</v>
      </c>
      <c r="J113" s="28"/>
      <c r="K113" s="40" t="s">
        <v>6</v>
      </c>
      <c r="M113" s="52" t="s">
        <v>84</v>
      </c>
      <c r="N113" s="47">
        <f>SUM(N106:N112)</f>
        <v>12</v>
      </c>
      <c r="O113" s="49">
        <f>SUM(O106:O112)</f>
        <v>16</v>
      </c>
      <c r="P113" s="28"/>
      <c r="Q113" s="28"/>
      <c r="R113" s="47"/>
      <c r="S113" s="48"/>
      <c r="T113" s="48"/>
      <c r="U113" s="48"/>
      <c r="V113" s="49">
        <f>SUM(S110)</f>
        <v>11</v>
      </c>
      <c r="W113" s="28"/>
      <c r="X113" s="138" t="s">
        <v>227</v>
      </c>
      <c r="Y113" s="138">
        <v>0</v>
      </c>
      <c r="Z113" s="141">
        <v>0</v>
      </c>
      <c r="AA113" s="138"/>
      <c r="AB113" s="141"/>
      <c r="AC113" s="28"/>
      <c r="AD113" s="43">
        <v>1</v>
      </c>
      <c r="AE113" s="28" t="s">
        <v>352</v>
      </c>
      <c r="AF113" s="28"/>
      <c r="AG113" s="141"/>
      <c r="AL113" s="138" t="s">
        <v>56</v>
      </c>
      <c r="AM113" s="138">
        <f>2+2+5</f>
        <v>9</v>
      </c>
      <c r="AN113" s="141">
        <f>2+4+3</f>
        <v>9</v>
      </c>
      <c r="AO113" s="138"/>
      <c r="AP113" s="141"/>
      <c r="AQ113" s="28"/>
      <c r="AR113" s="43">
        <v>1</v>
      </c>
      <c r="AS113" s="28" t="s">
        <v>1544</v>
      </c>
      <c r="AT113" s="28"/>
      <c r="AU113" s="141"/>
    </row>
    <row r="114" spans="2:56" x14ac:dyDescent="0.3">
      <c r="B114" s="125" t="s">
        <v>72</v>
      </c>
      <c r="C114" s="54">
        <f>9+7+2</f>
        <v>18</v>
      </c>
      <c r="D114" s="45">
        <f>6+6+4+7</f>
        <v>23</v>
      </c>
      <c r="E114" s="42"/>
      <c r="F114" s="40"/>
      <c r="G114" s="42"/>
      <c r="H114" s="54">
        <v>26</v>
      </c>
      <c r="I114" s="54" t="s">
        <v>216</v>
      </c>
      <c r="J114" s="45"/>
      <c r="K114" s="40"/>
      <c r="M114" s="32" t="s">
        <v>63</v>
      </c>
      <c r="N114" s="123">
        <v>6</v>
      </c>
      <c r="O114" s="123">
        <v>7</v>
      </c>
      <c r="P114" s="33"/>
      <c r="Q114" s="7"/>
      <c r="R114" s="6"/>
      <c r="S114" s="34" t="s">
        <v>140</v>
      </c>
      <c r="T114" s="8"/>
      <c r="U114" s="8"/>
      <c r="V114" s="7"/>
      <c r="W114" s="28"/>
      <c r="X114" s="138" t="s">
        <v>230</v>
      </c>
      <c r="Y114" s="138">
        <v>18</v>
      </c>
      <c r="Z114" s="141">
        <v>18</v>
      </c>
      <c r="AA114" s="138"/>
      <c r="AB114" s="141"/>
      <c r="AC114" s="28"/>
      <c r="AD114" s="43">
        <v>6</v>
      </c>
      <c r="AE114" s="28" t="s">
        <v>655</v>
      </c>
      <c r="AF114" s="28"/>
      <c r="AG114" s="141"/>
      <c r="AL114" s="138" t="s">
        <v>138</v>
      </c>
      <c r="AM114" s="138">
        <v>0</v>
      </c>
      <c r="AN114" s="141">
        <v>0</v>
      </c>
      <c r="AO114" s="138"/>
      <c r="AP114" s="141"/>
      <c r="AQ114" s="28"/>
      <c r="AR114" s="43">
        <v>1</v>
      </c>
      <c r="AS114" s="28" t="s">
        <v>221</v>
      </c>
      <c r="AT114" s="28"/>
      <c r="AU114" s="141"/>
    </row>
    <row r="115" spans="2:56" x14ac:dyDescent="0.3">
      <c r="B115" s="125" t="s">
        <v>115</v>
      </c>
      <c r="C115" s="54">
        <v>2</v>
      </c>
      <c r="D115" s="45">
        <v>11</v>
      </c>
      <c r="E115" s="42"/>
      <c r="F115" s="40"/>
      <c r="G115" s="42"/>
      <c r="H115" s="54"/>
      <c r="I115" s="54" t="s">
        <v>217</v>
      </c>
      <c r="J115" s="28"/>
      <c r="K115" s="40"/>
      <c r="M115" s="44" t="s">
        <v>78</v>
      </c>
      <c r="N115" s="37">
        <f>56+14+5</f>
        <v>75</v>
      </c>
      <c r="O115" s="37">
        <f>56+7+5</f>
        <v>68</v>
      </c>
      <c r="P115" s="42"/>
      <c r="Q115" s="11"/>
      <c r="R115" s="10"/>
      <c r="S115" s="37">
        <v>9</v>
      </c>
      <c r="T115" s="37" t="s">
        <v>204</v>
      </c>
      <c r="U115" s="18"/>
      <c r="V115" s="11"/>
      <c r="W115" s="28"/>
      <c r="X115" s="138" t="s">
        <v>125</v>
      </c>
      <c r="Y115" s="138">
        <v>0</v>
      </c>
      <c r="Z115" s="141">
        <v>0</v>
      </c>
      <c r="AA115" s="138"/>
      <c r="AB115" s="141"/>
      <c r="AC115" s="28"/>
      <c r="AD115" s="43">
        <v>1</v>
      </c>
      <c r="AE115" s="28" t="s">
        <v>991</v>
      </c>
      <c r="AF115" s="28"/>
      <c r="AG115" s="141"/>
      <c r="AL115" s="138" t="s">
        <v>67</v>
      </c>
      <c r="AM115" s="138">
        <f>2+32</f>
        <v>34</v>
      </c>
      <c r="AN115" s="141">
        <f>3+36</f>
        <v>39</v>
      </c>
      <c r="AO115" s="138"/>
      <c r="AP115" s="141"/>
      <c r="AQ115" s="28"/>
      <c r="AR115" s="43">
        <v>5</v>
      </c>
      <c r="AS115" s="28" t="s">
        <v>653</v>
      </c>
      <c r="AT115" s="28"/>
      <c r="AU115" s="141"/>
    </row>
    <row r="116" spans="2:56" x14ac:dyDescent="0.3">
      <c r="B116" s="125" t="s">
        <v>56</v>
      </c>
      <c r="C116" s="54">
        <f>5+3+8</f>
        <v>16</v>
      </c>
      <c r="D116" s="45">
        <f>2+3+1+1+2</f>
        <v>9</v>
      </c>
      <c r="E116" s="42"/>
      <c r="F116" s="40"/>
      <c r="G116" s="42"/>
      <c r="H116" s="54"/>
      <c r="I116" s="54" t="s">
        <v>219</v>
      </c>
      <c r="J116" s="28"/>
      <c r="K116" s="40"/>
      <c r="M116" s="125" t="s">
        <v>209</v>
      </c>
      <c r="N116" s="54">
        <v>0</v>
      </c>
      <c r="O116" s="54">
        <v>0</v>
      </c>
      <c r="P116" s="42"/>
      <c r="Q116" s="40"/>
      <c r="R116" s="42"/>
      <c r="S116" s="28">
        <v>4</v>
      </c>
      <c r="T116" s="28" t="s">
        <v>210</v>
      </c>
      <c r="U116" s="28" t="s">
        <v>6</v>
      </c>
      <c r="V116" s="40"/>
      <c r="W116" s="28"/>
      <c r="X116" s="138" t="s">
        <v>132</v>
      </c>
      <c r="Y116" s="138">
        <v>3</v>
      </c>
      <c r="Z116" s="141">
        <v>0</v>
      </c>
      <c r="AA116" s="138"/>
      <c r="AB116" s="141"/>
      <c r="AC116" s="28"/>
      <c r="AD116" s="43">
        <v>3</v>
      </c>
      <c r="AE116" s="28" t="s">
        <v>682</v>
      </c>
      <c r="AF116" s="28"/>
      <c r="AG116" s="141"/>
      <c r="AL116" s="138" t="s">
        <v>122</v>
      </c>
      <c r="AM116" s="138">
        <v>19</v>
      </c>
      <c r="AN116" s="141">
        <v>3</v>
      </c>
      <c r="AO116" s="138"/>
      <c r="AP116" s="141"/>
      <c r="AQ116" s="28"/>
      <c r="AR116" s="28">
        <v>7</v>
      </c>
      <c r="AS116" s="28" t="s">
        <v>618</v>
      </c>
      <c r="AT116" s="28"/>
      <c r="AU116" s="141"/>
    </row>
    <row r="117" spans="2:56" x14ac:dyDescent="0.3">
      <c r="B117" s="125" t="s">
        <v>138</v>
      </c>
      <c r="C117" s="54">
        <v>0</v>
      </c>
      <c r="D117" s="45">
        <v>0</v>
      </c>
      <c r="E117" s="42"/>
      <c r="F117" s="40"/>
      <c r="G117" s="42"/>
      <c r="H117" s="54">
        <v>4</v>
      </c>
      <c r="I117" s="54" t="s">
        <v>221</v>
      </c>
      <c r="J117" s="28"/>
      <c r="K117" s="40"/>
      <c r="M117" s="44" t="s">
        <v>168</v>
      </c>
      <c r="N117" s="54">
        <v>0</v>
      </c>
      <c r="O117" s="54">
        <v>0</v>
      </c>
      <c r="P117" s="42"/>
      <c r="Q117" s="11"/>
      <c r="R117" s="10"/>
      <c r="S117" s="37">
        <f>3+24+2</f>
        <v>29</v>
      </c>
      <c r="T117" s="37" t="s">
        <v>213</v>
      </c>
      <c r="U117" s="18" t="s">
        <v>6</v>
      </c>
      <c r="V117" s="11"/>
      <c r="X117" s="138" t="s">
        <v>992</v>
      </c>
      <c r="Y117" s="138">
        <v>2</v>
      </c>
      <c r="Z117" s="141">
        <v>2</v>
      </c>
      <c r="AA117" s="138"/>
      <c r="AB117" s="141"/>
      <c r="AC117" s="28"/>
      <c r="AD117" s="43">
        <v>69</v>
      </c>
      <c r="AE117" s="28" t="s">
        <v>555</v>
      </c>
      <c r="AF117" s="28"/>
      <c r="AG117" s="141"/>
      <c r="AL117" s="138" t="s">
        <v>227</v>
      </c>
      <c r="AM117" s="138">
        <v>0</v>
      </c>
      <c r="AN117" s="141">
        <v>0</v>
      </c>
      <c r="AO117" s="138"/>
      <c r="AP117" s="141"/>
      <c r="AQ117" s="28"/>
      <c r="AR117" s="43">
        <v>1</v>
      </c>
      <c r="AS117" s="28" t="s">
        <v>1238</v>
      </c>
      <c r="AT117" s="28"/>
      <c r="AU117" s="141"/>
    </row>
    <row r="118" spans="2:56" ht="15" thickBot="1" x14ac:dyDescent="0.35">
      <c r="B118" s="125" t="s">
        <v>67</v>
      </c>
      <c r="C118" s="28">
        <v>5</v>
      </c>
      <c r="D118" s="45">
        <f>7+2</f>
        <v>9</v>
      </c>
      <c r="E118" s="42"/>
      <c r="F118" s="40"/>
      <c r="G118" s="42"/>
      <c r="H118" s="54">
        <v>22</v>
      </c>
      <c r="I118" s="54" t="s">
        <v>222</v>
      </c>
      <c r="J118" s="28"/>
      <c r="K118" s="40"/>
      <c r="M118" s="125" t="s">
        <v>81</v>
      </c>
      <c r="N118" s="54">
        <f>3+5</f>
        <v>8</v>
      </c>
      <c r="O118" s="54">
        <v>8</v>
      </c>
      <c r="P118" s="42"/>
      <c r="Q118" s="40"/>
      <c r="R118" s="42"/>
      <c r="S118" s="54">
        <v>28</v>
      </c>
      <c r="T118" s="128" t="s">
        <v>222</v>
      </c>
      <c r="U118" s="28"/>
      <c r="V118" s="40" t="s">
        <v>6</v>
      </c>
      <c r="X118" s="138" t="s">
        <v>84</v>
      </c>
      <c r="Y118" s="138">
        <f>SUM(Y102:Y117)</f>
        <v>178</v>
      </c>
      <c r="Z118" s="141">
        <f>SUM(Z102:Z117)</f>
        <v>217</v>
      </c>
      <c r="AA118" s="138"/>
      <c r="AB118" s="141"/>
      <c r="AC118" s="28"/>
      <c r="AD118" s="28"/>
      <c r="AE118" s="28" t="s">
        <v>6</v>
      </c>
      <c r="AF118" s="28"/>
      <c r="AG118" s="141">
        <f>SUM(AD103:AD118)</f>
        <v>138</v>
      </c>
      <c r="AL118" s="138" t="s">
        <v>230</v>
      </c>
      <c r="AM118" s="138">
        <v>14</v>
      </c>
      <c r="AN118" s="141">
        <v>14</v>
      </c>
      <c r="AO118" s="138"/>
      <c r="AP118" s="141"/>
      <c r="AQ118" s="28"/>
      <c r="AR118" s="28">
        <v>9</v>
      </c>
      <c r="AS118" s="28" t="s">
        <v>655</v>
      </c>
      <c r="AT118" s="28"/>
      <c r="AU118" s="141"/>
    </row>
    <row r="119" spans="2:56" ht="15" thickBot="1" x14ac:dyDescent="0.35">
      <c r="B119" s="125" t="s">
        <v>122</v>
      </c>
      <c r="C119" s="43">
        <v>0</v>
      </c>
      <c r="D119" s="45">
        <v>0</v>
      </c>
      <c r="E119" s="42"/>
      <c r="F119" s="40"/>
      <c r="G119" s="42"/>
      <c r="H119" s="54"/>
      <c r="I119" s="54" t="s">
        <v>224</v>
      </c>
      <c r="J119" s="28"/>
      <c r="K119" s="40"/>
      <c r="M119" s="125" t="s">
        <v>72</v>
      </c>
      <c r="N119" s="54">
        <f>18+5+4+8</f>
        <v>35</v>
      </c>
      <c r="O119" s="45">
        <f>5+1+3+3+7</f>
        <v>19</v>
      </c>
      <c r="P119" s="42"/>
      <c r="Q119" s="40"/>
      <c r="R119" s="42"/>
      <c r="S119" s="54">
        <v>11</v>
      </c>
      <c r="T119" s="54" t="s">
        <v>216</v>
      </c>
      <c r="U119" s="45"/>
      <c r="V119" s="40"/>
      <c r="X119" s="171" t="s">
        <v>84</v>
      </c>
      <c r="Y119" s="207">
        <f>SUM(Y118+Y100+Y91+Y76)</f>
        <v>1683</v>
      </c>
      <c r="Z119" s="207">
        <f>SUM(Z118+Z100+Z91+Z76)</f>
        <v>1792</v>
      </c>
      <c r="AA119" s="207"/>
      <c r="AB119" s="208"/>
      <c r="AC119" s="170"/>
      <c r="AD119" s="170"/>
      <c r="AE119" s="170"/>
      <c r="AF119" s="170"/>
      <c r="AG119" s="172">
        <f>SUM(AG76:AG118)</f>
        <v>334</v>
      </c>
      <c r="AL119" s="138" t="s">
        <v>125</v>
      </c>
      <c r="AM119" s="138">
        <v>0</v>
      </c>
      <c r="AN119" s="141">
        <v>0</v>
      </c>
      <c r="AO119" s="138"/>
      <c r="AP119" s="141"/>
      <c r="AQ119" s="28"/>
      <c r="AR119" s="43">
        <v>2</v>
      </c>
      <c r="AS119" s="28" t="s">
        <v>1067</v>
      </c>
      <c r="AT119" s="28"/>
      <c r="AU119" s="141"/>
    </row>
    <row r="120" spans="2:56" x14ac:dyDescent="0.3">
      <c r="B120" s="125" t="s">
        <v>227</v>
      </c>
      <c r="C120" s="43">
        <v>0</v>
      </c>
      <c r="D120" s="45">
        <v>0</v>
      </c>
      <c r="E120" s="42"/>
      <c r="F120" s="40"/>
      <c r="G120" s="42"/>
      <c r="H120" s="54"/>
      <c r="I120" s="54" t="s">
        <v>228</v>
      </c>
      <c r="J120" s="28"/>
      <c r="K120" s="40"/>
      <c r="M120" s="125" t="s">
        <v>115</v>
      </c>
      <c r="N120" s="54">
        <f>3+17</f>
        <v>20</v>
      </c>
      <c r="O120" s="45">
        <f>2+8</f>
        <v>10</v>
      </c>
      <c r="P120" s="42"/>
      <c r="Q120" s="40"/>
      <c r="R120" s="42"/>
      <c r="S120" s="54">
        <v>10</v>
      </c>
      <c r="T120" s="54" t="s">
        <v>217</v>
      </c>
      <c r="U120" s="28"/>
      <c r="V120" s="40"/>
      <c r="AL120" s="138" t="s">
        <v>132</v>
      </c>
      <c r="AM120" s="138">
        <v>2</v>
      </c>
      <c r="AN120" s="141">
        <v>1</v>
      </c>
      <c r="AO120" s="138"/>
      <c r="AP120" s="141"/>
      <c r="AQ120" s="28"/>
      <c r="AR120" s="43">
        <v>1</v>
      </c>
      <c r="AS120" s="28" t="s">
        <v>682</v>
      </c>
      <c r="AT120" s="28"/>
      <c r="AU120" s="141"/>
    </row>
    <row r="121" spans="2:56" x14ac:dyDescent="0.3">
      <c r="B121" s="41" t="s">
        <v>230</v>
      </c>
      <c r="C121" s="43">
        <f>5+7+5+2</f>
        <v>19</v>
      </c>
      <c r="D121" s="45">
        <f>5+22</f>
        <v>27</v>
      </c>
      <c r="E121" s="42"/>
      <c r="F121" s="40"/>
      <c r="G121" s="42"/>
      <c r="H121" s="54"/>
      <c r="I121" s="54" t="s">
        <v>231</v>
      </c>
      <c r="J121" s="28"/>
      <c r="K121" s="40"/>
      <c r="M121" s="125" t="s">
        <v>56</v>
      </c>
      <c r="N121" s="54">
        <v>1</v>
      </c>
      <c r="O121" s="45">
        <f>2+1+4+1</f>
        <v>8</v>
      </c>
      <c r="P121" s="42"/>
      <c r="Q121" s="40"/>
      <c r="R121" s="42"/>
      <c r="S121" s="54">
        <v>4</v>
      </c>
      <c r="T121" s="54" t="s">
        <v>681</v>
      </c>
      <c r="U121" s="28"/>
      <c r="V121" s="40"/>
      <c r="AL121" s="138" t="s">
        <v>536</v>
      </c>
      <c r="AM121" s="138">
        <v>0</v>
      </c>
      <c r="AN121" s="141">
        <v>0</v>
      </c>
      <c r="AO121" s="138"/>
      <c r="AP121" s="141"/>
      <c r="AQ121" s="28"/>
      <c r="AR121" s="43"/>
      <c r="AS121" s="28" t="s">
        <v>555</v>
      </c>
      <c r="AT121" s="28"/>
      <c r="AU121" s="141"/>
    </row>
    <row r="122" spans="2:56" ht="15" thickBot="1" x14ac:dyDescent="0.35">
      <c r="B122" s="68" t="s">
        <v>125</v>
      </c>
      <c r="C122" s="43">
        <v>0</v>
      </c>
      <c r="D122" s="45">
        <v>0</v>
      </c>
      <c r="E122" s="42"/>
      <c r="F122" s="40"/>
      <c r="G122" s="42"/>
      <c r="H122" s="54"/>
      <c r="I122" s="54" t="s">
        <v>235</v>
      </c>
      <c r="J122" s="28"/>
      <c r="K122" s="40"/>
      <c r="M122" s="125" t="s">
        <v>138</v>
      </c>
      <c r="N122" s="54">
        <v>0</v>
      </c>
      <c r="O122" s="45">
        <v>0</v>
      </c>
      <c r="P122" s="42"/>
      <c r="Q122" s="40"/>
      <c r="R122" s="42"/>
      <c r="S122" s="54">
        <v>4</v>
      </c>
      <c r="T122" s="54" t="s">
        <v>221</v>
      </c>
      <c r="U122" s="28"/>
      <c r="V122" s="40"/>
      <c r="AL122" s="138" t="s">
        <v>84</v>
      </c>
      <c r="AM122" s="138">
        <f>SUM(AM106:AM121)</f>
        <v>202</v>
      </c>
      <c r="AN122" s="141">
        <f>SUM(AN106:AN121)</f>
        <v>221</v>
      </c>
      <c r="AO122" s="138"/>
      <c r="AP122" s="141"/>
      <c r="AQ122" s="28"/>
      <c r="AR122" s="28">
        <v>2</v>
      </c>
      <c r="AS122" s="28" t="s">
        <v>244</v>
      </c>
      <c r="AT122" s="28"/>
      <c r="AU122" s="141">
        <f>SUM(AR107:AR122)</f>
        <v>141</v>
      </c>
    </row>
    <row r="123" spans="2:56" ht="15" thickBot="1" x14ac:dyDescent="0.35">
      <c r="B123" s="68" t="s">
        <v>132</v>
      </c>
      <c r="C123" s="43">
        <v>2</v>
      </c>
      <c r="D123" s="45">
        <v>3</v>
      </c>
      <c r="E123" s="42"/>
      <c r="F123" s="40"/>
      <c r="G123" s="42"/>
      <c r="H123" s="54"/>
      <c r="I123" s="54" t="s">
        <v>237</v>
      </c>
      <c r="J123" s="28"/>
      <c r="K123" s="40"/>
      <c r="M123" s="125" t="s">
        <v>67</v>
      </c>
      <c r="N123" s="54">
        <f>3+4</f>
        <v>7</v>
      </c>
      <c r="O123" s="45">
        <f>11+5</f>
        <v>16</v>
      </c>
      <c r="P123" s="42"/>
      <c r="Q123" s="40"/>
      <c r="R123" s="42"/>
      <c r="S123" s="54">
        <v>1</v>
      </c>
      <c r="T123" s="54" t="s">
        <v>706</v>
      </c>
      <c r="U123" s="28"/>
      <c r="V123" s="40"/>
      <c r="AL123" s="171" t="s">
        <v>84</v>
      </c>
      <c r="AM123" s="207">
        <f>SUM(AM122+AM104+AM95+AM80)</f>
        <v>1947</v>
      </c>
      <c r="AN123" s="207">
        <f>SUM(AN122+AN104+AN95+AN80)</f>
        <v>1969</v>
      </c>
      <c r="AO123" s="207"/>
      <c r="AP123" s="208"/>
      <c r="AQ123" s="170"/>
      <c r="AR123" s="170"/>
      <c r="AS123" s="170"/>
      <c r="AT123" s="170"/>
      <c r="AU123" s="172">
        <f>SUM(AU80:AU122)</f>
        <v>354</v>
      </c>
    </row>
    <row r="124" spans="2:56" x14ac:dyDescent="0.3">
      <c r="B124" s="41" t="s">
        <v>6</v>
      </c>
      <c r="E124" s="42"/>
      <c r="F124" s="40"/>
      <c r="G124" s="42"/>
      <c r="H124" s="54"/>
      <c r="I124" s="54" t="s">
        <v>244</v>
      </c>
      <c r="J124" s="28"/>
      <c r="K124" s="40"/>
      <c r="M124" s="125" t="s">
        <v>122</v>
      </c>
      <c r="N124" s="54">
        <f>5+4</f>
        <v>9</v>
      </c>
      <c r="O124" s="45">
        <v>4</v>
      </c>
      <c r="P124" s="42"/>
      <c r="Q124" s="40"/>
      <c r="R124" s="42"/>
      <c r="S124" s="54">
        <v>1</v>
      </c>
      <c r="T124" s="54" t="s">
        <v>618</v>
      </c>
      <c r="U124" s="28"/>
      <c r="V124" s="40"/>
    </row>
    <row r="125" spans="2:56" ht="15" thickBot="1" x14ac:dyDescent="0.35">
      <c r="B125" s="46" t="s">
        <v>84</v>
      </c>
      <c r="C125" s="48">
        <f>SUM(C109:C124)</f>
        <v>115</v>
      </c>
      <c r="D125" s="48">
        <f>SUM(D109:D124)</f>
        <v>138</v>
      </c>
      <c r="E125" s="47"/>
      <c r="F125" s="49"/>
      <c r="G125" s="47"/>
      <c r="H125" s="48"/>
      <c r="I125" s="48" t="s">
        <v>246</v>
      </c>
      <c r="J125" s="48"/>
      <c r="K125" s="49">
        <f>SUM(H111:H123)</f>
        <v>88</v>
      </c>
      <c r="M125" s="125" t="s">
        <v>227</v>
      </c>
      <c r="N125" s="54">
        <v>0</v>
      </c>
      <c r="O125" s="45">
        <v>0</v>
      </c>
      <c r="P125" s="42"/>
      <c r="Q125" s="40"/>
      <c r="R125" s="42"/>
      <c r="S125" s="54">
        <v>0</v>
      </c>
      <c r="T125" s="54" t="s">
        <v>352</v>
      </c>
      <c r="U125" s="28"/>
      <c r="V125" s="40"/>
      <c r="BB125" t="s">
        <v>4</v>
      </c>
    </row>
    <row r="126" spans="2:56" ht="15" thickBot="1" x14ac:dyDescent="0.35">
      <c r="B126" s="147" t="s">
        <v>84</v>
      </c>
      <c r="C126" s="147">
        <f>SUM(+C125+C108+C98+C83+C80)</f>
        <v>2843</v>
      </c>
      <c r="D126" s="148">
        <f>SUM(D125+D108+D98+D83+D80)</f>
        <v>2798</v>
      </c>
      <c r="E126" s="147"/>
      <c r="F126" s="148"/>
      <c r="G126" s="149" t="s">
        <v>247</v>
      </c>
      <c r="H126" s="149"/>
      <c r="I126" s="149"/>
      <c r="J126" s="149"/>
      <c r="K126" s="148">
        <f>SUM(K80:K125)</f>
        <v>426</v>
      </c>
      <c r="M126" s="41" t="s">
        <v>230</v>
      </c>
      <c r="N126" s="54">
        <f>4+3+4</f>
        <v>11</v>
      </c>
      <c r="O126" s="45">
        <f>4+3+4</f>
        <v>11</v>
      </c>
      <c r="P126" s="42"/>
      <c r="Q126" s="40"/>
      <c r="R126" s="42"/>
      <c r="S126" s="54">
        <v>5</v>
      </c>
      <c r="T126" s="54" t="s">
        <v>655</v>
      </c>
      <c r="U126" s="28"/>
      <c r="V126" s="40"/>
      <c r="AW126" t="s">
        <v>6</v>
      </c>
      <c r="BC126" t="s">
        <v>2</v>
      </c>
    </row>
    <row r="127" spans="2:56" ht="15.6" thickTop="1" thickBot="1" x14ac:dyDescent="0.35">
      <c r="M127" s="68" t="s">
        <v>125</v>
      </c>
      <c r="N127" s="54">
        <v>3</v>
      </c>
      <c r="O127" s="45">
        <v>2</v>
      </c>
      <c r="P127" s="42"/>
      <c r="Q127" s="40"/>
      <c r="R127" s="42"/>
      <c r="S127" s="54">
        <v>0</v>
      </c>
      <c r="T127" s="54" t="s">
        <v>351</v>
      </c>
      <c r="U127" s="28"/>
      <c r="V127" s="40"/>
      <c r="AL127" s="317" t="s">
        <v>1532</v>
      </c>
      <c r="AM127" s="210">
        <v>1683</v>
      </c>
      <c r="AN127" s="318">
        <v>1792</v>
      </c>
      <c r="AO127" s="170"/>
      <c r="AP127" s="170"/>
      <c r="AQ127" s="170"/>
      <c r="AR127" s="170"/>
      <c r="AS127" s="170"/>
      <c r="AT127" s="170"/>
      <c r="AU127" s="172">
        <v>334</v>
      </c>
      <c r="BA127" t="s">
        <v>12</v>
      </c>
    </row>
    <row r="128" spans="2:56" x14ac:dyDescent="0.3">
      <c r="M128" s="68" t="s">
        <v>132</v>
      </c>
      <c r="N128" s="54">
        <v>10</v>
      </c>
      <c r="O128" s="45">
        <f>15+4</f>
        <v>19</v>
      </c>
      <c r="P128" s="42"/>
      <c r="Q128" s="40"/>
      <c r="R128" s="42"/>
      <c r="S128" s="54">
        <v>2</v>
      </c>
      <c r="T128" s="54" t="s">
        <v>682</v>
      </c>
      <c r="U128" s="28"/>
      <c r="V128" s="40"/>
      <c r="AA128" t="s">
        <v>4</v>
      </c>
      <c r="BB128" s="408" t="s">
        <v>1392</v>
      </c>
      <c r="BC128" s="408"/>
      <c r="BD128" s="408"/>
    </row>
    <row r="129" spans="2:60" x14ac:dyDescent="0.3">
      <c r="M129" s="41" t="s">
        <v>6</v>
      </c>
      <c r="P129" s="42"/>
      <c r="Q129" s="40"/>
      <c r="R129" s="42"/>
      <c r="S129" s="54">
        <v>27</v>
      </c>
      <c r="T129" s="54" t="s">
        <v>555</v>
      </c>
      <c r="U129" s="28"/>
      <c r="V129" s="40"/>
      <c r="AB129" t="s">
        <v>2</v>
      </c>
      <c r="BG129" s="194" t="s">
        <v>951</v>
      </c>
    </row>
    <row r="130" spans="2:60" ht="15" thickBot="1" x14ac:dyDescent="0.35">
      <c r="M130" s="46" t="s">
        <v>84</v>
      </c>
      <c r="N130" s="48">
        <f>SUM(N114:N129)</f>
        <v>185</v>
      </c>
      <c r="O130" s="48">
        <f>SUM(O114:O129)</f>
        <v>172</v>
      </c>
      <c r="P130" s="47"/>
      <c r="Q130" s="49"/>
      <c r="R130" s="47"/>
      <c r="S130" s="48">
        <v>2</v>
      </c>
      <c r="T130" s="48" t="s">
        <v>244</v>
      </c>
      <c r="U130" s="48"/>
      <c r="V130" s="49">
        <f>SUM(S115:S130)+2</f>
        <v>139</v>
      </c>
      <c r="Z130" t="s">
        <v>12</v>
      </c>
      <c r="AH130" t="s">
        <v>6</v>
      </c>
      <c r="AY130" s="134" t="s">
        <v>17</v>
      </c>
      <c r="AZ130" s="134" t="s">
        <v>39</v>
      </c>
      <c r="BA130" s="136"/>
      <c r="BB130" s="134" t="s">
        <v>29</v>
      </c>
      <c r="BC130" s="136" t="s">
        <v>30</v>
      </c>
      <c r="BD130" s="135" t="s">
        <v>40</v>
      </c>
      <c r="BE130" s="135"/>
      <c r="BF130" s="135"/>
      <c r="BG130" s="135"/>
      <c r="BH130" s="136"/>
    </row>
    <row r="131" spans="2:60" ht="15" thickBot="1" x14ac:dyDescent="0.35">
      <c r="M131" s="169" t="s">
        <v>84</v>
      </c>
      <c r="N131" s="170">
        <f>SUM(N130+N113+N103+N88+N86)</f>
        <v>2660</v>
      </c>
      <c r="O131" s="170">
        <f>SUM(O130+O113+O103+O88+O86)</f>
        <v>2741</v>
      </c>
      <c r="P131" s="171"/>
      <c r="Q131" s="172"/>
      <c r="R131" s="170"/>
      <c r="S131" s="170"/>
      <c r="T131" s="170"/>
      <c r="U131" s="170"/>
      <c r="V131" s="172">
        <f>SUM(V130+V113+V103+V89+V86)</f>
        <v>445</v>
      </c>
      <c r="AB131" t="s">
        <v>993</v>
      </c>
      <c r="AY131" s="138" t="s">
        <v>42</v>
      </c>
      <c r="AZ131" s="138" t="s">
        <v>43</v>
      </c>
      <c r="BA131" s="141" t="s">
        <v>44</v>
      </c>
      <c r="BB131" s="138" t="s">
        <v>43</v>
      </c>
      <c r="BC131" s="141" t="s">
        <v>44</v>
      </c>
      <c r="BD131" s="28"/>
      <c r="BE131" s="28"/>
      <c r="BF131" s="28"/>
      <c r="BG131" s="28"/>
      <c r="BH131" s="141"/>
    </row>
    <row r="132" spans="2:60" x14ac:dyDescent="0.3">
      <c r="AF132" s="194" t="s">
        <v>951</v>
      </c>
      <c r="AY132" s="134"/>
      <c r="AZ132" s="134"/>
      <c r="BA132" s="136"/>
      <c r="BB132" s="134"/>
      <c r="BC132" s="136"/>
      <c r="BD132" s="135"/>
      <c r="BE132" s="135" t="s">
        <v>91</v>
      </c>
      <c r="BF132" s="135"/>
      <c r="BG132" s="135"/>
      <c r="BH132" s="136"/>
    </row>
    <row r="133" spans="2:60" x14ac:dyDescent="0.3">
      <c r="X133" s="134" t="s">
        <v>17</v>
      </c>
      <c r="Y133" s="134" t="s">
        <v>39</v>
      </c>
      <c r="Z133" s="136"/>
      <c r="AA133" s="134" t="s">
        <v>29</v>
      </c>
      <c r="AB133" s="136" t="s">
        <v>30</v>
      </c>
      <c r="AC133" s="135" t="s">
        <v>40</v>
      </c>
      <c r="AD133" s="135"/>
      <c r="AE133" s="135"/>
      <c r="AF133" s="135"/>
      <c r="AG133" s="136"/>
      <c r="AY133" s="138" t="s">
        <v>56</v>
      </c>
      <c r="AZ133" s="138">
        <v>1615</v>
      </c>
      <c r="BA133" s="141">
        <v>1599</v>
      </c>
      <c r="BB133" s="138">
        <v>0</v>
      </c>
      <c r="BC133" s="141">
        <v>0</v>
      </c>
      <c r="BD133" s="28"/>
      <c r="BE133" s="43">
        <v>100</v>
      </c>
      <c r="BF133" s="28" t="s">
        <v>1026</v>
      </c>
      <c r="BG133" s="28"/>
      <c r="BH133" s="141"/>
    </row>
    <row r="134" spans="2:60" ht="15.6" x14ac:dyDescent="0.3">
      <c r="E134" s="1" t="s">
        <v>4</v>
      </c>
      <c r="P134" s="1" t="s">
        <v>4</v>
      </c>
      <c r="X134" s="138" t="s">
        <v>42</v>
      </c>
      <c r="Y134" s="138" t="s">
        <v>43</v>
      </c>
      <c r="Z134" s="141" t="s">
        <v>44</v>
      </c>
      <c r="AA134" s="138" t="s">
        <v>43</v>
      </c>
      <c r="AB134" s="141" t="s">
        <v>44</v>
      </c>
      <c r="AC134" s="28"/>
      <c r="AD134" s="28"/>
      <c r="AE134" s="28"/>
      <c r="AF134" s="28"/>
      <c r="AG134" s="141"/>
      <c r="AY134" s="138"/>
      <c r="AZ134" s="138"/>
      <c r="BA134" s="141"/>
      <c r="BB134" s="138"/>
      <c r="BC134" s="141"/>
      <c r="BD134" s="28"/>
      <c r="BE134" s="43">
        <v>1</v>
      </c>
      <c r="BF134" s="28" t="s">
        <v>1294</v>
      </c>
      <c r="BG134" s="43"/>
      <c r="BH134" s="141"/>
    </row>
    <row r="135" spans="2:60" x14ac:dyDescent="0.3">
      <c r="F135" t="s">
        <v>2</v>
      </c>
      <c r="Q135" t="s">
        <v>2</v>
      </c>
      <c r="X135" s="134"/>
      <c r="Y135" s="134"/>
      <c r="Z135" s="136"/>
      <c r="AA135" s="134"/>
      <c r="AB135" s="136"/>
      <c r="AC135" s="135"/>
      <c r="AD135" s="135"/>
      <c r="AE135" s="135"/>
      <c r="AF135" s="135"/>
      <c r="AG135" s="136"/>
      <c r="AY135" s="142" t="s">
        <v>6</v>
      </c>
      <c r="AZ135" s="142"/>
      <c r="BA135" s="146"/>
      <c r="BB135" s="142"/>
      <c r="BC135" s="146"/>
      <c r="BD135" s="143"/>
      <c r="BE135" s="143"/>
      <c r="BF135" s="143"/>
      <c r="BG135" s="143"/>
      <c r="BH135" s="146">
        <v>101</v>
      </c>
    </row>
    <row r="136" spans="2:60" x14ac:dyDescent="0.3">
      <c r="D136" t="s">
        <v>12</v>
      </c>
      <c r="O136" t="s">
        <v>12</v>
      </c>
      <c r="X136" s="138" t="s">
        <v>6</v>
      </c>
      <c r="Y136" s="138"/>
      <c r="Z136" s="141"/>
      <c r="AA136" s="138"/>
      <c r="AB136" s="141"/>
      <c r="AC136" s="28"/>
      <c r="AD136" s="28" t="s">
        <v>91</v>
      </c>
      <c r="AE136" s="28"/>
      <c r="AF136" s="28"/>
      <c r="AG136" s="141"/>
      <c r="AY136" s="134"/>
      <c r="AZ136" s="134"/>
      <c r="BA136" s="136"/>
      <c r="BB136" s="134"/>
      <c r="BC136" s="136"/>
      <c r="BD136" s="135"/>
      <c r="BE136" s="135"/>
      <c r="BF136" s="135"/>
      <c r="BG136" s="135"/>
      <c r="BH136" s="136"/>
    </row>
    <row r="137" spans="2:60" x14ac:dyDescent="0.3">
      <c r="F137" t="s">
        <v>299</v>
      </c>
      <c r="K137" s="5"/>
      <c r="Q137" t="s">
        <v>707</v>
      </c>
      <c r="V137" s="5"/>
      <c r="X137" s="138" t="s">
        <v>56</v>
      </c>
      <c r="Y137" s="138">
        <v>1449</v>
      </c>
      <c r="Z137" s="141">
        <v>1499</v>
      </c>
      <c r="AA137" s="138"/>
      <c r="AB137" s="141"/>
      <c r="AC137" s="28"/>
      <c r="AD137" s="28">
        <v>1</v>
      </c>
      <c r="AE137" s="28" t="s">
        <v>145</v>
      </c>
      <c r="AF137" s="28"/>
      <c r="AG137" s="141"/>
      <c r="AY137" s="138"/>
      <c r="AZ137" s="138"/>
      <c r="BA137" s="141"/>
      <c r="BB137" s="138"/>
      <c r="BC137" s="141"/>
      <c r="BD137" s="28"/>
      <c r="BE137" s="28" t="s">
        <v>110</v>
      </c>
      <c r="BF137" s="28" t="s">
        <v>111</v>
      </c>
      <c r="BG137" s="28" t="s">
        <v>112</v>
      </c>
      <c r="BH137" s="141"/>
    </row>
    <row r="138" spans="2:60" ht="15" thickBot="1" x14ac:dyDescent="0.35">
      <c r="J138" s="5" t="s">
        <v>26</v>
      </c>
      <c r="U138" s="5" t="s">
        <v>26</v>
      </c>
      <c r="X138" s="142" t="s">
        <v>6</v>
      </c>
      <c r="Y138" s="142"/>
      <c r="Z138" s="146"/>
      <c r="AA138" s="142"/>
      <c r="AB138" s="146"/>
      <c r="AC138" s="143"/>
      <c r="AD138" s="143">
        <f>204/2</f>
        <v>102</v>
      </c>
      <c r="AE138" s="143" t="s">
        <v>73</v>
      </c>
      <c r="AF138" s="143"/>
      <c r="AG138" s="146">
        <f>SUM(AD138)</f>
        <v>102</v>
      </c>
      <c r="AY138" s="138" t="s">
        <v>63</v>
      </c>
      <c r="AZ138" s="138">
        <v>64</v>
      </c>
      <c r="BA138" s="141">
        <v>75</v>
      </c>
      <c r="BB138" s="138"/>
      <c r="BC138" s="141"/>
      <c r="BD138" s="43"/>
      <c r="BE138" s="28"/>
      <c r="BF138" s="28"/>
      <c r="BG138" s="28"/>
      <c r="BH138" s="141"/>
    </row>
    <row r="139" spans="2:60" x14ac:dyDescent="0.3">
      <c r="B139" s="6" t="s">
        <v>17</v>
      </c>
      <c r="C139" s="6" t="s">
        <v>39</v>
      </c>
      <c r="D139" s="7"/>
      <c r="E139" s="6" t="s">
        <v>29</v>
      </c>
      <c r="F139" s="7" t="s">
        <v>30</v>
      </c>
      <c r="G139" s="8" t="s">
        <v>40</v>
      </c>
      <c r="H139" s="8"/>
      <c r="I139" s="8"/>
      <c r="J139" s="8"/>
      <c r="K139" s="7"/>
      <c r="M139" s="6" t="s">
        <v>17</v>
      </c>
      <c r="N139" s="6" t="s">
        <v>39</v>
      </c>
      <c r="O139" s="7"/>
      <c r="P139" s="6" t="s">
        <v>29</v>
      </c>
      <c r="Q139" s="7" t="s">
        <v>30</v>
      </c>
      <c r="R139" s="8" t="s">
        <v>40</v>
      </c>
      <c r="S139" s="8"/>
      <c r="T139" s="8"/>
      <c r="U139" s="8"/>
      <c r="V139" s="7"/>
      <c r="X139" s="134" t="s">
        <v>56</v>
      </c>
      <c r="Y139" s="134">
        <v>2</v>
      </c>
      <c r="Z139" s="136">
        <v>1</v>
      </c>
      <c r="AA139" s="134"/>
      <c r="AB139" s="136"/>
      <c r="AC139" s="135"/>
      <c r="AD139" s="135"/>
      <c r="AE139" s="135"/>
      <c r="AF139" s="135"/>
      <c r="AG139" s="136"/>
      <c r="AY139" s="138" t="s">
        <v>56</v>
      </c>
      <c r="AZ139" s="138">
        <v>0</v>
      </c>
      <c r="BA139" s="141">
        <v>8</v>
      </c>
      <c r="BB139" s="138">
        <v>0</v>
      </c>
      <c r="BC139" s="141">
        <v>0</v>
      </c>
      <c r="BD139" s="28"/>
      <c r="BE139" s="43"/>
      <c r="BF139" s="28"/>
      <c r="BG139" s="28"/>
      <c r="BH139" s="141"/>
    </row>
    <row r="140" spans="2:60" ht="15" thickBot="1" x14ac:dyDescent="0.35">
      <c r="B140" s="13" t="s">
        <v>42</v>
      </c>
      <c r="C140" s="10" t="s">
        <v>43</v>
      </c>
      <c r="D140" s="11" t="s">
        <v>44</v>
      </c>
      <c r="E140" s="13" t="s">
        <v>43</v>
      </c>
      <c r="F140" s="26" t="s">
        <v>44</v>
      </c>
      <c r="G140" s="27"/>
      <c r="H140" s="27"/>
      <c r="I140" s="27"/>
      <c r="J140" s="27"/>
      <c r="K140" s="26"/>
      <c r="M140" s="13" t="s">
        <v>42</v>
      </c>
      <c r="N140" s="10" t="s">
        <v>43</v>
      </c>
      <c r="O140" s="11" t="s">
        <v>44</v>
      </c>
      <c r="P140" s="13" t="s">
        <v>43</v>
      </c>
      <c r="Q140" s="26" t="s">
        <v>44</v>
      </c>
      <c r="R140" s="27"/>
      <c r="S140" s="27"/>
      <c r="T140" s="27"/>
      <c r="U140" s="27"/>
      <c r="V140" s="26"/>
      <c r="X140" s="138" t="s">
        <v>63</v>
      </c>
      <c r="Y140" s="138">
        <v>2</v>
      </c>
      <c r="Z140" s="141">
        <v>2</v>
      </c>
      <c r="AA140" s="138"/>
      <c r="AB140" s="141"/>
      <c r="AC140" s="28"/>
      <c r="AD140" s="28" t="s">
        <v>110</v>
      </c>
      <c r="AE140" s="28" t="s">
        <v>111</v>
      </c>
      <c r="AF140" s="28" t="s">
        <v>112</v>
      </c>
      <c r="AG140" s="141"/>
      <c r="AO140" t="s">
        <v>4</v>
      </c>
      <c r="AY140" s="138" t="s">
        <v>72</v>
      </c>
      <c r="AZ140" s="138">
        <v>5</v>
      </c>
      <c r="BA140" s="141">
        <v>0</v>
      </c>
      <c r="BB140" s="138">
        <v>0</v>
      </c>
      <c r="BC140" s="141">
        <v>0</v>
      </c>
      <c r="BD140" s="28"/>
      <c r="BE140" s="28"/>
      <c r="BF140" s="28"/>
      <c r="BG140" s="28"/>
      <c r="BH140" s="141"/>
    </row>
    <row r="141" spans="2:60" x14ac:dyDescent="0.3">
      <c r="B141" s="6" t="s">
        <v>56</v>
      </c>
      <c r="C141" s="29">
        <v>1101</v>
      </c>
      <c r="D141" s="30">
        <v>1142</v>
      </c>
      <c r="G141" s="6"/>
      <c r="H141" s="8"/>
      <c r="I141" s="31" t="s">
        <v>57</v>
      </c>
      <c r="J141" s="8"/>
      <c r="K141" s="7"/>
      <c r="L141" s="28"/>
      <c r="M141" s="6" t="s">
        <v>56</v>
      </c>
      <c r="N141" s="29">
        <v>1069</v>
      </c>
      <c r="O141" s="30">
        <v>1133</v>
      </c>
      <c r="R141" s="6"/>
      <c r="S141" s="8"/>
      <c r="T141" s="31" t="s">
        <v>57</v>
      </c>
      <c r="U141" s="8"/>
      <c r="V141" s="7"/>
      <c r="W141" s="28"/>
      <c r="X141" s="138" t="s">
        <v>115</v>
      </c>
      <c r="Y141" s="138">
        <v>26</v>
      </c>
      <c r="Z141" s="141">
        <v>61</v>
      </c>
      <c r="AA141" s="138"/>
      <c r="AB141" s="141"/>
      <c r="AC141" s="28"/>
      <c r="AD141" s="28"/>
      <c r="AE141" s="28"/>
      <c r="AF141" s="28"/>
      <c r="AG141" s="141"/>
      <c r="AP141" t="s">
        <v>2</v>
      </c>
      <c r="AY141" s="138" t="s">
        <v>78</v>
      </c>
      <c r="AZ141" s="138">
        <v>25</v>
      </c>
      <c r="BA141" s="141">
        <v>4</v>
      </c>
      <c r="BB141" s="138">
        <v>0</v>
      </c>
      <c r="BC141" s="141">
        <v>0</v>
      </c>
      <c r="BD141" s="28"/>
      <c r="BE141" s="43">
        <v>25</v>
      </c>
      <c r="BF141" s="28" t="s">
        <v>123</v>
      </c>
      <c r="BG141" s="28" t="s">
        <v>6</v>
      </c>
      <c r="BH141" s="141"/>
    </row>
    <row r="142" spans="2:60" x14ac:dyDescent="0.3">
      <c r="B142" s="36" t="s">
        <v>63</v>
      </c>
      <c r="C142" s="36">
        <v>18</v>
      </c>
      <c r="D142" s="39">
        <v>36</v>
      </c>
      <c r="F142" s="18"/>
      <c r="G142" s="10"/>
      <c r="H142" s="18"/>
      <c r="I142" s="18"/>
      <c r="J142" s="18"/>
      <c r="K142" s="11"/>
      <c r="L142" s="28"/>
      <c r="M142" s="36" t="s">
        <v>63</v>
      </c>
      <c r="N142" s="36">
        <v>53</v>
      </c>
      <c r="O142" s="39">
        <v>67</v>
      </c>
      <c r="Q142" s="18"/>
      <c r="R142" s="10"/>
      <c r="S142" s="18"/>
      <c r="T142" s="18"/>
      <c r="U142" s="18"/>
      <c r="V142" s="11"/>
      <c r="W142" s="28"/>
      <c r="X142" s="138" t="s">
        <v>72</v>
      </c>
      <c r="Y142" s="138">
        <v>0</v>
      </c>
      <c r="Z142" s="141">
        <v>0</v>
      </c>
      <c r="AA142" s="138"/>
      <c r="AB142" s="141"/>
      <c r="AC142" s="28"/>
      <c r="AD142" s="28"/>
      <c r="AE142" s="28"/>
      <c r="AF142" s="28"/>
      <c r="AG142" s="141"/>
      <c r="AN142" t="s">
        <v>12</v>
      </c>
      <c r="AV142" t="s">
        <v>6</v>
      </c>
      <c r="AY142" s="138" t="s">
        <v>67</v>
      </c>
      <c r="AZ142" s="138">
        <v>83</v>
      </c>
      <c r="BA142" s="141">
        <v>54</v>
      </c>
      <c r="BB142" s="138">
        <v>0</v>
      </c>
      <c r="BC142" s="141">
        <v>0</v>
      </c>
      <c r="BD142" s="28"/>
      <c r="BE142" s="43">
        <v>35</v>
      </c>
      <c r="BF142" s="28" t="s">
        <v>126</v>
      </c>
      <c r="BG142" s="28"/>
      <c r="BH142" s="141"/>
    </row>
    <row r="143" spans="2:60" x14ac:dyDescent="0.3">
      <c r="B143" s="36" t="s">
        <v>67</v>
      </c>
      <c r="C143" s="36">
        <v>468</v>
      </c>
      <c r="D143" s="39">
        <v>424</v>
      </c>
      <c r="F143" s="18"/>
      <c r="G143" s="10"/>
      <c r="H143" s="37">
        <v>65</v>
      </c>
      <c r="I143" s="37" t="s">
        <v>68</v>
      </c>
      <c r="J143" s="18"/>
      <c r="K143" s="11"/>
      <c r="L143" s="28"/>
      <c r="M143" s="36" t="s">
        <v>67</v>
      </c>
      <c r="N143" s="36">
        <v>258</v>
      </c>
      <c r="O143" s="39">
        <v>234</v>
      </c>
      <c r="Q143" s="18"/>
      <c r="R143" s="10"/>
      <c r="S143" s="37">
        <v>47</v>
      </c>
      <c r="T143" s="37" t="s">
        <v>68</v>
      </c>
      <c r="U143" s="18"/>
      <c r="V143" s="11"/>
      <c r="W143" s="28"/>
      <c r="X143" s="138" t="s">
        <v>78</v>
      </c>
      <c r="Y143" s="138">
        <v>76</v>
      </c>
      <c r="Z143" s="141">
        <v>79</v>
      </c>
      <c r="AA143" s="138"/>
      <c r="AB143" s="141"/>
      <c r="AC143" s="28"/>
      <c r="AD143" s="28"/>
      <c r="AE143" s="28"/>
      <c r="AF143" s="28"/>
      <c r="AG143" s="141"/>
      <c r="AH143" t="s">
        <v>6</v>
      </c>
      <c r="AP143" t="s">
        <v>1549</v>
      </c>
      <c r="AY143" s="138" t="s">
        <v>1354</v>
      </c>
      <c r="AZ143" s="138">
        <v>5</v>
      </c>
      <c r="BA143" s="141">
        <v>2</v>
      </c>
      <c r="BB143" s="138">
        <v>0</v>
      </c>
      <c r="BC143" s="141">
        <v>0</v>
      </c>
      <c r="BD143" s="28"/>
      <c r="BE143" s="43">
        <v>27</v>
      </c>
      <c r="BF143" s="28" t="s">
        <v>129</v>
      </c>
      <c r="BG143" s="28" t="s">
        <v>6</v>
      </c>
      <c r="BH143" s="141"/>
    </row>
    <row r="144" spans="2:60" x14ac:dyDescent="0.3">
      <c r="B144" s="36" t="s">
        <v>72</v>
      </c>
      <c r="C144" s="36">
        <v>11</v>
      </c>
      <c r="D144" s="39">
        <v>15</v>
      </c>
      <c r="F144" s="18"/>
      <c r="G144" s="10"/>
      <c r="H144" s="37">
        <v>74</v>
      </c>
      <c r="I144" s="37" t="s">
        <v>73</v>
      </c>
      <c r="J144" s="18"/>
      <c r="K144" s="11"/>
      <c r="L144" s="28"/>
      <c r="M144" s="36" t="s">
        <v>72</v>
      </c>
      <c r="N144" s="36">
        <v>0</v>
      </c>
      <c r="O144" s="39">
        <v>0</v>
      </c>
      <c r="Q144" s="18"/>
      <c r="R144" s="10"/>
      <c r="S144" s="37">
        <v>67</v>
      </c>
      <c r="T144" s="37" t="s">
        <v>73</v>
      </c>
      <c r="U144" s="18"/>
      <c r="V144" s="11"/>
      <c r="W144" s="28"/>
      <c r="X144" s="138" t="s">
        <v>122</v>
      </c>
      <c r="Y144" s="138">
        <v>70</v>
      </c>
      <c r="Z144" s="141">
        <v>59</v>
      </c>
      <c r="AA144" s="138"/>
      <c r="AB144" s="141"/>
      <c r="AC144" s="28"/>
      <c r="AD144" s="28">
        <v>41</v>
      </c>
      <c r="AE144" s="28" t="s">
        <v>123</v>
      </c>
      <c r="AF144" s="28"/>
      <c r="AG144" s="141"/>
      <c r="AT144" s="194" t="s">
        <v>951</v>
      </c>
      <c r="AY144" s="138" t="s">
        <v>536</v>
      </c>
      <c r="AZ144" s="138">
        <v>0</v>
      </c>
      <c r="BA144" s="141">
        <v>3</v>
      </c>
      <c r="BB144" s="138">
        <v>0</v>
      </c>
      <c r="BC144" s="141">
        <v>0</v>
      </c>
      <c r="BD144" s="28"/>
      <c r="BE144" s="28"/>
      <c r="BF144" s="28"/>
      <c r="BG144" s="28"/>
      <c r="BH144" s="141"/>
    </row>
    <row r="145" spans="2:60" x14ac:dyDescent="0.3">
      <c r="B145" s="36" t="s">
        <v>78</v>
      </c>
      <c r="C145" s="36">
        <v>28</v>
      </c>
      <c r="D145" s="39">
        <v>1</v>
      </c>
      <c r="F145" s="18"/>
      <c r="G145" s="10"/>
      <c r="H145" s="37"/>
      <c r="I145" s="37"/>
      <c r="J145" s="18"/>
      <c r="K145" s="11"/>
      <c r="L145" s="28"/>
      <c r="M145" s="36" t="s">
        <v>78</v>
      </c>
      <c r="N145" s="36">
        <v>18</v>
      </c>
      <c r="O145" s="39">
        <v>25</v>
      </c>
      <c r="Q145" s="18"/>
      <c r="R145" s="10"/>
      <c r="S145" s="37"/>
      <c r="T145" s="37"/>
      <c r="U145" s="18" t="s">
        <v>6</v>
      </c>
      <c r="V145" s="11"/>
      <c r="W145" s="28"/>
      <c r="X145" s="138" t="s">
        <v>125</v>
      </c>
      <c r="Y145" s="138">
        <v>3</v>
      </c>
      <c r="Z145" s="141">
        <v>3</v>
      </c>
      <c r="AA145" s="138"/>
      <c r="AB145" s="141"/>
      <c r="AC145" s="28"/>
      <c r="AD145" s="28">
        <v>50</v>
      </c>
      <c r="AE145" s="28" t="s">
        <v>126</v>
      </c>
      <c r="AF145" s="28"/>
      <c r="AG145" s="141"/>
      <c r="AH145" t="s">
        <v>6</v>
      </c>
      <c r="AL145" s="134" t="s">
        <v>17</v>
      </c>
      <c r="AM145" s="134" t="s">
        <v>39</v>
      </c>
      <c r="AN145" s="136"/>
      <c r="AO145" s="134" t="s">
        <v>29</v>
      </c>
      <c r="AP145" s="136" t="s">
        <v>30</v>
      </c>
      <c r="AQ145" s="135" t="s">
        <v>40</v>
      </c>
      <c r="AR145" s="135"/>
      <c r="AS145" s="135"/>
      <c r="AT145" s="135"/>
      <c r="AU145" s="136"/>
      <c r="AY145" s="138" t="s">
        <v>115</v>
      </c>
      <c r="AZ145" s="138">
        <v>34</v>
      </c>
      <c r="BA145" s="141">
        <v>24</v>
      </c>
      <c r="BB145" s="138">
        <v>0</v>
      </c>
      <c r="BC145" s="141">
        <v>0</v>
      </c>
      <c r="BD145" s="28"/>
      <c r="BE145" s="28"/>
      <c r="BF145" s="28"/>
      <c r="BG145" s="28"/>
      <c r="BH145" s="141" t="s">
        <v>6</v>
      </c>
    </row>
    <row r="146" spans="2:60" x14ac:dyDescent="0.3">
      <c r="B146" s="52" t="s">
        <v>81</v>
      </c>
      <c r="C146" s="36"/>
      <c r="D146" s="39"/>
      <c r="G146" s="42"/>
      <c r="H146" s="28"/>
      <c r="I146" s="28"/>
      <c r="J146" s="28"/>
      <c r="K146" s="40"/>
      <c r="L146" s="28"/>
      <c r="M146" s="52" t="s">
        <v>81</v>
      </c>
      <c r="N146" s="36">
        <v>0</v>
      </c>
      <c r="O146" s="39">
        <v>0</v>
      </c>
      <c r="R146" s="42"/>
      <c r="S146" s="28"/>
      <c r="T146" s="28"/>
      <c r="U146" s="28"/>
      <c r="V146" s="40"/>
      <c r="W146" s="28"/>
      <c r="X146" s="138" t="s">
        <v>128</v>
      </c>
      <c r="Y146" s="138">
        <v>0</v>
      </c>
      <c r="Z146" s="141">
        <v>0</v>
      </c>
      <c r="AA146" s="138"/>
      <c r="AB146" s="141"/>
      <c r="AC146" s="28"/>
      <c r="AD146" s="28">
        <v>41</v>
      </c>
      <c r="AE146" s="28" t="s">
        <v>129</v>
      </c>
      <c r="AF146" s="28"/>
      <c r="AG146" s="141"/>
      <c r="AL146" s="138" t="s">
        <v>42</v>
      </c>
      <c r="AM146" s="138" t="s">
        <v>43</v>
      </c>
      <c r="AN146" s="141" t="s">
        <v>44</v>
      </c>
      <c r="AO146" s="138" t="s">
        <v>43</v>
      </c>
      <c r="AP146" s="141" t="s">
        <v>44</v>
      </c>
      <c r="AQ146" s="28"/>
      <c r="AR146" s="28"/>
      <c r="AS146" s="28"/>
      <c r="AT146" s="28"/>
      <c r="AU146" s="141"/>
      <c r="AY146" s="138" t="s">
        <v>1396</v>
      </c>
      <c r="AZ146" s="138">
        <v>33</v>
      </c>
      <c r="BA146" s="141">
        <v>37</v>
      </c>
      <c r="BB146" s="138">
        <v>0</v>
      </c>
      <c r="BC146" s="141">
        <v>0</v>
      </c>
      <c r="BD146" s="28"/>
      <c r="BE146" s="28"/>
      <c r="BF146" s="28"/>
      <c r="BG146" s="28"/>
      <c r="BH146" s="141"/>
    </row>
    <row r="147" spans="2:60" ht="15" thickBot="1" x14ac:dyDescent="0.35">
      <c r="B147" s="13" t="s">
        <v>84</v>
      </c>
      <c r="C147" s="13">
        <f>SUM(C141:C146)</f>
        <v>1626</v>
      </c>
      <c r="D147" s="26">
        <f>SUM(D141:D146)</f>
        <v>1618</v>
      </c>
      <c r="F147" s="18"/>
      <c r="G147" s="13"/>
      <c r="H147" s="27"/>
      <c r="I147" s="27"/>
      <c r="J147" s="27"/>
      <c r="K147" s="26">
        <f>SUM(H143:H144)</f>
        <v>139</v>
      </c>
      <c r="L147" s="28"/>
      <c r="M147" s="52" t="s">
        <v>115</v>
      </c>
      <c r="N147" s="52">
        <v>0</v>
      </c>
      <c r="O147" s="86">
        <v>0</v>
      </c>
      <c r="R147" s="42"/>
      <c r="S147" s="28"/>
      <c r="T147" s="28"/>
      <c r="U147" s="28"/>
      <c r="V147" s="40"/>
      <c r="W147" s="28"/>
      <c r="X147" s="138" t="s">
        <v>132</v>
      </c>
      <c r="Y147" s="138">
        <v>0</v>
      </c>
      <c r="Z147" s="141">
        <v>0</v>
      </c>
      <c r="AA147" s="138"/>
      <c r="AB147" s="141"/>
      <c r="AC147" s="28"/>
      <c r="AD147" s="28"/>
      <c r="AE147" s="28"/>
      <c r="AF147" s="28"/>
      <c r="AG147" s="141"/>
      <c r="AL147" s="134"/>
      <c r="AM147" s="134"/>
      <c r="AN147" s="136"/>
      <c r="AO147" s="134"/>
      <c r="AP147" s="136"/>
      <c r="AQ147" s="135"/>
      <c r="AR147" s="135"/>
      <c r="AS147" s="135"/>
      <c r="AT147" s="135"/>
      <c r="AU147" s="136"/>
      <c r="AY147" s="138" t="s">
        <v>122</v>
      </c>
      <c r="AZ147" s="138">
        <v>37</v>
      </c>
      <c r="BA147" s="141">
        <v>56</v>
      </c>
      <c r="BB147" s="138">
        <v>0</v>
      </c>
      <c r="BC147" s="141">
        <v>0</v>
      </c>
      <c r="BD147" s="28"/>
      <c r="BE147" s="28"/>
      <c r="BF147" s="28"/>
      <c r="BG147" s="28"/>
      <c r="BH147" s="141"/>
    </row>
    <row r="148" spans="2:60" ht="15" thickBot="1" x14ac:dyDescent="0.35">
      <c r="B148" s="32" t="s">
        <v>6</v>
      </c>
      <c r="C148" s="43"/>
      <c r="D148" s="54"/>
      <c r="E148" s="33"/>
      <c r="F148" s="35"/>
      <c r="G148" s="33"/>
      <c r="H148" s="34" t="s">
        <v>91</v>
      </c>
      <c r="I148" s="34"/>
      <c r="J148" s="34"/>
      <c r="K148" s="35"/>
      <c r="L148" s="28"/>
      <c r="M148" s="13" t="s">
        <v>84</v>
      </c>
      <c r="N148" s="13">
        <f>SUM(N141:N147)</f>
        <v>1398</v>
      </c>
      <c r="O148" s="26">
        <f>SUM(O141:O147)</f>
        <v>1459</v>
      </c>
      <c r="Q148" s="18"/>
      <c r="R148" s="13"/>
      <c r="S148" s="27"/>
      <c r="T148" s="27"/>
      <c r="U148" s="27"/>
      <c r="V148" s="26">
        <f>SUM(S143:S144)</f>
        <v>114</v>
      </c>
      <c r="W148" s="28"/>
      <c r="X148" s="138" t="s">
        <v>81</v>
      </c>
      <c r="Y148" s="138">
        <v>15</v>
      </c>
      <c r="Z148" s="141">
        <v>33</v>
      </c>
      <c r="AA148" s="138"/>
      <c r="AB148" s="141"/>
      <c r="AC148" s="28"/>
      <c r="AD148" s="28"/>
      <c r="AE148" s="28"/>
      <c r="AF148" s="28"/>
      <c r="AG148" s="141"/>
      <c r="AL148" s="138"/>
      <c r="AM148" s="138" t="s">
        <v>6</v>
      </c>
      <c r="AN148" s="141" t="s">
        <v>6</v>
      </c>
      <c r="AO148" s="138"/>
      <c r="AP148" s="141"/>
      <c r="AQ148" s="28"/>
      <c r="AR148" s="28" t="s">
        <v>91</v>
      </c>
      <c r="AS148" s="28"/>
      <c r="AT148" s="28"/>
      <c r="AU148" s="141"/>
      <c r="AY148" s="138" t="s">
        <v>1397</v>
      </c>
      <c r="AZ148" s="138">
        <v>0</v>
      </c>
      <c r="BA148" s="141">
        <v>0</v>
      </c>
      <c r="BB148" s="138">
        <v>0</v>
      </c>
      <c r="BC148" s="141">
        <v>0</v>
      </c>
      <c r="BD148" s="28"/>
      <c r="BE148" s="28"/>
      <c r="BF148" s="28"/>
      <c r="BG148" s="28"/>
      <c r="BH148" s="141"/>
    </row>
    <row r="149" spans="2:60" x14ac:dyDescent="0.3">
      <c r="B149" s="41"/>
      <c r="E149" s="42"/>
      <c r="F149" s="40"/>
      <c r="G149" s="42"/>
      <c r="H149" s="28"/>
      <c r="I149" s="28"/>
      <c r="J149" s="28"/>
      <c r="K149" s="40"/>
      <c r="L149" s="28" t="s">
        <v>6</v>
      </c>
      <c r="M149" s="32" t="s">
        <v>6</v>
      </c>
      <c r="N149" s="43"/>
      <c r="O149" s="54"/>
      <c r="P149" s="33"/>
      <c r="Q149" s="35"/>
      <c r="R149" s="33"/>
      <c r="S149" s="34" t="s">
        <v>91</v>
      </c>
      <c r="T149" s="34"/>
      <c r="U149" s="34"/>
      <c r="V149" s="35"/>
      <c r="W149" s="28" t="s">
        <v>6</v>
      </c>
      <c r="X149" s="138" t="s">
        <v>138</v>
      </c>
      <c r="Y149" s="138">
        <v>0</v>
      </c>
      <c r="Z149" s="141">
        <v>0</v>
      </c>
      <c r="AA149" s="138"/>
      <c r="AB149" s="141"/>
      <c r="AC149" s="28"/>
      <c r="AD149" s="28"/>
      <c r="AE149" s="28"/>
      <c r="AF149" s="28"/>
      <c r="AG149" s="141"/>
      <c r="AL149" s="138" t="s">
        <v>56</v>
      </c>
      <c r="AM149" s="138">
        <f>1580+19</f>
        <v>1599</v>
      </c>
      <c r="AN149" s="141">
        <v>1633</v>
      </c>
      <c r="AO149" s="138"/>
      <c r="AP149" s="141"/>
      <c r="AQ149" s="28"/>
      <c r="AR149" s="28"/>
      <c r="AS149" s="28"/>
      <c r="AT149" s="28"/>
      <c r="AU149" s="141"/>
      <c r="AY149" s="142" t="s">
        <v>84</v>
      </c>
      <c r="AZ149" s="142">
        <f>SUM(AZ138:AZ148)</f>
        <v>286</v>
      </c>
      <c r="BA149" s="146">
        <f>SUM(BA138:BA148)</f>
        <v>263</v>
      </c>
      <c r="BB149" s="142">
        <v>0</v>
      </c>
      <c r="BC149" s="146">
        <v>0</v>
      </c>
      <c r="BD149" s="143"/>
      <c r="BE149" s="143"/>
      <c r="BF149" s="143"/>
      <c r="BG149" s="143"/>
      <c r="BH149" s="146">
        <v>86</v>
      </c>
    </row>
    <row r="150" spans="2:60" x14ac:dyDescent="0.3">
      <c r="B150" s="41" t="s">
        <v>56</v>
      </c>
      <c r="C150">
        <v>921</v>
      </c>
      <c r="D150">
        <v>937</v>
      </c>
      <c r="E150" s="42"/>
      <c r="F150" s="40"/>
      <c r="G150" s="42"/>
      <c r="H150" s="28"/>
      <c r="I150" s="28"/>
      <c r="J150" s="28"/>
      <c r="K150" s="40"/>
      <c r="L150" s="28"/>
      <c r="M150" s="41" t="s">
        <v>56</v>
      </c>
      <c r="N150" s="43">
        <v>1015</v>
      </c>
      <c r="O150" s="54">
        <v>986</v>
      </c>
      <c r="P150" s="42"/>
      <c r="Q150" s="40"/>
      <c r="R150" s="42"/>
      <c r="S150" s="28"/>
      <c r="T150" s="28"/>
      <c r="U150" s="28"/>
      <c r="V150" s="40"/>
      <c r="W150" s="28"/>
      <c r="X150" s="138" t="s">
        <v>230</v>
      </c>
      <c r="Y150" s="138">
        <v>2</v>
      </c>
      <c r="Z150" s="141">
        <v>2</v>
      </c>
      <c r="AA150" s="138"/>
      <c r="AB150" s="141"/>
      <c r="AC150" s="28"/>
      <c r="AD150" s="28"/>
      <c r="AE150" s="28"/>
      <c r="AF150" s="28"/>
      <c r="AG150" s="141"/>
      <c r="AL150" s="142" t="s">
        <v>6</v>
      </c>
      <c r="AM150" s="142"/>
      <c r="AN150" s="146"/>
      <c r="AO150" s="142"/>
      <c r="AP150" s="146"/>
      <c r="AQ150" s="143"/>
      <c r="AR150" s="143">
        <v>104</v>
      </c>
      <c r="AS150" s="143" t="s">
        <v>73</v>
      </c>
      <c r="AT150" s="143"/>
      <c r="AU150" s="146">
        <f>SUM(AR150)</f>
        <v>104</v>
      </c>
      <c r="AY150" s="134"/>
      <c r="AZ150" s="134">
        <v>0</v>
      </c>
      <c r="BA150" s="136">
        <v>0</v>
      </c>
      <c r="BB150" s="134">
        <v>0</v>
      </c>
      <c r="BC150" s="136">
        <v>0</v>
      </c>
      <c r="BD150" s="135"/>
      <c r="BE150" s="135"/>
      <c r="BF150" s="135"/>
      <c r="BG150" s="135"/>
      <c r="BH150" s="136"/>
    </row>
    <row r="151" spans="2:60" ht="15" thickBot="1" x14ac:dyDescent="0.35">
      <c r="B151" s="62" t="s">
        <v>6</v>
      </c>
      <c r="C151" s="43"/>
      <c r="D151" s="43"/>
      <c r="E151" s="47"/>
      <c r="F151" s="49"/>
      <c r="G151" s="47"/>
      <c r="H151" s="48">
        <v>83</v>
      </c>
      <c r="I151" s="48" t="s">
        <v>73</v>
      </c>
      <c r="J151" s="48"/>
      <c r="K151" s="49">
        <f>SUM(H151)</f>
        <v>83</v>
      </c>
      <c r="L151" s="28"/>
      <c r="M151" s="62" t="s">
        <v>6</v>
      </c>
      <c r="N151" s="43"/>
      <c r="O151" s="43"/>
      <c r="P151" s="47"/>
      <c r="Q151" s="49"/>
      <c r="R151" s="47"/>
      <c r="S151" s="48">
        <f>174/2</f>
        <v>87</v>
      </c>
      <c r="T151" s="48" t="s">
        <v>73</v>
      </c>
      <c r="U151" s="48"/>
      <c r="V151" s="49">
        <f>SUM(S151)</f>
        <v>87</v>
      </c>
      <c r="W151" s="28"/>
      <c r="X151" s="138" t="s">
        <v>67</v>
      </c>
      <c r="Y151" s="138">
        <v>89</v>
      </c>
      <c r="Z151" s="141">
        <v>76</v>
      </c>
      <c r="AA151" s="138"/>
      <c r="AB151" s="141"/>
      <c r="AC151" s="28"/>
      <c r="AD151" s="28"/>
      <c r="AE151" s="28"/>
      <c r="AF151" s="28"/>
      <c r="AG151" s="141"/>
      <c r="AL151" s="134"/>
      <c r="AM151" s="134"/>
      <c r="AN151" s="136"/>
      <c r="AO151" s="134"/>
      <c r="AP151" s="136"/>
      <c r="AQ151" s="135"/>
      <c r="AR151" s="135"/>
      <c r="AS151" s="135"/>
      <c r="AT151" s="135"/>
      <c r="AU151" s="136"/>
      <c r="AY151" s="138" t="s">
        <v>56</v>
      </c>
      <c r="AZ151" s="138">
        <v>0</v>
      </c>
      <c r="BA151" s="141">
        <v>0</v>
      </c>
      <c r="BB151" s="138">
        <v>0</v>
      </c>
      <c r="BC151" s="141">
        <v>0</v>
      </c>
      <c r="BD151" s="28"/>
      <c r="BE151" s="28" t="s">
        <v>173</v>
      </c>
      <c r="BF151" s="28"/>
      <c r="BG151" s="28"/>
      <c r="BH151" s="141"/>
    </row>
    <row r="152" spans="2:60" x14ac:dyDescent="0.3">
      <c r="B152" s="10"/>
      <c r="C152" s="29"/>
      <c r="D152" s="31"/>
      <c r="E152" s="33"/>
      <c r="F152" s="7"/>
      <c r="G152" s="8"/>
      <c r="H152" s="8"/>
      <c r="I152" s="8"/>
      <c r="J152" s="8"/>
      <c r="K152" s="7"/>
      <c r="L152" s="28"/>
      <c r="M152" s="10"/>
      <c r="N152" s="29"/>
      <c r="O152" s="31"/>
      <c r="P152" s="33"/>
      <c r="Q152" s="7"/>
      <c r="R152" s="8"/>
      <c r="S152" s="8"/>
      <c r="T152" s="8"/>
      <c r="U152" s="8"/>
      <c r="V152" s="7"/>
      <c r="W152" s="28"/>
      <c r="X152" s="142" t="s">
        <v>84</v>
      </c>
      <c r="Y152" s="142">
        <f>SUM(Y140:Y151)</f>
        <v>283</v>
      </c>
      <c r="Z152" s="146">
        <f>SUM(Z140:Z151)</f>
        <v>315</v>
      </c>
      <c r="AA152" s="142"/>
      <c r="AB152" s="146">
        <v>0</v>
      </c>
      <c r="AC152" s="143"/>
      <c r="AD152" s="143"/>
      <c r="AE152" s="143"/>
      <c r="AF152" s="143"/>
      <c r="AG152" s="146">
        <f>SUM(AD144:AD146)</f>
        <v>132</v>
      </c>
      <c r="AL152" s="138" t="s">
        <v>63</v>
      </c>
      <c r="AM152" s="138">
        <v>47</v>
      </c>
      <c r="AN152" s="141">
        <v>79</v>
      </c>
      <c r="AO152" s="138"/>
      <c r="AP152" s="141"/>
      <c r="AQ152" s="28"/>
      <c r="AR152" s="28" t="s">
        <v>110</v>
      </c>
      <c r="AS152" s="28" t="s">
        <v>111</v>
      </c>
      <c r="AT152" s="28" t="s">
        <v>112</v>
      </c>
      <c r="AU152" s="141"/>
      <c r="AY152" s="138" t="s">
        <v>67</v>
      </c>
      <c r="AZ152" s="138">
        <v>0</v>
      </c>
      <c r="BA152" s="141">
        <v>0</v>
      </c>
      <c r="BB152" s="138">
        <v>0</v>
      </c>
      <c r="BC152" s="141">
        <v>0</v>
      </c>
      <c r="BD152" s="28"/>
      <c r="BE152" s="28"/>
      <c r="BF152" s="28"/>
      <c r="BG152" s="28"/>
      <c r="BH152" s="141"/>
    </row>
    <row r="153" spans="2:60" x14ac:dyDescent="0.3">
      <c r="B153" s="36" t="s">
        <v>63</v>
      </c>
      <c r="C153" s="10">
        <v>25</v>
      </c>
      <c r="D153" s="18">
        <v>38</v>
      </c>
      <c r="E153" s="42"/>
      <c r="F153" s="11"/>
      <c r="G153" s="18"/>
      <c r="H153" s="18" t="s">
        <v>110</v>
      </c>
      <c r="I153" s="18" t="s">
        <v>111</v>
      </c>
      <c r="J153" s="18" t="s">
        <v>112</v>
      </c>
      <c r="K153" s="11"/>
      <c r="L153" s="45"/>
      <c r="M153" s="36" t="s">
        <v>63</v>
      </c>
      <c r="N153" s="10">
        <v>98</v>
      </c>
      <c r="O153" s="18">
        <v>89</v>
      </c>
      <c r="P153" s="42"/>
      <c r="Q153" s="11"/>
      <c r="R153" s="18"/>
      <c r="S153" s="18" t="s">
        <v>110</v>
      </c>
      <c r="T153" s="18" t="s">
        <v>111</v>
      </c>
      <c r="U153" s="18" t="s">
        <v>112</v>
      </c>
      <c r="V153" s="11"/>
      <c r="W153" s="45"/>
      <c r="X153" s="134"/>
      <c r="Y153" s="134"/>
      <c r="Z153" s="136"/>
      <c r="AA153" s="134"/>
      <c r="AB153" s="136"/>
      <c r="AC153" s="135"/>
      <c r="AD153" s="135"/>
      <c r="AE153" s="135"/>
      <c r="AF153" s="135"/>
      <c r="AG153" s="136"/>
      <c r="AL153" s="138" t="s">
        <v>115</v>
      </c>
      <c r="AM153" s="138">
        <v>20</v>
      </c>
      <c r="AN153" s="141">
        <v>14</v>
      </c>
      <c r="AO153" s="138"/>
      <c r="AP153" s="141"/>
      <c r="AQ153" s="28"/>
      <c r="AR153" s="28"/>
      <c r="AS153" s="28"/>
      <c r="AT153" s="28"/>
      <c r="AU153" s="141"/>
      <c r="AY153" s="138" t="s">
        <v>78</v>
      </c>
      <c r="AZ153" s="138">
        <v>0</v>
      </c>
      <c r="BA153" s="141">
        <v>0</v>
      </c>
      <c r="BB153" s="138">
        <v>0</v>
      </c>
      <c r="BC153" s="141">
        <v>0</v>
      </c>
      <c r="BD153" s="28"/>
      <c r="BE153" s="28">
        <v>0</v>
      </c>
      <c r="BF153" s="28" t="s">
        <v>183</v>
      </c>
      <c r="BG153" s="28"/>
      <c r="BH153" s="141"/>
    </row>
    <row r="154" spans="2:60" x14ac:dyDescent="0.3">
      <c r="B154" s="10" t="s">
        <v>115</v>
      </c>
      <c r="C154" s="36">
        <v>49</v>
      </c>
      <c r="D154" s="37">
        <v>20</v>
      </c>
      <c r="E154" s="42"/>
      <c r="F154" s="11"/>
      <c r="G154" s="18"/>
      <c r="H154" s="18"/>
      <c r="I154" s="18"/>
      <c r="J154" s="18"/>
      <c r="K154" s="11"/>
      <c r="L154" s="28"/>
      <c r="M154" s="10" t="s">
        <v>115</v>
      </c>
      <c r="N154" s="36">
        <v>52</v>
      </c>
      <c r="O154" s="37">
        <v>36</v>
      </c>
      <c r="P154" s="42"/>
      <c r="Q154" s="11"/>
      <c r="R154" s="18"/>
      <c r="S154" s="18"/>
      <c r="T154" s="18"/>
      <c r="U154" s="18"/>
      <c r="V154" s="11"/>
      <c r="W154" s="28"/>
      <c r="X154" s="138" t="s">
        <v>63</v>
      </c>
      <c r="Y154" s="138">
        <v>6</v>
      </c>
      <c r="Z154" s="141">
        <v>10</v>
      </c>
      <c r="AA154" s="138"/>
      <c r="AB154" s="141"/>
      <c r="AC154" s="28"/>
      <c r="AD154" s="28"/>
      <c r="AE154" s="28"/>
      <c r="AF154" s="28"/>
      <c r="AG154" s="141"/>
      <c r="AL154" s="138" t="s">
        <v>72</v>
      </c>
      <c r="AM154" s="138">
        <v>23</v>
      </c>
      <c r="AN154" s="141">
        <v>12</v>
      </c>
      <c r="AO154" s="138"/>
      <c r="AP154" s="141"/>
      <c r="AQ154" s="28"/>
      <c r="AR154" s="28"/>
      <c r="AS154" s="28"/>
      <c r="AT154" s="28"/>
      <c r="AU154" s="141"/>
      <c r="AY154" s="142" t="s">
        <v>84</v>
      </c>
      <c r="AZ154" s="142">
        <v>0</v>
      </c>
      <c r="BA154" s="146">
        <v>0</v>
      </c>
      <c r="BB154" s="142">
        <v>0</v>
      </c>
      <c r="BC154" s="146">
        <v>0</v>
      </c>
      <c r="BD154" s="143"/>
      <c r="BE154" s="143"/>
      <c r="BF154" s="143"/>
      <c r="BG154" s="143"/>
      <c r="BH154" s="146"/>
    </row>
    <row r="155" spans="2:60" x14ac:dyDescent="0.3">
      <c r="B155" s="52" t="s">
        <v>72</v>
      </c>
      <c r="C155" s="52">
        <v>14</v>
      </c>
      <c r="D155" s="54">
        <v>12</v>
      </c>
      <c r="E155" s="42"/>
      <c r="F155" s="40"/>
      <c r="G155" s="28"/>
      <c r="H155" s="28"/>
      <c r="I155" s="28"/>
      <c r="J155" s="28"/>
      <c r="K155" s="40"/>
      <c r="L155" s="28"/>
      <c r="M155" s="52" t="s">
        <v>72</v>
      </c>
      <c r="N155" s="52">
        <v>11</v>
      </c>
      <c r="O155" s="54">
        <v>12</v>
      </c>
      <c r="P155" s="42"/>
      <c r="Q155" s="40"/>
      <c r="R155" s="28"/>
      <c r="S155" s="28"/>
      <c r="T155" s="28"/>
      <c r="U155" s="28"/>
      <c r="V155" s="40"/>
      <c r="W155" s="28"/>
      <c r="X155" s="138" t="s">
        <v>536</v>
      </c>
      <c r="Y155" s="138">
        <v>0</v>
      </c>
      <c r="Z155" s="141">
        <v>0</v>
      </c>
      <c r="AA155" s="138"/>
      <c r="AB155" s="141"/>
      <c r="AC155" s="28"/>
      <c r="AD155" s="28"/>
      <c r="AE155" s="28"/>
      <c r="AF155" s="28"/>
      <c r="AG155" s="141"/>
      <c r="AL155" s="138" t="s">
        <v>78</v>
      </c>
      <c r="AM155" s="138">
        <v>49</v>
      </c>
      <c r="AN155" s="141">
        <v>43</v>
      </c>
      <c r="AO155" s="138"/>
      <c r="AP155" s="141"/>
      <c r="AQ155" s="28"/>
      <c r="AR155" s="28"/>
      <c r="AS155" s="28"/>
      <c r="AT155" s="28"/>
      <c r="AU155" s="141"/>
      <c r="AV155" t="s">
        <v>6</v>
      </c>
      <c r="AY155" s="134"/>
      <c r="AZ155" s="134"/>
      <c r="BA155" s="136"/>
      <c r="BB155" s="134">
        <v>0</v>
      </c>
      <c r="BC155" s="136">
        <v>0</v>
      </c>
      <c r="BD155" s="134"/>
      <c r="BE155" s="135" t="s">
        <v>140</v>
      </c>
      <c r="BF155" s="135"/>
      <c r="BG155" s="135"/>
      <c r="BH155" s="136"/>
    </row>
    <row r="156" spans="2:60" x14ac:dyDescent="0.3">
      <c r="B156" s="36" t="s">
        <v>78</v>
      </c>
      <c r="C156" s="36">
        <v>69</v>
      </c>
      <c r="D156" s="37">
        <v>39</v>
      </c>
      <c r="E156" s="42"/>
      <c r="F156" s="11"/>
      <c r="G156" s="18"/>
      <c r="H156" s="37"/>
      <c r="I156" s="18"/>
      <c r="J156" s="37"/>
      <c r="K156" s="11"/>
      <c r="L156" s="28"/>
      <c r="M156" s="36" t="s">
        <v>78</v>
      </c>
      <c r="N156" s="36">
        <v>63</v>
      </c>
      <c r="O156" s="37">
        <v>31</v>
      </c>
      <c r="P156" s="42"/>
      <c r="Q156" s="11"/>
      <c r="R156" s="18"/>
      <c r="S156" s="37"/>
      <c r="T156" s="18"/>
      <c r="U156" s="37"/>
      <c r="V156" s="11"/>
      <c r="W156" s="28"/>
      <c r="X156" s="138" t="s">
        <v>56</v>
      </c>
      <c r="Y156" s="138">
        <v>1</v>
      </c>
      <c r="Z156" s="141">
        <v>0</v>
      </c>
      <c r="AA156" s="138"/>
      <c r="AB156" s="141"/>
      <c r="AC156" s="28"/>
      <c r="AD156" s="28" t="s">
        <v>173</v>
      </c>
      <c r="AE156" s="28"/>
      <c r="AF156" s="28"/>
      <c r="AG156" s="141"/>
      <c r="AL156" s="138" t="s">
        <v>122</v>
      </c>
      <c r="AM156" s="138">
        <v>40</v>
      </c>
      <c r="AN156" s="141">
        <v>36</v>
      </c>
      <c r="AO156" s="138"/>
      <c r="AP156" s="141"/>
      <c r="AQ156" s="28"/>
      <c r="AR156" s="28">
        <v>32</v>
      </c>
      <c r="AS156" s="28" t="s">
        <v>123</v>
      </c>
      <c r="AT156" s="28" t="s">
        <v>6</v>
      </c>
      <c r="AU156" s="141"/>
      <c r="AY156" s="138" t="s">
        <v>56</v>
      </c>
      <c r="AZ156" s="138">
        <v>22</v>
      </c>
      <c r="BA156" s="141">
        <v>18</v>
      </c>
      <c r="BB156" s="138">
        <v>0</v>
      </c>
      <c r="BC156" s="141">
        <v>0</v>
      </c>
      <c r="BD156" s="138"/>
      <c r="BE156" s="43" t="s">
        <v>1401</v>
      </c>
      <c r="BF156" s="28"/>
      <c r="BG156" s="28"/>
      <c r="BH156" s="141"/>
    </row>
    <row r="157" spans="2:60" x14ac:dyDescent="0.3">
      <c r="B157" s="10" t="s">
        <v>122</v>
      </c>
      <c r="C157" s="36">
        <v>108</v>
      </c>
      <c r="D157" s="37">
        <v>88</v>
      </c>
      <c r="E157" s="42"/>
      <c r="F157" s="11"/>
      <c r="G157" s="18"/>
      <c r="H157" s="18">
        <v>3</v>
      </c>
      <c r="I157" s="18" t="s">
        <v>123</v>
      </c>
      <c r="J157" s="18"/>
      <c r="K157" s="11"/>
      <c r="L157" s="28"/>
      <c r="M157" s="10" t="s">
        <v>122</v>
      </c>
      <c r="N157" s="36">
        <v>43</v>
      </c>
      <c r="O157" s="37">
        <v>36</v>
      </c>
      <c r="P157" s="42"/>
      <c r="Q157" s="11"/>
      <c r="R157" s="18"/>
      <c r="S157" s="18">
        <v>30</v>
      </c>
      <c r="T157" s="18" t="s">
        <v>123</v>
      </c>
      <c r="U157" s="18"/>
      <c r="V157" s="11"/>
      <c r="W157" s="28"/>
      <c r="X157" s="138" t="s">
        <v>67</v>
      </c>
      <c r="Y157" s="138">
        <v>15</v>
      </c>
      <c r="Z157" s="141">
        <v>1</v>
      </c>
      <c r="AA157" s="138"/>
      <c r="AB157" s="141"/>
      <c r="AC157" s="28"/>
      <c r="AD157" s="28"/>
      <c r="AE157" s="28"/>
      <c r="AF157" s="28"/>
      <c r="AG157" s="141"/>
      <c r="AL157" s="138" t="s">
        <v>125</v>
      </c>
      <c r="AM157" s="138">
        <v>13</v>
      </c>
      <c r="AN157" s="141">
        <v>0</v>
      </c>
      <c r="AO157" s="138"/>
      <c r="AP157" s="141"/>
      <c r="AQ157" s="28"/>
      <c r="AR157" s="28">
        <v>58</v>
      </c>
      <c r="AS157" s="28" t="s">
        <v>126</v>
      </c>
      <c r="AT157" s="28"/>
      <c r="AU157" s="141"/>
      <c r="AW157" t="s">
        <v>6</v>
      </c>
      <c r="AY157" s="138" t="s">
        <v>72</v>
      </c>
      <c r="AZ157" s="138">
        <v>47</v>
      </c>
      <c r="BA157" s="141">
        <v>38</v>
      </c>
      <c r="BB157" s="138">
        <v>0</v>
      </c>
      <c r="BC157" s="141">
        <v>0</v>
      </c>
      <c r="BD157" s="138"/>
      <c r="BE157" s="43" t="s">
        <v>1402</v>
      </c>
      <c r="BF157" s="28"/>
      <c r="BG157" s="43" t="s">
        <v>1403</v>
      </c>
      <c r="BH157" s="141"/>
    </row>
    <row r="158" spans="2:60" x14ac:dyDescent="0.3">
      <c r="B158" s="10" t="s">
        <v>125</v>
      </c>
      <c r="C158" s="36">
        <v>0</v>
      </c>
      <c r="D158" s="37">
        <v>1</v>
      </c>
      <c r="E158" s="42"/>
      <c r="F158" s="11"/>
      <c r="G158" s="18"/>
      <c r="H158" s="18">
        <v>52</v>
      </c>
      <c r="I158" s="18" t="s">
        <v>126</v>
      </c>
      <c r="J158" s="18"/>
      <c r="K158" s="11"/>
      <c r="L158" s="28"/>
      <c r="M158" s="10" t="s">
        <v>125</v>
      </c>
      <c r="N158" s="36">
        <v>6</v>
      </c>
      <c r="O158" s="37">
        <v>0</v>
      </c>
      <c r="P158" s="42"/>
      <c r="Q158" s="11"/>
      <c r="R158" s="18"/>
      <c r="S158" s="18">
        <v>33</v>
      </c>
      <c r="T158" s="18" t="s">
        <v>126</v>
      </c>
      <c r="U158" s="18"/>
      <c r="V158" s="11"/>
      <c r="W158" s="28"/>
      <c r="X158" s="138" t="s">
        <v>78</v>
      </c>
      <c r="Y158" s="138">
        <v>0</v>
      </c>
      <c r="Z158" s="141">
        <v>7</v>
      </c>
      <c r="AA158" s="138"/>
      <c r="AB158" s="141"/>
      <c r="AC158" s="28"/>
      <c r="AD158" s="28">
        <v>17</v>
      </c>
      <c r="AE158" s="28" t="s">
        <v>183</v>
      </c>
      <c r="AF158" s="28"/>
      <c r="AG158" s="141"/>
      <c r="AL158" s="138" t="s">
        <v>128</v>
      </c>
      <c r="AM158" s="138">
        <v>0</v>
      </c>
      <c r="AN158" s="141">
        <v>0</v>
      </c>
      <c r="AO158" s="138"/>
      <c r="AP158" s="141"/>
      <c r="AQ158" s="28"/>
      <c r="AR158" s="28">
        <v>9</v>
      </c>
      <c r="AS158" s="28" t="s">
        <v>129</v>
      </c>
      <c r="AT158" s="28" t="s">
        <v>6</v>
      </c>
      <c r="AU158" s="141"/>
      <c r="AW158" t="s">
        <v>6</v>
      </c>
      <c r="AY158" s="138" t="s">
        <v>78</v>
      </c>
      <c r="AZ158" s="138">
        <v>54</v>
      </c>
      <c r="BA158" s="141">
        <v>75</v>
      </c>
      <c r="BB158" s="138">
        <v>0</v>
      </c>
      <c r="BC158" s="141">
        <v>0</v>
      </c>
      <c r="BD158" s="138"/>
      <c r="BE158" s="43" t="s">
        <v>1404</v>
      </c>
      <c r="BF158" s="43"/>
      <c r="BG158" s="28"/>
      <c r="BH158" s="141"/>
    </row>
    <row r="159" spans="2:60" x14ac:dyDescent="0.3">
      <c r="B159" s="84" t="s">
        <v>128</v>
      </c>
      <c r="C159" s="52">
        <v>0</v>
      </c>
      <c r="D159" s="37">
        <v>1</v>
      </c>
      <c r="E159" s="42"/>
      <c r="F159" s="40"/>
      <c r="G159" s="28"/>
      <c r="H159" s="28">
        <v>41</v>
      </c>
      <c r="I159" s="28" t="s">
        <v>129</v>
      </c>
      <c r="J159" s="28"/>
      <c r="K159" s="40"/>
      <c r="M159" s="84" t="s">
        <v>128</v>
      </c>
      <c r="N159" s="52">
        <v>0</v>
      </c>
      <c r="O159" s="37">
        <v>0</v>
      </c>
      <c r="P159" s="42"/>
      <c r="Q159" s="40"/>
      <c r="R159" s="28"/>
      <c r="S159" s="28">
        <v>43</v>
      </c>
      <c r="T159" s="28" t="s">
        <v>129</v>
      </c>
      <c r="U159" s="28"/>
      <c r="V159" s="40"/>
      <c r="X159" s="138" t="s">
        <v>115</v>
      </c>
      <c r="Y159" s="138">
        <v>0</v>
      </c>
      <c r="Z159" s="141">
        <v>0</v>
      </c>
      <c r="AA159" s="138"/>
      <c r="AB159" s="141"/>
      <c r="AC159" s="28"/>
      <c r="AD159" s="28" t="s">
        <v>6</v>
      </c>
      <c r="AE159" s="28"/>
      <c r="AF159" s="28"/>
      <c r="AG159" s="141"/>
      <c r="AL159" s="138" t="s">
        <v>132</v>
      </c>
      <c r="AM159" s="138">
        <v>0</v>
      </c>
      <c r="AN159" s="141">
        <v>0</v>
      </c>
      <c r="AO159" s="138"/>
      <c r="AP159" s="141"/>
      <c r="AQ159" s="28"/>
      <c r="AR159" s="28"/>
      <c r="AS159" s="28"/>
      <c r="AT159" s="28"/>
      <c r="AU159" s="141"/>
      <c r="AV159" t="s">
        <v>6</v>
      </c>
      <c r="AY159" s="138" t="s">
        <v>67</v>
      </c>
      <c r="AZ159" s="138">
        <v>52</v>
      </c>
      <c r="BA159" s="141">
        <v>48</v>
      </c>
      <c r="BB159" s="138">
        <v>0</v>
      </c>
      <c r="BC159" s="141">
        <v>0</v>
      </c>
      <c r="BD159" s="138"/>
      <c r="BE159" s="43" t="s">
        <v>1405</v>
      </c>
      <c r="BF159" s="43"/>
      <c r="BG159" s="43"/>
      <c r="BH159" s="141"/>
    </row>
    <row r="160" spans="2:60" x14ac:dyDescent="0.3">
      <c r="B160" s="84" t="s">
        <v>132</v>
      </c>
      <c r="C160" s="42">
        <v>0</v>
      </c>
      <c r="D160" s="37">
        <v>0</v>
      </c>
      <c r="E160" s="42"/>
      <c r="F160" s="40"/>
      <c r="G160" s="28"/>
      <c r="H160" s="28"/>
      <c r="I160" s="28"/>
      <c r="J160" s="28"/>
      <c r="K160" s="40"/>
      <c r="L160" s="28"/>
      <c r="M160" s="84" t="s">
        <v>132</v>
      </c>
      <c r="N160" s="42">
        <v>0</v>
      </c>
      <c r="O160" s="37">
        <v>0</v>
      </c>
      <c r="P160" s="42"/>
      <c r="Q160" s="40"/>
      <c r="R160" s="28"/>
      <c r="S160" s="28"/>
      <c r="T160" s="28"/>
      <c r="U160" s="28"/>
      <c r="V160" s="40"/>
      <c r="W160" s="28"/>
      <c r="X160" s="138" t="s">
        <v>72</v>
      </c>
      <c r="Y160" s="138">
        <v>1</v>
      </c>
      <c r="Z160" s="141">
        <v>1</v>
      </c>
      <c r="AA160" s="138"/>
      <c r="AB160" s="141"/>
      <c r="AC160" s="28"/>
      <c r="AD160" s="28"/>
      <c r="AE160" s="28"/>
      <c r="AF160" s="28"/>
      <c r="AG160" s="141"/>
      <c r="AL160" s="138" t="s">
        <v>81</v>
      </c>
      <c r="AM160" s="138">
        <v>12</v>
      </c>
      <c r="AN160" s="141">
        <v>20</v>
      </c>
      <c r="AO160" s="138"/>
      <c r="AP160" s="141"/>
      <c r="AQ160" s="28"/>
      <c r="AR160" s="28"/>
      <c r="AS160" s="28"/>
      <c r="AT160" s="28"/>
      <c r="AU160" s="141" t="s">
        <v>6</v>
      </c>
      <c r="AW160" t="s">
        <v>6</v>
      </c>
      <c r="AY160" s="138" t="s">
        <v>115</v>
      </c>
      <c r="AZ160" s="138">
        <v>39</v>
      </c>
      <c r="BA160" s="141">
        <v>35</v>
      </c>
      <c r="BB160" s="138">
        <v>0</v>
      </c>
      <c r="BC160" s="141">
        <v>0</v>
      </c>
      <c r="BD160" s="138"/>
      <c r="BE160" s="43" t="s">
        <v>730</v>
      </c>
      <c r="BF160" s="43"/>
      <c r="BG160" s="43"/>
      <c r="BH160" s="141"/>
    </row>
    <row r="161" spans="1:60" x14ac:dyDescent="0.3">
      <c r="B161" s="84" t="s">
        <v>81</v>
      </c>
      <c r="C161" s="42">
        <v>72</v>
      </c>
      <c r="D161" s="37">
        <v>24</v>
      </c>
      <c r="E161" s="42"/>
      <c r="F161" s="40"/>
      <c r="G161" s="28"/>
      <c r="H161" s="28"/>
      <c r="I161" s="28"/>
      <c r="J161" s="28"/>
      <c r="K161" s="40"/>
      <c r="L161" s="28"/>
      <c r="M161" s="84" t="s">
        <v>81</v>
      </c>
      <c r="N161" s="42">
        <v>17</v>
      </c>
      <c r="O161" s="37">
        <v>37</v>
      </c>
      <c r="P161" s="42"/>
      <c r="Q161" s="40"/>
      <c r="R161" s="28"/>
      <c r="S161" s="28"/>
      <c r="T161" s="28"/>
      <c r="U161" s="28"/>
      <c r="V161" s="40"/>
      <c r="W161" s="28"/>
      <c r="X161" s="142" t="s">
        <v>84</v>
      </c>
      <c r="Y161" s="142">
        <f>SUM(Y154:Y160)</f>
        <v>23</v>
      </c>
      <c r="Z161" s="146">
        <f>SUM(Z154:Z160)</f>
        <v>19</v>
      </c>
      <c r="AA161" s="142"/>
      <c r="AB161" s="146"/>
      <c r="AC161" s="143"/>
      <c r="AD161" s="143"/>
      <c r="AE161" s="143"/>
      <c r="AF161" s="143"/>
      <c r="AG161" s="146">
        <f>SUM(AD158)</f>
        <v>17</v>
      </c>
      <c r="AL161" s="138" t="s">
        <v>138</v>
      </c>
      <c r="AM161" s="138">
        <v>4</v>
      </c>
      <c r="AN161" s="141">
        <v>5</v>
      </c>
      <c r="AO161" s="138"/>
      <c r="AP161" s="141"/>
      <c r="AQ161" s="28"/>
      <c r="AR161" s="28"/>
      <c r="AS161" s="28"/>
      <c r="AT161" s="28"/>
      <c r="AU161" s="141"/>
      <c r="AY161" s="138" t="s">
        <v>115</v>
      </c>
      <c r="AZ161" s="138">
        <v>14</v>
      </c>
      <c r="BA161" s="141">
        <v>20</v>
      </c>
      <c r="BB161" s="138">
        <v>0</v>
      </c>
      <c r="BC161" s="141">
        <v>0</v>
      </c>
      <c r="BD161" s="138"/>
      <c r="BE161" s="43" t="s">
        <v>1406</v>
      </c>
      <c r="BF161" s="43"/>
      <c r="BG161" s="43"/>
      <c r="BH161" s="141"/>
    </row>
    <row r="162" spans="1:60" x14ac:dyDescent="0.3">
      <c r="B162" s="10" t="s">
        <v>138</v>
      </c>
      <c r="C162" s="36">
        <v>11</v>
      </c>
      <c r="D162" s="37">
        <v>0</v>
      </c>
      <c r="E162" s="42"/>
      <c r="F162" s="11"/>
      <c r="G162" s="18"/>
      <c r="H162" s="18"/>
      <c r="I162" s="18"/>
      <c r="J162" s="18"/>
      <c r="K162" s="11"/>
      <c r="L162" s="28"/>
      <c r="M162" s="10" t="s">
        <v>138</v>
      </c>
      <c r="N162" s="36">
        <v>1</v>
      </c>
      <c r="O162" s="37">
        <v>1</v>
      </c>
      <c r="P162" s="42"/>
      <c r="Q162" s="11"/>
      <c r="R162" s="18"/>
      <c r="S162" s="18"/>
      <c r="T162" s="18"/>
      <c r="U162" s="18"/>
      <c r="V162" s="11"/>
      <c r="W162" s="28"/>
      <c r="X162" s="134"/>
      <c r="Y162" s="134"/>
      <c r="Z162" s="136"/>
      <c r="AA162" s="134"/>
      <c r="AB162" s="136"/>
      <c r="AC162" s="135"/>
      <c r="AD162" s="135"/>
      <c r="AE162" s="135"/>
      <c r="AF162" s="135"/>
      <c r="AG162" s="136"/>
      <c r="AL162" s="138" t="s">
        <v>56</v>
      </c>
      <c r="AM162" s="138">
        <v>19</v>
      </c>
      <c r="AN162" s="141">
        <v>25</v>
      </c>
      <c r="AO162" s="138"/>
      <c r="AP162" s="141"/>
      <c r="AQ162" s="28"/>
      <c r="AR162" s="28"/>
      <c r="AS162" s="28"/>
      <c r="AT162" s="28"/>
      <c r="AU162" s="141"/>
      <c r="AY162" s="138" t="s">
        <v>230</v>
      </c>
      <c r="AZ162" s="138">
        <v>3</v>
      </c>
      <c r="BA162" s="141">
        <v>4</v>
      </c>
      <c r="BB162" s="138">
        <v>0</v>
      </c>
      <c r="BC162" s="141">
        <v>0</v>
      </c>
      <c r="BD162" s="138"/>
      <c r="BE162" s="43" t="s">
        <v>1409</v>
      </c>
      <c r="BF162" s="43"/>
      <c r="BG162" s="43"/>
      <c r="BH162" s="141"/>
    </row>
    <row r="163" spans="1:60" x14ac:dyDescent="0.3">
      <c r="B163" s="84" t="s">
        <v>56</v>
      </c>
      <c r="C163" s="42">
        <v>5</v>
      </c>
      <c r="D163" s="54">
        <v>0</v>
      </c>
      <c r="E163" s="42"/>
      <c r="F163" s="40"/>
      <c r="G163" s="28"/>
      <c r="H163" s="28"/>
      <c r="I163" s="28"/>
      <c r="J163" s="28"/>
      <c r="K163" s="40"/>
      <c r="L163" s="28"/>
      <c r="M163" s="84" t="s">
        <v>56</v>
      </c>
      <c r="N163" s="42">
        <v>1</v>
      </c>
      <c r="O163" s="54">
        <v>9</v>
      </c>
      <c r="P163" s="42"/>
      <c r="Q163" s="40"/>
      <c r="R163" s="28"/>
      <c r="S163" s="28"/>
      <c r="T163" s="28"/>
      <c r="U163" s="28"/>
      <c r="V163" s="40"/>
      <c r="W163" s="28"/>
      <c r="X163" s="138" t="s">
        <v>63</v>
      </c>
      <c r="Y163" s="138">
        <f>1+6+3</f>
        <v>10</v>
      </c>
      <c r="Z163" s="141">
        <f>1+14+7</f>
        <v>22</v>
      </c>
      <c r="AA163" s="138"/>
      <c r="AB163" s="141"/>
      <c r="AC163" s="28"/>
      <c r="AD163" s="28" t="s">
        <v>140</v>
      </c>
      <c r="AE163" s="28"/>
      <c r="AF163" s="28"/>
      <c r="AG163" s="141"/>
      <c r="AL163" s="138" t="s">
        <v>67</v>
      </c>
      <c r="AM163" s="138">
        <v>131</v>
      </c>
      <c r="AN163" s="141">
        <v>96</v>
      </c>
      <c r="AO163" s="138"/>
      <c r="AP163" s="141"/>
      <c r="AQ163" s="28"/>
      <c r="AR163" s="28"/>
      <c r="AS163" s="28"/>
      <c r="AT163" s="28"/>
      <c r="AU163" s="141"/>
      <c r="AY163" s="138" t="s">
        <v>63</v>
      </c>
      <c r="AZ163" s="138">
        <v>30</v>
      </c>
      <c r="BA163" s="141">
        <v>18</v>
      </c>
      <c r="BB163" s="138">
        <v>0</v>
      </c>
      <c r="BC163" s="141">
        <v>0</v>
      </c>
      <c r="BD163" s="138"/>
      <c r="BE163" s="43" t="s">
        <v>787</v>
      </c>
      <c r="BF163" s="43"/>
      <c r="BG163" s="43"/>
      <c r="BH163" s="141"/>
    </row>
    <row r="164" spans="1:60" x14ac:dyDescent="0.3">
      <c r="B164" s="36" t="s">
        <v>67</v>
      </c>
      <c r="C164" s="10">
        <v>25</v>
      </c>
      <c r="D164" s="18">
        <v>32</v>
      </c>
      <c r="E164" s="42"/>
      <c r="F164" s="11"/>
      <c r="G164" s="18"/>
      <c r="H164" s="18"/>
      <c r="I164" s="18"/>
      <c r="J164" s="18"/>
      <c r="K164" s="11"/>
      <c r="L164" s="28"/>
      <c r="M164" s="36" t="s">
        <v>67</v>
      </c>
      <c r="N164" s="10">
        <v>27</v>
      </c>
      <c r="O164" s="18">
        <v>24</v>
      </c>
      <c r="P164" s="42"/>
      <c r="Q164" s="11"/>
      <c r="R164" s="18"/>
      <c r="S164" s="18"/>
      <c r="T164" s="18"/>
      <c r="U164" s="18"/>
      <c r="V164" s="11"/>
      <c r="W164" s="28"/>
      <c r="X164" s="138" t="s">
        <v>78</v>
      </c>
      <c r="Y164" s="138">
        <f>56+12</f>
        <v>68</v>
      </c>
      <c r="Z164" s="141">
        <f>7+79+10</f>
        <v>96</v>
      </c>
      <c r="AA164" s="138"/>
      <c r="AB164" s="141"/>
      <c r="AC164" s="28"/>
      <c r="AD164" s="28">
        <v>25</v>
      </c>
      <c r="AE164" s="28" t="s">
        <v>204</v>
      </c>
      <c r="AF164" s="28"/>
      <c r="AG164" s="141"/>
      <c r="AL164" s="142" t="s">
        <v>84</v>
      </c>
      <c r="AM164" s="142">
        <f>SUM(AM152:AM163)</f>
        <v>358</v>
      </c>
      <c r="AN164" s="146">
        <f>SUM(AN152:AN163)</f>
        <v>330</v>
      </c>
      <c r="AO164" s="142"/>
      <c r="AP164" s="146">
        <v>0</v>
      </c>
      <c r="AQ164" s="143"/>
      <c r="AR164" s="143"/>
      <c r="AS164" s="143"/>
      <c r="AT164" s="143"/>
      <c r="AU164" s="146">
        <f>SUM(AR156:AR158)</f>
        <v>99</v>
      </c>
      <c r="AY164" s="138" t="s">
        <v>122</v>
      </c>
      <c r="AZ164" s="138">
        <v>11</v>
      </c>
      <c r="BA164" s="141">
        <v>3</v>
      </c>
      <c r="BB164" s="138">
        <v>0</v>
      </c>
      <c r="BC164" s="141">
        <v>0</v>
      </c>
      <c r="BD164" s="138"/>
      <c r="BE164" s="43" t="s">
        <v>803</v>
      </c>
      <c r="BF164" s="43"/>
      <c r="BG164" s="28"/>
      <c r="BH164" s="141"/>
    </row>
    <row r="165" spans="1:60" ht="15" thickBot="1" x14ac:dyDescent="0.35">
      <c r="A165" s="95"/>
      <c r="B165" s="13" t="s">
        <v>84</v>
      </c>
      <c r="C165" s="13">
        <f>SUM(C153:C164)</f>
        <v>378</v>
      </c>
      <c r="D165" s="27">
        <f>SUM(D153:D164)</f>
        <v>255</v>
      </c>
      <c r="E165" s="47"/>
      <c r="F165" s="26">
        <f>SUM(F157:F164)</f>
        <v>0</v>
      </c>
      <c r="G165" s="27"/>
      <c r="H165" s="27"/>
      <c r="I165" s="27"/>
      <c r="J165" s="27"/>
      <c r="K165" s="26">
        <f>SUM(H157:H159)</f>
        <v>96</v>
      </c>
      <c r="L165" s="28"/>
      <c r="M165" s="13" t="s">
        <v>84</v>
      </c>
      <c r="N165" s="13">
        <f>SUM(N153:N164)</f>
        <v>319</v>
      </c>
      <c r="O165" s="27">
        <f>SUM(O153:O164)</f>
        <v>275</v>
      </c>
      <c r="P165" s="47"/>
      <c r="Q165" s="26">
        <f>SUM(Q157:Q164)</f>
        <v>0</v>
      </c>
      <c r="R165" s="27"/>
      <c r="S165" s="27"/>
      <c r="T165" s="27"/>
      <c r="U165" s="27"/>
      <c r="V165" s="26">
        <f>SUM(S157:S159)</f>
        <v>106</v>
      </c>
      <c r="W165" s="28"/>
      <c r="X165" s="138" t="s">
        <v>209</v>
      </c>
      <c r="Y165" s="138">
        <v>0</v>
      </c>
      <c r="Z165" s="141">
        <v>0</v>
      </c>
      <c r="AA165" s="138"/>
      <c r="AB165" s="141"/>
      <c r="AC165" s="28"/>
      <c r="AD165" s="28">
        <v>2</v>
      </c>
      <c r="AE165" s="28" t="s">
        <v>210</v>
      </c>
      <c r="AF165" s="28" t="s">
        <v>6</v>
      </c>
      <c r="AG165" s="141"/>
      <c r="AL165" s="134"/>
      <c r="AM165" s="134"/>
      <c r="AN165" s="136"/>
      <c r="AO165" s="134"/>
      <c r="AP165" s="136"/>
      <c r="AQ165" s="135"/>
      <c r="AR165" s="135"/>
      <c r="AS165" s="135"/>
      <c r="AT165" s="135"/>
      <c r="AU165" s="136"/>
      <c r="AY165" s="138" t="s">
        <v>1319</v>
      </c>
      <c r="AZ165" s="138">
        <v>0</v>
      </c>
      <c r="BA165" s="141">
        <v>0</v>
      </c>
      <c r="BB165" s="138">
        <v>0</v>
      </c>
      <c r="BC165" s="141">
        <v>0</v>
      </c>
      <c r="BD165" s="138"/>
      <c r="BE165" s="220" t="s">
        <v>1412</v>
      </c>
      <c r="BF165" s="220"/>
      <c r="BG165" s="28"/>
      <c r="BH165" s="141"/>
    </row>
    <row r="166" spans="1:60" ht="15" thickBot="1" x14ac:dyDescent="0.35">
      <c r="B166" s="32"/>
      <c r="C166" s="53"/>
      <c r="D166" s="97"/>
      <c r="E166" s="33"/>
      <c r="F166" s="7"/>
      <c r="G166" s="6"/>
      <c r="H166" s="8"/>
      <c r="I166" s="31"/>
      <c r="J166" s="8"/>
      <c r="K166" s="7"/>
      <c r="L166" s="28"/>
      <c r="M166" s="32"/>
      <c r="N166" s="53"/>
      <c r="O166" s="97"/>
      <c r="P166" s="33"/>
      <c r="Q166" s="7"/>
      <c r="R166" s="6"/>
      <c r="S166" s="8"/>
      <c r="T166" s="31"/>
      <c r="U166" s="8"/>
      <c r="V166" s="7"/>
      <c r="W166" s="28"/>
      <c r="X166" s="138" t="s">
        <v>168</v>
      </c>
      <c r="Y166" s="138">
        <v>0</v>
      </c>
      <c r="Z166" s="141">
        <v>0</v>
      </c>
      <c r="AA166" s="138"/>
      <c r="AB166" s="141"/>
      <c r="AC166" s="28"/>
      <c r="AD166" s="28">
        <v>14</v>
      </c>
      <c r="AE166" s="28" t="s">
        <v>213</v>
      </c>
      <c r="AF166" s="28" t="s">
        <v>6</v>
      </c>
      <c r="AG166" s="141"/>
      <c r="AL166" s="138" t="s">
        <v>63</v>
      </c>
      <c r="AM166" s="138">
        <v>0</v>
      </c>
      <c r="AN166" s="141">
        <v>0</v>
      </c>
      <c r="AO166" s="138"/>
      <c r="AP166" s="141"/>
      <c r="AQ166" s="28"/>
      <c r="AR166" s="28"/>
      <c r="AS166" s="28"/>
      <c r="AT166" s="28"/>
      <c r="AU166" s="141"/>
      <c r="AY166" s="138" t="s">
        <v>84</v>
      </c>
      <c r="AZ166" s="138">
        <f>SUM(AZ156:AZ165)</f>
        <v>272</v>
      </c>
      <c r="BA166" s="141">
        <f>SUM(BA156:BA165)</f>
        <v>259</v>
      </c>
      <c r="BB166" s="138">
        <v>0</v>
      </c>
      <c r="BC166" s="141">
        <v>0</v>
      </c>
      <c r="BD166" s="142"/>
      <c r="BE166" s="224" t="s">
        <v>1413</v>
      </c>
      <c r="BF166" s="224"/>
      <c r="BG166" s="143"/>
      <c r="BH166" s="146">
        <v>202</v>
      </c>
    </row>
    <row r="167" spans="1:60" ht="15" thickBot="1" x14ac:dyDescent="0.35">
      <c r="B167" s="62"/>
      <c r="C167" s="72"/>
      <c r="D167" s="73"/>
      <c r="E167" s="47"/>
      <c r="F167" s="49"/>
      <c r="G167" s="47"/>
      <c r="H167" s="48"/>
      <c r="I167" s="48"/>
      <c r="J167" s="48"/>
      <c r="K167" s="49"/>
      <c r="L167" s="28"/>
      <c r="M167" s="62"/>
      <c r="N167" s="72"/>
      <c r="O167" s="73"/>
      <c r="P167" s="47"/>
      <c r="Q167" s="49"/>
      <c r="R167" s="47"/>
      <c r="S167" s="48"/>
      <c r="T167" s="48"/>
      <c r="U167" s="48"/>
      <c r="V167" s="49"/>
      <c r="W167" s="28"/>
      <c r="X167" s="138" t="s">
        <v>81</v>
      </c>
      <c r="Y167" s="138">
        <v>14</v>
      </c>
      <c r="Z167" s="141">
        <v>26</v>
      </c>
      <c r="AA167" s="138"/>
      <c r="AB167" s="141"/>
      <c r="AC167" s="28"/>
      <c r="AD167" s="43">
        <v>1</v>
      </c>
      <c r="AE167" s="28" t="s">
        <v>904</v>
      </c>
      <c r="AF167" s="28"/>
      <c r="AG167" s="141" t="s">
        <v>6</v>
      </c>
      <c r="AL167" s="138" t="s">
        <v>536</v>
      </c>
      <c r="AM167" s="138">
        <v>0</v>
      </c>
      <c r="AN167" s="141">
        <v>0</v>
      </c>
      <c r="AO167" s="138"/>
      <c r="AP167" s="141"/>
      <c r="AQ167" s="28"/>
      <c r="AR167" s="28"/>
      <c r="AS167" s="28"/>
      <c r="AT167" s="28"/>
      <c r="AU167" s="141"/>
      <c r="AY167" s="171" t="s">
        <v>84</v>
      </c>
      <c r="AZ167" s="171">
        <v>2173</v>
      </c>
      <c r="BA167" s="172">
        <v>2121</v>
      </c>
      <c r="BB167" s="170">
        <v>0</v>
      </c>
      <c r="BC167" s="172">
        <v>0</v>
      </c>
      <c r="BD167" s="48"/>
      <c r="BE167" s="48"/>
      <c r="BF167" s="48"/>
      <c r="BG167" s="48"/>
      <c r="BH167" s="49">
        <v>389</v>
      </c>
    </row>
    <row r="168" spans="1:60" x14ac:dyDescent="0.3">
      <c r="B168" s="67" t="s">
        <v>63</v>
      </c>
      <c r="C168" s="33">
        <v>6</v>
      </c>
      <c r="D168" s="35">
        <v>6</v>
      </c>
      <c r="G168" s="33"/>
      <c r="H168" s="34"/>
      <c r="I168" s="34"/>
      <c r="J168" s="34"/>
      <c r="K168" s="35"/>
      <c r="L168" s="28"/>
      <c r="M168" s="67" t="s">
        <v>63</v>
      </c>
      <c r="N168" s="33">
        <v>3</v>
      </c>
      <c r="O168" s="35">
        <v>3</v>
      </c>
      <c r="R168" s="33"/>
      <c r="S168" s="34"/>
      <c r="T168" s="34"/>
      <c r="U168" s="34"/>
      <c r="V168" s="35"/>
      <c r="W168" s="28"/>
      <c r="X168" s="138" t="s">
        <v>72</v>
      </c>
      <c r="Y168" s="138">
        <f>7+9+6</f>
        <v>22</v>
      </c>
      <c r="Z168" s="141">
        <f>5+4+3</f>
        <v>12</v>
      </c>
      <c r="AA168" s="138"/>
      <c r="AB168" s="141"/>
      <c r="AC168" s="28"/>
      <c r="AD168" s="43">
        <v>1</v>
      </c>
      <c r="AE168" s="28" t="s">
        <v>216</v>
      </c>
      <c r="AF168" s="28"/>
      <c r="AG168" s="141"/>
      <c r="AL168" s="138" t="s">
        <v>56</v>
      </c>
      <c r="AM168" s="138">
        <v>0</v>
      </c>
      <c r="AN168" s="141">
        <v>0</v>
      </c>
      <c r="AO168" s="138"/>
      <c r="AP168" s="141"/>
      <c r="AQ168" s="28"/>
      <c r="AR168" s="28" t="s">
        <v>173</v>
      </c>
      <c r="AS168" s="28"/>
      <c r="AT168" s="28"/>
      <c r="AU168" s="141"/>
    </row>
    <row r="169" spans="1:60" x14ac:dyDescent="0.3">
      <c r="B169" s="67" t="s">
        <v>168</v>
      </c>
      <c r="C169" s="42">
        <v>0</v>
      </c>
      <c r="D169" s="40">
        <v>0</v>
      </c>
      <c r="G169" s="42"/>
      <c r="H169" s="28"/>
      <c r="I169" s="28"/>
      <c r="J169" s="28"/>
      <c r="K169" s="40"/>
      <c r="L169" s="28"/>
      <c r="M169" s="67" t="s">
        <v>716</v>
      </c>
      <c r="N169" s="42">
        <v>0</v>
      </c>
      <c r="O169" s="40">
        <v>3</v>
      </c>
      <c r="R169" s="42"/>
      <c r="S169" s="28"/>
      <c r="T169" s="28"/>
      <c r="U169" s="28"/>
      <c r="V169" s="40"/>
      <c r="W169" s="28"/>
      <c r="X169" s="138" t="s">
        <v>115</v>
      </c>
      <c r="Y169" s="138">
        <f>24+7</f>
        <v>31</v>
      </c>
      <c r="Z169" s="141">
        <f>17+10</f>
        <v>27</v>
      </c>
      <c r="AA169" s="138"/>
      <c r="AB169" s="141"/>
      <c r="AC169" s="28"/>
      <c r="AD169" s="43">
        <v>17</v>
      </c>
      <c r="AE169" s="28" t="s">
        <v>217</v>
      </c>
      <c r="AF169" s="28"/>
      <c r="AG169" s="141"/>
      <c r="AL169" s="138" t="s">
        <v>67</v>
      </c>
      <c r="AM169" s="138">
        <v>0</v>
      </c>
      <c r="AN169" s="141">
        <v>0</v>
      </c>
      <c r="AO169" s="138"/>
      <c r="AP169" s="141"/>
      <c r="AQ169" s="28"/>
      <c r="AR169" s="28"/>
      <c r="AS169" s="28"/>
      <c r="AT169" s="28"/>
      <c r="AU169" s="141"/>
    </row>
    <row r="170" spans="1:60" x14ac:dyDescent="0.3">
      <c r="B170" s="52" t="s">
        <v>56</v>
      </c>
      <c r="C170" s="52">
        <v>1</v>
      </c>
      <c r="D170" s="85">
        <v>1</v>
      </c>
      <c r="E170" s="28"/>
      <c r="F170" s="28"/>
      <c r="G170" s="42"/>
      <c r="H170" s="28" t="s">
        <v>173</v>
      </c>
      <c r="I170" s="28"/>
      <c r="J170" s="28"/>
      <c r="K170" s="40"/>
      <c r="L170" s="28"/>
      <c r="M170" s="52" t="s">
        <v>56</v>
      </c>
      <c r="N170" s="52">
        <v>1</v>
      </c>
      <c r="O170" s="85">
        <v>1</v>
      </c>
      <c r="P170" s="28"/>
      <c r="Q170" s="28"/>
      <c r="R170" s="42"/>
      <c r="S170" s="28" t="s">
        <v>173</v>
      </c>
      <c r="T170" s="28"/>
      <c r="U170" s="28"/>
      <c r="V170" s="40"/>
      <c r="W170" s="28"/>
      <c r="X170" s="138" t="s">
        <v>56</v>
      </c>
      <c r="Y170" s="138">
        <f>3+5+9</f>
        <v>17</v>
      </c>
      <c r="Z170" s="141">
        <f>13+1+3+5+6+8</f>
        <v>36</v>
      </c>
      <c r="AA170" s="138"/>
      <c r="AB170" s="141"/>
      <c r="AC170" s="28"/>
      <c r="AD170" s="43">
        <v>1</v>
      </c>
      <c r="AE170" s="28" t="s">
        <v>1008</v>
      </c>
      <c r="AF170" s="28"/>
      <c r="AG170" s="141"/>
      <c r="AL170" s="138" t="s">
        <v>78</v>
      </c>
      <c r="AM170" s="138">
        <v>0</v>
      </c>
      <c r="AN170" s="141">
        <v>0</v>
      </c>
      <c r="AO170" s="138"/>
      <c r="AP170" s="141"/>
      <c r="AQ170" s="28"/>
      <c r="AR170" s="28">
        <v>0</v>
      </c>
      <c r="AS170" s="28" t="s">
        <v>183</v>
      </c>
      <c r="AT170" s="28"/>
      <c r="AU170" s="141"/>
      <c r="AW170" t="s">
        <v>6</v>
      </c>
    </row>
    <row r="171" spans="1:60" x14ac:dyDescent="0.3">
      <c r="B171" s="52" t="s">
        <v>67</v>
      </c>
      <c r="C171" s="52">
        <v>12</v>
      </c>
      <c r="D171" s="56">
        <v>4</v>
      </c>
      <c r="G171" s="42"/>
      <c r="H171" s="28"/>
      <c r="I171" s="28"/>
      <c r="J171" s="28"/>
      <c r="K171" s="40"/>
      <c r="L171" s="28"/>
      <c r="M171" s="52" t="s">
        <v>67</v>
      </c>
      <c r="N171" s="52">
        <v>21</v>
      </c>
      <c r="O171" s="56">
        <v>15</v>
      </c>
      <c r="R171" s="42"/>
      <c r="S171" s="28">
        <v>2</v>
      </c>
      <c r="T171" s="28" t="s">
        <v>213</v>
      </c>
      <c r="U171" s="28"/>
      <c r="V171" s="40"/>
      <c r="W171" s="28"/>
      <c r="X171" s="138" t="s">
        <v>138</v>
      </c>
      <c r="Y171" s="138">
        <v>0</v>
      </c>
      <c r="Z171" s="141">
        <v>0</v>
      </c>
      <c r="AA171" s="138"/>
      <c r="AB171" s="141"/>
      <c r="AC171" s="28"/>
      <c r="AD171" s="43">
        <v>2</v>
      </c>
      <c r="AE171" s="28" t="s">
        <v>221</v>
      </c>
      <c r="AF171" s="28"/>
      <c r="AG171" s="141"/>
      <c r="AJ171" t="s">
        <v>6</v>
      </c>
      <c r="AL171" s="138" t="s">
        <v>115</v>
      </c>
      <c r="AM171" s="138">
        <v>0</v>
      </c>
      <c r="AN171" s="141">
        <v>0</v>
      </c>
      <c r="AO171" s="138"/>
      <c r="AP171" s="141"/>
      <c r="AQ171" s="28"/>
      <c r="AR171" s="28" t="s">
        <v>6</v>
      </c>
      <c r="AS171" s="28"/>
      <c r="AT171" s="28"/>
      <c r="AU171" s="141"/>
    </row>
    <row r="172" spans="1:60" x14ac:dyDescent="0.3">
      <c r="B172" s="10" t="s">
        <v>78</v>
      </c>
      <c r="C172" s="52">
        <v>0</v>
      </c>
      <c r="D172" s="85">
        <v>0</v>
      </c>
      <c r="E172" s="28"/>
      <c r="F172" s="28"/>
      <c r="G172" s="42"/>
      <c r="H172" s="28">
        <v>13</v>
      </c>
      <c r="I172" s="28" t="s">
        <v>183</v>
      </c>
      <c r="J172" s="28"/>
      <c r="K172" s="40"/>
      <c r="L172" s="37"/>
      <c r="M172" s="10" t="s">
        <v>78</v>
      </c>
      <c r="N172" s="52">
        <v>0</v>
      </c>
      <c r="O172" s="85">
        <v>9</v>
      </c>
      <c r="P172" s="28"/>
      <c r="Q172" s="28"/>
      <c r="R172" s="42"/>
      <c r="S172" s="28">
        <v>15</v>
      </c>
      <c r="T172" s="28" t="s">
        <v>183</v>
      </c>
      <c r="U172" s="28"/>
      <c r="V172" s="40"/>
      <c r="W172" s="37"/>
      <c r="X172" s="138" t="s">
        <v>67</v>
      </c>
      <c r="Y172" s="138">
        <f>1+17+3</f>
        <v>21</v>
      </c>
      <c r="Z172" s="141">
        <f>25+4</f>
        <v>29</v>
      </c>
      <c r="AA172" s="138"/>
      <c r="AB172" s="141"/>
      <c r="AC172" s="28"/>
      <c r="AD172" s="43">
        <v>1</v>
      </c>
      <c r="AE172" s="28" t="s">
        <v>244</v>
      </c>
      <c r="AF172" s="28"/>
      <c r="AG172" s="141"/>
      <c r="AL172" s="138" t="s">
        <v>72</v>
      </c>
      <c r="AM172" s="138">
        <v>0</v>
      </c>
      <c r="AN172" s="141">
        <v>0</v>
      </c>
      <c r="AO172" s="138"/>
      <c r="AP172" s="141"/>
      <c r="AQ172" s="28"/>
      <c r="AR172" s="28"/>
      <c r="AS172" s="28"/>
      <c r="AT172" s="28"/>
      <c r="AU172" s="141"/>
    </row>
    <row r="173" spans="1:60" x14ac:dyDescent="0.3">
      <c r="B173" s="52" t="s">
        <v>81</v>
      </c>
      <c r="C173" s="52">
        <v>0</v>
      </c>
      <c r="D173" s="85">
        <v>0</v>
      </c>
      <c r="E173" s="28"/>
      <c r="F173" s="28"/>
      <c r="G173" s="42"/>
      <c r="H173" s="28" t="s">
        <v>6</v>
      </c>
      <c r="I173" s="28"/>
      <c r="J173" s="28"/>
      <c r="K173" s="40"/>
      <c r="L173" s="28"/>
      <c r="M173" s="52" t="s">
        <v>115</v>
      </c>
      <c r="N173" s="52">
        <v>0</v>
      </c>
      <c r="O173" s="85">
        <v>0</v>
      </c>
      <c r="P173" s="28"/>
      <c r="Q173" s="28"/>
      <c r="R173" s="42"/>
      <c r="S173" s="28" t="s">
        <v>6</v>
      </c>
      <c r="T173" s="28"/>
      <c r="U173" s="28"/>
      <c r="V173" s="40"/>
      <c r="W173" s="28"/>
      <c r="X173" s="138" t="s">
        <v>122</v>
      </c>
      <c r="Y173" s="138">
        <v>7</v>
      </c>
      <c r="Z173" s="141">
        <v>11</v>
      </c>
      <c r="AA173" s="138"/>
      <c r="AB173" s="141"/>
      <c r="AC173" s="28"/>
      <c r="AD173" s="43">
        <v>4</v>
      </c>
      <c r="AE173" s="28" t="s">
        <v>618</v>
      </c>
      <c r="AF173" s="28"/>
      <c r="AG173" s="141"/>
      <c r="AL173" s="142" t="s">
        <v>84</v>
      </c>
      <c r="AM173" s="142">
        <f>SUM(AM166:AM172)</f>
        <v>0</v>
      </c>
      <c r="AN173" s="146">
        <f>SUM(AN166:AN172)</f>
        <v>0</v>
      </c>
      <c r="AO173" s="142"/>
      <c r="AP173" s="146"/>
      <c r="AQ173" s="143"/>
      <c r="AR173" s="143"/>
      <c r="AS173" s="143"/>
      <c r="AT173" s="143"/>
      <c r="AU173" s="146">
        <f>SUM(AR170)</f>
        <v>0</v>
      </c>
    </row>
    <row r="174" spans="1:60" x14ac:dyDescent="0.3">
      <c r="B174" s="52" t="s">
        <v>72</v>
      </c>
      <c r="C174" s="52">
        <v>2</v>
      </c>
      <c r="D174" s="85">
        <v>2</v>
      </c>
      <c r="G174" s="42"/>
      <c r="H174" s="28"/>
      <c r="I174" s="28"/>
      <c r="J174" s="28"/>
      <c r="K174" s="40"/>
      <c r="L174" s="28"/>
      <c r="M174" s="52" t="s">
        <v>72</v>
      </c>
      <c r="N174" s="52">
        <v>0</v>
      </c>
      <c r="O174" s="85">
        <v>0</v>
      </c>
      <c r="R174" s="42"/>
      <c r="S174" s="28"/>
      <c r="T174" s="28"/>
      <c r="U174" s="28"/>
      <c r="V174" s="40"/>
      <c r="W174" s="28"/>
      <c r="X174" s="138" t="s">
        <v>227</v>
      </c>
      <c r="Y174" s="138">
        <v>0</v>
      </c>
      <c r="Z174" s="141">
        <v>0</v>
      </c>
      <c r="AA174" s="138"/>
      <c r="AB174" s="141"/>
      <c r="AC174" s="28"/>
      <c r="AD174" s="43">
        <v>1</v>
      </c>
      <c r="AE174" s="28" t="s">
        <v>352</v>
      </c>
      <c r="AF174" s="28"/>
      <c r="AG174" s="141"/>
      <c r="AL174" s="134"/>
      <c r="AM174" s="134"/>
      <c r="AN174" s="136"/>
      <c r="AO174" s="134"/>
      <c r="AP174" s="136"/>
      <c r="AQ174" s="135"/>
      <c r="AR174" s="135"/>
      <c r="AS174" s="135"/>
      <c r="AT174" s="135"/>
      <c r="AU174" s="136"/>
    </row>
    <row r="175" spans="1:60" ht="15" thickBot="1" x14ac:dyDescent="0.35">
      <c r="B175" s="52" t="s">
        <v>84</v>
      </c>
      <c r="C175" s="47">
        <f>SUM(C168:C174)</f>
        <v>21</v>
      </c>
      <c r="D175" s="49">
        <f>SUM(D168:D174)</f>
        <v>13</v>
      </c>
      <c r="E175" s="28"/>
      <c r="F175" s="28"/>
      <c r="G175" s="47"/>
      <c r="H175" s="48"/>
      <c r="I175" s="48"/>
      <c r="J175" s="48"/>
      <c r="K175" s="49">
        <f>SUM(H172)</f>
        <v>13</v>
      </c>
      <c r="L175" s="28"/>
      <c r="M175" s="52" t="s">
        <v>84</v>
      </c>
      <c r="N175" s="47">
        <f>SUM(N168:N174)</f>
        <v>25</v>
      </c>
      <c r="O175" s="49">
        <f>SUM(O168:O174)</f>
        <v>31</v>
      </c>
      <c r="P175" s="28"/>
      <c r="Q175" s="28"/>
      <c r="R175" s="47"/>
      <c r="S175" s="48"/>
      <c r="T175" s="48"/>
      <c r="U175" s="48"/>
      <c r="V175" s="49">
        <f>SUM(S172)</f>
        <v>15</v>
      </c>
      <c r="W175" s="28"/>
      <c r="X175" s="138" t="s">
        <v>230</v>
      </c>
      <c r="Y175" s="138">
        <v>6</v>
      </c>
      <c r="Z175" s="141">
        <v>6</v>
      </c>
      <c r="AA175" s="138"/>
      <c r="AB175" s="141"/>
      <c r="AC175" s="28"/>
      <c r="AD175" s="43">
        <v>17</v>
      </c>
      <c r="AE175" s="28" t="s">
        <v>655</v>
      </c>
      <c r="AF175" s="28"/>
      <c r="AG175" s="141"/>
      <c r="AL175" s="138" t="s">
        <v>63</v>
      </c>
      <c r="AM175" s="138">
        <f>5+11</f>
        <v>16</v>
      </c>
      <c r="AN175" s="141">
        <f>9+17</f>
        <v>26</v>
      </c>
      <c r="AO175" s="138"/>
      <c r="AP175" s="141"/>
      <c r="AQ175" s="28"/>
      <c r="AR175" s="28" t="s">
        <v>140</v>
      </c>
      <c r="AS175" s="28"/>
      <c r="AT175" s="28"/>
      <c r="AU175" s="141"/>
    </row>
    <row r="176" spans="1:60" x14ac:dyDescent="0.3">
      <c r="B176" s="32" t="s">
        <v>63</v>
      </c>
      <c r="C176" s="123">
        <f>2+1+9</f>
        <v>12</v>
      </c>
      <c r="D176" s="123">
        <f>3+2+7</f>
        <v>12</v>
      </c>
      <c r="E176" s="33"/>
      <c r="F176" s="7"/>
      <c r="G176" s="6"/>
      <c r="H176" s="34" t="s">
        <v>140</v>
      </c>
      <c r="I176" s="8"/>
      <c r="J176" s="8"/>
      <c r="K176" s="7"/>
      <c r="L176" s="28"/>
      <c r="M176" s="32" t="s">
        <v>63</v>
      </c>
      <c r="N176" s="123">
        <f>17+3</f>
        <v>20</v>
      </c>
      <c r="O176" s="123">
        <v>3</v>
      </c>
      <c r="P176" s="33"/>
      <c r="Q176" s="7"/>
      <c r="R176" s="6"/>
      <c r="S176" s="34" t="s">
        <v>140</v>
      </c>
      <c r="T176" s="8"/>
      <c r="U176" s="8"/>
      <c r="V176" s="7"/>
      <c r="W176" s="28"/>
      <c r="X176" s="138" t="s">
        <v>125</v>
      </c>
      <c r="Y176" s="138">
        <v>0</v>
      </c>
      <c r="Z176" s="141">
        <v>0</v>
      </c>
      <c r="AA176" s="138"/>
      <c r="AB176" s="141"/>
      <c r="AC176" s="28"/>
      <c r="AD176" s="43">
        <v>2</v>
      </c>
      <c r="AE176" s="28" t="s">
        <v>991</v>
      </c>
      <c r="AF176" s="28"/>
      <c r="AG176" s="141"/>
      <c r="AL176" s="138" t="s">
        <v>78</v>
      </c>
      <c r="AM176" s="138">
        <f>7+52</f>
        <v>59</v>
      </c>
      <c r="AN176" s="141">
        <f>5+78</f>
        <v>83</v>
      </c>
      <c r="AO176" s="138"/>
      <c r="AP176" s="141"/>
      <c r="AQ176" s="28"/>
      <c r="AR176" s="28"/>
      <c r="AS176" s="28" t="s">
        <v>471</v>
      </c>
      <c r="AT176" s="28"/>
      <c r="AU176" s="141"/>
    </row>
    <row r="177" spans="2:49" x14ac:dyDescent="0.3">
      <c r="B177" s="44" t="s">
        <v>78</v>
      </c>
      <c r="C177" s="37">
        <f>11+3+4+30</f>
        <v>48</v>
      </c>
      <c r="D177" s="37">
        <f>15+4+4+33</f>
        <v>56</v>
      </c>
      <c r="E177" s="42"/>
      <c r="F177" s="11"/>
      <c r="G177" s="10"/>
      <c r="H177" s="37">
        <v>4</v>
      </c>
      <c r="I177" s="37" t="s">
        <v>204</v>
      </c>
      <c r="J177" s="18"/>
      <c r="K177" s="11"/>
      <c r="L177" s="28"/>
      <c r="M177" s="44" t="s">
        <v>78</v>
      </c>
      <c r="N177" s="37">
        <f>8+28</f>
        <v>36</v>
      </c>
      <c r="O177" s="37">
        <f>10+12</f>
        <v>22</v>
      </c>
      <c r="P177" s="42"/>
      <c r="Q177" s="11"/>
      <c r="R177" s="10"/>
      <c r="S177" s="37">
        <v>4</v>
      </c>
      <c r="T177" s="37" t="s">
        <v>204</v>
      </c>
      <c r="U177" s="18"/>
      <c r="V177" s="11"/>
      <c r="W177" s="28"/>
      <c r="X177" s="138" t="s">
        <v>132</v>
      </c>
      <c r="Y177" s="138">
        <v>0</v>
      </c>
      <c r="Z177" s="141">
        <v>2</v>
      </c>
      <c r="AA177" s="138"/>
      <c r="AB177" s="141"/>
      <c r="AC177" s="28"/>
      <c r="AD177" s="43">
        <v>4</v>
      </c>
      <c r="AE177" s="28" t="s">
        <v>682</v>
      </c>
      <c r="AF177" s="28"/>
      <c r="AG177" s="141"/>
      <c r="AL177" s="138" t="s">
        <v>209</v>
      </c>
      <c r="AM177" s="138">
        <v>0</v>
      </c>
      <c r="AN177" s="141">
        <v>0</v>
      </c>
      <c r="AO177" s="138"/>
      <c r="AP177" s="141"/>
      <c r="AQ177" s="28"/>
      <c r="AR177" s="28">
        <v>1</v>
      </c>
      <c r="AS177" s="28" t="s">
        <v>1517</v>
      </c>
      <c r="AT177" s="28"/>
      <c r="AU177" s="141"/>
    </row>
    <row r="178" spans="2:49" x14ac:dyDescent="0.3">
      <c r="B178" s="125" t="s">
        <v>209</v>
      </c>
      <c r="C178" s="54">
        <v>0</v>
      </c>
      <c r="D178" s="54">
        <v>0</v>
      </c>
      <c r="E178" s="42"/>
      <c r="F178" s="40"/>
      <c r="G178" s="42"/>
      <c r="H178" s="28">
        <v>5</v>
      </c>
      <c r="I178" s="28" t="s">
        <v>210</v>
      </c>
      <c r="J178" s="28"/>
      <c r="K178" s="40"/>
      <c r="L178" s="28"/>
      <c r="M178" s="125" t="s">
        <v>209</v>
      </c>
      <c r="N178" s="54">
        <v>0</v>
      </c>
      <c r="O178" s="54">
        <v>0</v>
      </c>
      <c r="P178" s="42"/>
      <c r="Q178" s="40"/>
      <c r="R178" s="42"/>
      <c r="S178" s="28">
        <v>6</v>
      </c>
      <c r="T178" s="28" t="s">
        <v>210</v>
      </c>
      <c r="U178" s="28" t="s">
        <v>6</v>
      </c>
      <c r="V178" s="40"/>
      <c r="W178" s="28"/>
      <c r="X178" s="138" t="s">
        <v>992</v>
      </c>
      <c r="Y178" s="138">
        <v>0</v>
      </c>
      <c r="Z178" s="141">
        <v>0</v>
      </c>
      <c r="AA178" s="138"/>
      <c r="AB178" s="141"/>
      <c r="AC178" s="28"/>
      <c r="AD178" s="43">
        <v>74</v>
      </c>
      <c r="AE178" s="28" t="s">
        <v>555</v>
      </c>
      <c r="AF178" s="28"/>
      <c r="AG178" s="141"/>
      <c r="AL178" s="138" t="s">
        <v>168</v>
      </c>
      <c r="AM178" s="138">
        <v>0</v>
      </c>
      <c r="AN178" s="141">
        <v>0</v>
      </c>
      <c r="AO178" s="138"/>
      <c r="AP178" s="141"/>
      <c r="AQ178" s="28"/>
      <c r="AR178" s="28">
        <f>1+27+14</f>
        <v>42</v>
      </c>
      <c r="AS178" s="28" t="s">
        <v>213</v>
      </c>
      <c r="AT178" s="28" t="s">
        <v>6</v>
      </c>
      <c r="AU178" s="141"/>
    </row>
    <row r="179" spans="2:49" ht="15" thickBot="1" x14ac:dyDescent="0.35">
      <c r="B179" s="44" t="s">
        <v>168</v>
      </c>
      <c r="C179" s="37">
        <v>0</v>
      </c>
      <c r="D179" s="18">
        <v>0</v>
      </c>
      <c r="E179" s="42"/>
      <c r="F179" s="11"/>
      <c r="G179" s="10"/>
      <c r="H179" s="37">
        <f>26+5+9+6+1</f>
        <v>47</v>
      </c>
      <c r="I179" s="37" t="s">
        <v>213</v>
      </c>
      <c r="J179" s="18"/>
      <c r="K179" s="11"/>
      <c r="M179" s="44" t="s">
        <v>168</v>
      </c>
      <c r="N179" s="54">
        <v>0</v>
      </c>
      <c r="O179" s="54">
        <v>0</v>
      </c>
      <c r="P179" s="42"/>
      <c r="Q179" s="11"/>
      <c r="R179" s="10"/>
      <c r="S179" s="37">
        <v>24</v>
      </c>
      <c r="T179" s="37" t="s">
        <v>213</v>
      </c>
      <c r="U179" s="18" t="s">
        <v>6</v>
      </c>
      <c r="V179" s="11"/>
      <c r="X179" s="138" t="s">
        <v>84</v>
      </c>
      <c r="Y179" s="138">
        <f>SUM(Y163:Y178)</f>
        <v>196</v>
      </c>
      <c r="Z179" s="141">
        <f>SUM(Z163:Z178)</f>
        <v>267</v>
      </c>
      <c r="AA179" s="138"/>
      <c r="AB179" s="141"/>
      <c r="AC179" s="28"/>
      <c r="AD179" s="28">
        <v>1</v>
      </c>
      <c r="AE179" s="28" t="s">
        <v>1010</v>
      </c>
      <c r="AF179" s="28"/>
      <c r="AG179" s="141">
        <f>SUM(AD164:AD179)</f>
        <v>167</v>
      </c>
      <c r="AL179" s="138" t="s">
        <v>81</v>
      </c>
      <c r="AM179" s="138">
        <v>8</v>
      </c>
      <c r="AN179" s="141">
        <v>37</v>
      </c>
      <c r="AO179" s="138"/>
      <c r="AP179" s="141"/>
      <c r="AQ179" s="28"/>
      <c r="AR179" s="28">
        <v>5</v>
      </c>
      <c r="AS179" s="28" t="s">
        <v>123</v>
      </c>
      <c r="AT179" s="28"/>
      <c r="AU179" s="141" t="s">
        <v>6</v>
      </c>
      <c r="AW179" t="s">
        <v>6</v>
      </c>
    </row>
    <row r="180" spans="2:49" ht="15" thickBot="1" x14ac:dyDescent="0.35">
      <c r="B180" s="125" t="s">
        <v>81</v>
      </c>
      <c r="C180" s="54">
        <f>4+10</f>
        <v>14</v>
      </c>
      <c r="D180" s="45">
        <f>2+11</f>
        <v>13</v>
      </c>
      <c r="E180" s="42"/>
      <c r="F180" s="40"/>
      <c r="G180" s="42"/>
      <c r="H180" s="54">
        <v>1</v>
      </c>
      <c r="I180" s="128" t="s">
        <v>235</v>
      </c>
      <c r="J180" s="28"/>
      <c r="K180" s="40" t="s">
        <v>6</v>
      </c>
      <c r="M180" s="125" t="s">
        <v>81</v>
      </c>
      <c r="N180" s="54">
        <v>3</v>
      </c>
      <c r="O180" s="54">
        <f>7+3</f>
        <v>10</v>
      </c>
      <c r="P180" s="42"/>
      <c r="Q180" s="40"/>
      <c r="R180" s="42"/>
      <c r="S180" s="54">
        <v>0</v>
      </c>
      <c r="T180" s="128" t="s">
        <v>222</v>
      </c>
      <c r="U180" s="28"/>
      <c r="V180" s="40" t="s">
        <v>6</v>
      </c>
      <c r="X180" s="171" t="s">
        <v>84</v>
      </c>
      <c r="Y180" s="207">
        <f>SUM(Y179+Y161+Y152+Y137)</f>
        <v>1951</v>
      </c>
      <c r="Z180" s="207">
        <f>SUM(Z179+Z161+Z152+Z137)</f>
        <v>2100</v>
      </c>
      <c r="AA180" s="207"/>
      <c r="AB180" s="208"/>
      <c r="AC180" s="170"/>
      <c r="AD180" s="170"/>
      <c r="AE180" s="170"/>
      <c r="AF180" s="170"/>
      <c r="AG180" s="172">
        <f>SUM(AG137:AG179)</f>
        <v>418</v>
      </c>
      <c r="AL180" s="138" t="s">
        <v>72</v>
      </c>
      <c r="AM180" s="138">
        <f>3+7+10+17</f>
        <v>37</v>
      </c>
      <c r="AN180" s="141">
        <f>4+1+10+27</f>
        <v>42</v>
      </c>
      <c r="AO180" s="138"/>
      <c r="AP180" s="141"/>
      <c r="AQ180" s="28"/>
      <c r="AR180" s="43">
        <v>2</v>
      </c>
      <c r="AS180" s="28" t="s">
        <v>216</v>
      </c>
      <c r="AT180" s="28"/>
      <c r="AU180" s="141"/>
    </row>
    <row r="181" spans="2:49" x14ac:dyDescent="0.3">
      <c r="B181" s="125" t="s">
        <v>72</v>
      </c>
      <c r="C181" s="54">
        <f>6+3+10+19+1</f>
        <v>39</v>
      </c>
      <c r="D181" s="45">
        <f>12+13+22+1</f>
        <v>48</v>
      </c>
      <c r="E181" s="42"/>
      <c r="F181" s="40"/>
      <c r="G181" s="42"/>
      <c r="H181" s="54">
        <f>18+3</f>
        <v>21</v>
      </c>
      <c r="I181" s="54" t="s">
        <v>216</v>
      </c>
      <c r="J181" s="45"/>
      <c r="K181" s="40"/>
      <c r="M181" s="125" t="s">
        <v>72</v>
      </c>
      <c r="N181" s="54">
        <f>3+7+15+25</f>
        <v>50</v>
      </c>
      <c r="O181" s="45">
        <f>5+2+2+4+9+10+21</f>
        <v>53</v>
      </c>
      <c r="P181" s="42"/>
      <c r="Q181" s="40"/>
      <c r="R181" s="42"/>
      <c r="S181" s="54">
        <v>16</v>
      </c>
      <c r="T181" s="54" t="s">
        <v>216</v>
      </c>
      <c r="U181" s="45"/>
      <c r="V181" s="40"/>
      <c r="AL181" s="138" t="s">
        <v>115</v>
      </c>
      <c r="AM181" s="138">
        <f>4+12</f>
        <v>16</v>
      </c>
      <c r="AN181" s="141">
        <f>4+20</f>
        <v>24</v>
      </c>
      <c r="AO181" s="138"/>
      <c r="AP181" s="141"/>
      <c r="AQ181" s="28"/>
      <c r="AR181" s="43">
        <v>10</v>
      </c>
      <c r="AS181" s="28" t="s">
        <v>217</v>
      </c>
      <c r="AT181" s="28"/>
      <c r="AU181" s="141"/>
    </row>
    <row r="182" spans="2:49" x14ac:dyDescent="0.3">
      <c r="B182" s="125" t="s">
        <v>115</v>
      </c>
      <c r="C182" s="54">
        <f>4+7</f>
        <v>11</v>
      </c>
      <c r="D182" s="45">
        <f>4+2</f>
        <v>6</v>
      </c>
      <c r="E182" s="42"/>
      <c r="F182" s="40"/>
      <c r="G182" s="42"/>
      <c r="H182" s="54">
        <v>11</v>
      </c>
      <c r="I182" s="54" t="s">
        <v>217</v>
      </c>
      <c r="J182" s="28"/>
      <c r="K182" s="40"/>
      <c r="M182" s="125" t="s">
        <v>115</v>
      </c>
      <c r="N182" s="54">
        <f>16+15</f>
        <v>31</v>
      </c>
      <c r="O182" s="45">
        <f>11+12</f>
        <v>23</v>
      </c>
      <c r="P182" s="42"/>
      <c r="Q182" s="40"/>
      <c r="R182" s="42"/>
      <c r="S182" s="54">
        <v>6</v>
      </c>
      <c r="T182" s="54" t="s">
        <v>217</v>
      </c>
      <c r="U182" s="28"/>
      <c r="V182" s="40"/>
      <c r="AL182" s="138" t="s">
        <v>56</v>
      </c>
      <c r="AM182" s="138">
        <f>1+5+6</f>
        <v>12</v>
      </c>
      <c r="AN182" s="141">
        <f>5+4+1+7</f>
        <v>17</v>
      </c>
      <c r="AO182" s="138"/>
      <c r="AP182" s="141"/>
      <c r="AQ182" s="28"/>
      <c r="AR182" s="43">
        <v>1</v>
      </c>
      <c r="AS182" s="28" t="s">
        <v>1159</v>
      </c>
      <c r="AT182" s="28"/>
      <c r="AU182" s="141"/>
    </row>
    <row r="183" spans="2:49" x14ac:dyDescent="0.3">
      <c r="B183" s="125" t="s">
        <v>56</v>
      </c>
      <c r="C183" s="54">
        <f>1+1</f>
        <v>2</v>
      </c>
      <c r="D183" s="45">
        <f>5+3+1+7</f>
        <v>16</v>
      </c>
      <c r="E183" s="42"/>
      <c r="F183" s="40"/>
      <c r="G183" s="42"/>
      <c r="H183" s="54">
        <v>1</v>
      </c>
      <c r="I183" s="54" t="s">
        <v>219</v>
      </c>
      <c r="J183" s="28"/>
      <c r="K183" s="40"/>
      <c r="M183" s="125" t="s">
        <v>56</v>
      </c>
      <c r="N183" s="54">
        <f>2+6+4</f>
        <v>12</v>
      </c>
      <c r="O183" s="45">
        <f>2+5+1</f>
        <v>8</v>
      </c>
      <c r="P183" s="42"/>
      <c r="Q183" s="40"/>
      <c r="R183" s="42"/>
      <c r="S183" s="54">
        <v>1</v>
      </c>
      <c r="T183" s="54" t="s">
        <v>681</v>
      </c>
      <c r="U183" s="28"/>
      <c r="V183" s="40"/>
      <c r="AL183" s="138" t="s">
        <v>138</v>
      </c>
      <c r="AM183" s="138">
        <v>0</v>
      </c>
      <c r="AN183" s="141">
        <v>0</v>
      </c>
      <c r="AO183" s="138"/>
      <c r="AP183" s="141"/>
      <c r="AQ183" s="28"/>
      <c r="AR183" s="43">
        <v>4</v>
      </c>
      <c r="AS183" s="28" t="s">
        <v>1294</v>
      </c>
      <c r="AT183" s="28"/>
      <c r="AU183" s="141"/>
    </row>
    <row r="184" spans="2:49" x14ac:dyDescent="0.3">
      <c r="B184" s="125" t="s">
        <v>138</v>
      </c>
      <c r="C184" s="54">
        <v>0</v>
      </c>
      <c r="D184" s="45">
        <v>2</v>
      </c>
      <c r="E184" s="42"/>
      <c r="F184" s="40"/>
      <c r="G184" s="42"/>
      <c r="H184" s="54">
        <f>5+8</f>
        <v>13</v>
      </c>
      <c r="I184" s="54" t="s">
        <v>221</v>
      </c>
      <c r="J184" s="28"/>
      <c r="K184" s="40"/>
      <c r="M184" s="125" t="s">
        <v>138</v>
      </c>
      <c r="N184" s="54">
        <v>0</v>
      </c>
      <c r="O184" s="45"/>
      <c r="P184" s="42"/>
      <c r="Q184" s="40"/>
      <c r="R184" s="42"/>
      <c r="S184" s="54">
        <v>8</v>
      </c>
      <c r="T184" s="54" t="s">
        <v>221</v>
      </c>
      <c r="U184" s="28"/>
      <c r="V184" s="40"/>
      <c r="AL184" s="138" t="s">
        <v>67</v>
      </c>
      <c r="AM184" s="138">
        <f>2+3+33</f>
        <v>38</v>
      </c>
      <c r="AN184" s="141">
        <f>2+3+46</f>
        <v>51</v>
      </c>
      <c r="AO184" s="138"/>
      <c r="AP184" s="141"/>
      <c r="AQ184" s="28"/>
      <c r="AR184" s="43">
        <v>2</v>
      </c>
      <c r="AS184" s="28" t="s">
        <v>653</v>
      </c>
      <c r="AT184" s="28"/>
      <c r="AU184" s="141"/>
    </row>
    <row r="185" spans="2:49" x14ac:dyDescent="0.3">
      <c r="B185" s="125" t="s">
        <v>67</v>
      </c>
      <c r="C185" s="28">
        <f>3+5</f>
        <v>8</v>
      </c>
      <c r="D185" s="45">
        <f>2+8</f>
        <v>10</v>
      </c>
      <c r="E185" s="42"/>
      <c r="F185" s="40"/>
      <c r="G185" s="42"/>
      <c r="H185" s="54">
        <f>8+1+17+3+5+6</f>
        <v>40</v>
      </c>
      <c r="I185" s="54" t="s">
        <v>222</v>
      </c>
      <c r="J185" s="28"/>
      <c r="K185" s="40"/>
      <c r="M185" s="125" t="s">
        <v>67</v>
      </c>
      <c r="N185" s="54">
        <f>12+6+1+2</f>
        <v>21</v>
      </c>
      <c r="O185" s="45">
        <f>8+3+1+5</f>
        <v>17</v>
      </c>
      <c r="P185" s="42"/>
      <c r="Q185" s="40"/>
      <c r="R185" s="42"/>
      <c r="S185" s="54">
        <v>2</v>
      </c>
      <c r="T185" s="54" t="s">
        <v>706</v>
      </c>
      <c r="U185" s="28"/>
      <c r="V185" s="40"/>
      <c r="AL185" s="138" t="s">
        <v>122</v>
      </c>
      <c r="AM185" s="138">
        <v>23</v>
      </c>
      <c r="AN185" s="141">
        <f>3+1</f>
        <v>4</v>
      </c>
      <c r="AO185" s="138"/>
      <c r="AP185" s="141"/>
      <c r="AQ185" s="28"/>
      <c r="AR185" s="28"/>
      <c r="AS185" s="28" t="s">
        <v>618</v>
      </c>
      <c r="AT185" s="28"/>
      <c r="AU185" s="141"/>
    </row>
    <row r="186" spans="2:49" x14ac:dyDescent="0.3">
      <c r="B186" s="125" t="s">
        <v>122</v>
      </c>
      <c r="C186" s="43">
        <v>1</v>
      </c>
      <c r="D186" s="45">
        <v>2</v>
      </c>
      <c r="E186" s="42"/>
      <c r="F186" s="40"/>
      <c r="G186" s="42"/>
      <c r="H186" s="54">
        <v>2</v>
      </c>
      <c r="I186" s="54" t="s">
        <v>350</v>
      </c>
      <c r="J186" s="28"/>
      <c r="K186" s="40"/>
      <c r="M186" s="125" t="s">
        <v>122</v>
      </c>
      <c r="N186" s="54">
        <f>1+19</f>
        <v>20</v>
      </c>
      <c r="O186" s="45">
        <v>0</v>
      </c>
      <c r="P186" s="42"/>
      <c r="Q186" s="40"/>
      <c r="R186" s="42"/>
      <c r="S186" s="54">
        <v>1</v>
      </c>
      <c r="T186" s="54" t="s">
        <v>618</v>
      </c>
      <c r="U186" s="28"/>
      <c r="V186" s="40"/>
      <c r="AL186" s="138" t="s">
        <v>227</v>
      </c>
      <c r="AM186" s="138">
        <v>0</v>
      </c>
      <c r="AN186" s="141">
        <v>0</v>
      </c>
      <c r="AO186" s="138"/>
      <c r="AP186" s="141"/>
      <c r="AQ186" s="28"/>
      <c r="AR186" s="43">
        <v>1</v>
      </c>
      <c r="AS186" s="28" t="s">
        <v>1572</v>
      </c>
      <c r="AT186" s="28"/>
      <c r="AU186" s="141"/>
    </row>
    <row r="187" spans="2:49" x14ac:dyDescent="0.3">
      <c r="B187" s="125" t="s">
        <v>227</v>
      </c>
      <c r="C187" s="43">
        <v>0</v>
      </c>
      <c r="D187" s="45">
        <v>0</v>
      </c>
      <c r="E187" s="42"/>
      <c r="F187" s="40"/>
      <c r="G187" s="42"/>
      <c r="H187" s="54">
        <v>3</v>
      </c>
      <c r="I187" s="54" t="s">
        <v>228</v>
      </c>
      <c r="J187" s="28"/>
      <c r="K187" s="40"/>
      <c r="M187" s="125" t="s">
        <v>227</v>
      </c>
      <c r="N187" s="54">
        <v>0</v>
      </c>
      <c r="O187" s="45">
        <v>0</v>
      </c>
      <c r="P187" s="42"/>
      <c r="Q187" s="40"/>
      <c r="R187" s="42"/>
      <c r="S187" s="54">
        <v>0</v>
      </c>
      <c r="T187" s="54" t="s">
        <v>352</v>
      </c>
      <c r="U187" s="28"/>
      <c r="V187" s="40"/>
      <c r="AL187" s="138" t="s">
        <v>230</v>
      </c>
      <c r="AM187" s="138">
        <f>1+5</f>
        <v>6</v>
      </c>
      <c r="AN187" s="141">
        <f>2+4</f>
        <v>6</v>
      </c>
      <c r="AO187" s="138"/>
      <c r="AP187" s="141"/>
      <c r="AQ187" s="28"/>
      <c r="AR187" s="28">
        <f>1+16</f>
        <v>17</v>
      </c>
      <c r="AS187" s="28" t="s">
        <v>655</v>
      </c>
      <c r="AT187" s="28"/>
      <c r="AU187" s="141"/>
    </row>
    <row r="188" spans="2:49" x14ac:dyDescent="0.3">
      <c r="B188" s="41" t="s">
        <v>230</v>
      </c>
      <c r="C188" s="43">
        <f>1+8+4</f>
        <v>13</v>
      </c>
      <c r="D188" s="45">
        <f>2+10+5+5</f>
        <v>22</v>
      </c>
      <c r="E188" s="42"/>
      <c r="F188" s="40"/>
      <c r="G188" s="42"/>
      <c r="H188" s="54">
        <v>6</v>
      </c>
      <c r="I188" s="54" t="s">
        <v>246</v>
      </c>
      <c r="J188" s="28"/>
      <c r="K188" s="40"/>
      <c r="M188" s="41" t="s">
        <v>230</v>
      </c>
      <c r="N188" s="54">
        <f>3+4+2</f>
        <v>9</v>
      </c>
      <c r="O188" s="45">
        <f>3+4+2</f>
        <v>9</v>
      </c>
      <c r="P188" s="42"/>
      <c r="Q188" s="40"/>
      <c r="R188" s="42"/>
      <c r="S188" s="54">
        <v>9</v>
      </c>
      <c r="T188" s="54" t="s">
        <v>655</v>
      </c>
      <c r="U188" s="28"/>
      <c r="V188" s="40"/>
      <c r="AL188" s="138" t="s">
        <v>125</v>
      </c>
      <c r="AM188" s="138">
        <v>4</v>
      </c>
      <c r="AN188" s="141">
        <v>0</v>
      </c>
      <c r="AO188" s="138"/>
      <c r="AP188" s="141"/>
      <c r="AQ188" s="28"/>
      <c r="AR188" s="43">
        <v>3</v>
      </c>
      <c r="AS188" s="28" t="s">
        <v>1067</v>
      </c>
      <c r="AT188" s="28"/>
      <c r="AU188" s="141"/>
    </row>
    <row r="189" spans="2:49" x14ac:dyDescent="0.3">
      <c r="B189" s="68" t="s">
        <v>125</v>
      </c>
      <c r="C189" s="43">
        <v>0</v>
      </c>
      <c r="D189" s="45">
        <v>0</v>
      </c>
      <c r="E189" s="42"/>
      <c r="F189" s="40"/>
      <c r="G189" s="42"/>
      <c r="H189" s="54">
        <v>1</v>
      </c>
      <c r="I189" s="54" t="s">
        <v>351</v>
      </c>
      <c r="J189" s="28"/>
      <c r="K189" s="40"/>
      <c r="M189" s="68" t="s">
        <v>125</v>
      </c>
      <c r="N189" s="54">
        <v>0</v>
      </c>
      <c r="O189" s="45">
        <v>0</v>
      </c>
      <c r="P189" s="42"/>
      <c r="Q189" s="40"/>
      <c r="R189" s="42"/>
      <c r="S189" s="54">
        <v>8</v>
      </c>
      <c r="T189" s="54" t="s">
        <v>351</v>
      </c>
      <c r="U189" s="28"/>
      <c r="V189" s="40"/>
      <c r="AL189" s="138" t="s">
        <v>132</v>
      </c>
      <c r="AM189" s="138">
        <v>2</v>
      </c>
      <c r="AN189" s="141">
        <v>4</v>
      </c>
      <c r="AO189" s="138"/>
      <c r="AP189" s="141"/>
      <c r="AQ189" s="28"/>
      <c r="AR189" s="43">
        <v>6</v>
      </c>
      <c r="AS189" s="28" t="s">
        <v>682</v>
      </c>
      <c r="AT189" s="28"/>
      <c r="AU189" s="141"/>
    </row>
    <row r="190" spans="2:49" x14ac:dyDescent="0.3">
      <c r="B190" s="68" t="s">
        <v>132</v>
      </c>
      <c r="C190" s="43">
        <v>2</v>
      </c>
      <c r="D190" s="45">
        <v>2</v>
      </c>
      <c r="E190" s="42"/>
      <c r="F190" s="40"/>
      <c r="G190" s="42"/>
      <c r="H190" s="54">
        <v>1</v>
      </c>
      <c r="I190" s="54" t="s">
        <v>237</v>
      </c>
      <c r="J190" s="28"/>
      <c r="K190" s="40"/>
      <c r="M190" s="68" t="s">
        <v>132</v>
      </c>
      <c r="N190" s="54">
        <v>12</v>
      </c>
      <c r="O190" s="45">
        <v>6</v>
      </c>
      <c r="P190" s="42"/>
      <c r="Q190" s="40"/>
      <c r="R190" s="42"/>
      <c r="S190" s="54">
        <v>1</v>
      </c>
      <c r="T190" s="54" t="s">
        <v>472</v>
      </c>
      <c r="U190" s="28"/>
      <c r="V190" s="40"/>
      <c r="AL190" s="138" t="s">
        <v>536</v>
      </c>
      <c r="AM190" s="138">
        <v>0</v>
      </c>
      <c r="AN190" s="141">
        <v>0</v>
      </c>
      <c r="AO190" s="138"/>
      <c r="AP190" s="141"/>
      <c r="AQ190" s="28"/>
      <c r="AR190" s="43">
        <f>2+2+5+7+5+20+14+19+9</f>
        <v>83</v>
      </c>
      <c r="AS190" s="28" t="s">
        <v>555</v>
      </c>
      <c r="AT190" s="28"/>
      <c r="AU190" s="141"/>
    </row>
    <row r="191" spans="2:49" ht="15" thickBot="1" x14ac:dyDescent="0.35">
      <c r="B191" s="41" t="s">
        <v>6</v>
      </c>
      <c r="E191" s="42"/>
      <c r="F191" s="40"/>
      <c r="G191" s="42"/>
      <c r="H191" s="54">
        <v>1</v>
      </c>
      <c r="I191" s="54" t="s">
        <v>352</v>
      </c>
      <c r="J191" s="28"/>
      <c r="K191" s="40"/>
      <c r="M191" s="41" t="s">
        <v>6</v>
      </c>
      <c r="P191" s="42"/>
      <c r="Q191" s="40"/>
      <c r="R191" s="42"/>
      <c r="S191" s="54">
        <v>29</v>
      </c>
      <c r="T191" s="54" t="s">
        <v>215</v>
      </c>
      <c r="U191" s="28"/>
      <c r="V191" s="40"/>
      <c r="AA191" t="s">
        <v>4</v>
      </c>
      <c r="AL191" s="138" t="s">
        <v>84</v>
      </c>
      <c r="AM191" s="138">
        <f>SUM(AM175:AM190)</f>
        <v>221</v>
      </c>
      <c r="AN191" s="141">
        <f>SUM(AN175:AN190)</f>
        <v>294</v>
      </c>
      <c r="AO191" s="138"/>
      <c r="AP191" s="141"/>
      <c r="AQ191" s="28"/>
      <c r="AR191" s="28">
        <v>5</v>
      </c>
      <c r="AS191" s="28" t="s">
        <v>244</v>
      </c>
      <c r="AT191" s="28"/>
      <c r="AU191" s="141">
        <f>SUM(AR176:AR191)</f>
        <v>182</v>
      </c>
    </row>
    <row r="192" spans="2:49" ht="15" thickBot="1" x14ac:dyDescent="0.35">
      <c r="B192" s="46" t="s">
        <v>84</v>
      </c>
      <c r="C192" s="48">
        <f>SUM(C176:C191)</f>
        <v>150</v>
      </c>
      <c r="D192" s="48">
        <f>SUM(D176:D191)</f>
        <v>189</v>
      </c>
      <c r="E192" s="47"/>
      <c r="F192" s="49"/>
      <c r="G192" s="47"/>
      <c r="H192" s="48">
        <v>1</v>
      </c>
      <c r="I192" s="48" t="s">
        <v>353</v>
      </c>
      <c r="J192" s="48"/>
      <c r="K192" s="49">
        <f>SUM(H178:H190)</f>
        <v>152</v>
      </c>
      <c r="M192" s="46" t="s">
        <v>84</v>
      </c>
      <c r="N192" s="48">
        <f>SUM(N176:N191)</f>
        <v>214</v>
      </c>
      <c r="O192" s="48">
        <f>SUM(O176:O191)</f>
        <v>151</v>
      </c>
      <c r="P192" s="47"/>
      <c r="Q192" s="49"/>
      <c r="R192" s="47"/>
      <c r="S192" s="48">
        <v>2</v>
      </c>
      <c r="T192" s="48" t="s">
        <v>244</v>
      </c>
      <c r="U192" s="48"/>
      <c r="V192" s="49">
        <f>SUM(S177:S192)+2</f>
        <v>119</v>
      </c>
      <c r="AB192" t="s">
        <v>2</v>
      </c>
      <c r="AL192" s="171" t="s">
        <v>84</v>
      </c>
      <c r="AM192" s="207">
        <f>SUM(AM191+AM173+AM164+AM149)</f>
        <v>2178</v>
      </c>
      <c r="AN192" s="207">
        <f>SUM(AN191+AN173+AN164+AN149)</f>
        <v>2257</v>
      </c>
      <c r="AO192" s="207"/>
      <c r="AP192" s="208"/>
      <c r="AQ192" s="170"/>
      <c r="AR192" s="170"/>
      <c r="AS192" s="170"/>
      <c r="AT192" s="170"/>
      <c r="AU192" s="172">
        <f>SUM(AU149:AU191)</f>
        <v>385</v>
      </c>
    </row>
    <row r="193" spans="2:61" ht="15" thickBot="1" x14ac:dyDescent="0.35">
      <c r="B193" s="147" t="s">
        <v>84</v>
      </c>
      <c r="C193" s="147">
        <f>SUM(+C192+C175+C165+C150+C147)</f>
        <v>3096</v>
      </c>
      <c r="D193" s="148">
        <f>SUM(D192+D175+D165+D150+D147)</f>
        <v>3012</v>
      </c>
      <c r="E193" s="147"/>
      <c r="F193" s="148"/>
      <c r="G193" s="149" t="s">
        <v>247</v>
      </c>
      <c r="H193" s="149"/>
      <c r="I193" s="149"/>
      <c r="J193" s="149"/>
      <c r="K193" s="148">
        <f>SUM(K147:K192)</f>
        <v>483</v>
      </c>
      <c r="M193" s="169" t="s">
        <v>84</v>
      </c>
      <c r="N193" s="170">
        <f>SUM(N192+N175+N165+N150+N148)</f>
        <v>2971</v>
      </c>
      <c r="O193" s="170">
        <f>SUM(O192+O175+O165+O150+O148)</f>
        <v>2902</v>
      </c>
      <c r="P193" s="171"/>
      <c r="Q193" s="172"/>
      <c r="R193" s="170"/>
      <c r="S193" s="170"/>
      <c r="T193" s="170"/>
      <c r="U193" s="170"/>
      <c r="V193" s="172">
        <f>SUM(V147:V192)</f>
        <v>441</v>
      </c>
      <c r="Z193" t="s">
        <v>12</v>
      </c>
    </row>
    <row r="194" spans="2:61" ht="15" thickTop="1" x14ac:dyDescent="0.3">
      <c r="AB194" t="s">
        <v>1011</v>
      </c>
    </row>
    <row r="195" spans="2:61" ht="15" thickBot="1" x14ac:dyDescent="0.35">
      <c r="AF195" s="194" t="s">
        <v>951</v>
      </c>
      <c r="AW195" t="s">
        <v>6</v>
      </c>
    </row>
    <row r="196" spans="2:61" ht="15" thickBot="1" x14ac:dyDescent="0.35">
      <c r="X196" s="134" t="s">
        <v>17</v>
      </c>
      <c r="Y196" s="134" t="s">
        <v>39</v>
      </c>
      <c r="Z196" s="136"/>
      <c r="AA196" s="134" t="s">
        <v>29</v>
      </c>
      <c r="AB196" s="136" t="s">
        <v>30</v>
      </c>
      <c r="AC196" s="135" t="s">
        <v>40</v>
      </c>
      <c r="AD196" s="135"/>
      <c r="AE196" s="135"/>
      <c r="AF196" s="135"/>
      <c r="AG196" s="136"/>
      <c r="AL196" s="317" t="s">
        <v>1532</v>
      </c>
      <c r="AM196" s="210">
        <v>1951</v>
      </c>
      <c r="AN196" s="318">
        <v>2100</v>
      </c>
      <c r="AO196" s="170"/>
      <c r="AP196" s="170"/>
      <c r="AQ196" s="170"/>
      <c r="AR196" s="170"/>
      <c r="AS196" s="170"/>
      <c r="AT196" s="170"/>
      <c r="AU196" s="172">
        <v>418</v>
      </c>
    </row>
    <row r="197" spans="2:61" x14ac:dyDescent="0.3">
      <c r="X197" s="138" t="s">
        <v>42</v>
      </c>
      <c r="Y197" s="138" t="s">
        <v>43</v>
      </c>
      <c r="Z197" s="141" t="s">
        <v>44</v>
      </c>
      <c r="AA197" s="138" t="s">
        <v>43</v>
      </c>
      <c r="AB197" s="141" t="s">
        <v>44</v>
      </c>
      <c r="AC197" s="28"/>
      <c r="AD197" s="28"/>
      <c r="AE197" s="28"/>
      <c r="AF197" s="28"/>
      <c r="AG197" s="141"/>
    </row>
    <row r="198" spans="2:61" x14ac:dyDescent="0.3">
      <c r="X198" s="134"/>
      <c r="Y198" s="134"/>
      <c r="Z198" s="136"/>
      <c r="AA198" s="134"/>
      <c r="AB198" s="136"/>
      <c r="AC198" s="135"/>
      <c r="AD198" s="135"/>
      <c r="AE198" s="135"/>
      <c r="AF198" s="135"/>
      <c r="AG198" s="136"/>
    </row>
    <row r="199" spans="2:61" x14ac:dyDescent="0.3">
      <c r="X199" s="138" t="s">
        <v>6</v>
      </c>
      <c r="Y199" s="138"/>
      <c r="Z199" s="141"/>
      <c r="AA199" s="138"/>
      <c r="AB199" s="141"/>
      <c r="AC199" s="28"/>
      <c r="AD199" s="28" t="s">
        <v>91</v>
      </c>
      <c r="AE199" s="28"/>
      <c r="AF199" s="28"/>
      <c r="AG199" s="141"/>
    </row>
    <row r="200" spans="2:61" ht="15.6" x14ac:dyDescent="0.3">
      <c r="E200" s="1" t="s">
        <v>4</v>
      </c>
      <c r="X200" s="138" t="s">
        <v>56</v>
      </c>
      <c r="Y200" s="138">
        <v>1529</v>
      </c>
      <c r="Z200" s="141">
        <v>1515</v>
      </c>
      <c r="AA200" s="138"/>
      <c r="AB200" s="141"/>
      <c r="AC200" s="28"/>
      <c r="AD200" s="28">
        <v>2</v>
      </c>
      <c r="AE200" s="28" t="s">
        <v>145</v>
      </c>
      <c r="AF200" s="28"/>
      <c r="AG200" s="141"/>
      <c r="BC200" t="s">
        <v>1445</v>
      </c>
    </row>
    <row r="201" spans="2:61" x14ac:dyDescent="0.3">
      <c r="F201" t="s">
        <v>2</v>
      </c>
      <c r="X201" s="142" t="s">
        <v>6</v>
      </c>
      <c r="Y201" s="142"/>
      <c r="Z201" s="146"/>
      <c r="AA201" s="142"/>
      <c r="AB201" s="146"/>
      <c r="AC201" s="143"/>
      <c r="AD201" s="143">
        <v>109</v>
      </c>
      <c r="AE201" s="143" t="s">
        <v>73</v>
      </c>
      <c r="AF201" s="143"/>
      <c r="AG201" s="146">
        <f>SUM(AD201)</f>
        <v>109</v>
      </c>
      <c r="BD201" t="s">
        <v>2</v>
      </c>
    </row>
    <row r="202" spans="2:61" ht="15.6" x14ac:dyDescent="0.3">
      <c r="D202" t="s">
        <v>12</v>
      </c>
      <c r="P202" s="1" t="s">
        <v>4</v>
      </c>
      <c r="X202" s="134" t="s">
        <v>56</v>
      </c>
      <c r="Y202" s="134">
        <v>0</v>
      </c>
      <c r="Z202" s="136">
        <v>0</v>
      </c>
      <c r="AA202" s="134"/>
      <c r="AB202" s="136"/>
      <c r="AC202" s="135"/>
      <c r="AD202" s="135"/>
      <c r="AE202" s="135"/>
      <c r="AF202" s="135"/>
      <c r="AG202" s="136"/>
      <c r="BB202" t="s">
        <v>1447</v>
      </c>
    </row>
    <row r="203" spans="2:61" x14ac:dyDescent="0.3">
      <c r="F203" t="s">
        <v>354</v>
      </c>
      <c r="K203" s="5"/>
      <c r="Q203" t="s">
        <v>2</v>
      </c>
      <c r="X203" s="138" t="s">
        <v>63</v>
      </c>
      <c r="Y203" s="138">
        <v>48</v>
      </c>
      <c r="Z203" s="141">
        <v>57</v>
      </c>
      <c r="AA203" s="138"/>
      <c r="AB203" s="141"/>
      <c r="AC203" s="28"/>
      <c r="AD203" s="28" t="s">
        <v>110</v>
      </c>
      <c r="AE203" s="28" t="s">
        <v>111</v>
      </c>
      <c r="AF203" s="28" t="s">
        <v>112</v>
      </c>
      <c r="AG203" s="141"/>
      <c r="BC203" s="408" t="s">
        <v>1450</v>
      </c>
      <c r="BD203" s="408"/>
      <c r="BE203" s="408"/>
    </row>
    <row r="204" spans="2:61" ht="15" thickBot="1" x14ac:dyDescent="0.35">
      <c r="J204" s="5" t="s">
        <v>26</v>
      </c>
      <c r="O204" t="s">
        <v>12</v>
      </c>
      <c r="X204" s="138" t="s">
        <v>115</v>
      </c>
      <c r="Y204" s="138">
        <v>39</v>
      </c>
      <c r="Z204" s="141">
        <v>33</v>
      </c>
      <c r="AA204" s="138"/>
      <c r="AB204" s="141"/>
      <c r="AC204" s="28"/>
      <c r="AD204" s="28"/>
      <c r="AE204" s="28"/>
      <c r="AF204" s="28"/>
      <c r="AG204" s="141"/>
      <c r="BH204" s="194" t="s">
        <v>951</v>
      </c>
    </row>
    <row r="205" spans="2:61" x14ac:dyDescent="0.3">
      <c r="B205" s="6" t="s">
        <v>17</v>
      </c>
      <c r="C205" s="6" t="s">
        <v>39</v>
      </c>
      <c r="D205" s="7"/>
      <c r="E205" s="6" t="s">
        <v>29</v>
      </c>
      <c r="F205" s="7" t="s">
        <v>30</v>
      </c>
      <c r="G205" s="8" t="s">
        <v>40</v>
      </c>
      <c r="H205" s="8"/>
      <c r="I205" s="8"/>
      <c r="J205" s="8"/>
      <c r="K205" s="7"/>
      <c r="Q205" t="s">
        <v>729</v>
      </c>
      <c r="V205" s="5"/>
      <c r="X205" s="138" t="s">
        <v>72</v>
      </c>
      <c r="Y205" s="138">
        <v>0</v>
      </c>
      <c r="Z205" s="141">
        <v>0</v>
      </c>
      <c r="AA205" s="138"/>
      <c r="AB205" s="141"/>
      <c r="AC205" s="28"/>
      <c r="AD205" s="28"/>
      <c r="AE205" s="28"/>
      <c r="AF205" s="28"/>
      <c r="AG205" s="141"/>
      <c r="AZ205" s="134" t="s">
        <v>17</v>
      </c>
      <c r="BA205" s="134" t="s">
        <v>39</v>
      </c>
      <c r="BB205" s="136"/>
      <c r="BC205" s="134" t="s">
        <v>29</v>
      </c>
      <c r="BD205" s="136" t="s">
        <v>30</v>
      </c>
      <c r="BE205" s="135" t="s">
        <v>40</v>
      </c>
      <c r="BF205" s="135"/>
      <c r="BG205" s="135"/>
      <c r="BH205" s="135"/>
      <c r="BI205" s="136"/>
    </row>
    <row r="206" spans="2:61" ht="15" thickBot="1" x14ac:dyDescent="0.35">
      <c r="B206" s="13" t="s">
        <v>42</v>
      </c>
      <c r="C206" s="10" t="s">
        <v>43</v>
      </c>
      <c r="D206" s="11" t="s">
        <v>44</v>
      </c>
      <c r="E206" s="13" t="s">
        <v>43</v>
      </c>
      <c r="F206" s="26" t="s">
        <v>44</v>
      </c>
      <c r="G206" s="27"/>
      <c r="H206" s="27"/>
      <c r="I206" s="27"/>
      <c r="J206" s="27"/>
      <c r="K206" s="26"/>
      <c r="U206" s="5" t="s">
        <v>26</v>
      </c>
      <c r="X206" s="138" t="s">
        <v>78</v>
      </c>
      <c r="Y206" s="138">
        <v>53</v>
      </c>
      <c r="Z206" s="141">
        <v>32</v>
      </c>
      <c r="AA206" s="138"/>
      <c r="AB206" s="141"/>
      <c r="AC206" s="28"/>
      <c r="AD206" s="28"/>
      <c r="AE206" s="28"/>
      <c r="AF206" s="28"/>
      <c r="AG206" s="141"/>
      <c r="AH206" t="s">
        <v>6</v>
      </c>
      <c r="AZ206" s="138" t="s">
        <v>42</v>
      </c>
      <c r="BA206" s="138" t="s">
        <v>43</v>
      </c>
      <c r="BB206" s="141" t="s">
        <v>44</v>
      </c>
      <c r="BC206" s="138" t="s">
        <v>43</v>
      </c>
      <c r="BD206" s="141" t="s">
        <v>44</v>
      </c>
      <c r="BE206" s="28"/>
      <c r="BF206" s="28"/>
      <c r="BG206" s="28"/>
      <c r="BH206" s="28"/>
      <c r="BI206" s="141"/>
    </row>
    <row r="207" spans="2:61" x14ac:dyDescent="0.3">
      <c r="B207" s="6" t="s">
        <v>56</v>
      </c>
      <c r="C207" s="29">
        <v>1015</v>
      </c>
      <c r="D207" s="30">
        <v>983</v>
      </c>
      <c r="G207" s="6"/>
      <c r="H207" s="8"/>
      <c r="I207" s="31" t="s">
        <v>57</v>
      </c>
      <c r="J207" s="8"/>
      <c r="K207" s="7"/>
      <c r="L207" s="28"/>
      <c r="M207" s="6" t="s">
        <v>17</v>
      </c>
      <c r="N207" s="6" t="s">
        <v>39</v>
      </c>
      <c r="O207" s="7"/>
      <c r="P207" s="6" t="s">
        <v>29</v>
      </c>
      <c r="Q207" s="7" t="s">
        <v>30</v>
      </c>
      <c r="R207" s="8" t="s">
        <v>40</v>
      </c>
      <c r="S207" s="8"/>
      <c r="T207" s="8"/>
      <c r="U207" s="8"/>
      <c r="V207" s="7"/>
      <c r="X207" s="138" t="s">
        <v>122</v>
      </c>
      <c r="Y207" s="138">
        <v>11</v>
      </c>
      <c r="Z207" s="141">
        <v>24</v>
      </c>
      <c r="AA207" s="138"/>
      <c r="AB207" s="141"/>
      <c r="AC207" s="28"/>
      <c r="AD207" s="28">
        <v>36</v>
      </c>
      <c r="AE207" s="28" t="s">
        <v>123</v>
      </c>
      <c r="AF207" s="28"/>
      <c r="AG207" s="141"/>
      <c r="AZ207" s="134" t="s">
        <v>63</v>
      </c>
      <c r="BA207" s="134">
        <v>0</v>
      </c>
      <c r="BB207" s="136">
        <v>0</v>
      </c>
      <c r="BC207" s="134"/>
      <c r="BD207" s="136"/>
      <c r="BE207" s="135"/>
      <c r="BF207" s="135" t="s">
        <v>91</v>
      </c>
      <c r="BG207" s="135"/>
      <c r="BH207" s="135"/>
      <c r="BI207" s="136"/>
    </row>
    <row r="208" spans="2:61" ht="15" thickBot="1" x14ac:dyDescent="0.35">
      <c r="B208" s="36" t="s">
        <v>63</v>
      </c>
      <c r="C208" s="36">
        <v>33</v>
      </c>
      <c r="D208" s="39">
        <v>32</v>
      </c>
      <c r="F208" s="18"/>
      <c r="G208" s="10"/>
      <c r="H208" s="18"/>
      <c r="I208" s="18"/>
      <c r="J208" s="18"/>
      <c r="K208" s="11"/>
      <c r="L208" s="28"/>
      <c r="M208" s="13" t="s">
        <v>42</v>
      </c>
      <c r="N208" s="13" t="s">
        <v>43</v>
      </c>
      <c r="O208" s="26" t="s">
        <v>44</v>
      </c>
      <c r="P208" s="13" t="s">
        <v>43</v>
      </c>
      <c r="Q208" s="26" t="s">
        <v>44</v>
      </c>
      <c r="R208" s="27"/>
      <c r="S208" s="27"/>
      <c r="T208" s="27"/>
      <c r="U208" s="27"/>
      <c r="V208" s="26"/>
      <c r="X208" s="138" t="s">
        <v>125</v>
      </c>
      <c r="Y208" s="138">
        <v>0</v>
      </c>
      <c r="Z208" s="141">
        <v>0</v>
      </c>
      <c r="AA208" s="138"/>
      <c r="AB208" s="141"/>
      <c r="AC208" s="28"/>
      <c r="AD208" s="28">
        <v>24</v>
      </c>
      <c r="AE208" s="28" t="s">
        <v>126</v>
      </c>
      <c r="AF208" s="28"/>
      <c r="AG208" s="141"/>
      <c r="AZ208" s="138" t="s">
        <v>56</v>
      </c>
      <c r="BA208" s="138">
        <v>1580</v>
      </c>
      <c r="BB208" s="141">
        <v>1531</v>
      </c>
      <c r="BC208" s="138">
        <v>0</v>
      </c>
      <c r="BD208" s="141">
        <v>0</v>
      </c>
      <c r="BE208" s="28"/>
      <c r="BF208" s="43">
        <v>74</v>
      </c>
      <c r="BG208" s="28" t="s">
        <v>1026</v>
      </c>
      <c r="BH208" s="43">
        <v>24</v>
      </c>
      <c r="BI208" s="141" t="s">
        <v>73</v>
      </c>
    </row>
    <row r="209" spans="2:61" x14ac:dyDescent="0.3">
      <c r="B209" s="36" t="s">
        <v>67</v>
      </c>
      <c r="C209" s="36">
        <v>348</v>
      </c>
      <c r="D209" s="39">
        <v>348</v>
      </c>
      <c r="F209" s="18"/>
      <c r="G209" s="10"/>
      <c r="H209" s="37">
        <v>63</v>
      </c>
      <c r="I209" s="37" t="s">
        <v>68</v>
      </c>
      <c r="J209" s="18"/>
      <c r="K209" s="11"/>
      <c r="L209" s="28"/>
      <c r="M209" s="32" t="s">
        <v>6</v>
      </c>
      <c r="N209" s="43"/>
      <c r="O209" s="54"/>
      <c r="P209" s="33"/>
      <c r="Q209" s="35"/>
      <c r="R209" s="33"/>
      <c r="S209" s="34" t="s">
        <v>91</v>
      </c>
      <c r="T209" s="34"/>
      <c r="U209" s="34"/>
      <c r="V209" s="35"/>
      <c r="W209" s="28"/>
      <c r="X209" s="138" t="s">
        <v>128</v>
      </c>
      <c r="Y209" s="138">
        <v>4</v>
      </c>
      <c r="Z209" s="141">
        <v>4</v>
      </c>
      <c r="AA209" s="138"/>
      <c r="AB209" s="141"/>
      <c r="AC209" s="28"/>
      <c r="AD209" s="28">
        <v>36</v>
      </c>
      <c r="AE209" s="28" t="s">
        <v>129</v>
      </c>
      <c r="AF209" s="28"/>
      <c r="AG209" s="141"/>
      <c r="AZ209" s="138" t="s">
        <v>67</v>
      </c>
      <c r="BA209" s="138">
        <v>3</v>
      </c>
      <c r="BB209" s="141">
        <v>0</v>
      </c>
      <c r="BC209" s="138">
        <v>0</v>
      </c>
      <c r="BD209" s="141">
        <v>0</v>
      </c>
      <c r="BE209" s="28"/>
      <c r="BF209" s="43">
        <v>5</v>
      </c>
      <c r="BG209" s="28" t="s">
        <v>1294</v>
      </c>
      <c r="BH209" s="43"/>
      <c r="BI209" s="141"/>
    </row>
    <row r="210" spans="2:61" x14ac:dyDescent="0.3">
      <c r="B210" s="36" t="s">
        <v>72</v>
      </c>
      <c r="C210" s="36">
        <v>9</v>
      </c>
      <c r="D210" s="39">
        <v>9</v>
      </c>
      <c r="F210" s="18"/>
      <c r="G210" s="10"/>
      <c r="H210" s="37">
        <v>59</v>
      </c>
      <c r="I210" s="37" t="s">
        <v>73</v>
      </c>
      <c r="J210" s="18"/>
      <c r="K210" s="11"/>
      <c r="L210" s="28"/>
      <c r="M210" s="41" t="s">
        <v>56</v>
      </c>
      <c r="N210" s="43">
        <v>1445</v>
      </c>
      <c r="O210" s="54">
        <v>1542</v>
      </c>
      <c r="P210" s="42"/>
      <c r="Q210" s="40"/>
      <c r="R210" s="42"/>
      <c r="S210" s="28"/>
      <c r="T210" s="28"/>
      <c r="U210" s="28"/>
      <c r="V210" s="40"/>
      <c r="W210" s="28"/>
      <c r="X210" s="138" t="s">
        <v>132</v>
      </c>
      <c r="Y210" s="138">
        <v>0</v>
      </c>
      <c r="Z210" s="141">
        <v>0</v>
      </c>
      <c r="AA210" s="138"/>
      <c r="AB210" s="141"/>
      <c r="AC210" s="28"/>
      <c r="AD210" s="28"/>
      <c r="AE210" s="28"/>
      <c r="AF210" s="28"/>
      <c r="AG210" s="141"/>
      <c r="AO210" t="s">
        <v>4</v>
      </c>
      <c r="AZ210" s="142" t="s">
        <v>84</v>
      </c>
      <c r="BA210" s="142">
        <v>1583</v>
      </c>
      <c r="BB210" s="146">
        <v>1531</v>
      </c>
      <c r="BC210" s="142"/>
      <c r="BD210" s="146"/>
      <c r="BE210" s="143"/>
      <c r="BF210" s="143"/>
      <c r="BG210" s="143"/>
      <c r="BH210" s="143"/>
      <c r="BI210" s="146">
        <v>103</v>
      </c>
    </row>
    <row r="211" spans="2:61" ht="15" thickBot="1" x14ac:dyDescent="0.35">
      <c r="B211" s="36" t="s">
        <v>78</v>
      </c>
      <c r="C211" s="36"/>
      <c r="D211" s="39"/>
      <c r="F211" s="18"/>
      <c r="G211" s="10"/>
      <c r="H211" s="37"/>
      <c r="I211" s="37"/>
      <c r="J211" s="18"/>
      <c r="K211" s="11"/>
      <c r="L211" s="28"/>
      <c r="M211" s="62" t="s">
        <v>6</v>
      </c>
      <c r="N211" s="43"/>
      <c r="O211" s="43"/>
      <c r="P211" s="47"/>
      <c r="Q211" s="49"/>
      <c r="R211" s="47"/>
      <c r="S211" s="48">
        <v>105</v>
      </c>
      <c r="T211" s="48" t="s">
        <v>73</v>
      </c>
      <c r="U211" s="48"/>
      <c r="V211" s="49">
        <f>SUM(S211)</f>
        <v>105</v>
      </c>
      <c r="W211" s="28"/>
      <c r="X211" s="138" t="s">
        <v>81</v>
      </c>
      <c r="Y211" s="138">
        <v>19</v>
      </c>
      <c r="Z211" s="141">
        <v>16</v>
      </c>
      <c r="AA211" s="138"/>
      <c r="AB211" s="141"/>
      <c r="AC211" s="28"/>
      <c r="AD211" s="28"/>
      <c r="AE211" s="28"/>
      <c r="AF211" s="28"/>
      <c r="AG211" s="141"/>
      <c r="AP211" t="s">
        <v>2</v>
      </c>
      <c r="AZ211" s="134"/>
      <c r="BA211" s="134"/>
      <c r="BB211" s="136"/>
      <c r="BC211" s="134"/>
      <c r="BD211" s="136"/>
      <c r="BE211" s="135"/>
      <c r="BF211" s="135"/>
      <c r="BG211" s="135"/>
      <c r="BH211" s="135"/>
      <c r="BI211" s="136"/>
    </row>
    <row r="212" spans="2:61" x14ac:dyDescent="0.3">
      <c r="B212" s="52" t="s">
        <v>81</v>
      </c>
      <c r="C212" s="36"/>
      <c r="D212" s="39"/>
      <c r="G212" s="42"/>
      <c r="H212" s="28"/>
      <c r="I212" s="28"/>
      <c r="J212" s="28"/>
      <c r="K212" s="40"/>
      <c r="L212" s="28"/>
      <c r="M212" s="10"/>
      <c r="N212" s="29"/>
      <c r="O212" s="31"/>
      <c r="P212" s="33"/>
      <c r="Q212" s="7"/>
      <c r="R212" s="8"/>
      <c r="S212" s="8"/>
      <c r="T212" s="8"/>
      <c r="U212" s="8"/>
      <c r="V212" s="7"/>
      <c r="W212" s="28"/>
      <c r="X212" s="138" t="s">
        <v>138</v>
      </c>
      <c r="Y212" s="138">
        <v>4</v>
      </c>
      <c r="Z212" s="141">
        <v>4</v>
      </c>
      <c r="AA212" s="138"/>
      <c r="AB212" s="141"/>
      <c r="AC212" s="28"/>
      <c r="AD212" s="28"/>
      <c r="AE212" s="28"/>
      <c r="AF212" s="28"/>
      <c r="AG212" s="141"/>
      <c r="AN212" t="s">
        <v>12</v>
      </c>
      <c r="AV212" t="s">
        <v>6</v>
      </c>
      <c r="AZ212" s="138"/>
      <c r="BA212" s="138"/>
      <c r="BB212" s="141"/>
      <c r="BC212" s="138"/>
      <c r="BD212" s="141"/>
      <c r="BE212" s="28"/>
      <c r="BF212" s="28" t="s">
        <v>110</v>
      </c>
      <c r="BG212" s="28" t="s">
        <v>111</v>
      </c>
      <c r="BH212" s="28" t="s">
        <v>112</v>
      </c>
      <c r="BI212" s="141"/>
    </row>
    <row r="213" spans="2:61" ht="15" thickBot="1" x14ac:dyDescent="0.35">
      <c r="B213" s="13" t="s">
        <v>84</v>
      </c>
      <c r="C213" s="13">
        <f>SUM(C207:C212)</f>
        <v>1405</v>
      </c>
      <c r="D213" s="26">
        <f>SUM(D207:D212)</f>
        <v>1372</v>
      </c>
      <c r="F213" s="18"/>
      <c r="G213" s="13"/>
      <c r="H213" s="27"/>
      <c r="I213" s="27"/>
      <c r="J213" s="27"/>
      <c r="K213" s="26">
        <f>SUM(H209:H210)</f>
        <v>122</v>
      </c>
      <c r="L213" s="28"/>
      <c r="M213" s="36" t="s">
        <v>63</v>
      </c>
      <c r="N213" s="10">
        <v>18</v>
      </c>
      <c r="O213" s="18">
        <v>31</v>
      </c>
      <c r="P213" s="42"/>
      <c r="Q213" s="11"/>
      <c r="R213" s="18"/>
      <c r="S213" s="18" t="s">
        <v>110</v>
      </c>
      <c r="T213" s="18" t="s">
        <v>111</v>
      </c>
      <c r="U213" s="18" t="s">
        <v>112</v>
      </c>
      <c r="V213" s="11"/>
      <c r="W213" s="28"/>
      <c r="X213" s="138" t="s">
        <v>230</v>
      </c>
      <c r="Y213" s="138">
        <v>9</v>
      </c>
      <c r="Z213" s="141">
        <v>0</v>
      </c>
      <c r="AA213" s="138"/>
      <c r="AB213" s="141"/>
      <c r="AC213" s="28"/>
      <c r="AD213" s="28"/>
      <c r="AE213" s="28"/>
      <c r="AF213" s="28"/>
      <c r="AG213" s="141"/>
      <c r="AP213" t="s">
        <v>1576</v>
      </c>
      <c r="AZ213" s="138"/>
      <c r="BA213" s="138"/>
      <c r="BB213" s="141"/>
      <c r="BC213" s="138"/>
      <c r="BD213" s="141"/>
      <c r="BE213" s="43"/>
      <c r="BF213" s="28"/>
      <c r="BG213" s="28"/>
      <c r="BH213" s="28"/>
      <c r="BI213" s="141"/>
    </row>
    <row r="214" spans="2:61" x14ac:dyDescent="0.3">
      <c r="B214" s="32" t="s">
        <v>6</v>
      </c>
      <c r="C214" s="43"/>
      <c r="D214" s="54"/>
      <c r="E214" s="33"/>
      <c r="F214" s="35"/>
      <c r="G214" s="33"/>
      <c r="H214" s="34" t="s">
        <v>91</v>
      </c>
      <c r="I214" s="34"/>
      <c r="J214" s="34"/>
      <c r="K214" s="35"/>
      <c r="L214" s="28"/>
      <c r="M214" s="10" t="s">
        <v>115</v>
      </c>
      <c r="N214" s="36">
        <v>79</v>
      </c>
      <c r="O214" s="37">
        <v>45</v>
      </c>
      <c r="P214" s="42"/>
      <c r="Q214" s="11"/>
      <c r="R214" s="18"/>
      <c r="S214" s="18"/>
      <c r="T214" s="18"/>
      <c r="U214" s="18"/>
      <c r="V214" s="11"/>
      <c r="W214" s="28"/>
      <c r="X214" s="138" t="s">
        <v>67</v>
      </c>
      <c r="Y214" s="138">
        <v>74</v>
      </c>
      <c r="Z214" s="141">
        <v>57</v>
      </c>
      <c r="AA214" s="138"/>
      <c r="AB214" s="141"/>
      <c r="AC214" s="28"/>
      <c r="AD214" s="28"/>
      <c r="AE214" s="28"/>
      <c r="AF214" s="28"/>
      <c r="AG214" s="141"/>
      <c r="AT214" s="194" t="s">
        <v>951</v>
      </c>
      <c r="AZ214" s="138" t="s">
        <v>132</v>
      </c>
      <c r="BA214" s="138">
        <v>4</v>
      </c>
      <c r="BB214" s="141">
        <v>2</v>
      </c>
      <c r="BC214" s="138">
        <v>0</v>
      </c>
      <c r="BD214" s="141">
        <v>0</v>
      </c>
      <c r="BE214" s="28"/>
      <c r="BF214" s="43"/>
      <c r="BG214" s="28"/>
      <c r="BH214" s="28"/>
      <c r="BI214" s="141"/>
    </row>
    <row r="215" spans="2:61" x14ac:dyDescent="0.3">
      <c r="B215" s="41"/>
      <c r="E215" s="42"/>
      <c r="F215" s="40"/>
      <c r="G215" s="42"/>
      <c r="H215" s="28"/>
      <c r="I215" s="28"/>
      <c r="J215" s="28"/>
      <c r="K215" s="40"/>
      <c r="L215" s="28" t="s">
        <v>6</v>
      </c>
      <c r="M215" s="52" t="s">
        <v>72</v>
      </c>
      <c r="N215" s="52">
        <v>2</v>
      </c>
      <c r="O215" s="54">
        <v>4</v>
      </c>
      <c r="P215" s="42"/>
      <c r="Q215" s="40"/>
      <c r="R215" s="28"/>
      <c r="S215" s="28"/>
      <c r="T215" s="28"/>
      <c r="U215" s="28"/>
      <c r="V215" s="40"/>
      <c r="W215" s="28"/>
      <c r="X215" s="142" t="s">
        <v>84</v>
      </c>
      <c r="Y215" s="142">
        <f>SUM(Y203:Y214)</f>
        <v>261</v>
      </c>
      <c r="Z215" s="146">
        <f>SUM(Z203:Z214)</f>
        <v>227</v>
      </c>
      <c r="AA215" s="142"/>
      <c r="AB215" s="146">
        <v>0</v>
      </c>
      <c r="AC215" s="143"/>
      <c r="AD215" s="143"/>
      <c r="AE215" s="143"/>
      <c r="AF215" s="143"/>
      <c r="AG215" s="146">
        <f>SUM(AD207:AD209)</f>
        <v>96</v>
      </c>
      <c r="AL215" s="134" t="s">
        <v>17</v>
      </c>
      <c r="AM215" s="134" t="s">
        <v>39</v>
      </c>
      <c r="AN215" s="136"/>
      <c r="AO215" s="134" t="s">
        <v>29</v>
      </c>
      <c r="AP215" s="136" t="s">
        <v>30</v>
      </c>
      <c r="AQ215" s="135" t="s">
        <v>40</v>
      </c>
      <c r="AR215" s="135"/>
      <c r="AS215" s="135"/>
      <c r="AT215" s="135"/>
      <c r="AU215" s="136"/>
      <c r="AZ215" s="138" t="s">
        <v>63</v>
      </c>
      <c r="BA215" s="138">
        <v>71</v>
      </c>
      <c r="BB215" s="141">
        <v>62</v>
      </c>
      <c r="BC215" s="138">
        <v>0</v>
      </c>
      <c r="BD215" s="141">
        <v>0</v>
      </c>
      <c r="BE215" s="28"/>
      <c r="BF215" s="28"/>
      <c r="BG215" s="28"/>
      <c r="BH215" s="28"/>
      <c r="BI215" s="141"/>
    </row>
    <row r="216" spans="2:61" x14ac:dyDescent="0.3">
      <c r="B216" s="41" t="s">
        <v>56</v>
      </c>
      <c r="C216">
        <v>756</v>
      </c>
      <c r="D216">
        <f>727+13</f>
        <v>740</v>
      </c>
      <c r="E216" s="42"/>
      <c r="F216" s="40"/>
      <c r="G216" s="42"/>
      <c r="H216" s="28"/>
      <c r="I216" s="28"/>
      <c r="J216" s="28"/>
      <c r="K216" s="40"/>
      <c r="L216" s="28"/>
      <c r="M216" s="36" t="s">
        <v>78</v>
      </c>
      <c r="N216" s="36">
        <v>34</v>
      </c>
      <c r="O216" s="37">
        <v>27</v>
      </c>
      <c r="P216" s="42"/>
      <c r="Q216" s="11"/>
      <c r="R216" s="18"/>
      <c r="S216" s="37"/>
      <c r="T216" s="18"/>
      <c r="U216" s="37"/>
      <c r="V216" s="11"/>
      <c r="W216" s="28"/>
      <c r="X216" s="134"/>
      <c r="Y216" s="134"/>
      <c r="Z216" s="136"/>
      <c r="AA216" s="134"/>
      <c r="AB216" s="136"/>
      <c r="AC216" s="135"/>
      <c r="AD216" s="135"/>
      <c r="AE216" s="135"/>
      <c r="AF216" s="135"/>
      <c r="AG216" s="136"/>
      <c r="AL216" s="138" t="s">
        <v>42</v>
      </c>
      <c r="AM216" s="138" t="s">
        <v>43</v>
      </c>
      <c r="AN216" s="141" t="s">
        <v>44</v>
      </c>
      <c r="AO216" s="138" t="s">
        <v>43</v>
      </c>
      <c r="AP216" s="141" t="s">
        <v>44</v>
      </c>
      <c r="AQ216" s="28"/>
      <c r="AR216" s="28"/>
      <c r="AS216" s="28"/>
      <c r="AT216" s="28"/>
      <c r="AU216" s="141"/>
      <c r="AZ216" s="138" t="s">
        <v>56</v>
      </c>
      <c r="BA216" s="138">
        <v>6</v>
      </c>
      <c r="BB216" s="141">
        <v>3</v>
      </c>
      <c r="BC216" s="138">
        <v>0</v>
      </c>
      <c r="BD216" s="141">
        <v>0</v>
      </c>
      <c r="BE216" s="28"/>
      <c r="BF216" s="43">
        <v>24</v>
      </c>
      <c r="BG216" s="28" t="s">
        <v>123</v>
      </c>
      <c r="BH216" s="28" t="s">
        <v>6</v>
      </c>
      <c r="BI216" s="141"/>
    </row>
    <row r="217" spans="2:61" ht="15" thickBot="1" x14ac:dyDescent="0.35">
      <c r="B217" s="62" t="s">
        <v>6</v>
      </c>
      <c r="C217" s="43"/>
      <c r="D217" s="43"/>
      <c r="E217" s="47"/>
      <c r="F217" s="49"/>
      <c r="G217" s="47"/>
      <c r="H217" s="48">
        <f>162/2</f>
        <v>81</v>
      </c>
      <c r="I217" s="48" t="s">
        <v>73</v>
      </c>
      <c r="J217" s="48"/>
      <c r="K217" s="49">
        <f>SUM(H217)</f>
        <v>81</v>
      </c>
      <c r="L217" s="28"/>
      <c r="M217" s="10" t="s">
        <v>122</v>
      </c>
      <c r="N217" s="36">
        <v>16</v>
      </c>
      <c r="O217" s="37">
        <v>17</v>
      </c>
      <c r="P217" s="42"/>
      <c r="Q217" s="11"/>
      <c r="R217" s="18"/>
      <c r="S217" s="18">
        <v>28</v>
      </c>
      <c r="T217" s="18" t="s">
        <v>123</v>
      </c>
      <c r="U217" s="18"/>
      <c r="V217" s="11"/>
      <c r="W217" s="28" t="s">
        <v>6</v>
      </c>
      <c r="X217" s="138" t="s">
        <v>63</v>
      </c>
      <c r="Y217" s="138">
        <v>2</v>
      </c>
      <c r="Z217" s="141">
        <v>2</v>
      </c>
      <c r="AA217" s="138"/>
      <c r="AB217" s="141"/>
      <c r="AC217" s="28"/>
      <c r="AD217" s="28"/>
      <c r="AE217" s="28"/>
      <c r="AF217" s="28"/>
      <c r="AG217" s="141"/>
      <c r="AL217" s="134"/>
      <c r="AM217" s="134"/>
      <c r="AN217" s="136"/>
      <c r="AO217" s="134"/>
      <c r="AP217" s="136"/>
      <c r="AQ217" s="135"/>
      <c r="AR217" s="135"/>
      <c r="AS217" s="135"/>
      <c r="AT217" s="135"/>
      <c r="AU217" s="136"/>
      <c r="AZ217" s="138" t="s">
        <v>72</v>
      </c>
      <c r="BA217" s="138">
        <v>13</v>
      </c>
      <c r="BB217" s="141">
        <v>8</v>
      </c>
      <c r="BC217" s="138">
        <v>0</v>
      </c>
      <c r="BD217" s="141">
        <v>0</v>
      </c>
      <c r="BE217" s="28"/>
      <c r="BF217" s="43">
        <v>39</v>
      </c>
      <c r="BG217" s="28" t="s">
        <v>126</v>
      </c>
      <c r="BH217" s="28"/>
      <c r="BI217" s="141"/>
    </row>
    <row r="218" spans="2:61" x14ac:dyDescent="0.3">
      <c r="B218" s="10"/>
      <c r="C218" s="29"/>
      <c r="D218" s="31"/>
      <c r="E218" s="33"/>
      <c r="F218" s="7"/>
      <c r="G218" s="8"/>
      <c r="H218" s="8"/>
      <c r="I218" s="8"/>
      <c r="J218" s="8"/>
      <c r="K218" s="7"/>
      <c r="L218" s="28"/>
      <c r="M218" s="10" t="s">
        <v>125</v>
      </c>
      <c r="N218" s="36">
        <v>0</v>
      </c>
      <c r="O218" s="37">
        <v>1</v>
      </c>
      <c r="P218" s="42"/>
      <c r="Q218" s="11"/>
      <c r="R218" s="18"/>
      <c r="S218" s="18">
        <v>31</v>
      </c>
      <c r="T218" s="18" t="s">
        <v>126</v>
      </c>
      <c r="U218" s="18"/>
      <c r="V218" s="11"/>
      <c r="W218" s="28"/>
      <c r="X218" s="138" t="s">
        <v>536</v>
      </c>
      <c r="Y218" s="138">
        <v>0</v>
      </c>
      <c r="Z218" s="141">
        <v>0</v>
      </c>
      <c r="AA218" s="138"/>
      <c r="AB218" s="141"/>
      <c r="AC218" s="28"/>
      <c r="AD218" s="28"/>
      <c r="AE218" s="28"/>
      <c r="AF218" s="28"/>
      <c r="AG218" s="141"/>
      <c r="AL218" s="138"/>
      <c r="AM218" s="138" t="s">
        <v>6</v>
      </c>
      <c r="AN218" s="141" t="s">
        <v>6</v>
      </c>
      <c r="AO218" s="138"/>
      <c r="AP218" s="141"/>
      <c r="AQ218" s="28"/>
      <c r="AR218" s="28" t="s">
        <v>91</v>
      </c>
      <c r="AS218" s="28"/>
      <c r="AT218" s="28"/>
      <c r="AU218" s="141"/>
      <c r="AZ218" s="138" t="s">
        <v>78</v>
      </c>
      <c r="BA218" s="138">
        <v>41</v>
      </c>
      <c r="BB218" s="141">
        <v>40</v>
      </c>
      <c r="BC218" s="138">
        <v>0</v>
      </c>
      <c r="BD218" s="141">
        <v>0</v>
      </c>
      <c r="BE218" s="28"/>
      <c r="BF218" s="43">
        <v>41</v>
      </c>
      <c r="BG218" s="28" t="s">
        <v>129</v>
      </c>
      <c r="BH218" s="28" t="s">
        <v>6</v>
      </c>
      <c r="BI218" s="141"/>
    </row>
    <row r="219" spans="2:61" x14ac:dyDescent="0.3">
      <c r="B219" s="36" t="s">
        <v>63</v>
      </c>
      <c r="C219" s="10">
        <v>45</v>
      </c>
      <c r="D219" s="18">
        <v>23</v>
      </c>
      <c r="E219" s="42"/>
      <c r="F219" s="11"/>
      <c r="G219" s="18"/>
      <c r="H219" s="18" t="s">
        <v>110</v>
      </c>
      <c r="I219" s="18" t="s">
        <v>111</v>
      </c>
      <c r="J219" s="18" t="s">
        <v>112</v>
      </c>
      <c r="K219" s="11"/>
      <c r="L219" s="45"/>
      <c r="M219" s="84" t="s">
        <v>128</v>
      </c>
      <c r="N219" s="52">
        <v>0</v>
      </c>
      <c r="O219" s="37">
        <v>0</v>
      </c>
      <c r="P219" s="42"/>
      <c r="Q219" s="40"/>
      <c r="R219" s="28"/>
      <c r="S219" s="28">
        <v>26</v>
      </c>
      <c r="T219" s="28" t="s">
        <v>129</v>
      </c>
      <c r="U219" s="28"/>
      <c r="V219" s="40"/>
      <c r="W219" s="28"/>
      <c r="X219" s="138" t="s">
        <v>56</v>
      </c>
      <c r="Y219" s="138">
        <v>0</v>
      </c>
      <c r="Z219" s="141">
        <v>0</v>
      </c>
      <c r="AA219" s="138"/>
      <c r="AB219" s="141"/>
      <c r="AC219" s="28"/>
      <c r="AD219" s="28" t="s">
        <v>173</v>
      </c>
      <c r="AE219" s="28"/>
      <c r="AF219" s="28"/>
      <c r="AG219" s="141"/>
      <c r="AL219" s="138" t="s">
        <v>56</v>
      </c>
      <c r="AM219" s="138">
        <v>1476</v>
      </c>
      <c r="AN219" s="141">
        <v>1575</v>
      </c>
      <c r="AO219" s="138"/>
      <c r="AP219" s="141"/>
      <c r="AQ219" s="28"/>
      <c r="AR219" s="28"/>
      <c r="AS219" s="28"/>
      <c r="AT219" s="28"/>
      <c r="AU219" s="141"/>
      <c r="AZ219" s="138" t="s">
        <v>67</v>
      </c>
      <c r="BA219" s="138">
        <v>102</v>
      </c>
      <c r="BB219" s="141">
        <v>91</v>
      </c>
      <c r="BC219" s="138">
        <v>0</v>
      </c>
      <c r="BD219" s="141">
        <v>0</v>
      </c>
      <c r="BE219" s="28"/>
      <c r="BF219" s="28"/>
      <c r="BG219" s="28"/>
      <c r="BH219" s="28"/>
      <c r="BI219" s="141"/>
    </row>
    <row r="220" spans="2:61" x14ac:dyDescent="0.3">
      <c r="B220" s="10" t="s">
        <v>115</v>
      </c>
      <c r="C220" s="36">
        <v>41</v>
      </c>
      <c r="D220" s="37">
        <v>28</v>
      </c>
      <c r="E220" s="42"/>
      <c r="F220" s="11"/>
      <c r="G220" s="18"/>
      <c r="H220" s="18"/>
      <c r="I220" s="18"/>
      <c r="J220" s="18"/>
      <c r="K220" s="11"/>
      <c r="L220" s="28"/>
      <c r="M220" s="84" t="s">
        <v>132</v>
      </c>
      <c r="N220" s="42">
        <v>0</v>
      </c>
      <c r="O220" s="37">
        <v>1</v>
      </c>
      <c r="P220" s="42"/>
      <c r="Q220" s="40"/>
      <c r="R220" s="28"/>
      <c r="S220" s="28"/>
      <c r="T220" s="28"/>
      <c r="U220" s="28"/>
      <c r="V220" s="40"/>
      <c r="W220" s="28"/>
      <c r="X220" s="138" t="s">
        <v>67</v>
      </c>
      <c r="Y220" s="138">
        <v>0</v>
      </c>
      <c r="Z220" s="141">
        <v>0</v>
      </c>
      <c r="AA220" s="138"/>
      <c r="AB220" s="141"/>
      <c r="AC220" s="28"/>
      <c r="AD220" s="28"/>
      <c r="AE220" s="28"/>
      <c r="AF220" s="28"/>
      <c r="AG220" s="141"/>
      <c r="AL220" s="142" t="s">
        <v>6</v>
      </c>
      <c r="AM220" s="142"/>
      <c r="AN220" s="146"/>
      <c r="AO220" s="142"/>
      <c r="AP220" s="146"/>
      <c r="AQ220" s="143"/>
      <c r="AR220" s="143">
        <v>106</v>
      </c>
      <c r="AS220" s="143" t="s">
        <v>73</v>
      </c>
      <c r="AT220" s="143"/>
      <c r="AU220" s="146">
        <f>SUM(AR220)</f>
        <v>106</v>
      </c>
      <c r="AZ220" s="138" t="s">
        <v>115</v>
      </c>
      <c r="BA220" s="138">
        <v>35</v>
      </c>
      <c r="BB220" s="141">
        <v>41</v>
      </c>
      <c r="BC220" s="138">
        <v>0</v>
      </c>
      <c r="BD220" s="141">
        <v>0</v>
      </c>
      <c r="BE220" s="28"/>
      <c r="BF220" s="28"/>
      <c r="BG220" s="28"/>
      <c r="BH220" s="28"/>
      <c r="BI220" s="141" t="s">
        <v>6</v>
      </c>
    </row>
    <row r="221" spans="2:61" x14ac:dyDescent="0.3">
      <c r="B221" s="52" t="s">
        <v>72</v>
      </c>
      <c r="C221" s="52">
        <v>2</v>
      </c>
      <c r="D221" s="54">
        <v>0</v>
      </c>
      <c r="E221" s="42"/>
      <c r="F221" s="40"/>
      <c r="G221" s="28"/>
      <c r="H221" s="28"/>
      <c r="I221" s="28"/>
      <c r="J221" s="28"/>
      <c r="K221" s="40"/>
      <c r="L221" s="28"/>
      <c r="M221" s="84" t="s">
        <v>81</v>
      </c>
      <c r="N221" s="42">
        <v>53</v>
      </c>
      <c r="O221" s="37">
        <v>19</v>
      </c>
      <c r="P221" s="42"/>
      <c r="Q221" s="40"/>
      <c r="R221" s="28"/>
      <c r="S221" s="28"/>
      <c r="T221" s="28"/>
      <c r="U221" s="28"/>
      <c r="V221" s="40"/>
      <c r="W221" s="45"/>
      <c r="X221" s="138" t="s">
        <v>78</v>
      </c>
      <c r="Y221" s="138">
        <v>3</v>
      </c>
      <c r="Z221" s="141">
        <v>4</v>
      </c>
      <c r="AA221" s="138"/>
      <c r="AB221" s="141"/>
      <c r="AC221" s="28"/>
      <c r="AD221" s="28">
        <v>5</v>
      </c>
      <c r="AE221" s="28" t="s">
        <v>183</v>
      </c>
      <c r="AF221" s="28"/>
      <c r="AG221" s="141"/>
      <c r="AL221" s="134"/>
      <c r="AM221" s="134"/>
      <c r="AN221" s="136"/>
      <c r="AO221" s="134"/>
      <c r="AP221" s="136"/>
      <c r="AQ221" s="135"/>
      <c r="AR221" s="135"/>
      <c r="AS221" s="135"/>
      <c r="AT221" s="135"/>
      <c r="AU221" s="136"/>
      <c r="AZ221" s="138" t="s">
        <v>81</v>
      </c>
      <c r="BA221" s="138">
        <v>23</v>
      </c>
      <c r="BB221" s="141">
        <v>11</v>
      </c>
      <c r="BC221" s="138">
        <v>0</v>
      </c>
      <c r="BD221" s="141">
        <v>0</v>
      </c>
      <c r="BE221" s="28"/>
      <c r="BF221" s="28"/>
      <c r="BG221" s="28"/>
      <c r="BH221" s="28"/>
      <c r="BI221" s="141"/>
    </row>
    <row r="222" spans="2:61" x14ac:dyDescent="0.3">
      <c r="B222" s="36" t="s">
        <v>78</v>
      </c>
      <c r="C222" s="36">
        <v>0</v>
      </c>
      <c r="D222" s="37">
        <v>0</v>
      </c>
      <c r="E222" s="42"/>
      <c r="F222" s="11"/>
      <c r="G222" s="18"/>
      <c r="H222" s="37"/>
      <c r="I222" s="18"/>
      <c r="J222" s="37"/>
      <c r="K222" s="11"/>
      <c r="L222" s="28"/>
      <c r="M222" s="10" t="s">
        <v>138</v>
      </c>
      <c r="N222" s="36">
        <v>0</v>
      </c>
      <c r="O222" s="37">
        <v>1</v>
      </c>
      <c r="P222" s="42"/>
      <c r="Q222" s="11"/>
      <c r="R222" s="18"/>
      <c r="S222" s="18"/>
      <c r="T222" s="18"/>
      <c r="U222" s="18"/>
      <c r="V222" s="11"/>
      <c r="W222" s="28"/>
      <c r="X222" s="138" t="s">
        <v>115</v>
      </c>
      <c r="Y222" s="138">
        <v>0</v>
      </c>
      <c r="Z222" s="141">
        <v>0</v>
      </c>
      <c r="AA222" s="138"/>
      <c r="AB222" s="141"/>
      <c r="AC222" s="28"/>
      <c r="AD222" s="28" t="s">
        <v>6</v>
      </c>
      <c r="AE222" s="28"/>
      <c r="AF222" s="28"/>
      <c r="AG222" s="141"/>
      <c r="AL222" s="138" t="s">
        <v>63</v>
      </c>
      <c r="AM222" s="138">
        <v>89</v>
      </c>
      <c r="AN222" s="141">
        <v>64</v>
      </c>
      <c r="AO222" s="138"/>
      <c r="AP222" s="141"/>
      <c r="AQ222" s="28"/>
      <c r="AR222" s="28" t="s">
        <v>110</v>
      </c>
      <c r="AS222" s="28" t="s">
        <v>111</v>
      </c>
      <c r="AT222" s="28" t="s">
        <v>112</v>
      </c>
      <c r="AU222" s="141"/>
      <c r="AZ222" s="138" t="s">
        <v>122</v>
      </c>
      <c r="BA222" s="138">
        <v>18</v>
      </c>
      <c r="BB222" s="141">
        <v>10</v>
      </c>
      <c r="BC222" s="138">
        <v>0</v>
      </c>
      <c r="BD222" s="141">
        <v>0</v>
      </c>
      <c r="BE222" s="28"/>
      <c r="BF222" s="28"/>
      <c r="BG222" s="28"/>
      <c r="BH222" s="28"/>
      <c r="BI222" s="141"/>
    </row>
    <row r="223" spans="2:61" x14ac:dyDescent="0.3">
      <c r="B223" s="10" t="s">
        <v>122</v>
      </c>
      <c r="C223" s="36">
        <v>83</v>
      </c>
      <c r="D223" s="37">
        <v>43</v>
      </c>
      <c r="E223" s="42"/>
      <c r="F223" s="11"/>
      <c r="G223" s="18"/>
      <c r="H223" s="18">
        <f>70/2</f>
        <v>35</v>
      </c>
      <c r="I223" s="18" t="s">
        <v>123</v>
      </c>
      <c r="J223" s="18"/>
      <c r="K223" s="11"/>
      <c r="L223" s="28"/>
      <c r="M223" s="84" t="s">
        <v>56</v>
      </c>
      <c r="N223" s="42">
        <v>3</v>
      </c>
      <c r="O223" s="54">
        <v>0</v>
      </c>
      <c r="P223" s="42"/>
      <c r="Q223" s="40"/>
      <c r="R223" s="28"/>
      <c r="S223" s="28"/>
      <c r="T223" s="28"/>
      <c r="U223" s="28"/>
      <c r="V223" s="40"/>
      <c r="W223" s="28"/>
      <c r="X223" s="138" t="s">
        <v>72</v>
      </c>
      <c r="Y223" s="138">
        <v>0</v>
      </c>
      <c r="Z223" s="141">
        <v>0</v>
      </c>
      <c r="AA223" s="138"/>
      <c r="AB223" s="141"/>
      <c r="AC223" s="28"/>
      <c r="AD223" s="28"/>
      <c r="AE223" s="28"/>
      <c r="AF223" s="28"/>
      <c r="AG223" s="141"/>
      <c r="AL223" s="138" t="s">
        <v>115</v>
      </c>
      <c r="AM223" s="138">
        <v>13</v>
      </c>
      <c r="AN223" s="141">
        <v>23</v>
      </c>
      <c r="AO223" s="138"/>
      <c r="AP223" s="141"/>
      <c r="AQ223" s="28"/>
      <c r="AR223" s="28"/>
      <c r="AS223" s="28"/>
      <c r="AT223" s="28"/>
      <c r="AU223" s="141"/>
      <c r="AZ223" s="138" t="s">
        <v>128</v>
      </c>
      <c r="BA223" s="138">
        <v>2</v>
      </c>
      <c r="BB223" s="141">
        <v>3</v>
      </c>
      <c r="BC223" s="138">
        <v>0</v>
      </c>
      <c r="BD223" s="141">
        <v>0</v>
      </c>
      <c r="BE223" s="28"/>
      <c r="BF223" s="28"/>
      <c r="BG223" s="28"/>
      <c r="BH223" s="28"/>
      <c r="BI223" s="141"/>
    </row>
    <row r="224" spans="2:61" x14ac:dyDescent="0.3">
      <c r="B224" s="10" t="s">
        <v>125</v>
      </c>
      <c r="C224" s="36">
        <v>14</v>
      </c>
      <c r="D224" s="37">
        <v>15</v>
      </c>
      <c r="E224" s="42"/>
      <c r="F224" s="11"/>
      <c r="G224" s="18"/>
      <c r="H224" s="18">
        <v>13</v>
      </c>
      <c r="I224" s="18" t="s">
        <v>126</v>
      </c>
      <c r="J224" s="18"/>
      <c r="K224" s="11"/>
      <c r="L224" s="28"/>
      <c r="M224" s="36" t="s">
        <v>67</v>
      </c>
      <c r="N224" s="10">
        <v>106</v>
      </c>
      <c r="O224" s="18">
        <v>48</v>
      </c>
      <c r="P224" s="42"/>
      <c r="Q224" s="11"/>
      <c r="R224" s="18"/>
      <c r="S224" s="18"/>
      <c r="T224" s="18"/>
      <c r="U224" s="18"/>
      <c r="V224" s="11"/>
      <c r="W224" s="28"/>
      <c r="X224" s="142" t="s">
        <v>84</v>
      </c>
      <c r="Y224" s="142">
        <f>SUM(Y217:Y223)</f>
        <v>5</v>
      </c>
      <c r="Z224" s="146">
        <f>SUM(Z217:Z223)</f>
        <v>6</v>
      </c>
      <c r="AA224" s="142"/>
      <c r="AB224" s="146"/>
      <c r="AC224" s="143"/>
      <c r="AD224" s="143"/>
      <c r="AE224" s="143"/>
      <c r="AF224" s="143"/>
      <c r="AG224" s="146">
        <f>SUM(AD221)</f>
        <v>5</v>
      </c>
      <c r="AL224" s="138" t="s">
        <v>72</v>
      </c>
      <c r="AM224" s="138">
        <v>31</v>
      </c>
      <c r="AN224" s="141">
        <v>11</v>
      </c>
      <c r="AO224" s="138"/>
      <c r="AP224" s="141"/>
      <c r="AQ224" s="28"/>
      <c r="AR224" s="28"/>
      <c r="AS224" s="28"/>
      <c r="AT224" s="28"/>
      <c r="AU224" s="141"/>
      <c r="AZ224" s="142" t="s">
        <v>84</v>
      </c>
      <c r="BA224" s="142">
        <v>315</v>
      </c>
      <c r="BB224" s="146">
        <v>271</v>
      </c>
      <c r="BC224" s="142">
        <v>0</v>
      </c>
      <c r="BD224" s="146">
        <v>0</v>
      </c>
      <c r="BE224" s="143"/>
      <c r="BF224" s="143"/>
      <c r="BG224" s="143"/>
      <c r="BH224" s="143"/>
      <c r="BI224" s="146">
        <v>104</v>
      </c>
    </row>
    <row r="225" spans="1:61" ht="15" thickBot="1" x14ac:dyDescent="0.35">
      <c r="B225" s="84" t="s">
        <v>357</v>
      </c>
      <c r="C225" s="52">
        <v>3</v>
      </c>
      <c r="D225" s="37">
        <v>4</v>
      </c>
      <c r="E225" s="42"/>
      <c r="F225" s="40"/>
      <c r="G225" s="28"/>
      <c r="H225" s="28">
        <f>64/2</f>
        <v>32</v>
      </c>
      <c r="I225" s="28" t="s">
        <v>129</v>
      </c>
      <c r="J225" s="28"/>
      <c r="K225" s="40"/>
      <c r="M225" s="13" t="s">
        <v>84</v>
      </c>
      <c r="N225" s="13">
        <f>SUM(N213:N224)</f>
        <v>311</v>
      </c>
      <c r="O225" s="27">
        <f>SUM(O213:O224)</f>
        <v>194</v>
      </c>
      <c r="P225" s="47"/>
      <c r="Q225" s="26">
        <f>SUM(Q217:Q224)</f>
        <v>0</v>
      </c>
      <c r="R225" s="27"/>
      <c r="S225" s="27"/>
      <c r="T225" s="27"/>
      <c r="U225" s="27"/>
      <c r="V225" s="26">
        <f>SUM(S217:S219)</f>
        <v>85</v>
      </c>
      <c r="W225" s="28"/>
      <c r="X225" s="134"/>
      <c r="Y225" s="134"/>
      <c r="Z225" s="136"/>
      <c r="AA225" s="134"/>
      <c r="AB225" s="136"/>
      <c r="AC225" s="135"/>
      <c r="AD225" s="135"/>
      <c r="AE225" s="135"/>
      <c r="AF225" s="135"/>
      <c r="AG225" s="136"/>
      <c r="AL225" s="138" t="s">
        <v>78</v>
      </c>
      <c r="AM225" s="138">
        <v>31</v>
      </c>
      <c r="AN225" s="141">
        <f>21+6</f>
        <v>27</v>
      </c>
      <c r="AO225" s="138"/>
      <c r="AP225" s="141"/>
      <c r="AQ225" s="28"/>
      <c r="AR225" s="28"/>
      <c r="AS225" s="28"/>
      <c r="AT225" s="28"/>
      <c r="AU225" s="141"/>
      <c r="AV225" t="s">
        <v>6</v>
      </c>
      <c r="AZ225" s="134"/>
      <c r="BA225" s="134"/>
      <c r="BB225" s="136"/>
      <c r="BC225" s="134"/>
      <c r="BD225" s="136"/>
      <c r="BE225" s="135"/>
      <c r="BF225" s="135"/>
      <c r="BG225" s="135"/>
      <c r="BH225" s="135"/>
      <c r="BI225" s="136"/>
    </row>
    <row r="226" spans="1:61" x14ac:dyDescent="0.3">
      <c r="B226" s="84" t="s">
        <v>132</v>
      </c>
      <c r="C226" s="42">
        <v>0</v>
      </c>
      <c r="D226" s="37">
        <v>0</v>
      </c>
      <c r="E226" s="42"/>
      <c r="F226" s="40"/>
      <c r="G226" s="28"/>
      <c r="H226" s="28"/>
      <c r="I226" s="28"/>
      <c r="J226" s="28"/>
      <c r="K226" s="40"/>
      <c r="L226" s="28"/>
      <c r="M226" s="32"/>
      <c r="N226" s="53"/>
      <c r="O226" s="97"/>
      <c r="P226" s="33"/>
      <c r="Q226" s="7"/>
      <c r="R226" s="6"/>
      <c r="S226" s="8"/>
      <c r="T226" s="31"/>
      <c r="U226" s="8"/>
      <c r="V226" s="7"/>
      <c r="W226" s="28"/>
      <c r="X226" s="138" t="s">
        <v>63</v>
      </c>
      <c r="Y226" s="138">
        <f>14+2</f>
        <v>16</v>
      </c>
      <c r="Z226" s="141">
        <f>5+2+19</f>
        <v>26</v>
      </c>
      <c r="AA226" s="138"/>
      <c r="AB226" s="141"/>
      <c r="AC226" s="28"/>
      <c r="AD226" s="28" t="s">
        <v>140</v>
      </c>
      <c r="AE226" s="28"/>
      <c r="AF226" s="28"/>
      <c r="AG226" s="141"/>
      <c r="AL226" s="138" t="s">
        <v>122</v>
      </c>
      <c r="AM226" s="138">
        <v>25</v>
      </c>
      <c r="AN226" s="141">
        <v>17</v>
      </c>
      <c r="AO226" s="138"/>
      <c r="AP226" s="141"/>
      <c r="AQ226" s="28"/>
      <c r="AR226" s="28">
        <v>28</v>
      </c>
      <c r="AS226" s="28" t="s">
        <v>123</v>
      </c>
      <c r="AT226" s="28" t="s">
        <v>6</v>
      </c>
      <c r="AU226" s="141"/>
      <c r="AZ226" s="138" t="s">
        <v>56</v>
      </c>
      <c r="BA226" s="138"/>
      <c r="BB226" s="141"/>
      <c r="BC226" s="138"/>
      <c r="BD226" s="141"/>
      <c r="BE226" s="28"/>
      <c r="BF226" s="28" t="s">
        <v>173</v>
      </c>
      <c r="BG226" s="28"/>
      <c r="BH226" s="28"/>
      <c r="BI226" s="141"/>
    </row>
    <row r="227" spans="1:61" ht="15" thickBot="1" x14ac:dyDescent="0.35">
      <c r="B227" s="84" t="s">
        <v>81</v>
      </c>
      <c r="C227" s="42">
        <v>12</v>
      </c>
      <c r="D227" s="37">
        <v>27</v>
      </c>
      <c r="E227" s="42"/>
      <c r="F227" s="40"/>
      <c r="G227" s="28"/>
      <c r="H227" s="28"/>
      <c r="I227" s="28"/>
      <c r="J227" s="28"/>
      <c r="K227" s="40"/>
      <c r="L227" s="28"/>
      <c r="M227" s="62"/>
      <c r="N227" s="72"/>
      <c r="O227" s="73"/>
      <c r="P227" s="47"/>
      <c r="Q227" s="49"/>
      <c r="R227" s="47"/>
      <c r="S227" s="48"/>
      <c r="T227" s="48"/>
      <c r="U227" s="48"/>
      <c r="V227" s="49"/>
      <c r="X227" s="138" t="s">
        <v>78</v>
      </c>
      <c r="Y227" s="138">
        <f>3+19+35</f>
        <v>57</v>
      </c>
      <c r="Z227" s="141">
        <f>4+18+33+6+4</f>
        <v>65</v>
      </c>
      <c r="AA227" s="138"/>
      <c r="AB227" s="141"/>
      <c r="AC227" s="28"/>
      <c r="AD227" s="28">
        <v>24</v>
      </c>
      <c r="AE227" s="28" t="s">
        <v>204</v>
      </c>
      <c r="AF227" s="28"/>
      <c r="AG227" s="141"/>
      <c r="AL227" s="138" t="s">
        <v>125</v>
      </c>
      <c r="AM227" s="138">
        <v>5</v>
      </c>
      <c r="AN227" s="141">
        <v>5</v>
      </c>
      <c r="AO227" s="138"/>
      <c r="AP227" s="141"/>
      <c r="AQ227" s="28"/>
      <c r="AR227" s="28">
        <v>46</v>
      </c>
      <c r="AS227" s="28" t="s">
        <v>126</v>
      </c>
      <c r="AT227" s="28"/>
      <c r="AU227" s="141"/>
      <c r="AW227" t="s">
        <v>6</v>
      </c>
      <c r="AZ227" s="138" t="s">
        <v>67</v>
      </c>
      <c r="BA227" s="138"/>
      <c r="BB227" s="141"/>
      <c r="BC227" s="138"/>
      <c r="BD227" s="141"/>
      <c r="BE227" s="28"/>
      <c r="BF227" s="28"/>
      <c r="BG227" s="28"/>
      <c r="BH227" s="28"/>
      <c r="BI227" s="141"/>
    </row>
    <row r="228" spans="1:61" x14ac:dyDescent="0.3">
      <c r="B228" s="10" t="s">
        <v>138</v>
      </c>
      <c r="C228" s="36">
        <v>5</v>
      </c>
      <c r="D228" s="37">
        <v>4</v>
      </c>
      <c r="E228" s="42"/>
      <c r="F228" s="11"/>
      <c r="G228" s="18"/>
      <c r="H228" s="18"/>
      <c r="I228" s="18"/>
      <c r="J228" s="18"/>
      <c r="K228" s="11"/>
      <c r="L228" s="28"/>
      <c r="M228" s="67" t="s">
        <v>63</v>
      </c>
      <c r="N228" s="33">
        <v>3</v>
      </c>
      <c r="O228" s="35">
        <v>3</v>
      </c>
      <c r="R228" s="33"/>
      <c r="S228" s="34"/>
      <c r="T228" s="34"/>
      <c r="U228" s="34"/>
      <c r="V228" s="35"/>
      <c r="W228" s="28"/>
      <c r="X228" s="138" t="s">
        <v>209</v>
      </c>
      <c r="Y228" s="138">
        <v>0</v>
      </c>
      <c r="Z228" s="141">
        <v>0</v>
      </c>
      <c r="AA228" s="138"/>
      <c r="AB228" s="141"/>
      <c r="AC228" s="28"/>
      <c r="AD228" s="28">
        <v>4</v>
      </c>
      <c r="AE228" s="28" t="s">
        <v>1018</v>
      </c>
      <c r="AF228" s="28" t="s">
        <v>6</v>
      </c>
      <c r="AG228" s="141"/>
      <c r="AL228" s="138" t="s">
        <v>128</v>
      </c>
      <c r="AM228" s="138">
        <v>0</v>
      </c>
      <c r="AN228" s="141">
        <v>0</v>
      </c>
      <c r="AO228" s="138"/>
      <c r="AP228" s="141"/>
      <c r="AQ228" s="28"/>
      <c r="AR228" s="28">
        <v>25</v>
      </c>
      <c r="AS228" s="28" t="s">
        <v>129</v>
      </c>
      <c r="AT228" s="28" t="s">
        <v>6</v>
      </c>
      <c r="AU228" s="141"/>
      <c r="AW228" t="s">
        <v>6</v>
      </c>
      <c r="AZ228" s="138" t="s">
        <v>78</v>
      </c>
      <c r="BA228" s="138"/>
      <c r="BB228" s="141"/>
      <c r="BC228" s="138"/>
      <c r="BD228" s="141"/>
      <c r="BE228" s="28"/>
      <c r="BF228" s="28"/>
      <c r="BG228" s="28" t="s">
        <v>183</v>
      </c>
      <c r="BH228" s="28"/>
      <c r="BI228" s="141"/>
    </row>
    <row r="229" spans="1:61" x14ac:dyDescent="0.3">
      <c r="B229" s="84" t="s">
        <v>56</v>
      </c>
      <c r="C229" s="42">
        <v>3</v>
      </c>
      <c r="D229" s="54">
        <v>0</v>
      </c>
      <c r="E229" s="42"/>
      <c r="F229" s="40"/>
      <c r="G229" s="28"/>
      <c r="H229" s="28"/>
      <c r="I229" s="28"/>
      <c r="J229" s="28"/>
      <c r="K229" s="40"/>
      <c r="L229" s="28"/>
      <c r="M229" s="67" t="s">
        <v>716</v>
      </c>
      <c r="N229" s="42">
        <v>0</v>
      </c>
      <c r="O229" s="40">
        <v>0</v>
      </c>
      <c r="R229" s="42"/>
      <c r="S229" s="28"/>
      <c r="T229" s="28"/>
      <c r="U229" s="28"/>
      <c r="V229" s="40"/>
      <c r="W229" s="28"/>
      <c r="X229" s="138" t="s">
        <v>168</v>
      </c>
      <c r="Y229" s="138">
        <v>2</v>
      </c>
      <c r="Z229" s="141">
        <v>0</v>
      </c>
      <c r="AA229" s="138"/>
      <c r="AB229" s="141"/>
      <c r="AC229" s="28"/>
      <c r="AD229" s="28">
        <f>28+11+9</f>
        <v>48</v>
      </c>
      <c r="AE229" s="28" t="s">
        <v>213</v>
      </c>
      <c r="AF229" s="28" t="s">
        <v>6</v>
      </c>
      <c r="AG229" s="141"/>
      <c r="AL229" s="138" t="s">
        <v>132</v>
      </c>
      <c r="AM229" s="138">
        <v>0</v>
      </c>
      <c r="AN229" s="141">
        <v>0</v>
      </c>
      <c r="AO229" s="138"/>
      <c r="AP229" s="141"/>
      <c r="AQ229" s="28"/>
      <c r="AR229" s="28"/>
      <c r="AS229" s="28"/>
      <c r="AT229" s="28"/>
      <c r="AU229" s="141"/>
      <c r="AV229" t="s">
        <v>6</v>
      </c>
      <c r="AZ229" s="142" t="s">
        <v>84</v>
      </c>
      <c r="BA229" s="142"/>
      <c r="BB229" s="146"/>
      <c r="BC229" s="142"/>
      <c r="BD229" s="146"/>
      <c r="BE229" s="143"/>
      <c r="BF229" s="143"/>
      <c r="BG229" s="143"/>
      <c r="BH229" s="143"/>
      <c r="BI229" s="146"/>
    </row>
    <row r="230" spans="1:61" x14ac:dyDescent="0.3">
      <c r="B230" s="36" t="s">
        <v>67</v>
      </c>
      <c r="C230" s="10">
        <v>54</v>
      </c>
      <c r="D230" s="18">
        <v>46</v>
      </c>
      <c r="E230" s="42"/>
      <c r="F230" s="11"/>
      <c r="G230" s="18"/>
      <c r="H230" s="18"/>
      <c r="I230" s="18"/>
      <c r="J230" s="18"/>
      <c r="K230" s="11"/>
      <c r="L230" s="28"/>
      <c r="M230" s="52" t="s">
        <v>56</v>
      </c>
      <c r="N230" s="52">
        <v>0</v>
      </c>
      <c r="O230" s="85">
        <v>1</v>
      </c>
      <c r="P230" s="28"/>
      <c r="Q230" s="28"/>
      <c r="R230" s="42"/>
      <c r="S230" s="28" t="s">
        <v>173</v>
      </c>
      <c r="T230" s="28"/>
      <c r="U230" s="28"/>
      <c r="V230" s="40"/>
      <c r="W230" s="28"/>
      <c r="X230" s="138" t="s">
        <v>81</v>
      </c>
      <c r="Y230" s="138">
        <v>20</v>
      </c>
      <c r="Z230" s="141">
        <v>6</v>
      </c>
      <c r="AA230" s="138"/>
      <c r="AB230" s="141"/>
      <c r="AC230" s="28"/>
      <c r="AD230" s="43">
        <v>1</v>
      </c>
      <c r="AE230" s="28" t="s">
        <v>681</v>
      </c>
      <c r="AF230" s="28"/>
      <c r="AG230" s="141" t="s">
        <v>6</v>
      </c>
      <c r="AL230" s="138" t="s">
        <v>81</v>
      </c>
      <c r="AM230" s="138">
        <v>2</v>
      </c>
      <c r="AN230" s="141">
        <v>3</v>
      </c>
      <c r="AO230" s="138"/>
      <c r="AP230" s="141"/>
      <c r="AQ230" s="28"/>
      <c r="AR230" s="28"/>
      <c r="AS230" s="28"/>
      <c r="AT230" s="28"/>
      <c r="AU230" s="141" t="s">
        <v>6</v>
      </c>
      <c r="AW230" t="s">
        <v>6</v>
      </c>
      <c r="AZ230" s="134"/>
      <c r="BA230" s="134"/>
      <c r="BB230" s="136"/>
      <c r="BC230" s="134"/>
      <c r="BD230" s="136"/>
      <c r="BE230" s="134"/>
      <c r="BF230" s="135" t="s">
        <v>140</v>
      </c>
      <c r="BG230" s="135"/>
      <c r="BH230" s="135"/>
      <c r="BI230" s="136"/>
    </row>
    <row r="231" spans="1:61" ht="15" thickBot="1" x14ac:dyDescent="0.35">
      <c r="A231" s="95"/>
      <c r="B231" s="13" t="s">
        <v>84</v>
      </c>
      <c r="C231" s="13">
        <f>SUM(C219:C230)</f>
        <v>262</v>
      </c>
      <c r="D231" s="27">
        <f>SUM(D219:D230)</f>
        <v>190</v>
      </c>
      <c r="E231" s="47"/>
      <c r="F231" s="26">
        <f>SUM(F223:F230)</f>
        <v>0</v>
      </c>
      <c r="G231" s="27"/>
      <c r="H231" s="27"/>
      <c r="I231" s="27"/>
      <c r="J231" s="27"/>
      <c r="K231" s="26">
        <f>SUM(H223:H225)</f>
        <v>80</v>
      </c>
      <c r="L231" s="28"/>
      <c r="M231" s="52" t="s">
        <v>67</v>
      </c>
      <c r="N231" s="52">
        <v>5</v>
      </c>
      <c r="O231" s="56">
        <v>5</v>
      </c>
      <c r="R231" s="42"/>
      <c r="S231" s="28"/>
      <c r="T231" s="28" t="s">
        <v>213</v>
      </c>
      <c r="U231" s="28"/>
      <c r="V231" s="40"/>
      <c r="W231" s="28"/>
      <c r="X231" s="138" t="s">
        <v>72</v>
      </c>
      <c r="Y231" s="138">
        <f>14+4+2+15</f>
        <v>35</v>
      </c>
      <c r="Z231" s="141">
        <f>5+3+9+14</f>
        <v>31</v>
      </c>
      <c r="AA231" s="138"/>
      <c r="AB231" s="141"/>
      <c r="AC231" s="28"/>
      <c r="AD231" s="43">
        <v>3</v>
      </c>
      <c r="AE231" s="28" t="s">
        <v>216</v>
      </c>
      <c r="AF231" s="28"/>
      <c r="AG231" s="141"/>
      <c r="AL231" s="138" t="s">
        <v>536</v>
      </c>
      <c r="AM231" s="138">
        <v>5</v>
      </c>
      <c r="AN231" s="141">
        <v>5</v>
      </c>
      <c r="AO231" s="138"/>
      <c r="AP231" s="141"/>
      <c r="AQ231" s="28"/>
      <c r="AR231" s="28"/>
      <c r="AS231" s="28"/>
      <c r="AT231" s="28"/>
      <c r="AU231" s="141"/>
      <c r="AZ231" s="138" t="s">
        <v>56</v>
      </c>
      <c r="BA231" s="138">
        <v>32</v>
      </c>
      <c r="BB231" s="141">
        <v>30</v>
      </c>
      <c r="BC231" s="138">
        <v>0</v>
      </c>
      <c r="BD231" s="141">
        <v>0</v>
      </c>
      <c r="BE231" s="138"/>
      <c r="BF231" s="43">
        <v>37</v>
      </c>
      <c r="BG231" s="28" t="s">
        <v>213</v>
      </c>
      <c r="BH231" s="28" t="s">
        <v>1469</v>
      </c>
      <c r="BI231" s="141"/>
    </row>
    <row r="232" spans="1:61" x14ac:dyDescent="0.3">
      <c r="B232" s="32"/>
      <c r="C232" s="53"/>
      <c r="D232" s="97"/>
      <c r="E232" s="33"/>
      <c r="F232" s="7"/>
      <c r="G232" s="6"/>
      <c r="H232" s="8"/>
      <c r="I232" s="31"/>
      <c r="J232" s="8"/>
      <c r="K232" s="7"/>
      <c r="L232" s="28"/>
      <c r="M232" s="10" t="s">
        <v>78</v>
      </c>
      <c r="N232" s="52">
        <v>0</v>
      </c>
      <c r="O232" s="85">
        <v>0</v>
      </c>
      <c r="P232" s="28"/>
      <c r="Q232" s="28"/>
      <c r="R232" s="42"/>
      <c r="S232" s="28">
        <v>11</v>
      </c>
      <c r="T232" s="28" t="s">
        <v>183</v>
      </c>
      <c r="U232" s="28"/>
      <c r="V232" s="40"/>
      <c r="W232" s="28"/>
      <c r="X232" s="138" t="s">
        <v>115</v>
      </c>
      <c r="Y232" s="138">
        <f>10+12+5</f>
        <v>27</v>
      </c>
      <c r="Z232" s="141">
        <f>3+16+20+2</f>
        <v>41</v>
      </c>
      <c r="AA232" s="138"/>
      <c r="AB232" s="141"/>
      <c r="AC232" s="28"/>
      <c r="AD232" s="43">
        <v>7</v>
      </c>
      <c r="AE232" s="28" t="s">
        <v>217</v>
      </c>
      <c r="AF232" s="28"/>
      <c r="AG232" s="141"/>
      <c r="AL232" s="138" t="s">
        <v>56</v>
      </c>
      <c r="AM232" s="138">
        <v>0</v>
      </c>
      <c r="AN232" s="141">
        <v>4</v>
      </c>
      <c r="AO232" s="138"/>
      <c r="AP232" s="141"/>
      <c r="AQ232" s="28"/>
      <c r="AR232" s="28"/>
      <c r="AS232" s="28"/>
      <c r="AT232" s="28"/>
      <c r="AU232" s="141"/>
      <c r="AZ232" s="138" t="s">
        <v>72</v>
      </c>
      <c r="BA232" s="138">
        <v>46</v>
      </c>
      <c r="BB232" s="141">
        <v>51</v>
      </c>
      <c r="BC232" s="138">
        <v>0</v>
      </c>
      <c r="BD232" s="141">
        <v>0</v>
      </c>
      <c r="BE232" s="138"/>
      <c r="BF232" s="43">
        <v>7</v>
      </c>
      <c r="BG232" s="28" t="s">
        <v>1038</v>
      </c>
      <c r="BH232" s="43"/>
      <c r="BI232" s="141"/>
    </row>
    <row r="233" spans="1:61" ht="15" thickBot="1" x14ac:dyDescent="0.35">
      <c r="B233" s="62"/>
      <c r="C233" s="72"/>
      <c r="D233" s="73"/>
      <c r="E233" s="47"/>
      <c r="F233" s="49"/>
      <c r="G233" s="47"/>
      <c r="H233" s="48"/>
      <c r="I233" s="48"/>
      <c r="J233" s="48"/>
      <c r="K233" s="49"/>
      <c r="L233" s="28"/>
      <c r="M233" s="52" t="s">
        <v>115</v>
      </c>
      <c r="N233" s="52">
        <v>0</v>
      </c>
      <c r="O233" s="85">
        <v>0</v>
      </c>
      <c r="P233" s="28"/>
      <c r="Q233" s="28"/>
      <c r="R233" s="42"/>
      <c r="S233" s="28" t="s">
        <v>6</v>
      </c>
      <c r="T233" s="28"/>
      <c r="U233" s="28"/>
      <c r="V233" s="40"/>
      <c r="W233" s="28"/>
      <c r="X233" s="138" t="s">
        <v>56</v>
      </c>
      <c r="Y233" s="138">
        <f>2+7+6+2</f>
        <v>17</v>
      </c>
      <c r="Z233" s="141">
        <f>2+9+1+3+5+5</f>
        <v>25</v>
      </c>
      <c r="AA233" s="138"/>
      <c r="AB233" s="141"/>
      <c r="AC233" s="28"/>
      <c r="AD233" s="43">
        <v>2</v>
      </c>
      <c r="AE233" s="28" t="s">
        <v>1022</v>
      </c>
      <c r="AF233" s="28"/>
      <c r="AG233" s="141"/>
      <c r="AL233" s="138" t="s">
        <v>67</v>
      </c>
      <c r="AM233" s="138">
        <f>133+9</f>
        <v>142</v>
      </c>
      <c r="AN233" s="141">
        <v>109</v>
      </c>
      <c r="AO233" s="138"/>
      <c r="AP233" s="141"/>
      <c r="AQ233" s="28"/>
      <c r="AR233" s="28"/>
      <c r="AS233" s="28"/>
      <c r="AT233" s="28"/>
      <c r="AU233" s="141"/>
      <c r="AZ233" s="138" t="s">
        <v>78</v>
      </c>
      <c r="BA233" s="138">
        <v>38</v>
      </c>
      <c r="BB233" s="141">
        <v>49</v>
      </c>
      <c r="BC233" s="138">
        <v>0</v>
      </c>
      <c r="BD233" s="141">
        <v>0</v>
      </c>
      <c r="BE233" s="138"/>
      <c r="BF233" s="43">
        <v>2</v>
      </c>
      <c r="BG233" s="43" t="s">
        <v>246</v>
      </c>
      <c r="BH233" s="28" t="s">
        <v>1470</v>
      </c>
      <c r="BI233" s="141"/>
    </row>
    <row r="234" spans="1:61" x14ac:dyDescent="0.3">
      <c r="B234" s="67" t="s">
        <v>63</v>
      </c>
      <c r="C234" s="33">
        <v>7</v>
      </c>
      <c r="D234" s="35">
        <v>5</v>
      </c>
      <c r="G234" s="33"/>
      <c r="H234" s="34"/>
      <c r="I234" s="34"/>
      <c r="J234" s="34"/>
      <c r="K234" s="35"/>
      <c r="L234" s="28"/>
      <c r="M234" s="52" t="s">
        <v>72</v>
      </c>
      <c r="N234" s="52">
        <v>0</v>
      </c>
      <c r="O234" s="85">
        <v>0</v>
      </c>
      <c r="R234" s="42"/>
      <c r="S234" s="28"/>
      <c r="T234" s="28"/>
      <c r="U234" s="28"/>
      <c r="V234" s="40"/>
      <c r="W234" s="28"/>
      <c r="X234" s="138" t="s">
        <v>138</v>
      </c>
      <c r="Y234" s="138">
        <v>0</v>
      </c>
      <c r="Z234" s="141">
        <v>0</v>
      </c>
      <c r="AA234" s="138"/>
      <c r="AB234" s="141"/>
      <c r="AC234" s="28"/>
      <c r="AD234" s="43">
        <v>2</v>
      </c>
      <c r="AE234" s="28" t="s">
        <v>221</v>
      </c>
      <c r="AF234" s="28"/>
      <c r="AG234" s="141"/>
      <c r="AL234" s="142" t="s">
        <v>84</v>
      </c>
      <c r="AM234" s="142">
        <f>SUM(AM222:AM233)</f>
        <v>343</v>
      </c>
      <c r="AN234" s="146">
        <f>SUM(AN222:AN233)</f>
        <v>268</v>
      </c>
      <c r="AO234" s="142"/>
      <c r="AP234" s="146">
        <v>0</v>
      </c>
      <c r="AQ234" s="143"/>
      <c r="AR234" s="143"/>
      <c r="AS234" s="143"/>
      <c r="AT234" s="143"/>
      <c r="AU234" s="146">
        <f>SUM(AR226:AR228)</f>
        <v>99</v>
      </c>
      <c r="AZ234" s="138" t="s">
        <v>67</v>
      </c>
      <c r="BA234" s="138">
        <v>35</v>
      </c>
      <c r="BB234" s="141">
        <v>36</v>
      </c>
      <c r="BC234" s="138">
        <v>0</v>
      </c>
      <c r="BD234" s="141">
        <v>0</v>
      </c>
      <c r="BE234" s="138"/>
      <c r="BF234" s="43">
        <v>3</v>
      </c>
      <c r="BG234" s="43" t="s">
        <v>682</v>
      </c>
      <c r="BH234" s="43" t="s">
        <v>1471</v>
      </c>
      <c r="BI234" s="141"/>
    </row>
    <row r="235" spans="1:61" ht="15" thickBot="1" x14ac:dyDescent="0.35">
      <c r="B235" s="67" t="s">
        <v>168</v>
      </c>
      <c r="C235" s="42">
        <v>0</v>
      </c>
      <c r="D235" s="40">
        <v>0</v>
      </c>
      <c r="G235" s="42"/>
      <c r="H235" s="28"/>
      <c r="I235" s="28"/>
      <c r="J235" s="28"/>
      <c r="K235" s="40"/>
      <c r="L235" s="28"/>
      <c r="M235" s="52" t="s">
        <v>84</v>
      </c>
      <c r="N235" s="47">
        <f>SUM(N228:N234)</f>
        <v>8</v>
      </c>
      <c r="O235" s="49">
        <f>SUM(O228:O234)</f>
        <v>9</v>
      </c>
      <c r="P235" s="28"/>
      <c r="Q235" s="28"/>
      <c r="R235" s="47"/>
      <c r="S235" s="48"/>
      <c r="T235" s="48"/>
      <c r="U235" s="48"/>
      <c r="V235" s="49">
        <f>SUM(S232)</f>
        <v>11</v>
      </c>
      <c r="W235" s="28"/>
      <c r="X235" s="138" t="s">
        <v>67</v>
      </c>
      <c r="Y235" s="138">
        <f>4+25</f>
        <v>29</v>
      </c>
      <c r="Z235" s="141">
        <f>4+9</f>
        <v>13</v>
      </c>
      <c r="AA235" s="138"/>
      <c r="AB235" s="141"/>
      <c r="AC235" s="28"/>
      <c r="AD235" s="43">
        <v>3</v>
      </c>
      <c r="AE235" s="28" t="s">
        <v>244</v>
      </c>
      <c r="AF235" s="28"/>
      <c r="AG235" s="141"/>
      <c r="AL235" s="134"/>
      <c r="AM235" s="134"/>
      <c r="AN235" s="136"/>
      <c r="AO235" s="134"/>
      <c r="AP235" s="136"/>
      <c r="AQ235" s="135"/>
      <c r="AR235" s="135"/>
      <c r="AS235" s="135"/>
      <c r="AT235" s="135"/>
      <c r="AU235" s="136"/>
      <c r="AZ235" s="138" t="s">
        <v>115</v>
      </c>
      <c r="BA235" s="138">
        <v>9</v>
      </c>
      <c r="BB235" s="141">
        <v>16</v>
      </c>
      <c r="BC235" s="138">
        <v>0</v>
      </c>
      <c r="BD235" s="141">
        <v>0</v>
      </c>
      <c r="BE235" s="138"/>
      <c r="BF235" s="43">
        <v>22</v>
      </c>
      <c r="BG235" s="43" t="s">
        <v>903</v>
      </c>
      <c r="BH235" s="43"/>
      <c r="BI235" s="141"/>
    </row>
    <row r="236" spans="1:61" x14ac:dyDescent="0.3">
      <c r="B236" s="52" t="s">
        <v>56</v>
      </c>
      <c r="C236" s="52">
        <v>0</v>
      </c>
      <c r="D236" s="85">
        <v>0</v>
      </c>
      <c r="E236" s="28"/>
      <c r="F236" s="28"/>
      <c r="G236" s="42"/>
      <c r="H236" s="28" t="s">
        <v>173</v>
      </c>
      <c r="I236" s="28"/>
      <c r="J236" s="28"/>
      <c r="K236" s="40"/>
      <c r="L236" s="28"/>
      <c r="M236" s="32" t="s">
        <v>63</v>
      </c>
      <c r="N236" s="123">
        <v>3</v>
      </c>
      <c r="O236" s="123">
        <v>3</v>
      </c>
      <c r="P236" s="33"/>
      <c r="Q236" s="7"/>
      <c r="R236" s="6"/>
      <c r="S236" s="34" t="s">
        <v>140</v>
      </c>
      <c r="T236" s="8"/>
      <c r="U236" s="8"/>
      <c r="V236" s="7"/>
      <c r="W236" s="28"/>
      <c r="X236" s="138" t="s">
        <v>122</v>
      </c>
      <c r="Y236" s="138">
        <f>2+5</f>
        <v>7</v>
      </c>
      <c r="Z236" s="141">
        <v>0</v>
      </c>
      <c r="AA236" s="138"/>
      <c r="AB236" s="141"/>
      <c r="AC236" s="28"/>
      <c r="AD236" s="43">
        <v>4</v>
      </c>
      <c r="AE236" s="28" t="s">
        <v>618</v>
      </c>
      <c r="AF236" s="28"/>
      <c r="AG236" s="141"/>
      <c r="AL236" s="138" t="s">
        <v>56</v>
      </c>
      <c r="AM236" s="138">
        <v>0</v>
      </c>
      <c r="AN236" s="141">
        <v>0</v>
      </c>
      <c r="AO236" s="138"/>
      <c r="AP236" s="141"/>
      <c r="AQ236" s="28"/>
      <c r="AR236" s="28" t="s">
        <v>173</v>
      </c>
      <c r="AS236" s="28"/>
      <c r="AT236" s="28"/>
      <c r="AU236" s="141"/>
      <c r="AZ236" s="138" t="s">
        <v>122</v>
      </c>
      <c r="BA236" s="138">
        <v>13</v>
      </c>
      <c r="BB236" s="141">
        <v>5</v>
      </c>
      <c r="BC236" s="138">
        <v>0</v>
      </c>
      <c r="BD236" s="141">
        <v>0</v>
      </c>
      <c r="BE236" s="138"/>
      <c r="BF236" s="43">
        <v>78</v>
      </c>
      <c r="BG236" s="43" t="s">
        <v>215</v>
      </c>
      <c r="BH236" s="43"/>
      <c r="BI236" s="141"/>
    </row>
    <row r="237" spans="1:61" x14ac:dyDescent="0.3">
      <c r="B237" s="52" t="s">
        <v>67</v>
      </c>
      <c r="C237" s="52">
        <v>4</v>
      </c>
      <c r="D237" s="56">
        <v>5</v>
      </c>
      <c r="G237" s="42"/>
      <c r="H237" s="28"/>
      <c r="I237" s="28"/>
      <c r="J237" s="28"/>
      <c r="K237" s="40"/>
      <c r="L237" s="28"/>
      <c r="M237" s="44" t="s">
        <v>78</v>
      </c>
      <c r="N237" s="37">
        <f>3+18+51</f>
        <v>72</v>
      </c>
      <c r="O237" s="37">
        <f>14+5+5+1+6</f>
        <v>31</v>
      </c>
      <c r="P237" s="42"/>
      <c r="Q237" s="11"/>
      <c r="R237" s="10"/>
      <c r="S237" s="37">
        <v>8</v>
      </c>
      <c r="T237" s="37" t="s">
        <v>204</v>
      </c>
      <c r="U237" s="18"/>
      <c r="V237" s="11"/>
      <c r="W237" s="28"/>
      <c r="X237" s="138" t="s">
        <v>227</v>
      </c>
      <c r="Y237" s="138">
        <v>0</v>
      </c>
      <c r="Z237" s="141">
        <v>0</v>
      </c>
      <c r="AA237" s="138"/>
      <c r="AB237" s="141"/>
      <c r="AC237" s="28"/>
      <c r="AD237" s="43">
        <v>1</v>
      </c>
      <c r="AE237" s="28" t="s">
        <v>392</v>
      </c>
      <c r="AF237" s="28"/>
      <c r="AG237" s="141"/>
      <c r="AL237" s="138" t="s">
        <v>67</v>
      </c>
      <c r="AM237" s="138">
        <v>0</v>
      </c>
      <c r="AN237" s="141">
        <v>0</v>
      </c>
      <c r="AO237" s="138"/>
      <c r="AP237" s="141"/>
      <c r="AQ237" s="28"/>
      <c r="AR237" s="28"/>
      <c r="AS237" s="28"/>
      <c r="AT237" s="28"/>
      <c r="AU237" s="141"/>
      <c r="AZ237" s="138" t="s">
        <v>81</v>
      </c>
      <c r="BA237" s="138">
        <v>2</v>
      </c>
      <c r="BB237" s="141">
        <v>0</v>
      </c>
      <c r="BC237" s="138">
        <v>0</v>
      </c>
      <c r="BD237" s="141">
        <v>0</v>
      </c>
      <c r="BE237" s="138"/>
      <c r="BF237" s="43">
        <v>1</v>
      </c>
      <c r="BG237" s="43" t="s">
        <v>228</v>
      </c>
      <c r="BH237" s="43"/>
      <c r="BI237" s="141"/>
    </row>
    <row r="238" spans="1:61" x14ac:dyDescent="0.3">
      <c r="B238" s="10" t="s">
        <v>78</v>
      </c>
      <c r="C238" s="52">
        <v>1</v>
      </c>
      <c r="D238" s="85">
        <v>1</v>
      </c>
      <c r="E238" s="28"/>
      <c r="F238" s="28"/>
      <c r="G238" s="42"/>
      <c r="H238" s="28">
        <v>12</v>
      </c>
      <c r="I238" s="28" t="s">
        <v>183</v>
      </c>
      <c r="J238" s="28"/>
      <c r="K238" s="40"/>
      <c r="L238" s="37"/>
      <c r="M238" s="125" t="s">
        <v>209</v>
      </c>
      <c r="N238" s="54">
        <v>0</v>
      </c>
      <c r="O238" s="54">
        <v>0</v>
      </c>
      <c r="P238" s="42"/>
      <c r="Q238" s="40"/>
      <c r="R238" s="42"/>
      <c r="S238" s="28">
        <v>2</v>
      </c>
      <c r="T238" s="28" t="s">
        <v>210</v>
      </c>
      <c r="U238" s="28" t="s">
        <v>6</v>
      </c>
      <c r="V238" s="40"/>
      <c r="W238" s="28"/>
      <c r="X238" s="138" t="s">
        <v>230</v>
      </c>
      <c r="Y238" s="138">
        <f>1+4</f>
        <v>5</v>
      </c>
      <c r="Z238" s="141">
        <v>5</v>
      </c>
      <c r="AA238" s="138"/>
      <c r="AB238" s="141"/>
      <c r="AC238" s="28"/>
      <c r="AD238" s="43">
        <v>10</v>
      </c>
      <c r="AE238" s="28" t="s">
        <v>655</v>
      </c>
      <c r="AF238" s="28"/>
      <c r="AG238" s="141"/>
      <c r="AL238" s="138" t="s">
        <v>78</v>
      </c>
      <c r="AM238" s="138">
        <v>0</v>
      </c>
      <c r="AN238" s="141">
        <v>0</v>
      </c>
      <c r="AO238" s="138"/>
      <c r="AP238" s="141"/>
      <c r="AQ238" s="28"/>
      <c r="AR238" s="28">
        <v>0</v>
      </c>
      <c r="AS238" s="28" t="s">
        <v>183</v>
      </c>
      <c r="AT238" s="28"/>
      <c r="AU238" s="141"/>
      <c r="AZ238" s="138" t="s">
        <v>230</v>
      </c>
      <c r="BA238" s="138">
        <v>8</v>
      </c>
      <c r="BB238" s="141">
        <v>8</v>
      </c>
      <c r="BC238" s="138">
        <v>0</v>
      </c>
      <c r="BD238" s="141">
        <v>0</v>
      </c>
      <c r="BE238" s="138"/>
      <c r="BF238" s="43">
        <v>1</v>
      </c>
      <c r="BG238" s="43" t="s">
        <v>216</v>
      </c>
      <c r="BH238" s="43"/>
      <c r="BI238" s="141"/>
    </row>
    <row r="239" spans="1:61" x14ac:dyDescent="0.3">
      <c r="B239" s="52" t="s">
        <v>81</v>
      </c>
      <c r="C239" s="52">
        <v>0</v>
      </c>
      <c r="D239" s="85">
        <v>0</v>
      </c>
      <c r="E239" s="28"/>
      <c r="F239" s="28"/>
      <c r="G239" s="42"/>
      <c r="H239" s="28" t="s">
        <v>6</v>
      </c>
      <c r="I239" s="28"/>
      <c r="J239" s="28"/>
      <c r="K239" s="40"/>
      <c r="L239" s="28"/>
      <c r="M239" s="44" t="s">
        <v>168</v>
      </c>
      <c r="N239" s="54">
        <v>0</v>
      </c>
      <c r="O239" s="54">
        <v>0</v>
      </c>
      <c r="P239" s="42"/>
      <c r="Q239" s="11"/>
      <c r="R239" s="10"/>
      <c r="S239" s="37">
        <f>3+15+2</f>
        <v>20</v>
      </c>
      <c r="T239" s="37" t="s">
        <v>213</v>
      </c>
      <c r="U239" s="18" t="s">
        <v>6</v>
      </c>
      <c r="V239" s="11"/>
      <c r="W239" s="28"/>
      <c r="X239" s="138" t="s">
        <v>125</v>
      </c>
      <c r="Y239" s="138">
        <v>0</v>
      </c>
      <c r="Z239" s="141">
        <v>0</v>
      </c>
      <c r="AA239" s="138"/>
      <c r="AB239" s="141"/>
      <c r="AC239" s="28"/>
      <c r="AD239" s="43">
        <v>1</v>
      </c>
      <c r="AE239" s="28" t="s">
        <v>1023</v>
      </c>
      <c r="AF239" s="28"/>
      <c r="AG239" s="141"/>
      <c r="AL239" s="142" t="s">
        <v>84</v>
      </c>
      <c r="AM239" s="142">
        <f>SUM(AM236:AM238)</f>
        <v>0</v>
      </c>
      <c r="AN239" s="146">
        <f>SUM(AN236:AN238)</f>
        <v>0</v>
      </c>
      <c r="AO239" s="142"/>
      <c r="AP239" s="146"/>
      <c r="AQ239" s="143"/>
      <c r="AR239" s="143"/>
      <c r="AS239" s="143"/>
      <c r="AT239" s="143"/>
      <c r="AU239" s="146">
        <f>SUM(AR238)</f>
        <v>0</v>
      </c>
      <c r="AZ239" s="138" t="s">
        <v>63</v>
      </c>
      <c r="BA239" s="138">
        <v>13</v>
      </c>
      <c r="BB239" s="141">
        <v>9</v>
      </c>
      <c r="BC239" s="138">
        <v>0</v>
      </c>
      <c r="BD239" s="141">
        <v>0</v>
      </c>
      <c r="BE239" s="138"/>
      <c r="BF239" s="43">
        <v>1</v>
      </c>
      <c r="BG239" s="43" t="s">
        <v>1475</v>
      </c>
      <c r="BH239" s="28"/>
      <c r="BI239" s="141"/>
    </row>
    <row r="240" spans="1:61" x14ac:dyDescent="0.3">
      <c r="B240" s="52" t="s">
        <v>72</v>
      </c>
      <c r="C240" s="52">
        <v>0</v>
      </c>
      <c r="D240" s="85">
        <v>0</v>
      </c>
      <c r="G240" s="42"/>
      <c r="H240" s="28"/>
      <c r="I240" s="28"/>
      <c r="J240" s="28"/>
      <c r="K240" s="40"/>
      <c r="L240" s="28"/>
      <c r="M240" s="125" t="s">
        <v>81</v>
      </c>
      <c r="N240" s="54">
        <f>7+9</f>
        <v>16</v>
      </c>
      <c r="O240" s="54">
        <f>4+5</f>
        <v>9</v>
      </c>
      <c r="P240" s="42"/>
      <c r="Q240" s="40"/>
      <c r="R240" s="42"/>
      <c r="S240" s="54">
        <v>0</v>
      </c>
      <c r="T240" s="128" t="s">
        <v>222</v>
      </c>
      <c r="U240" s="28"/>
      <c r="V240" s="40" t="s">
        <v>6</v>
      </c>
      <c r="W240" s="37"/>
      <c r="X240" s="138" t="s">
        <v>132</v>
      </c>
      <c r="Y240" s="138">
        <v>5</v>
      </c>
      <c r="Z240" s="141">
        <v>6</v>
      </c>
      <c r="AA240" s="138"/>
      <c r="AB240" s="141"/>
      <c r="AC240" s="28"/>
      <c r="AD240" s="43">
        <v>4</v>
      </c>
      <c r="AE240" s="28" t="s">
        <v>682</v>
      </c>
      <c r="AF240" s="28"/>
      <c r="AG240" s="141"/>
      <c r="AL240" s="134"/>
      <c r="AM240" s="134"/>
      <c r="AN240" s="136"/>
      <c r="AO240" s="134"/>
      <c r="AP240" s="136"/>
      <c r="AQ240" s="135"/>
      <c r="AR240" s="135"/>
      <c r="AS240" s="135"/>
      <c r="AT240" s="135"/>
      <c r="AU240" s="136"/>
      <c r="AW240" t="s">
        <v>6</v>
      </c>
      <c r="AZ240" s="138" t="s">
        <v>132</v>
      </c>
      <c r="BA240" s="138">
        <v>0</v>
      </c>
      <c r="BB240" s="141">
        <v>4</v>
      </c>
      <c r="BC240" s="138">
        <v>0</v>
      </c>
      <c r="BD240" s="141">
        <v>0</v>
      </c>
      <c r="BE240" s="138"/>
      <c r="BF240" s="220">
        <v>1</v>
      </c>
      <c r="BG240" s="220" t="s">
        <v>1477</v>
      </c>
      <c r="BH240" s="28"/>
      <c r="BI240" s="141"/>
    </row>
    <row r="241" spans="2:61" ht="15" thickBot="1" x14ac:dyDescent="0.35">
      <c r="B241" s="52" t="s">
        <v>84</v>
      </c>
      <c r="C241" s="47">
        <f>SUM(C234:C240)</f>
        <v>12</v>
      </c>
      <c r="D241" s="49">
        <f>SUM(D234:D240)</f>
        <v>11</v>
      </c>
      <c r="E241" s="28"/>
      <c r="F241" s="28"/>
      <c r="G241" s="47"/>
      <c r="H241" s="48"/>
      <c r="I241" s="48"/>
      <c r="J241" s="48"/>
      <c r="K241" s="49">
        <f>SUM(H238)</f>
        <v>12</v>
      </c>
      <c r="L241" s="28"/>
      <c r="M241" s="125" t="s">
        <v>72</v>
      </c>
      <c r="N241" s="54">
        <f>9+6+3</f>
        <v>18</v>
      </c>
      <c r="O241" s="45">
        <f>1+7+8+5+5</f>
        <v>26</v>
      </c>
      <c r="P241" s="42"/>
      <c r="Q241" s="40"/>
      <c r="R241" s="42"/>
      <c r="S241" s="54">
        <v>1</v>
      </c>
      <c r="T241" s="54" t="s">
        <v>216</v>
      </c>
      <c r="U241" s="45"/>
      <c r="V241" s="40"/>
      <c r="W241" s="28"/>
      <c r="X241" s="138" t="s">
        <v>992</v>
      </c>
      <c r="Y241" s="138">
        <v>0</v>
      </c>
      <c r="Z241" s="141">
        <v>0</v>
      </c>
      <c r="AA241" s="138"/>
      <c r="AB241" s="141"/>
      <c r="AC241" s="28"/>
      <c r="AD241" s="43">
        <v>51</v>
      </c>
      <c r="AE241" s="28" t="s">
        <v>555</v>
      </c>
      <c r="AF241" s="28"/>
      <c r="AG241" s="141"/>
      <c r="AJ241" t="s">
        <v>6</v>
      </c>
      <c r="AL241" s="138" t="s">
        <v>63</v>
      </c>
      <c r="AM241" s="138">
        <f>2+18</f>
        <v>20</v>
      </c>
      <c r="AN241" s="141">
        <f>2+17</f>
        <v>19</v>
      </c>
      <c r="AO241" s="138"/>
      <c r="AP241" s="141"/>
      <c r="AQ241" s="28"/>
      <c r="AR241" s="28" t="s">
        <v>140</v>
      </c>
      <c r="AS241" s="28"/>
      <c r="AT241" s="28"/>
      <c r="AU241" s="141"/>
      <c r="AZ241" s="138" t="s">
        <v>84</v>
      </c>
      <c r="BA241" s="138">
        <v>196</v>
      </c>
      <c r="BB241" s="141">
        <v>208</v>
      </c>
      <c r="BC241" s="138">
        <v>0</v>
      </c>
      <c r="BD241" s="141">
        <v>0</v>
      </c>
      <c r="BE241" s="142"/>
      <c r="BF241" s="224">
        <v>1</v>
      </c>
      <c r="BG241" s="224" t="s">
        <v>433</v>
      </c>
      <c r="BH241" s="143"/>
      <c r="BI241" s="146">
        <v>166</v>
      </c>
    </row>
    <row r="242" spans="2:61" ht="15" thickBot="1" x14ac:dyDescent="0.35">
      <c r="B242" s="32" t="s">
        <v>63</v>
      </c>
      <c r="C242" s="123">
        <v>3</v>
      </c>
      <c r="D242" s="123">
        <f>1+1</f>
        <v>2</v>
      </c>
      <c r="E242" s="33"/>
      <c r="F242" s="7"/>
      <c r="G242" s="6"/>
      <c r="H242" s="34" t="s">
        <v>140</v>
      </c>
      <c r="I242" s="8"/>
      <c r="J242" s="8"/>
      <c r="K242" s="7"/>
      <c r="L242" s="28"/>
      <c r="M242" s="125" t="s">
        <v>115</v>
      </c>
      <c r="N242" s="54">
        <f>1+7+4</f>
        <v>12</v>
      </c>
      <c r="O242" s="45">
        <f>1+1+2</f>
        <v>4</v>
      </c>
      <c r="P242" s="42"/>
      <c r="Q242" s="40"/>
      <c r="R242" s="42"/>
      <c r="S242" s="54">
        <v>0</v>
      </c>
      <c r="T242" s="54" t="s">
        <v>217</v>
      </c>
      <c r="U242" s="28"/>
      <c r="V242" s="40"/>
      <c r="W242" s="28"/>
      <c r="X242" s="138" t="s">
        <v>84</v>
      </c>
      <c r="Y242" s="138">
        <f>SUM(Y226:Y241)</f>
        <v>220</v>
      </c>
      <c r="Z242" s="141">
        <f>SUM(Z226:Z241)</f>
        <v>218</v>
      </c>
      <c r="AA242" s="138"/>
      <c r="AB242" s="141"/>
      <c r="AC242" s="28"/>
      <c r="AD242" s="43">
        <v>0</v>
      </c>
      <c r="AE242" s="28" t="s">
        <v>1010</v>
      </c>
      <c r="AF242" s="28"/>
      <c r="AG242" s="141">
        <f>SUM(AD227:AD242)</f>
        <v>165</v>
      </c>
      <c r="AL242" s="138" t="s">
        <v>78</v>
      </c>
      <c r="AM242" s="138">
        <f>3+23</f>
        <v>26</v>
      </c>
      <c r="AN242" s="141">
        <f>3+4+24</f>
        <v>31</v>
      </c>
      <c r="AO242" s="138"/>
      <c r="AP242" s="141"/>
      <c r="AQ242" s="28"/>
      <c r="AR242" s="28">
        <v>2</v>
      </c>
      <c r="AS242" s="28" t="s">
        <v>1579</v>
      </c>
      <c r="AT242" s="28"/>
      <c r="AU242" s="141"/>
      <c r="AZ242" s="171" t="s">
        <v>84</v>
      </c>
      <c r="BA242" s="171">
        <v>2094</v>
      </c>
      <c r="BB242" s="172">
        <v>2010</v>
      </c>
      <c r="BC242" s="170">
        <v>0</v>
      </c>
      <c r="BD242" s="172">
        <v>0</v>
      </c>
      <c r="BE242" s="48"/>
      <c r="BF242" s="48"/>
      <c r="BG242" s="48"/>
      <c r="BH242" s="48"/>
      <c r="BI242" s="49">
        <v>373</v>
      </c>
    </row>
    <row r="243" spans="2:61" ht="15" thickBot="1" x14ac:dyDescent="0.35">
      <c r="B243" s="44" t="s">
        <v>78</v>
      </c>
      <c r="C243" s="37">
        <f>16+12+1</f>
        <v>29</v>
      </c>
      <c r="D243" s="37">
        <f>5+4+4</f>
        <v>13</v>
      </c>
      <c r="E243" s="42"/>
      <c r="F243" s="11"/>
      <c r="G243" s="10"/>
      <c r="H243" s="37">
        <v>6</v>
      </c>
      <c r="I243" s="37" t="s">
        <v>204</v>
      </c>
      <c r="J243" s="18"/>
      <c r="K243" s="11"/>
      <c r="L243" s="28"/>
      <c r="M243" s="125" t="s">
        <v>56</v>
      </c>
      <c r="N243" s="54">
        <f>12+19+8+4+1</f>
        <v>44</v>
      </c>
      <c r="O243" s="45">
        <f>22+4+5+3+5</f>
        <v>39</v>
      </c>
      <c r="P243" s="42"/>
      <c r="Q243" s="40"/>
      <c r="R243" s="42"/>
      <c r="S243" s="54">
        <v>0</v>
      </c>
      <c r="T243" s="54" t="s">
        <v>681</v>
      </c>
      <c r="U243" s="28"/>
      <c r="V243" s="40"/>
      <c r="W243" s="28"/>
      <c r="X243" s="171" t="s">
        <v>84</v>
      </c>
      <c r="Y243" s="207">
        <f>SUM(Y242+Y224+Y215+Y200)</f>
        <v>2015</v>
      </c>
      <c r="Z243" s="207">
        <f>SUM(Z242+Z224+Z215+Z200)</f>
        <v>1966</v>
      </c>
      <c r="AA243" s="207"/>
      <c r="AB243" s="208"/>
      <c r="AC243" s="170"/>
      <c r="AD243" s="170"/>
      <c r="AE243" s="170"/>
      <c r="AF243" s="170"/>
      <c r="AG243" s="172">
        <f>SUM(AG200:AG242)</f>
        <v>375</v>
      </c>
      <c r="AL243" s="138" t="s">
        <v>209</v>
      </c>
      <c r="AM243" s="138">
        <v>0</v>
      </c>
      <c r="AN243" s="141">
        <v>0</v>
      </c>
      <c r="AO243" s="138"/>
      <c r="AP243" s="141"/>
      <c r="AQ243" s="28"/>
      <c r="AR243" s="28"/>
      <c r="AS243" s="28" t="s">
        <v>1517</v>
      </c>
      <c r="AT243" s="28"/>
      <c r="AU243" s="141"/>
      <c r="AZ243" s="28"/>
      <c r="BA243" s="28"/>
      <c r="BB243" s="28"/>
      <c r="BC243" s="28"/>
      <c r="BD243" s="28"/>
      <c r="BE243" s="28"/>
      <c r="BF243" s="43"/>
      <c r="BG243" s="43"/>
      <c r="BH243" s="28"/>
      <c r="BI243" s="28"/>
    </row>
    <row r="244" spans="2:61" x14ac:dyDescent="0.3">
      <c r="B244" s="125" t="s">
        <v>209</v>
      </c>
      <c r="C244" s="54">
        <v>0</v>
      </c>
      <c r="D244" s="54">
        <v>0</v>
      </c>
      <c r="E244" s="42"/>
      <c r="F244" s="40"/>
      <c r="G244" s="42"/>
      <c r="H244" s="28">
        <v>5</v>
      </c>
      <c r="I244" s="28" t="s">
        <v>210</v>
      </c>
      <c r="J244" s="28"/>
      <c r="K244" s="40"/>
      <c r="L244" s="28"/>
      <c r="M244" s="125" t="s">
        <v>138</v>
      </c>
      <c r="N244" s="54">
        <v>0</v>
      </c>
      <c r="O244" s="45">
        <v>0</v>
      </c>
      <c r="P244" s="42"/>
      <c r="Q244" s="40"/>
      <c r="R244" s="42"/>
      <c r="S244" s="54">
        <v>9</v>
      </c>
      <c r="T244" s="54" t="s">
        <v>221</v>
      </c>
      <c r="U244" s="28"/>
      <c r="V244" s="40"/>
      <c r="W244" s="28"/>
      <c r="AL244" s="138" t="s">
        <v>168</v>
      </c>
      <c r="AM244" s="138">
        <v>0</v>
      </c>
      <c r="AN244" s="141">
        <v>0</v>
      </c>
      <c r="AO244" s="138"/>
      <c r="AP244" s="141"/>
      <c r="AQ244" s="28"/>
      <c r="AR244" s="28">
        <f>26+7</f>
        <v>33</v>
      </c>
      <c r="AS244" s="28" t="s">
        <v>213</v>
      </c>
      <c r="AT244" s="28" t="s">
        <v>6</v>
      </c>
      <c r="AU244" s="141"/>
      <c r="AZ244" s="28"/>
      <c r="BA244" s="28"/>
      <c r="BB244" s="28"/>
      <c r="BC244" s="28"/>
      <c r="BD244" s="28"/>
      <c r="BE244" s="28"/>
      <c r="BF244" s="220"/>
      <c r="BG244" s="220"/>
      <c r="BH244" s="28"/>
      <c r="BI244" s="28"/>
    </row>
    <row r="245" spans="2:61" x14ac:dyDescent="0.3">
      <c r="B245" s="44" t="s">
        <v>168</v>
      </c>
      <c r="C245" s="37">
        <v>0</v>
      </c>
      <c r="D245" s="18">
        <v>0</v>
      </c>
      <c r="E245" s="42"/>
      <c r="F245" s="11"/>
      <c r="G245" s="10"/>
      <c r="H245" s="37">
        <f>3+3+11+4+2+2+14</f>
        <v>39</v>
      </c>
      <c r="I245" s="37" t="s">
        <v>213</v>
      </c>
      <c r="J245" s="18"/>
      <c r="K245" s="11"/>
      <c r="M245" s="125" t="s">
        <v>67</v>
      </c>
      <c r="N245" s="54">
        <f>2+12</f>
        <v>14</v>
      </c>
      <c r="O245" s="45">
        <f>4+11</f>
        <v>15</v>
      </c>
      <c r="P245" s="42"/>
      <c r="Q245" s="40"/>
      <c r="R245" s="42"/>
      <c r="S245" s="54">
        <v>0</v>
      </c>
      <c r="T245" s="54" t="s">
        <v>706</v>
      </c>
      <c r="U245" s="28"/>
      <c r="V245" s="40"/>
      <c r="W245" s="28"/>
      <c r="AL245" s="138" t="s">
        <v>81</v>
      </c>
      <c r="AM245" s="138">
        <v>3</v>
      </c>
      <c r="AN245" s="141">
        <v>3</v>
      </c>
      <c r="AO245" s="138"/>
      <c r="AP245" s="141"/>
      <c r="AQ245" s="28"/>
      <c r="AR245" s="28">
        <v>1</v>
      </c>
      <c r="AS245" s="28" t="s">
        <v>123</v>
      </c>
      <c r="AT245" s="28"/>
      <c r="AU245" s="141" t="s">
        <v>6</v>
      </c>
      <c r="AZ245" s="28"/>
      <c r="BA245" s="28"/>
      <c r="BB245" s="28"/>
      <c r="BC245" s="28"/>
      <c r="BD245" s="28"/>
      <c r="BE245" s="28"/>
      <c r="BF245" s="43"/>
      <c r="BG245" s="43"/>
      <c r="BH245" s="28"/>
      <c r="BI245" s="28"/>
    </row>
    <row r="246" spans="2:61" x14ac:dyDescent="0.3">
      <c r="B246" s="125" t="s">
        <v>81</v>
      </c>
      <c r="C246" s="54">
        <f>3+1</f>
        <v>4</v>
      </c>
      <c r="D246" s="45">
        <f>9+6</f>
        <v>15</v>
      </c>
      <c r="E246" s="42"/>
      <c r="F246" s="40"/>
      <c r="G246" s="42"/>
      <c r="H246" s="54">
        <v>1</v>
      </c>
      <c r="I246" s="128" t="s">
        <v>235</v>
      </c>
      <c r="J246" s="28"/>
      <c r="K246" s="40" t="s">
        <v>6</v>
      </c>
      <c r="M246" s="125" t="s">
        <v>122</v>
      </c>
      <c r="N246" s="54">
        <v>4</v>
      </c>
      <c r="O246" s="45">
        <v>0</v>
      </c>
      <c r="P246" s="42"/>
      <c r="Q246" s="40"/>
      <c r="R246" s="42"/>
      <c r="S246" s="54">
        <v>3</v>
      </c>
      <c r="T246" s="54" t="s">
        <v>618</v>
      </c>
      <c r="U246" s="28"/>
      <c r="V246" s="40"/>
      <c r="W246" s="28"/>
      <c r="AL246" s="138" t="s">
        <v>72</v>
      </c>
      <c r="AM246" s="138">
        <f>1+1+40</f>
        <v>42</v>
      </c>
      <c r="AN246" s="141">
        <f>2+24</f>
        <v>26</v>
      </c>
      <c r="AO246" s="138"/>
      <c r="AP246" s="141"/>
      <c r="AQ246" s="28"/>
      <c r="AR246" s="43">
        <v>1</v>
      </c>
      <c r="AS246" s="28" t="s">
        <v>216</v>
      </c>
      <c r="AT246" s="28"/>
      <c r="AU246" s="141"/>
      <c r="AZ246" s="28"/>
      <c r="BA246" s="28"/>
      <c r="BB246" s="28"/>
      <c r="BC246" s="28"/>
      <c r="BD246" s="28"/>
      <c r="BE246" s="28"/>
      <c r="BF246" s="28"/>
      <c r="BG246" s="28"/>
      <c r="BH246" s="28"/>
      <c r="BI246" s="28"/>
    </row>
    <row r="247" spans="2:61" x14ac:dyDescent="0.3">
      <c r="B247" s="125" t="s">
        <v>72</v>
      </c>
      <c r="C247" s="54">
        <f>11+21+2</f>
        <v>34</v>
      </c>
      <c r="D247" s="45">
        <f>7+20+3</f>
        <v>30</v>
      </c>
      <c r="E247" s="42"/>
      <c r="F247" s="40"/>
      <c r="G247" s="42"/>
      <c r="H247" s="54">
        <v>8</v>
      </c>
      <c r="I247" s="54" t="s">
        <v>216</v>
      </c>
      <c r="J247" s="45"/>
      <c r="K247" s="40"/>
      <c r="M247" s="125" t="s">
        <v>227</v>
      </c>
      <c r="N247" s="54">
        <v>0</v>
      </c>
      <c r="O247" s="45">
        <v>0</v>
      </c>
      <c r="P247" s="42"/>
      <c r="Q247" s="40"/>
      <c r="R247" s="42"/>
      <c r="S247" s="54">
        <v>1</v>
      </c>
      <c r="T247" s="54" t="s">
        <v>352</v>
      </c>
      <c r="U247" s="28"/>
      <c r="V247" s="40"/>
      <c r="AL247" s="138" t="s">
        <v>115</v>
      </c>
      <c r="AM247" s="138">
        <f>2+20</f>
        <v>22</v>
      </c>
      <c r="AN247" s="141">
        <f>2+20</f>
        <v>22</v>
      </c>
      <c r="AO247" s="138"/>
      <c r="AP247" s="141"/>
      <c r="AQ247" s="28"/>
      <c r="AR247" s="43">
        <v>14</v>
      </c>
      <c r="AS247" s="28" t="s">
        <v>217</v>
      </c>
      <c r="AT247" s="28"/>
      <c r="AU247" s="141"/>
      <c r="BF247" s="43"/>
      <c r="BG247" s="43"/>
      <c r="BH247" s="43"/>
      <c r="BI247" s="28"/>
    </row>
    <row r="248" spans="2:61" x14ac:dyDescent="0.3">
      <c r="B248" s="125" t="s">
        <v>115</v>
      </c>
      <c r="C248" s="54">
        <f>6+4</f>
        <v>10</v>
      </c>
      <c r="D248" s="45">
        <f>2+2</f>
        <v>4</v>
      </c>
      <c r="E248" s="42"/>
      <c r="F248" s="40"/>
      <c r="G248" s="42"/>
      <c r="H248" s="54">
        <v>10</v>
      </c>
      <c r="I248" s="54" t="s">
        <v>217</v>
      </c>
      <c r="J248" s="28"/>
      <c r="K248" s="40"/>
      <c r="M248" s="41" t="s">
        <v>230</v>
      </c>
      <c r="N248" s="54">
        <v>16</v>
      </c>
      <c r="O248" s="45">
        <v>16</v>
      </c>
      <c r="P248" s="42"/>
      <c r="Q248" s="40"/>
      <c r="R248" s="42"/>
      <c r="S248" s="54">
        <v>10</v>
      </c>
      <c r="T248" s="54" t="s">
        <v>655</v>
      </c>
      <c r="U248" s="28"/>
      <c r="V248" s="40"/>
      <c r="AL248" s="138" t="s">
        <v>56</v>
      </c>
      <c r="AM248" s="138">
        <f>7+8+9</f>
        <v>24</v>
      </c>
      <c r="AN248" s="141">
        <f>7+16</f>
        <v>23</v>
      </c>
      <c r="AO248" s="138"/>
      <c r="AP248" s="141"/>
      <c r="AQ248" s="28"/>
      <c r="AR248" s="43"/>
      <c r="AS248" s="28" t="s">
        <v>1159</v>
      </c>
      <c r="AT248" s="28"/>
      <c r="AU248" s="141"/>
      <c r="BF248" s="28"/>
      <c r="BG248" s="43"/>
      <c r="BH248" s="43"/>
      <c r="BI248" s="28"/>
    </row>
    <row r="249" spans="2:61" x14ac:dyDescent="0.3">
      <c r="B249" s="125" t="s">
        <v>56</v>
      </c>
      <c r="C249" s="54">
        <f>7+4+3+4</f>
        <v>18</v>
      </c>
      <c r="D249" s="45">
        <f>5+1+2+3+4</f>
        <v>15</v>
      </c>
      <c r="E249" s="42"/>
      <c r="F249" s="40"/>
      <c r="G249" s="42"/>
      <c r="H249" s="54">
        <v>2</v>
      </c>
      <c r="I249" s="54" t="s">
        <v>219</v>
      </c>
      <c r="J249" s="28"/>
      <c r="K249" s="40"/>
      <c r="M249" s="68" t="s">
        <v>125</v>
      </c>
      <c r="N249" s="54">
        <v>0</v>
      </c>
      <c r="O249" s="45">
        <v>0</v>
      </c>
      <c r="P249" s="42"/>
      <c r="Q249" s="40"/>
      <c r="R249" s="42"/>
      <c r="S249" s="54">
        <v>0</v>
      </c>
      <c r="T249" s="54" t="s">
        <v>351</v>
      </c>
      <c r="U249" s="28"/>
      <c r="V249" s="40"/>
      <c r="AL249" s="138" t="s">
        <v>138</v>
      </c>
      <c r="AM249" s="138">
        <v>0</v>
      </c>
      <c r="AN249" s="141">
        <v>0</v>
      </c>
      <c r="AO249" s="138"/>
      <c r="AP249" s="141"/>
      <c r="AQ249" s="28"/>
      <c r="AR249" s="43">
        <v>3</v>
      </c>
      <c r="AS249" s="28" t="s">
        <v>1294</v>
      </c>
      <c r="AT249" s="28"/>
      <c r="AU249" s="141"/>
      <c r="AW249" t="s">
        <v>6</v>
      </c>
      <c r="BF249" s="43"/>
      <c r="BG249" s="43"/>
      <c r="BH249" s="43"/>
      <c r="BI249" s="28"/>
    </row>
    <row r="250" spans="2:61" x14ac:dyDescent="0.3">
      <c r="B250" s="125" t="s">
        <v>138</v>
      </c>
      <c r="C250" s="54">
        <v>0</v>
      </c>
      <c r="D250" s="45">
        <v>0</v>
      </c>
      <c r="E250" s="42"/>
      <c r="F250" s="40"/>
      <c r="G250" s="42"/>
      <c r="H250" s="54">
        <v>6</v>
      </c>
      <c r="I250" s="54" t="s">
        <v>221</v>
      </c>
      <c r="J250" s="28"/>
      <c r="K250" s="40"/>
      <c r="M250" s="68" t="s">
        <v>132</v>
      </c>
      <c r="N250" s="54">
        <v>5</v>
      </c>
      <c r="O250" s="45">
        <v>7</v>
      </c>
      <c r="P250" s="42"/>
      <c r="Q250" s="40"/>
      <c r="R250" s="42"/>
      <c r="S250" s="54">
        <v>26</v>
      </c>
      <c r="T250" s="54" t="s">
        <v>472</v>
      </c>
      <c r="U250" s="28"/>
      <c r="V250" s="40"/>
      <c r="AL250" s="138" t="s">
        <v>67</v>
      </c>
      <c r="AM250" s="138">
        <f>2+16</f>
        <v>18</v>
      </c>
      <c r="AN250" s="141">
        <f>4+21</f>
        <v>25</v>
      </c>
      <c r="AO250" s="138"/>
      <c r="AP250" s="141"/>
      <c r="AQ250" s="28"/>
      <c r="AR250" s="43">
        <v>4</v>
      </c>
      <c r="AS250" s="28" t="s">
        <v>653</v>
      </c>
      <c r="AT250" s="28"/>
      <c r="AU250" s="141"/>
      <c r="BF250" s="43"/>
      <c r="BG250" s="28"/>
      <c r="BH250" s="28"/>
      <c r="BI250" s="28"/>
    </row>
    <row r="251" spans="2:61" x14ac:dyDescent="0.3">
      <c r="B251" s="125" t="s">
        <v>67</v>
      </c>
      <c r="C251" s="28">
        <f>1+3</f>
        <v>4</v>
      </c>
      <c r="D251" s="45">
        <f>1+2</f>
        <v>3</v>
      </c>
      <c r="E251" s="42"/>
      <c r="F251" s="40"/>
      <c r="G251" s="42"/>
      <c r="H251" s="54">
        <v>17</v>
      </c>
      <c r="I251" s="54" t="s">
        <v>222</v>
      </c>
      <c r="J251" s="28"/>
      <c r="K251" s="40"/>
      <c r="M251" s="41" t="s">
        <v>6</v>
      </c>
      <c r="P251" s="42"/>
      <c r="Q251" s="40"/>
      <c r="R251" s="42"/>
      <c r="S251" s="54">
        <v>26</v>
      </c>
      <c r="T251" s="54" t="s">
        <v>215</v>
      </c>
      <c r="U251" s="28"/>
      <c r="V251" s="40"/>
      <c r="AL251" s="138" t="s">
        <v>122</v>
      </c>
      <c r="AM251" s="138">
        <v>0</v>
      </c>
      <c r="AN251" s="141">
        <v>0</v>
      </c>
      <c r="AO251" s="138"/>
      <c r="AP251" s="141"/>
      <c r="AQ251" s="28"/>
      <c r="AR251" s="43">
        <v>1</v>
      </c>
      <c r="AS251" s="28" t="s">
        <v>618</v>
      </c>
      <c r="AT251" s="28"/>
      <c r="AU251" s="141"/>
      <c r="BF251" s="43"/>
      <c r="BG251" s="28"/>
      <c r="BH251" s="28"/>
      <c r="BI251" s="28"/>
    </row>
    <row r="252" spans="2:61" ht="15" thickBot="1" x14ac:dyDescent="0.35">
      <c r="B252" s="125" t="s">
        <v>122</v>
      </c>
      <c r="C252" s="43">
        <v>4</v>
      </c>
      <c r="D252" s="45">
        <f>2+2</f>
        <v>4</v>
      </c>
      <c r="E252" s="42"/>
      <c r="F252" s="40"/>
      <c r="G252" s="42"/>
      <c r="H252" s="54">
        <v>1</v>
      </c>
      <c r="I252" s="54" t="s">
        <v>390</v>
      </c>
      <c r="J252" s="28"/>
      <c r="K252" s="40"/>
      <c r="M252" s="46" t="s">
        <v>84</v>
      </c>
      <c r="N252" s="48">
        <f>SUM(N236:N251)</f>
        <v>204</v>
      </c>
      <c r="O252" s="48">
        <f>SUM(O236:O251)</f>
        <v>150</v>
      </c>
      <c r="P252" s="47"/>
      <c r="Q252" s="49"/>
      <c r="R252" s="47"/>
      <c r="S252" s="48">
        <v>5</v>
      </c>
      <c r="T252" s="48" t="s">
        <v>244</v>
      </c>
      <c r="U252" s="48"/>
      <c r="V252" s="49">
        <f>SUM(S237:S252)+2</f>
        <v>113</v>
      </c>
      <c r="AL252" s="138" t="s">
        <v>227</v>
      </c>
      <c r="AM252" s="138">
        <v>0</v>
      </c>
      <c r="AN252" s="141">
        <v>0</v>
      </c>
      <c r="AO252" s="138"/>
      <c r="AP252" s="141"/>
      <c r="AQ252" s="28"/>
      <c r="AR252" s="43">
        <v>1</v>
      </c>
      <c r="AS252" s="28" t="s">
        <v>1572</v>
      </c>
      <c r="AT252" s="28"/>
      <c r="AU252" s="141"/>
      <c r="BD252" s="28"/>
      <c r="BF252" s="43"/>
      <c r="BG252" s="28"/>
      <c r="BH252" s="28"/>
      <c r="BI252" s="28"/>
    </row>
    <row r="253" spans="2:61" ht="15" thickBot="1" x14ac:dyDescent="0.35">
      <c r="B253" s="125" t="s">
        <v>227</v>
      </c>
      <c r="C253" s="43">
        <v>0</v>
      </c>
      <c r="D253" s="45">
        <v>0</v>
      </c>
      <c r="E253" s="42"/>
      <c r="F253" s="40"/>
      <c r="G253" s="42"/>
      <c r="H253" s="54">
        <v>4</v>
      </c>
      <c r="I253" s="54" t="s">
        <v>391</v>
      </c>
      <c r="J253" s="28"/>
      <c r="K253" s="40"/>
      <c r="M253" s="169" t="s">
        <v>84</v>
      </c>
      <c r="N253" s="170">
        <f>SUM(N252+N235+N225+N210)</f>
        <v>1968</v>
      </c>
      <c r="O253" s="170">
        <f>SUM(O252+O235+O225+O210)</f>
        <v>1895</v>
      </c>
      <c r="P253" s="171"/>
      <c r="Q253" s="172"/>
      <c r="R253" s="170"/>
      <c r="S253" s="170"/>
      <c r="T253" s="170"/>
      <c r="U253" s="170"/>
      <c r="V253" s="172">
        <f>SUM(V209:V252)</f>
        <v>314</v>
      </c>
      <c r="AL253" s="138" t="s">
        <v>230</v>
      </c>
      <c r="AM253" s="138">
        <v>5</v>
      </c>
      <c r="AN253" s="141">
        <f>2+3</f>
        <v>5</v>
      </c>
      <c r="AO253" s="138"/>
      <c r="AP253" s="141"/>
      <c r="AQ253" s="28"/>
      <c r="AR253" s="28">
        <v>5</v>
      </c>
      <c r="AS253" s="28" t="s">
        <v>655</v>
      </c>
      <c r="AT253" s="28"/>
      <c r="AU253" s="141"/>
      <c r="BD253" s="28"/>
      <c r="BF253" s="43"/>
      <c r="BG253" s="43"/>
      <c r="BH253" s="43"/>
      <c r="BI253" s="28"/>
    </row>
    <row r="254" spans="2:61" x14ac:dyDescent="0.3">
      <c r="B254" s="41" t="s">
        <v>230</v>
      </c>
      <c r="C254" s="43">
        <f>1+7</f>
        <v>8</v>
      </c>
      <c r="D254" s="45">
        <f>7+1+1+7</f>
        <v>16</v>
      </c>
      <c r="E254" s="42"/>
      <c r="F254" s="40"/>
      <c r="G254" s="42"/>
      <c r="H254" s="54">
        <v>2</v>
      </c>
      <c r="I254" s="54" t="s">
        <v>392</v>
      </c>
      <c r="J254" s="28"/>
      <c r="K254" s="40"/>
      <c r="AL254" s="138" t="s">
        <v>125</v>
      </c>
      <c r="AM254" s="138">
        <v>0</v>
      </c>
      <c r="AN254" s="141">
        <v>4</v>
      </c>
      <c r="AO254" s="138"/>
      <c r="AP254" s="141"/>
      <c r="AQ254" s="28"/>
      <c r="AR254" s="43">
        <v>1</v>
      </c>
      <c r="AS254" s="28" t="s">
        <v>1594</v>
      </c>
      <c r="AT254" s="28"/>
      <c r="AU254" s="141"/>
      <c r="BB254" s="28"/>
      <c r="BD254" s="28"/>
      <c r="BF254" s="43"/>
      <c r="BG254" s="28"/>
      <c r="BH254" s="28"/>
      <c r="BI254" s="28"/>
    </row>
    <row r="255" spans="2:61" x14ac:dyDescent="0.3">
      <c r="B255" s="68" t="s">
        <v>125</v>
      </c>
      <c r="C255" s="43">
        <v>0</v>
      </c>
      <c r="D255" s="45">
        <v>0</v>
      </c>
      <c r="E255" s="42"/>
      <c r="F255" s="40"/>
      <c r="G255" s="42"/>
      <c r="H255" s="54">
        <v>3</v>
      </c>
      <c r="I255" s="54" t="s">
        <v>351</v>
      </c>
      <c r="J255" s="28"/>
      <c r="K255" s="40"/>
      <c r="AA255" t="s">
        <v>4</v>
      </c>
      <c r="AL255" s="138" t="s">
        <v>132</v>
      </c>
      <c r="AM255" s="138">
        <v>1</v>
      </c>
      <c r="AN255" s="141">
        <v>1</v>
      </c>
      <c r="AO255" s="138"/>
      <c r="AP255" s="141"/>
      <c r="AQ255" s="28"/>
      <c r="AR255" s="43">
        <v>1</v>
      </c>
      <c r="AS255" s="28" t="s">
        <v>682</v>
      </c>
      <c r="AT255" s="28"/>
      <c r="AU255" s="141"/>
      <c r="BB255" s="28"/>
      <c r="BD255" s="28"/>
    </row>
    <row r="256" spans="2:61" x14ac:dyDescent="0.3">
      <c r="B256" s="68" t="s">
        <v>132</v>
      </c>
      <c r="C256" s="43">
        <v>13</v>
      </c>
      <c r="D256" s="45">
        <v>9</v>
      </c>
      <c r="E256" s="42"/>
      <c r="F256" s="40"/>
      <c r="G256" s="42"/>
      <c r="H256" s="54">
        <v>1</v>
      </c>
      <c r="I256" s="54" t="s">
        <v>237</v>
      </c>
      <c r="J256" s="28"/>
      <c r="K256" s="40"/>
      <c r="AB256" t="s">
        <v>2</v>
      </c>
      <c r="AL256" s="138" t="s">
        <v>536</v>
      </c>
      <c r="AM256" s="138">
        <v>0</v>
      </c>
      <c r="AN256" s="141">
        <v>0</v>
      </c>
      <c r="AO256" s="138"/>
      <c r="AP256" s="141"/>
      <c r="AQ256" s="28"/>
      <c r="AR256" s="43">
        <v>55</v>
      </c>
      <c r="AS256" s="28" t="s">
        <v>215</v>
      </c>
      <c r="AT256" s="28"/>
      <c r="AU256" s="141"/>
      <c r="BB256" s="28"/>
      <c r="BD256" s="28"/>
    </row>
    <row r="257" spans="2:56" ht="15" thickBot="1" x14ac:dyDescent="0.35">
      <c r="B257" s="41" t="s">
        <v>6</v>
      </c>
      <c r="E257" s="42"/>
      <c r="F257" s="40"/>
      <c r="G257" s="42"/>
      <c r="H257" s="54">
        <v>3</v>
      </c>
      <c r="I257" s="54" t="s">
        <v>246</v>
      </c>
      <c r="J257" s="28"/>
      <c r="K257" s="40"/>
      <c r="Z257" t="s">
        <v>12</v>
      </c>
      <c r="AL257" s="138" t="s">
        <v>84</v>
      </c>
      <c r="AM257" s="138">
        <f>SUM(AM241:AM256)</f>
        <v>161</v>
      </c>
      <c r="AN257" s="141">
        <f>SUM(AN241:AN256)</f>
        <v>159</v>
      </c>
      <c r="AO257" s="138"/>
      <c r="AP257" s="141"/>
      <c r="AQ257" s="28"/>
      <c r="AR257" s="28"/>
      <c r="AS257" s="28" t="s">
        <v>244</v>
      </c>
      <c r="AT257" s="28"/>
      <c r="AU257" s="141">
        <f>SUM(AR242:AR257)</f>
        <v>122</v>
      </c>
      <c r="BB257" s="28"/>
      <c r="BD257" s="28"/>
    </row>
    <row r="258" spans="2:56" ht="15" thickBot="1" x14ac:dyDescent="0.35">
      <c r="B258" s="46" t="s">
        <v>84</v>
      </c>
      <c r="C258" s="48">
        <f>SUM(C242:C257)</f>
        <v>127</v>
      </c>
      <c r="D258" s="48">
        <f>SUM(D242:D257)</f>
        <v>111</v>
      </c>
      <c r="E258" s="47"/>
      <c r="F258" s="49"/>
      <c r="G258" s="47"/>
      <c r="H258" s="48">
        <v>2</v>
      </c>
      <c r="I258" s="48" t="s">
        <v>244</v>
      </c>
      <c r="J258" s="48"/>
      <c r="K258" s="49">
        <f>SUM(H244:H256)</f>
        <v>99</v>
      </c>
      <c r="AB258" t="s">
        <v>1024</v>
      </c>
      <c r="AL258" s="171" t="s">
        <v>84</v>
      </c>
      <c r="AM258" s="207">
        <f>SUM(AM257+AM239+AM234+AM219)</f>
        <v>1980</v>
      </c>
      <c r="AN258" s="207">
        <f>SUM(AN257+AN239+AN234+AN219)</f>
        <v>2002</v>
      </c>
      <c r="AO258" s="207"/>
      <c r="AP258" s="208"/>
      <c r="AQ258" s="170"/>
      <c r="AR258" s="170"/>
      <c r="AS258" s="170"/>
      <c r="AT258" s="170"/>
      <c r="AU258" s="172">
        <f>SUM(AU219:AU257)</f>
        <v>327</v>
      </c>
      <c r="BB258" s="28"/>
      <c r="BD258" s="28"/>
    </row>
    <row r="259" spans="2:56" ht="15" thickBot="1" x14ac:dyDescent="0.35">
      <c r="B259" s="147" t="s">
        <v>84</v>
      </c>
      <c r="C259" s="147">
        <f>SUM(+C258+C241+C231+C216+C213)</f>
        <v>2562</v>
      </c>
      <c r="D259" s="148">
        <f>SUM(D258+D241+D231+D216+D213)</f>
        <v>2424</v>
      </c>
      <c r="E259" s="147"/>
      <c r="F259" s="148"/>
      <c r="G259" s="149" t="s">
        <v>247</v>
      </c>
      <c r="H259" s="149"/>
      <c r="I259" s="149"/>
      <c r="J259" s="149"/>
      <c r="K259" s="148">
        <f>SUM(K213:K258)</f>
        <v>394</v>
      </c>
      <c r="AF259" s="194" t="s">
        <v>951</v>
      </c>
      <c r="BB259" s="28"/>
      <c r="BD259" s="28"/>
    </row>
    <row r="260" spans="2:56" ht="15" thickTop="1" x14ac:dyDescent="0.3">
      <c r="X260" s="134" t="s">
        <v>17</v>
      </c>
      <c r="Y260" s="134" t="s">
        <v>39</v>
      </c>
      <c r="Z260" s="136"/>
      <c r="AA260" s="134" t="s">
        <v>29</v>
      </c>
      <c r="AB260" s="136" t="s">
        <v>30</v>
      </c>
      <c r="AC260" s="135" t="s">
        <v>40</v>
      </c>
      <c r="AD260" s="135"/>
      <c r="AE260" s="135"/>
      <c r="AF260" s="135"/>
      <c r="AG260" s="136"/>
      <c r="BB260" s="28"/>
      <c r="BD260" s="28"/>
    </row>
    <row r="261" spans="2:56" ht="15" thickBot="1" x14ac:dyDescent="0.35">
      <c r="X261" s="138" t="s">
        <v>42</v>
      </c>
      <c r="Y261" s="138" t="s">
        <v>43</v>
      </c>
      <c r="Z261" s="141" t="s">
        <v>44</v>
      </c>
      <c r="AA261" s="138" t="s">
        <v>43</v>
      </c>
      <c r="AB261" s="141" t="s">
        <v>44</v>
      </c>
      <c r="AC261" s="28"/>
      <c r="AD261" s="28"/>
      <c r="AE261" s="28"/>
      <c r="AF261" s="28"/>
      <c r="AG261" s="141"/>
      <c r="BB261" s="28"/>
      <c r="BD261" s="28"/>
    </row>
    <row r="262" spans="2:56" ht="15" thickBot="1" x14ac:dyDescent="0.35">
      <c r="X262" s="134"/>
      <c r="Y262" s="134"/>
      <c r="Z262" s="136"/>
      <c r="AA262" s="134"/>
      <c r="AB262" s="136"/>
      <c r="AC262" s="135"/>
      <c r="AD262" s="135"/>
      <c r="AE262" s="135"/>
      <c r="AF262" s="135"/>
      <c r="AG262" s="136"/>
      <c r="AL262" s="317" t="s">
        <v>1532</v>
      </c>
      <c r="AM262" s="210">
        <v>2015</v>
      </c>
      <c r="AN262" s="318">
        <v>1966</v>
      </c>
      <c r="AO262" s="170"/>
      <c r="AP262" s="170"/>
      <c r="AQ262" s="170"/>
      <c r="AR262" s="170"/>
      <c r="AS262" s="170"/>
      <c r="AT262" s="170"/>
      <c r="AU262" s="172">
        <v>375</v>
      </c>
      <c r="BB262" s="28"/>
      <c r="BD262" s="28"/>
    </row>
    <row r="263" spans="2:56" x14ac:dyDescent="0.3">
      <c r="X263" s="138" t="s">
        <v>6</v>
      </c>
      <c r="Y263" s="138"/>
      <c r="Z263" s="141"/>
      <c r="AA263" s="138"/>
      <c r="AB263" s="141"/>
      <c r="AC263" s="28"/>
      <c r="AD263" s="28" t="s">
        <v>91</v>
      </c>
      <c r="AE263" s="28"/>
      <c r="AF263" s="28"/>
      <c r="AG263" s="141"/>
      <c r="BB263" s="28"/>
      <c r="BD263" s="28"/>
    </row>
    <row r="264" spans="2:56" x14ac:dyDescent="0.3">
      <c r="X264" s="138" t="s">
        <v>56</v>
      </c>
      <c r="Y264" s="138">
        <v>1581</v>
      </c>
      <c r="Z264" s="141">
        <v>1674</v>
      </c>
      <c r="AA264" s="138"/>
      <c r="AB264" s="141"/>
      <c r="AC264" s="28"/>
      <c r="AD264" s="28">
        <v>2</v>
      </c>
      <c r="AE264" s="28" t="s">
        <v>145</v>
      </c>
      <c r="AF264" s="28"/>
      <c r="AG264" s="141"/>
    </row>
    <row r="265" spans="2:56" x14ac:dyDescent="0.3">
      <c r="X265" s="142" t="s">
        <v>6</v>
      </c>
      <c r="Y265" s="142"/>
      <c r="Z265" s="146"/>
      <c r="AA265" s="142"/>
      <c r="AB265" s="146"/>
      <c r="AC265" s="143"/>
      <c r="AD265" s="143">
        <v>107</v>
      </c>
      <c r="AE265" s="143" t="s">
        <v>73</v>
      </c>
      <c r="AF265" s="143"/>
      <c r="AG265" s="146">
        <f>SUM(AD265)</f>
        <v>107</v>
      </c>
      <c r="AW265" t="s">
        <v>6</v>
      </c>
    </row>
    <row r="266" spans="2:56" ht="15.6" x14ac:dyDescent="0.3">
      <c r="E266" s="1" t="s">
        <v>4</v>
      </c>
      <c r="P266" s="1" t="s">
        <v>4</v>
      </c>
      <c r="X266" s="134" t="s">
        <v>56</v>
      </c>
      <c r="Y266" s="134">
        <v>0</v>
      </c>
      <c r="Z266" s="136">
        <v>0</v>
      </c>
      <c r="AA266" s="134"/>
      <c r="AB266" s="136"/>
      <c r="AC266" s="135"/>
      <c r="AD266" s="135"/>
      <c r="AE266" s="135"/>
      <c r="AF266" s="135"/>
      <c r="AG266" s="136"/>
    </row>
    <row r="267" spans="2:56" x14ac:dyDescent="0.3">
      <c r="F267" t="s">
        <v>2</v>
      </c>
      <c r="Q267" t="s">
        <v>2</v>
      </c>
      <c r="X267" s="138" t="s">
        <v>63</v>
      </c>
      <c r="Y267" s="138">
        <v>94</v>
      </c>
      <c r="Z267" s="141">
        <v>55</v>
      </c>
      <c r="AA267" s="138"/>
      <c r="AB267" s="141"/>
      <c r="AC267" s="28"/>
      <c r="AD267" s="28" t="s">
        <v>110</v>
      </c>
      <c r="AE267" s="28" t="s">
        <v>111</v>
      </c>
      <c r="AF267" s="28" t="s">
        <v>112</v>
      </c>
      <c r="AG267" s="141"/>
    </row>
    <row r="268" spans="2:56" x14ac:dyDescent="0.3">
      <c r="D268" t="s">
        <v>12</v>
      </c>
      <c r="O268" t="s">
        <v>12</v>
      </c>
      <c r="X268" s="138" t="s">
        <v>115</v>
      </c>
      <c r="Y268" s="138">
        <v>72</v>
      </c>
      <c r="Z268" s="141">
        <v>38</v>
      </c>
      <c r="AA268" s="138"/>
      <c r="AB268" s="141"/>
      <c r="AC268" s="28"/>
      <c r="AD268" s="28"/>
      <c r="AE268" s="28"/>
      <c r="AF268" s="28"/>
      <c r="AG268" s="141"/>
    </row>
    <row r="269" spans="2:56" x14ac:dyDescent="0.3">
      <c r="F269" t="s">
        <v>393</v>
      </c>
      <c r="K269" s="5"/>
      <c r="Q269" t="s">
        <v>752</v>
      </c>
      <c r="V269" s="5"/>
      <c r="X269" s="138" t="s">
        <v>72</v>
      </c>
      <c r="Y269" s="138">
        <v>9</v>
      </c>
      <c r="Z269" s="141">
        <v>3</v>
      </c>
      <c r="AA269" s="138"/>
      <c r="AB269" s="141"/>
      <c r="AC269" s="28"/>
      <c r="AD269" s="28"/>
      <c r="AE269" s="28"/>
      <c r="AF269" s="28"/>
      <c r="AG269" s="141"/>
    </row>
    <row r="270" spans="2:56" ht="15" thickBot="1" x14ac:dyDescent="0.35">
      <c r="J270" s="5" t="s">
        <v>26</v>
      </c>
      <c r="U270" s="5" t="s">
        <v>26</v>
      </c>
      <c r="X270" s="138" t="s">
        <v>78</v>
      </c>
      <c r="Y270" s="138">
        <v>48</v>
      </c>
      <c r="Z270" s="141">
        <v>32</v>
      </c>
      <c r="AA270" s="138"/>
      <c r="AB270" s="141"/>
      <c r="AC270" s="28"/>
      <c r="AD270" s="28"/>
      <c r="AE270" s="28"/>
      <c r="AF270" s="28"/>
      <c r="AG270" s="141"/>
      <c r="AH270" t="s">
        <v>6</v>
      </c>
    </row>
    <row r="271" spans="2:56" x14ac:dyDescent="0.3">
      <c r="B271" s="6" t="s">
        <v>17</v>
      </c>
      <c r="C271" s="6" t="s">
        <v>39</v>
      </c>
      <c r="D271" s="7"/>
      <c r="E271" s="6" t="s">
        <v>29</v>
      </c>
      <c r="F271" s="7" t="s">
        <v>30</v>
      </c>
      <c r="G271" s="8" t="s">
        <v>40</v>
      </c>
      <c r="H271" s="8"/>
      <c r="I271" s="8"/>
      <c r="J271" s="8"/>
      <c r="K271" s="7"/>
      <c r="M271" s="6" t="s">
        <v>17</v>
      </c>
      <c r="N271" s="6" t="s">
        <v>39</v>
      </c>
      <c r="O271" s="7"/>
      <c r="P271" s="6" t="s">
        <v>29</v>
      </c>
      <c r="Q271" s="7" t="s">
        <v>30</v>
      </c>
      <c r="R271" s="8" t="s">
        <v>40</v>
      </c>
      <c r="S271" s="8"/>
      <c r="T271" s="8"/>
      <c r="U271" s="8"/>
      <c r="V271" s="7"/>
      <c r="X271" s="138" t="s">
        <v>122</v>
      </c>
      <c r="Y271" s="138">
        <v>23</v>
      </c>
      <c r="Z271" s="141">
        <v>25</v>
      </c>
      <c r="AA271" s="138"/>
      <c r="AB271" s="141"/>
      <c r="AC271" s="28"/>
      <c r="AD271" s="28">
        <v>24</v>
      </c>
      <c r="AE271" s="28" t="s">
        <v>123</v>
      </c>
      <c r="AF271" s="28"/>
      <c r="AG271" s="141"/>
    </row>
    <row r="272" spans="2:56" ht="15" thickBot="1" x14ac:dyDescent="0.35">
      <c r="B272" s="13" t="s">
        <v>42</v>
      </c>
      <c r="C272" s="10" t="s">
        <v>43</v>
      </c>
      <c r="D272" s="11" t="s">
        <v>44</v>
      </c>
      <c r="E272" s="13" t="s">
        <v>43</v>
      </c>
      <c r="F272" s="26" t="s">
        <v>44</v>
      </c>
      <c r="G272" s="27"/>
      <c r="H272" s="27"/>
      <c r="I272" s="27"/>
      <c r="J272" s="27"/>
      <c r="K272" s="26"/>
      <c r="M272" s="13" t="s">
        <v>42</v>
      </c>
      <c r="N272" s="13" t="s">
        <v>43</v>
      </c>
      <c r="O272" s="26" t="s">
        <v>44</v>
      </c>
      <c r="P272" s="13" t="s">
        <v>43</v>
      </c>
      <c r="Q272" s="26" t="s">
        <v>44</v>
      </c>
      <c r="R272" s="27"/>
      <c r="S272" s="27"/>
      <c r="T272" s="27"/>
      <c r="U272" s="27"/>
      <c r="V272" s="26"/>
      <c r="X272" s="138" t="s">
        <v>125</v>
      </c>
      <c r="Y272" s="138">
        <v>0</v>
      </c>
      <c r="Z272" s="141">
        <v>3</v>
      </c>
      <c r="AA272" s="138"/>
      <c r="AB272" s="141"/>
      <c r="AC272" s="28"/>
      <c r="AD272" s="28">
        <v>43</v>
      </c>
      <c r="AE272" s="28" t="s">
        <v>126</v>
      </c>
      <c r="AF272" s="28"/>
      <c r="AG272" s="141"/>
    </row>
    <row r="273" spans="2:61" x14ac:dyDescent="0.3">
      <c r="B273" s="6" t="s">
        <v>56</v>
      </c>
      <c r="C273" s="29">
        <v>1071</v>
      </c>
      <c r="D273" s="30">
        <v>1048</v>
      </c>
      <c r="G273" s="6"/>
      <c r="H273" s="8"/>
      <c r="I273" s="31" t="s">
        <v>57</v>
      </c>
      <c r="J273" s="8"/>
      <c r="K273" s="7"/>
      <c r="L273" s="28"/>
      <c r="M273" s="32" t="s">
        <v>6</v>
      </c>
      <c r="N273" s="43"/>
      <c r="O273" s="54"/>
      <c r="P273" s="33"/>
      <c r="Q273" s="35"/>
      <c r="R273" s="33"/>
      <c r="S273" s="34" t="s">
        <v>91</v>
      </c>
      <c r="T273" s="34"/>
      <c r="U273" s="34"/>
      <c r="V273" s="35"/>
      <c r="W273" s="28"/>
      <c r="X273" s="138" t="s">
        <v>536</v>
      </c>
      <c r="Y273" s="138">
        <v>5</v>
      </c>
      <c r="Z273" s="141">
        <v>0</v>
      </c>
      <c r="AA273" s="138"/>
      <c r="AB273" s="141"/>
      <c r="AC273" s="28"/>
      <c r="AD273" s="28">
        <v>40</v>
      </c>
      <c r="AE273" s="28" t="s">
        <v>129</v>
      </c>
      <c r="AF273" s="28"/>
      <c r="AG273" s="141"/>
    </row>
    <row r="274" spans="2:61" x14ac:dyDescent="0.3">
      <c r="B274" s="36" t="s">
        <v>63</v>
      </c>
      <c r="C274" s="36">
        <v>0</v>
      </c>
      <c r="D274" s="39">
        <v>0</v>
      </c>
      <c r="F274" s="18"/>
      <c r="G274" s="10"/>
      <c r="H274" s="18"/>
      <c r="I274" s="18"/>
      <c r="J274" s="18"/>
      <c r="K274" s="11"/>
      <c r="L274" s="28"/>
      <c r="M274" s="41" t="s">
        <v>56</v>
      </c>
      <c r="N274" s="43">
        <v>1381</v>
      </c>
      <c r="O274" s="54">
        <v>1434</v>
      </c>
      <c r="P274" s="42"/>
      <c r="Q274" s="40"/>
      <c r="R274" s="42"/>
      <c r="S274" s="28"/>
      <c r="T274" s="28"/>
      <c r="U274" s="28"/>
      <c r="V274" s="40"/>
      <c r="W274" s="28"/>
      <c r="X274" s="138" t="s">
        <v>132</v>
      </c>
      <c r="Y274" s="138">
        <v>0</v>
      </c>
      <c r="Z274" s="141">
        <v>0</v>
      </c>
      <c r="AA274" s="138"/>
      <c r="AB274" s="141"/>
      <c r="AC274" s="28"/>
      <c r="AD274" s="28"/>
      <c r="AE274" s="28"/>
      <c r="AF274" s="28"/>
      <c r="AG274" s="141"/>
    </row>
    <row r="275" spans="2:61" ht="15" thickBot="1" x14ac:dyDescent="0.35">
      <c r="B275" s="36" t="s">
        <v>67</v>
      </c>
      <c r="C275" s="36">
        <v>400</v>
      </c>
      <c r="D275" s="39">
        <v>391</v>
      </c>
      <c r="F275" s="18"/>
      <c r="G275" s="10"/>
      <c r="H275" s="37">
        <v>64</v>
      </c>
      <c r="I275" s="37" t="s">
        <v>68</v>
      </c>
      <c r="J275" s="18"/>
      <c r="K275" s="11"/>
      <c r="L275" s="28"/>
      <c r="M275" s="62" t="s">
        <v>6</v>
      </c>
      <c r="N275" s="43"/>
      <c r="O275" s="43"/>
      <c r="P275" s="47"/>
      <c r="Q275" s="49"/>
      <c r="R275" s="47"/>
      <c r="S275" s="48">
        <v>113</v>
      </c>
      <c r="T275" s="48" t="s">
        <v>73</v>
      </c>
      <c r="U275" s="48"/>
      <c r="V275" s="49">
        <f>SUM(S275)</f>
        <v>113</v>
      </c>
      <c r="W275" s="28"/>
      <c r="X275" s="138" t="s">
        <v>81</v>
      </c>
      <c r="Y275" s="138">
        <v>9</v>
      </c>
      <c r="Z275" s="141">
        <v>25</v>
      </c>
      <c r="AA275" s="138"/>
      <c r="AB275" s="141"/>
      <c r="AC275" s="28"/>
      <c r="AD275" s="28"/>
      <c r="AE275" s="28"/>
      <c r="AF275" s="28"/>
      <c r="AG275" s="141"/>
    </row>
    <row r="276" spans="2:61" x14ac:dyDescent="0.3">
      <c r="B276" s="36" t="s">
        <v>72</v>
      </c>
      <c r="C276" s="36">
        <v>0</v>
      </c>
      <c r="D276" s="39">
        <v>0</v>
      </c>
      <c r="F276" s="18"/>
      <c r="G276" s="10"/>
      <c r="H276" s="37">
        <v>63</v>
      </c>
      <c r="I276" s="37" t="s">
        <v>73</v>
      </c>
      <c r="J276" s="18"/>
      <c r="K276" s="11"/>
      <c r="L276" s="28"/>
      <c r="M276" s="10"/>
      <c r="N276" s="29"/>
      <c r="O276" s="31"/>
      <c r="P276" s="33"/>
      <c r="Q276" s="7"/>
      <c r="R276" s="8"/>
      <c r="S276" s="8"/>
      <c r="T276" s="8"/>
      <c r="U276" s="8"/>
      <c r="V276" s="7"/>
      <c r="W276" s="28"/>
      <c r="X276" s="138" t="s">
        <v>138</v>
      </c>
      <c r="Y276" s="138">
        <v>0</v>
      </c>
      <c r="Z276" s="141">
        <v>0</v>
      </c>
      <c r="AA276" s="138"/>
      <c r="AB276" s="141"/>
      <c r="AC276" s="28"/>
      <c r="AD276" s="28"/>
      <c r="AE276" s="28"/>
      <c r="AF276" s="28"/>
      <c r="AG276" s="141"/>
    </row>
    <row r="277" spans="2:61" x14ac:dyDescent="0.3">
      <c r="B277" s="36" t="s">
        <v>78</v>
      </c>
      <c r="C277" s="36">
        <v>0</v>
      </c>
      <c r="D277" s="39">
        <v>0</v>
      </c>
      <c r="F277" s="18"/>
      <c r="G277" s="10"/>
      <c r="H277" s="37"/>
      <c r="I277" s="37"/>
      <c r="J277" s="18"/>
      <c r="K277" s="11"/>
      <c r="L277" s="28"/>
      <c r="M277" s="36" t="s">
        <v>63</v>
      </c>
      <c r="N277" s="10">
        <v>73</v>
      </c>
      <c r="O277" s="18">
        <v>61</v>
      </c>
      <c r="P277" s="42"/>
      <c r="Q277" s="11"/>
      <c r="R277" s="18"/>
      <c r="S277" s="18" t="s">
        <v>110</v>
      </c>
      <c r="T277" s="18" t="s">
        <v>111</v>
      </c>
      <c r="U277" s="18" t="s">
        <v>112</v>
      </c>
      <c r="V277" s="11"/>
      <c r="W277" s="28"/>
      <c r="X277" s="138" t="s">
        <v>230</v>
      </c>
      <c r="Y277" s="138">
        <v>5</v>
      </c>
      <c r="Z277" s="141">
        <v>5</v>
      </c>
      <c r="AA277" s="138"/>
      <c r="AB277" s="141"/>
      <c r="AC277" s="28"/>
      <c r="AD277" s="28"/>
      <c r="AE277" s="28"/>
      <c r="AF277" s="28"/>
      <c r="AG277" s="141"/>
      <c r="BC277" t="s">
        <v>1445</v>
      </c>
    </row>
    <row r="278" spans="2:61" x14ac:dyDescent="0.3">
      <c r="B278" s="52" t="s">
        <v>81</v>
      </c>
      <c r="C278" s="36">
        <v>0</v>
      </c>
      <c r="D278" s="39">
        <v>0</v>
      </c>
      <c r="G278" s="42"/>
      <c r="H278" s="28"/>
      <c r="I278" s="28"/>
      <c r="J278" s="28"/>
      <c r="K278" s="40"/>
      <c r="L278" s="28"/>
      <c r="M278" s="10" t="s">
        <v>115</v>
      </c>
      <c r="N278" s="36">
        <v>77</v>
      </c>
      <c r="O278" s="37">
        <v>67</v>
      </c>
      <c r="P278" s="42"/>
      <c r="Q278" s="11"/>
      <c r="R278" s="18"/>
      <c r="S278" s="18"/>
      <c r="T278" s="18"/>
      <c r="U278" s="18"/>
      <c r="V278" s="11"/>
      <c r="W278" s="28"/>
      <c r="X278" s="138" t="s">
        <v>67</v>
      </c>
      <c r="Y278" s="138">
        <v>101</v>
      </c>
      <c r="Z278" s="141">
        <v>88</v>
      </c>
      <c r="AA278" s="138"/>
      <c r="AB278" s="141"/>
      <c r="AC278" s="28"/>
      <c r="AD278" s="28"/>
      <c r="AE278" s="28"/>
      <c r="AF278" s="28"/>
      <c r="AG278" s="141"/>
      <c r="AO278" t="s">
        <v>4</v>
      </c>
      <c r="BD278" t="s">
        <v>2</v>
      </c>
    </row>
    <row r="279" spans="2:61" ht="15" thickBot="1" x14ac:dyDescent="0.35">
      <c r="B279" s="13" t="s">
        <v>84</v>
      </c>
      <c r="C279" s="13">
        <f>SUM(C273:C278)</f>
        <v>1471</v>
      </c>
      <c r="D279" s="26">
        <f>SUM(D273:D278)</f>
        <v>1439</v>
      </c>
      <c r="F279" s="18"/>
      <c r="G279" s="13"/>
      <c r="H279" s="27"/>
      <c r="I279" s="27"/>
      <c r="J279" s="27"/>
      <c r="K279" s="26">
        <f>SUM(H275:H276)</f>
        <v>127</v>
      </c>
      <c r="L279" s="28"/>
      <c r="M279" s="52" t="s">
        <v>72</v>
      </c>
      <c r="N279" s="52">
        <v>13</v>
      </c>
      <c r="O279" s="54">
        <v>14</v>
      </c>
      <c r="P279" s="42"/>
      <c r="Q279" s="40"/>
      <c r="R279" s="28"/>
      <c r="S279" s="28"/>
      <c r="T279" s="28"/>
      <c r="U279" s="28"/>
      <c r="V279" s="40"/>
      <c r="W279" s="28"/>
      <c r="X279" s="142" t="s">
        <v>84</v>
      </c>
      <c r="Y279" s="142">
        <f>SUM(Y266:Y278)</f>
        <v>366</v>
      </c>
      <c r="Z279" s="146">
        <f>SUM(Z266:Z278)</f>
        <v>274</v>
      </c>
      <c r="AA279" s="142"/>
      <c r="AB279" s="146">
        <v>0</v>
      </c>
      <c r="AC279" s="143"/>
      <c r="AD279" s="143"/>
      <c r="AE279" s="143"/>
      <c r="AF279" s="143"/>
      <c r="AG279" s="146">
        <f>SUM(AD271:AD273)</f>
        <v>107</v>
      </c>
      <c r="AP279" t="s">
        <v>2</v>
      </c>
      <c r="BB279" t="s">
        <v>1447</v>
      </c>
    </row>
    <row r="280" spans="2:61" x14ac:dyDescent="0.3">
      <c r="B280" s="32" t="s">
        <v>6</v>
      </c>
      <c r="C280" s="43"/>
      <c r="D280" s="54"/>
      <c r="E280" s="33"/>
      <c r="F280" s="35"/>
      <c r="G280" s="33"/>
      <c r="H280" s="34" t="s">
        <v>91</v>
      </c>
      <c r="I280" s="34"/>
      <c r="J280" s="34"/>
      <c r="K280" s="35"/>
      <c r="L280" s="28"/>
      <c r="M280" s="36" t="s">
        <v>78</v>
      </c>
      <c r="N280" s="36">
        <v>75</v>
      </c>
      <c r="O280" s="37">
        <v>39</v>
      </c>
      <c r="P280" s="42"/>
      <c r="Q280" s="11"/>
      <c r="R280" s="18"/>
      <c r="S280" s="37"/>
      <c r="T280" s="18"/>
      <c r="U280" s="37"/>
      <c r="V280" s="11"/>
      <c r="W280" s="28"/>
      <c r="X280" s="134"/>
      <c r="Y280" s="134"/>
      <c r="Z280" s="136"/>
      <c r="AA280" s="134"/>
      <c r="AB280" s="136"/>
      <c r="AC280" s="135"/>
      <c r="AD280" s="135"/>
      <c r="AE280" s="135"/>
      <c r="AF280" s="135"/>
      <c r="AG280" s="136"/>
      <c r="AN280" t="s">
        <v>12</v>
      </c>
      <c r="AV280" t="s">
        <v>6</v>
      </c>
      <c r="BC280" s="408" t="s">
        <v>1877</v>
      </c>
      <c r="BD280" s="408"/>
      <c r="BE280" s="408"/>
    </row>
    <row r="281" spans="2:61" x14ac:dyDescent="0.3">
      <c r="B281" s="41"/>
      <c r="E281" s="42"/>
      <c r="F281" s="40"/>
      <c r="G281" s="42"/>
      <c r="H281" s="28"/>
      <c r="I281" s="28"/>
      <c r="J281" s="28"/>
      <c r="K281" s="40"/>
      <c r="L281" s="28" t="s">
        <v>6</v>
      </c>
      <c r="M281" s="10" t="s">
        <v>122</v>
      </c>
      <c r="N281" s="36">
        <v>10</v>
      </c>
      <c r="O281" s="37">
        <v>14</v>
      </c>
      <c r="P281" s="42"/>
      <c r="Q281" s="11"/>
      <c r="R281" s="18"/>
      <c r="S281" s="18">
        <v>34</v>
      </c>
      <c r="T281" s="18" t="s">
        <v>123</v>
      </c>
      <c r="U281" s="18"/>
      <c r="V281" s="11"/>
      <c r="W281" s="28" t="s">
        <v>6</v>
      </c>
      <c r="X281" s="138" t="s">
        <v>63</v>
      </c>
      <c r="Y281" s="138">
        <v>1</v>
      </c>
      <c r="Z281" s="141">
        <v>1</v>
      </c>
      <c r="AA281" s="138"/>
      <c r="AB281" s="141"/>
      <c r="AC281" s="28"/>
      <c r="AD281" s="28"/>
      <c r="AE281" s="28"/>
      <c r="AF281" s="28"/>
      <c r="AG281" s="141"/>
      <c r="AP281" t="s">
        <v>1597</v>
      </c>
      <c r="BH281" s="194" t="s">
        <v>951</v>
      </c>
    </row>
    <row r="282" spans="2:61" x14ac:dyDescent="0.3">
      <c r="B282" s="41" t="s">
        <v>56</v>
      </c>
      <c r="C282">
        <v>818</v>
      </c>
      <c r="D282">
        <v>866</v>
      </c>
      <c r="E282" s="42"/>
      <c r="F282" s="40"/>
      <c r="G282" s="42"/>
      <c r="H282" s="28"/>
      <c r="I282" s="28"/>
      <c r="J282" s="28"/>
      <c r="K282" s="40"/>
      <c r="L282" s="28"/>
      <c r="M282" s="10" t="s">
        <v>125</v>
      </c>
      <c r="N282" s="36">
        <v>19</v>
      </c>
      <c r="O282" s="37">
        <v>12</v>
      </c>
      <c r="P282" s="42"/>
      <c r="Q282" s="11"/>
      <c r="R282" s="18"/>
      <c r="S282" s="18">
        <v>30</v>
      </c>
      <c r="T282" s="18" t="s">
        <v>126</v>
      </c>
      <c r="U282" s="18"/>
      <c r="V282" s="11"/>
      <c r="W282" s="28"/>
      <c r="X282" s="138" t="s">
        <v>536</v>
      </c>
      <c r="Y282" s="138">
        <v>0</v>
      </c>
      <c r="Z282" s="141">
        <v>0</v>
      </c>
      <c r="AA282" s="138"/>
      <c r="AB282" s="141"/>
      <c r="AC282" s="28"/>
      <c r="AD282" s="28"/>
      <c r="AE282" s="28"/>
      <c r="AF282" s="28"/>
      <c r="AG282" s="141"/>
      <c r="AT282" s="194" t="s">
        <v>951</v>
      </c>
      <c r="AZ282" s="134" t="s">
        <v>17</v>
      </c>
      <c r="BA282" s="134" t="s">
        <v>39</v>
      </c>
      <c r="BB282" s="136"/>
      <c r="BC282" s="134" t="s">
        <v>29</v>
      </c>
      <c r="BD282" s="136" t="s">
        <v>30</v>
      </c>
      <c r="BE282" s="135" t="s">
        <v>40</v>
      </c>
      <c r="BF282" s="135"/>
      <c r="BG282" s="135"/>
      <c r="BH282" s="135"/>
      <c r="BI282" s="136"/>
    </row>
    <row r="283" spans="2:61" ht="15" thickBot="1" x14ac:dyDescent="0.35">
      <c r="B283" s="62" t="s">
        <v>6</v>
      </c>
      <c r="C283" s="43"/>
      <c r="D283" s="43"/>
      <c r="E283" s="47"/>
      <c r="F283" s="49"/>
      <c r="G283" s="47"/>
      <c r="H283" s="48">
        <v>91</v>
      </c>
      <c r="I283" s="48" t="s">
        <v>73</v>
      </c>
      <c r="J283" s="48"/>
      <c r="K283" s="49">
        <f>SUM(H283)</f>
        <v>91</v>
      </c>
      <c r="L283" s="28"/>
      <c r="M283" s="84" t="s">
        <v>128</v>
      </c>
      <c r="N283" s="52">
        <v>0</v>
      </c>
      <c r="O283" s="37">
        <v>0</v>
      </c>
      <c r="P283" s="42"/>
      <c r="Q283" s="40"/>
      <c r="R283" s="28"/>
      <c r="S283" s="28">
        <v>41</v>
      </c>
      <c r="T283" s="28" t="s">
        <v>129</v>
      </c>
      <c r="U283" s="28"/>
      <c r="V283" s="40"/>
      <c r="W283" s="28"/>
      <c r="X283" s="138" t="s">
        <v>56</v>
      </c>
      <c r="Y283" s="138">
        <v>0</v>
      </c>
      <c r="Z283" s="141">
        <v>0</v>
      </c>
      <c r="AA283" s="138"/>
      <c r="AB283" s="141"/>
      <c r="AC283" s="28"/>
      <c r="AD283" s="28" t="s">
        <v>173</v>
      </c>
      <c r="AE283" s="28"/>
      <c r="AF283" s="28"/>
      <c r="AG283" s="141"/>
      <c r="AL283" s="134" t="s">
        <v>17</v>
      </c>
      <c r="AM283" s="134" t="s">
        <v>39</v>
      </c>
      <c r="AN283" s="136"/>
      <c r="AO283" s="134" t="s">
        <v>29</v>
      </c>
      <c r="AP283" s="136" t="s">
        <v>30</v>
      </c>
      <c r="AQ283" s="135" t="s">
        <v>40</v>
      </c>
      <c r="AR283" s="135"/>
      <c r="AS283" s="135"/>
      <c r="AT283" s="135"/>
      <c r="AU283" s="136"/>
      <c r="AZ283" s="138" t="s">
        <v>42</v>
      </c>
      <c r="BA283" s="138" t="s">
        <v>43</v>
      </c>
      <c r="BB283" s="141" t="s">
        <v>44</v>
      </c>
      <c r="BC283" s="138" t="s">
        <v>43</v>
      </c>
      <c r="BD283" s="141" t="s">
        <v>44</v>
      </c>
      <c r="BE283" s="28"/>
      <c r="BF283" s="28"/>
      <c r="BG283" s="28"/>
      <c r="BH283" s="28"/>
      <c r="BI283" s="141"/>
    </row>
    <row r="284" spans="2:61" x14ac:dyDescent="0.3">
      <c r="B284" s="10"/>
      <c r="C284" s="29"/>
      <c r="D284" s="31"/>
      <c r="E284" s="33"/>
      <c r="F284" s="7"/>
      <c r="G284" s="8"/>
      <c r="H284" s="8"/>
      <c r="I284" s="8"/>
      <c r="J284" s="8"/>
      <c r="K284" s="7"/>
      <c r="L284" s="28"/>
      <c r="M284" s="84" t="s">
        <v>132</v>
      </c>
      <c r="N284" s="42">
        <v>0</v>
      </c>
      <c r="O284" s="37">
        <v>4</v>
      </c>
      <c r="P284" s="42"/>
      <c r="Q284" s="40"/>
      <c r="R284" s="28"/>
      <c r="S284" s="28"/>
      <c r="T284" s="28"/>
      <c r="U284" s="28"/>
      <c r="V284" s="40"/>
      <c r="W284" s="28"/>
      <c r="X284" s="138" t="s">
        <v>67</v>
      </c>
      <c r="Y284" s="138">
        <v>6</v>
      </c>
      <c r="Z284" s="141">
        <v>7</v>
      </c>
      <c r="AA284" s="138"/>
      <c r="AB284" s="141"/>
      <c r="AC284" s="28"/>
      <c r="AD284" s="28"/>
      <c r="AE284" s="28"/>
      <c r="AF284" s="28"/>
      <c r="AG284" s="141"/>
      <c r="AL284" s="138" t="s">
        <v>42</v>
      </c>
      <c r="AM284" s="138" t="s">
        <v>43</v>
      </c>
      <c r="AN284" s="141" t="s">
        <v>44</v>
      </c>
      <c r="AO284" s="138" t="s">
        <v>43</v>
      </c>
      <c r="AP284" s="141" t="s">
        <v>44</v>
      </c>
      <c r="AQ284" s="28"/>
      <c r="AR284" s="28"/>
      <c r="AS284" s="28"/>
      <c r="AT284" s="28"/>
      <c r="AU284" s="141"/>
      <c r="AZ284" s="134" t="s">
        <v>81</v>
      </c>
      <c r="BA284" s="134">
        <v>3</v>
      </c>
      <c r="BB284" s="136"/>
      <c r="BC284" s="134"/>
      <c r="BD284" s="136"/>
      <c r="BE284" s="135"/>
      <c r="BF284" s="135" t="s">
        <v>91</v>
      </c>
      <c r="BG284" s="135"/>
      <c r="BH284" s="135"/>
      <c r="BI284" s="136"/>
    </row>
    <row r="285" spans="2:61" x14ac:dyDescent="0.3">
      <c r="B285" s="36" t="s">
        <v>63</v>
      </c>
      <c r="C285" s="10">
        <v>133</v>
      </c>
      <c r="D285" s="18">
        <v>105</v>
      </c>
      <c r="E285" s="42"/>
      <c r="F285" s="11"/>
      <c r="G285" s="18"/>
      <c r="H285" s="18" t="s">
        <v>110</v>
      </c>
      <c r="I285" s="18" t="s">
        <v>111</v>
      </c>
      <c r="J285" s="18" t="s">
        <v>112</v>
      </c>
      <c r="K285" s="11"/>
      <c r="L285" s="45"/>
      <c r="M285" s="84" t="s">
        <v>81</v>
      </c>
      <c r="N285" s="42">
        <v>15</v>
      </c>
      <c r="O285" s="37">
        <v>22</v>
      </c>
      <c r="P285" s="42"/>
      <c r="Q285" s="40"/>
      <c r="R285" s="28"/>
      <c r="S285" s="28"/>
      <c r="T285" s="28"/>
      <c r="U285" s="28"/>
      <c r="V285" s="40"/>
      <c r="W285" s="45"/>
      <c r="X285" s="138" t="s">
        <v>78</v>
      </c>
      <c r="Y285" s="138">
        <v>0</v>
      </c>
      <c r="Z285" s="141">
        <v>0</v>
      </c>
      <c r="AA285" s="138"/>
      <c r="AB285" s="141"/>
      <c r="AC285" s="28"/>
      <c r="AD285" s="28">
        <v>5</v>
      </c>
      <c r="AE285" s="28" t="s">
        <v>183</v>
      </c>
      <c r="AF285" s="28"/>
      <c r="AG285" s="141"/>
      <c r="AL285" s="134"/>
      <c r="AM285" s="134"/>
      <c r="AN285" s="136"/>
      <c r="AO285" s="134"/>
      <c r="AP285" s="136"/>
      <c r="AQ285" s="135"/>
      <c r="AR285" s="135"/>
      <c r="AS285" s="135"/>
      <c r="AT285" s="135"/>
      <c r="AU285" s="136"/>
      <c r="AZ285" s="138" t="s">
        <v>56</v>
      </c>
      <c r="BA285" s="138">
        <v>1541</v>
      </c>
      <c r="BB285" s="141">
        <v>1494</v>
      </c>
      <c r="BC285" s="138">
        <v>0</v>
      </c>
      <c r="BD285" s="141">
        <v>0</v>
      </c>
      <c r="BE285" s="28"/>
      <c r="BF285" s="43">
        <v>84</v>
      </c>
      <c r="BG285" s="28" t="s">
        <v>1026</v>
      </c>
      <c r="BH285" s="43"/>
      <c r="BI285" s="141"/>
    </row>
    <row r="286" spans="2:61" x14ac:dyDescent="0.3">
      <c r="B286" s="10" t="s">
        <v>115</v>
      </c>
      <c r="C286" s="36">
        <v>16</v>
      </c>
      <c r="D286" s="37">
        <v>20</v>
      </c>
      <c r="E286" s="42"/>
      <c r="F286" s="11"/>
      <c r="G286" s="18"/>
      <c r="H286" s="18"/>
      <c r="I286" s="18"/>
      <c r="J286" s="18"/>
      <c r="K286" s="11"/>
      <c r="L286" s="28"/>
      <c r="M286" s="10" t="s">
        <v>138</v>
      </c>
      <c r="N286" s="36">
        <v>0</v>
      </c>
      <c r="O286" s="37">
        <v>5</v>
      </c>
      <c r="P286" s="42"/>
      <c r="Q286" s="11"/>
      <c r="R286" s="18"/>
      <c r="S286" s="18"/>
      <c r="T286" s="18"/>
      <c r="U286" s="18"/>
      <c r="V286" s="11"/>
      <c r="W286" s="28"/>
      <c r="X286" s="138" t="s">
        <v>115</v>
      </c>
      <c r="Y286" s="138">
        <v>0</v>
      </c>
      <c r="Z286" s="141">
        <v>0</v>
      </c>
      <c r="AA286" s="138"/>
      <c r="AB286" s="141"/>
      <c r="AC286" s="28"/>
      <c r="AD286" s="28" t="s">
        <v>6</v>
      </c>
      <c r="AE286" s="28"/>
      <c r="AF286" s="28"/>
      <c r="AG286" s="141"/>
      <c r="AL286" s="138"/>
      <c r="AM286" s="138" t="s">
        <v>6</v>
      </c>
      <c r="AN286" s="141" t="s">
        <v>6</v>
      </c>
      <c r="AO286" s="138"/>
      <c r="AP286" s="141"/>
      <c r="AQ286" s="28"/>
      <c r="AR286" s="28" t="s">
        <v>91</v>
      </c>
      <c r="AS286" s="28"/>
      <c r="AT286" s="28"/>
      <c r="AU286" s="141"/>
      <c r="AZ286" s="138" t="s">
        <v>67</v>
      </c>
      <c r="BA286" s="138"/>
      <c r="BB286" s="141"/>
      <c r="BC286" s="138">
        <v>0</v>
      </c>
      <c r="BD286" s="141">
        <v>0</v>
      </c>
      <c r="BE286" s="28"/>
      <c r="BF286" s="43">
        <v>1</v>
      </c>
      <c r="BG286" s="28" t="s">
        <v>1879</v>
      </c>
      <c r="BH286" s="43"/>
      <c r="BI286" s="141"/>
    </row>
    <row r="287" spans="2:61" x14ac:dyDescent="0.3">
      <c r="B287" s="52" t="s">
        <v>72</v>
      </c>
      <c r="C287" s="52">
        <v>2</v>
      </c>
      <c r="D287" s="54">
        <v>0</v>
      </c>
      <c r="E287" s="42"/>
      <c r="F287" s="40"/>
      <c r="G287" s="28"/>
      <c r="H287" s="28"/>
      <c r="I287" s="28"/>
      <c r="J287" s="28"/>
      <c r="K287" s="40"/>
      <c r="L287" s="28"/>
      <c r="M287" s="84" t="s">
        <v>56</v>
      </c>
      <c r="N287" s="42">
        <v>0</v>
      </c>
      <c r="O287" s="54">
        <v>0</v>
      </c>
      <c r="P287" s="42"/>
      <c r="Q287" s="40"/>
      <c r="R287" s="28"/>
      <c r="S287" s="28"/>
      <c r="T287" s="28"/>
      <c r="U287" s="28"/>
      <c r="V287" s="40"/>
      <c r="W287" s="28"/>
      <c r="X287" s="138" t="s">
        <v>72</v>
      </c>
      <c r="Y287" s="138">
        <v>0</v>
      </c>
      <c r="Z287" s="141">
        <v>0</v>
      </c>
      <c r="AA287" s="138"/>
      <c r="AB287" s="141"/>
      <c r="AC287" s="28"/>
      <c r="AD287" s="28"/>
      <c r="AE287" s="28"/>
      <c r="AF287" s="28"/>
      <c r="AG287" s="141"/>
      <c r="AL287" s="138" t="s">
        <v>56</v>
      </c>
      <c r="AM287" s="138">
        <v>1338</v>
      </c>
      <c r="AN287" s="141">
        <v>1349</v>
      </c>
      <c r="AO287" s="138"/>
      <c r="AP287" s="141"/>
      <c r="AQ287" s="28"/>
      <c r="AR287" s="28"/>
      <c r="AS287" s="28"/>
      <c r="AT287" s="28"/>
      <c r="AU287" s="141"/>
      <c r="AZ287" s="142" t="s">
        <v>84</v>
      </c>
      <c r="BA287" s="142">
        <v>1544</v>
      </c>
      <c r="BB287" s="146">
        <v>1494</v>
      </c>
      <c r="BC287" s="142"/>
      <c r="BD287" s="146"/>
      <c r="BE287" s="143"/>
      <c r="BF287" s="143">
        <v>22</v>
      </c>
      <c r="BG287" s="143" t="s">
        <v>73</v>
      </c>
      <c r="BH287" s="143"/>
      <c r="BI287" s="251">
        <v>107</v>
      </c>
    </row>
    <row r="288" spans="2:61" x14ac:dyDescent="0.3">
      <c r="B288" s="36" t="s">
        <v>78</v>
      </c>
      <c r="C288" s="36">
        <v>60</v>
      </c>
      <c r="D288" s="37">
        <v>34</v>
      </c>
      <c r="E288" s="42"/>
      <c r="F288" s="11"/>
      <c r="G288" s="18"/>
      <c r="H288" s="37"/>
      <c r="I288" s="18"/>
      <c r="J288" s="37"/>
      <c r="K288" s="11"/>
      <c r="L288" s="28"/>
      <c r="M288" s="36" t="s">
        <v>67</v>
      </c>
      <c r="N288" s="10">
        <v>78</v>
      </c>
      <c r="O288" s="18">
        <v>71</v>
      </c>
      <c r="P288" s="42"/>
      <c r="Q288" s="11"/>
      <c r="R288" s="18"/>
      <c r="S288" s="18"/>
      <c r="T288" s="18"/>
      <c r="U288" s="18"/>
      <c r="V288" s="11"/>
      <c r="W288" s="28"/>
      <c r="X288" s="142" t="s">
        <v>84</v>
      </c>
      <c r="Y288" s="142">
        <f>SUM(Y281:Y287)</f>
        <v>7</v>
      </c>
      <c r="Z288" s="146">
        <f>SUM(Z281:Z287)</f>
        <v>8</v>
      </c>
      <c r="AA288" s="142"/>
      <c r="AB288" s="146"/>
      <c r="AC288" s="143"/>
      <c r="AD288" s="143"/>
      <c r="AE288" s="143"/>
      <c r="AF288" s="143"/>
      <c r="AG288" s="146">
        <f>SUM(AD285)</f>
        <v>5</v>
      </c>
      <c r="AL288" s="142" t="s">
        <v>6</v>
      </c>
      <c r="AM288" s="142"/>
      <c r="AN288" s="146"/>
      <c r="AO288" s="142"/>
      <c r="AP288" s="146"/>
      <c r="AQ288" s="143"/>
      <c r="AR288" s="143">
        <v>95</v>
      </c>
      <c r="AS288" s="143" t="s">
        <v>73</v>
      </c>
      <c r="AT288" s="143"/>
      <c r="AU288" s="146">
        <f>SUM(AR288)</f>
        <v>95</v>
      </c>
      <c r="AZ288" s="134"/>
      <c r="BA288" s="134"/>
      <c r="BB288" s="136"/>
      <c r="BC288" s="134"/>
      <c r="BD288" s="136"/>
      <c r="BE288" s="135"/>
      <c r="BF288" s="135"/>
      <c r="BG288" s="135"/>
      <c r="BH288" s="135"/>
      <c r="BI288" s="136"/>
    </row>
    <row r="289" spans="1:61" ht="15" thickBot="1" x14ac:dyDescent="0.35">
      <c r="B289" s="10" t="s">
        <v>122</v>
      </c>
      <c r="C289" s="36">
        <v>7</v>
      </c>
      <c r="D289" s="37">
        <v>14</v>
      </c>
      <c r="E289" s="42"/>
      <c r="F289" s="11"/>
      <c r="G289" s="18"/>
      <c r="H289" s="18">
        <v>40</v>
      </c>
      <c r="I289" s="18" t="s">
        <v>123</v>
      </c>
      <c r="J289" s="18"/>
      <c r="K289" s="11"/>
      <c r="L289" s="28"/>
      <c r="M289" s="13" t="s">
        <v>84</v>
      </c>
      <c r="N289" s="13">
        <f>SUM(N277:N288)</f>
        <v>360</v>
      </c>
      <c r="O289" s="27">
        <f>SUM(O277:O288)</f>
        <v>309</v>
      </c>
      <c r="P289" s="47"/>
      <c r="Q289" s="26">
        <f>SUM(Q281:Q288)</f>
        <v>0</v>
      </c>
      <c r="R289" s="27"/>
      <c r="S289" s="27"/>
      <c r="T289" s="27"/>
      <c r="U289" s="27"/>
      <c r="V289" s="26">
        <f>SUM(S281:S283)</f>
        <v>105</v>
      </c>
      <c r="W289" s="28"/>
      <c r="X289" s="134"/>
      <c r="Y289" s="134"/>
      <c r="Z289" s="136"/>
      <c r="AA289" s="134"/>
      <c r="AB289" s="136"/>
      <c r="AC289" s="135"/>
      <c r="AD289" s="135"/>
      <c r="AE289" s="135"/>
      <c r="AF289" s="135"/>
      <c r="AG289" s="136"/>
      <c r="AL289" s="134"/>
      <c r="AM289" s="134"/>
      <c r="AN289" s="136"/>
      <c r="AO289" s="134"/>
      <c r="AP289" s="136"/>
      <c r="AQ289" s="135"/>
      <c r="AR289" s="135"/>
      <c r="AS289" s="135"/>
      <c r="AT289" s="135"/>
      <c r="AU289" s="136"/>
      <c r="AZ289" s="138"/>
      <c r="BA289" s="138"/>
      <c r="BB289" s="141"/>
      <c r="BC289" s="138"/>
      <c r="BD289" s="141"/>
      <c r="BE289" s="28"/>
      <c r="BF289" s="28" t="s">
        <v>110</v>
      </c>
      <c r="BG289" s="28" t="s">
        <v>111</v>
      </c>
      <c r="BH289" s="28" t="s">
        <v>112</v>
      </c>
      <c r="BI289" s="141"/>
    </row>
    <row r="290" spans="1:61" x14ac:dyDescent="0.3">
      <c r="B290" s="10" t="s">
        <v>125</v>
      </c>
      <c r="C290" s="36">
        <v>16</v>
      </c>
      <c r="D290" s="37">
        <v>0</v>
      </c>
      <c r="E290" s="42"/>
      <c r="F290" s="11"/>
      <c r="G290" s="18"/>
      <c r="H290" s="18">
        <v>30</v>
      </c>
      <c r="I290" s="18" t="s">
        <v>126</v>
      </c>
      <c r="J290" s="18"/>
      <c r="K290" s="11"/>
      <c r="L290" s="28"/>
      <c r="M290" s="32"/>
      <c r="N290" s="53"/>
      <c r="O290" s="97"/>
      <c r="P290" s="33"/>
      <c r="Q290" s="7"/>
      <c r="R290" s="6"/>
      <c r="S290" s="8"/>
      <c r="T290" s="31"/>
      <c r="U290" s="8"/>
      <c r="V290" s="7"/>
      <c r="W290" s="28"/>
      <c r="X290" s="138" t="s">
        <v>63</v>
      </c>
      <c r="Y290" s="138">
        <f>4+7</f>
        <v>11</v>
      </c>
      <c r="Z290" s="141">
        <f>7+8</f>
        <v>15</v>
      </c>
      <c r="AA290" s="138"/>
      <c r="AB290" s="141"/>
      <c r="AC290" s="28"/>
      <c r="AD290" s="28" t="s">
        <v>140</v>
      </c>
      <c r="AE290" s="28"/>
      <c r="AF290" s="28"/>
      <c r="AG290" s="141"/>
      <c r="AL290" s="138" t="s">
        <v>63</v>
      </c>
      <c r="AM290" s="138">
        <v>87</v>
      </c>
      <c r="AN290" s="141">
        <v>72</v>
      </c>
      <c r="AO290" s="138"/>
      <c r="AP290" s="141"/>
      <c r="AQ290" s="28"/>
      <c r="AR290" s="28" t="s">
        <v>110</v>
      </c>
      <c r="AS290" s="28" t="s">
        <v>111</v>
      </c>
      <c r="AT290" s="28" t="s">
        <v>112</v>
      </c>
      <c r="AU290" s="141"/>
      <c r="AZ290" s="138" t="s">
        <v>1599</v>
      </c>
      <c r="BA290" s="138">
        <v>11</v>
      </c>
      <c r="BB290" s="141">
        <v>5</v>
      </c>
      <c r="BC290" s="138"/>
      <c r="BD290" s="141"/>
      <c r="BE290" s="43"/>
      <c r="BF290" s="28"/>
      <c r="BG290" s="28"/>
      <c r="BH290" s="28"/>
      <c r="BI290" s="141"/>
    </row>
    <row r="291" spans="1:61" ht="15" thickBot="1" x14ac:dyDescent="0.35">
      <c r="B291" s="84" t="s">
        <v>230</v>
      </c>
      <c r="C291" s="52">
        <v>1</v>
      </c>
      <c r="D291" s="37">
        <v>1</v>
      </c>
      <c r="E291" s="42"/>
      <c r="F291" s="40"/>
      <c r="G291" s="28"/>
      <c r="H291" s="28">
        <v>20</v>
      </c>
      <c r="I291" s="28" t="s">
        <v>129</v>
      </c>
      <c r="J291" s="28"/>
      <c r="K291" s="40"/>
      <c r="M291" s="62"/>
      <c r="N291" s="72"/>
      <c r="O291" s="73"/>
      <c r="P291" s="47"/>
      <c r="Q291" s="49"/>
      <c r="R291" s="47"/>
      <c r="S291" s="48"/>
      <c r="T291" s="48"/>
      <c r="U291" s="48"/>
      <c r="V291" s="49"/>
      <c r="X291" s="138" t="s">
        <v>78</v>
      </c>
      <c r="Y291" s="138">
        <f>24+3</f>
        <v>27</v>
      </c>
      <c r="Z291" s="141">
        <f>14+3</f>
        <v>17</v>
      </c>
      <c r="AA291" s="138"/>
      <c r="AB291" s="141"/>
      <c r="AC291" s="28"/>
      <c r="AD291" s="28">
        <v>19</v>
      </c>
      <c r="AE291" s="28" t="s">
        <v>204</v>
      </c>
      <c r="AF291" s="28"/>
      <c r="AG291" s="141"/>
      <c r="AL291" s="138" t="s">
        <v>115</v>
      </c>
      <c r="AM291" s="138">
        <v>79</v>
      </c>
      <c r="AN291" s="141">
        <v>42</v>
      </c>
      <c r="AO291" s="138"/>
      <c r="AP291" s="141"/>
      <c r="AQ291" s="28"/>
      <c r="AR291" s="28"/>
      <c r="AS291" s="28"/>
      <c r="AT291" s="28"/>
      <c r="AU291" s="141"/>
      <c r="AZ291" s="138" t="s">
        <v>132</v>
      </c>
      <c r="BA291" s="138"/>
      <c r="BB291" s="141"/>
      <c r="BC291" s="138">
        <v>0</v>
      </c>
      <c r="BD291" s="141">
        <v>0</v>
      </c>
      <c r="BE291" s="28"/>
      <c r="BF291" s="43"/>
      <c r="BG291" s="28"/>
      <c r="BH291" s="28"/>
      <c r="BI291" s="141"/>
    </row>
    <row r="292" spans="1:61" x14ac:dyDescent="0.3">
      <c r="B292" s="84" t="s">
        <v>132</v>
      </c>
      <c r="C292" s="42">
        <v>0</v>
      </c>
      <c r="D292" s="37">
        <v>0</v>
      </c>
      <c r="E292" s="42"/>
      <c r="F292" s="40"/>
      <c r="G292" s="28"/>
      <c r="H292" s="28"/>
      <c r="I292" s="28"/>
      <c r="J292" s="28"/>
      <c r="K292" s="40"/>
      <c r="L292" s="28"/>
      <c r="M292" s="67" t="s">
        <v>63</v>
      </c>
      <c r="N292" s="33">
        <v>4</v>
      </c>
      <c r="O292" s="35">
        <v>4</v>
      </c>
      <c r="R292" s="33"/>
      <c r="S292" s="34"/>
      <c r="T292" s="34"/>
      <c r="U292" s="34"/>
      <c r="V292" s="35"/>
      <c r="W292" s="28"/>
      <c r="X292" s="138" t="s">
        <v>209</v>
      </c>
      <c r="Y292" s="138">
        <v>0</v>
      </c>
      <c r="Z292" s="141">
        <v>0</v>
      </c>
      <c r="AA292" s="138"/>
      <c r="AB292" s="141"/>
      <c r="AC292" s="28"/>
      <c r="AD292" s="28">
        <v>2</v>
      </c>
      <c r="AE292" s="28" t="s">
        <v>1018</v>
      </c>
      <c r="AF292" s="28" t="s">
        <v>6</v>
      </c>
      <c r="AG292" s="141"/>
      <c r="AL292" s="138" t="s">
        <v>72</v>
      </c>
      <c r="AM292" s="138">
        <v>0</v>
      </c>
      <c r="AN292" s="141">
        <v>3</v>
      </c>
      <c r="AO292" s="138"/>
      <c r="AP292" s="141"/>
      <c r="AQ292" s="28"/>
      <c r="AR292" s="28"/>
      <c r="AS292" s="28"/>
      <c r="AT292" s="28"/>
      <c r="AU292" s="141"/>
      <c r="AZ292" s="138" t="s">
        <v>63</v>
      </c>
      <c r="BA292" s="138">
        <v>83</v>
      </c>
      <c r="BB292" s="141">
        <v>43</v>
      </c>
      <c r="BC292" s="138">
        <v>0</v>
      </c>
      <c r="BD292" s="141">
        <v>0</v>
      </c>
      <c r="BE292" s="28"/>
      <c r="BF292" s="28"/>
      <c r="BG292" s="28"/>
      <c r="BH292" s="28"/>
      <c r="BI292" s="141"/>
    </row>
    <row r="293" spans="1:61" x14ac:dyDescent="0.3">
      <c r="B293" s="84" t="s">
        <v>81</v>
      </c>
      <c r="C293" s="42">
        <v>5</v>
      </c>
      <c r="D293" s="37">
        <v>15</v>
      </c>
      <c r="E293" s="42"/>
      <c r="F293" s="40"/>
      <c r="G293" s="28"/>
      <c r="H293" s="28"/>
      <c r="I293" s="28"/>
      <c r="J293" s="28"/>
      <c r="K293" s="40"/>
      <c r="L293" s="28"/>
      <c r="M293" s="67" t="s">
        <v>716</v>
      </c>
      <c r="N293" s="42">
        <v>0</v>
      </c>
      <c r="O293" s="40">
        <v>0</v>
      </c>
      <c r="R293" s="42"/>
      <c r="S293" s="28"/>
      <c r="T293" s="28"/>
      <c r="U293" s="28"/>
      <c r="V293" s="40"/>
      <c r="W293" s="28"/>
      <c r="X293" s="138" t="s">
        <v>168</v>
      </c>
      <c r="Y293" s="138">
        <v>0</v>
      </c>
      <c r="Z293" s="141">
        <v>0</v>
      </c>
      <c r="AA293" s="138"/>
      <c r="AB293" s="141"/>
      <c r="AC293" s="28"/>
      <c r="AD293" s="28">
        <v>15</v>
      </c>
      <c r="AE293" s="28" t="s">
        <v>213</v>
      </c>
      <c r="AF293" s="28" t="s">
        <v>6</v>
      </c>
      <c r="AG293" s="141"/>
      <c r="AL293" s="138" t="s">
        <v>78</v>
      </c>
      <c r="AM293" s="138">
        <v>28</v>
      </c>
      <c r="AN293" s="141">
        <v>4</v>
      </c>
      <c r="AO293" s="138"/>
      <c r="AP293" s="141"/>
      <c r="AQ293" s="28"/>
      <c r="AR293" s="28"/>
      <c r="AS293" s="28"/>
      <c r="AT293" s="28"/>
      <c r="AU293" s="141"/>
      <c r="AV293" t="s">
        <v>6</v>
      </c>
      <c r="AZ293" s="138" t="s">
        <v>56</v>
      </c>
      <c r="BA293" s="138">
        <v>10</v>
      </c>
      <c r="BB293" s="141">
        <v>4</v>
      </c>
      <c r="BC293" s="138">
        <v>0</v>
      </c>
      <c r="BD293" s="141">
        <v>0</v>
      </c>
      <c r="BE293" s="28"/>
      <c r="BF293" s="43">
        <v>41</v>
      </c>
      <c r="BG293" s="28" t="s">
        <v>123</v>
      </c>
      <c r="BH293" s="28" t="s">
        <v>6</v>
      </c>
      <c r="BI293" s="141"/>
    </row>
    <row r="294" spans="1:61" x14ac:dyDescent="0.3">
      <c r="B294" s="10" t="s">
        <v>138</v>
      </c>
      <c r="C294" s="36">
        <v>7</v>
      </c>
      <c r="D294" s="37">
        <v>2</v>
      </c>
      <c r="E294" s="42"/>
      <c r="F294" s="11"/>
      <c r="G294" s="18"/>
      <c r="H294" s="18"/>
      <c r="I294" s="18"/>
      <c r="J294" s="18"/>
      <c r="K294" s="11"/>
      <c r="L294" s="28"/>
      <c r="M294" s="52" t="s">
        <v>56</v>
      </c>
      <c r="N294" s="52">
        <v>0</v>
      </c>
      <c r="O294" s="85">
        <v>0</v>
      </c>
      <c r="P294" s="28"/>
      <c r="Q294" s="28"/>
      <c r="R294" s="42"/>
      <c r="S294" s="28" t="s">
        <v>173</v>
      </c>
      <c r="T294" s="28"/>
      <c r="U294" s="28"/>
      <c r="V294" s="40"/>
      <c r="W294" s="28"/>
      <c r="X294" s="138" t="s">
        <v>81</v>
      </c>
      <c r="Y294" s="138">
        <f>6+4</f>
        <v>10</v>
      </c>
      <c r="Z294" s="141">
        <f>6+4</f>
        <v>10</v>
      </c>
      <c r="AA294" s="138"/>
      <c r="AB294" s="141"/>
      <c r="AC294" s="28"/>
      <c r="AD294" s="43">
        <v>4</v>
      </c>
      <c r="AE294" s="28" t="s">
        <v>1038</v>
      </c>
      <c r="AF294" s="28"/>
      <c r="AG294" s="141" t="s">
        <v>6</v>
      </c>
      <c r="AL294" s="138" t="s">
        <v>122</v>
      </c>
      <c r="AM294" s="138">
        <v>0</v>
      </c>
      <c r="AN294" s="141">
        <v>3</v>
      </c>
      <c r="AO294" s="138"/>
      <c r="AP294" s="141"/>
      <c r="AQ294" s="28"/>
      <c r="AR294" s="28">
        <v>39</v>
      </c>
      <c r="AS294" s="28" t="s">
        <v>123</v>
      </c>
      <c r="AT294" s="28" t="s">
        <v>6</v>
      </c>
      <c r="AU294" s="141"/>
      <c r="AZ294" s="138" t="s">
        <v>72</v>
      </c>
      <c r="BA294" s="138">
        <v>27</v>
      </c>
      <c r="BB294" s="141">
        <v>13</v>
      </c>
      <c r="BC294" s="138">
        <v>0</v>
      </c>
      <c r="BD294" s="141">
        <v>0</v>
      </c>
      <c r="BE294" s="28"/>
      <c r="BF294" s="43">
        <v>31</v>
      </c>
      <c r="BG294" s="28" t="s">
        <v>126</v>
      </c>
      <c r="BH294" s="28"/>
      <c r="BI294" s="141"/>
    </row>
    <row r="295" spans="1:61" x14ac:dyDescent="0.3">
      <c r="B295" s="84" t="s">
        <v>56</v>
      </c>
      <c r="C295" s="42">
        <v>9</v>
      </c>
      <c r="D295" s="54">
        <v>7</v>
      </c>
      <c r="E295" s="42"/>
      <c r="F295" s="40"/>
      <c r="G295" s="28"/>
      <c r="H295" s="28"/>
      <c r="I295" s="28"/>
      <c r="J295" s="28"/>
      <c r="K295" s="40"/>
      <c r="L295" s="28"/>
      <c r="M295" s="52" t="s">
        <v>67</v>
      </c>
      <c r="N295" s="52">
        <v>7</v>
      </c>
      <c r="O295" s="56">
        <v>7</v>
      </c>
      <c r="R295" s="42"/>
      <c r="S295" s="28"/>
      <c r="T295" s="28" t="s">
        <v>213</v>
      </c>
      <c r="U295" s="28"/>
      <c r="V295" s="40"/>
      <c r="W295" s="28"/>
      <c r="X295" s="138" t="s">
        <v>72</v>
      </c>
      <c r="Y295" s="138">
        <f>17+7+1+18</f>
        <v>43</v>
      </c>
      <c r="Z295" s="141">
        <f>7+6+1+18</f>
        <v>32</v>
      </c>
      <c r="AA295" s="138"/>
      <c r="AB295" s="141"/>
      <c r="AC295" s="28"/>
      <c r="AD295" s="43">
        <v>3</v>
      </c>
      <c r="AE295" s="28" t="s">
        <v>216</v>
      </c>
      <c r="AF295" s="28"/>
      <c r="AG295" s="141"/>
      <c r="AL295" s="138" t="s">
        <v>125</v>
      </c>
      <c r="AM295" s="138">
        <v>0</v>
      </c>
      <c r="AN295" s="141">
        <v>0</v>
      </c>
      <c r="AO295" s="138"/>
      <c r="AP295" s="141"/>
      <c r="AQ295" s="28"/>
      <c r="AR295" s="28">
        <v>29</v>
      </c>
      <c r="AS295" s="28" t="s">
        <v>126</v>
      </c>
      <c r="AT295" s="28"/>
      <c r="AU295" s="141"/>
      <c r="AW295" t="s">
        <v>6</v>
      </c>
      <c r="AZ295" s="138" t="s">
        <v>78</v>
      </c>
      <c r="BA295" s="138">
        <v>10</v>
      </c>
      <c r="BB295" s="141">
        <v>8</v>
      </c>
      <c r="BC295" s="138">
        <v>0</v>
      </c>
      <c r="BD295" s="141">
        <v>0</v>
      </c>
      <c r="BE295" s="28"/>
      <c r="BF295" s="43">
        <v>34</v>
      </c>
      <c r="BG295" s="28" t="s">
        <v>129</v>
      </c>
      <c r="BH295" s="28" t="s">
        <v>6</v>
      </c>
      <c r="BI295" s="141"/>
    </row>
    <row r="296" spans="1:61" x14ac:dyDescent="0.3">
      <c r="B296" s="36" t="s">
        <v>67</v>
      </c>
      <c r="C296" s="10">
        <v>21</v>
      </c>
      <c r="D296" s="18">
        <v>29</v>
      </c>
      <c r="E296" s="42"/>
      <c r="F296" s="11"/>
      <c r="G296" s="18"/>
      <c r="H296" s="18"/>
      <c r="I296" s="18"/>
      <c r="J296" s="18"/>
      <c r="K296" s="11"/>
      <c r="L296" s="28"/>
      <c r="M296" s="10" t="s">
        <v>78</v>
      </c>
      <c r="N296" s="52">
        <v>1</v>
      </c>
      <c r="O296" s="85">
        <v>11</v>
      </c>
      <c r="P296" s="28"/>
      <c r="Q296" s="28"/>
      <c r="R296" s="42"/>
      <c r="S296" s="28">
        <v>18</v>
      </c>
      <c r="T296" s="28" t="s">
        <v>183</v>
      </c>
      <c r="U296" s="28"/>
      <c r="V296" s="40"/>
      <c r="W296" s="28"/>
      <c r="X296" s="138" t="s">
        <v>115</v>
      </c>
      <c r="Y296" s="138">
        <v>14</v>
      </c>
      <c r="Z296" s="141">
        <v>5</v>
      </c>
      <c r="AA296" s="138"/>
      <c r="AB296" s="141"/>
      <c r="AC296" s="28"/>
      <c r="AD296" s="43">
        <v>15</v>
      </c>
      <c r="AE296" s="28" t="s">
        <v>217</v>
      </c>
      <c r="AF296" s="28"/>
      <c r="AG296" s="141"/>
      <c r="AL296" s="138" t="s">
        <v>128</v>
      </c>
      <c r="AM296" s="138">
        <v>4</v>
      </c>
      <c r="AN296" s="141">
        <v>0</v>
      </c>
      <c r="AO296" s="138"/>
      <c r="AP296" s="141"/>
      <c r="AQ296" s="28"/>
      <c r="AR296" s="28">
        <v>33</v>
      </c>
      <c r="AS296" s="28" t="s">
        <v>129</v>
      </c>
      <c r="AT296" s="28" t="s">
        <v>6</v>
      </c>
      <c r="AU296" s="141"/>
      <c r="AW296" t="s">
        <v>6</v>
      </c>
      <c r="AZ296" s="138" t="s">
        <v>67</v>
      </c>
      <c r="BA296" s="138">
        <v>85</v>
      </c>
      <c r="BB296" s="141">
        <v>76</v>
      </c>
      <c r="BC296" s="138">
        <v>0</v>
      </c>
      <c r="BD296" s="141">
        <v>0</v>
      </c>
      <c r="BE296" s="28"/>
      <c r="BF296" s="28"/>
      <c r="BG296" s="28"/>
      <c r="BH296" s="28"/>
      <c r="BI296" s="141"/>
    </row>
    <row r="297" spans="1:61" ht="15" thickBot="1" x14ac:dyDescent="0.35">
      <c r="A297" s="95"/>
      <c r="B297" s="13" t="s">
        <v>84</v>
      </c>
      <c r="C297" s="13">
        <f>SUM(C285:C296)</f>
        <v>277</v>
      </c>
      <c r="D297" s="27">
        <f>SUM(D285:D296)</f>
        <v>227</v>
      </c>
      <c r="E297" s="47"/>
      <c r="F297" s="26">
        <f>SUM(F289:F296)</f>
        <v>0</v>
      </c>
      <c r="G297" s="27"/>
      <c r="H297" s="27"/>
      <c r="I297" s="27"/>
      <c r="J297" s="27"/>
      <c r="K297" s="26">
        <f>SUM(H289:H291)</f>
        <v>90</v>
      </c>
      <c r="L297" s="28"/>
      <c r="M297" s="52" t="s">
        <v>115</v>
      </c>
      <c r="N297" s="52">
        <v>1</v>
      </c>
      <c r="O297" s="85">
        <v>2</v>
      </c>
      <c r="P297" s="28"/>
      <c r="Q297" s="28"/>
      <c r="R297" s="42"/>
      <c r="S297" s="28" t="s">
        <v>6</v>
      </c>
      <c r="T297" s="28"/>
      <c r="U297" s="28"/>
      <c r="V297" s="40"/>
      <c r="W297" s="28"/>
      <c r="X297" s="138" t="s">
        <v>56</v>
      </c>
      <c r="Y297" s="138">
        <f>5+5+4+6</f>
        <v>20</v>
      </c>
      <c r="Z297" s="141">
        <f>2+7+6</f>
        <v>15</v>
      </c>
      <c r="AA297" s="138"/>
      <c r="AB297" s="141"/>
      <c r="AC297" s="28"/>
      <c r="AD297" s="43">
        <v>1</v>
      </c>
      <c r="AE297" s="28" t="s">
        <v>1022</v>
      </c>
      <c r="AF297" s="28"/>
      <c r="AG297" s="141"/>
      <c r="AL297" s="138" t="s">
        <v>132</v>
      </c>
      <c r="AM297" s="138">
        <v>0</v>
      </c>
      <c r="AN297" s="141">
        <v>0</v>
      </c>
      <c r="AO297" s="138"/>
      <c r="AP297" s="141"/>
      <c r="AQ297" s="28"/>
      <c r="AR297" s="28"/>
      <c r="AS297" s="28"/>
      <c r="AT297" s="28"/>
      <c r="AU297" s="141"/>
      <c r="AV297" t="s">
        <v>6</v>
      </c>
      <c r="AZ297" s="138" t="s">
        <v>115</v>
      </c>
      <c r="BA297" s="138">
        <v>75</v>
      </c>
      <c r="BB297" s="141">
        <v>53</v>
      </c>
      <c r="BC297" s="138">
        <v>0</v>
      </c>
      <c r="BD297" s="141">
        <v>0</v>
      </c>
      <c r="BE297" s="28"/>
      <c r="BF297" s="28"/>
      <c r="BG297" s="28"/>
      <c r="BH297" s="28"/>
      <c r="BI297" s="141" t="s">
        <v>6</v>
      </c>
    </row>
    <row r="298" spans="1:61" x14ac:dyDescent="0.3">
      <c r="B298" s="32"/>
      <c r="C298" s="53"/>
      <c r="D298" s="97"/>
      <c r="E298" s="33"/>
      <c r="F298" s="7"/>
      <c r="G298" s="6"/>
      <c r="H298" s="8"/>
      <c r="I298" s="31"/>
      <c r="J298" s="8"/>
      <c r="K298" s="7"/>
      <c r="L298" s="28"/>
      <c r="M298" s="52" t="s">
        <v>72</v>
      </c>
      <c r="N298" s="52">
        <v>1</v>
      </c>
      <c r="O298" s="85">
        <v>1</v>
      </c>
      <c r="R298" s="42"/>
      <c r="S298" s="28"/>
      <c r="T298" s="28"/>
      <c r="U298" s="28"/>
      <c r="V298" s="40"/>
      <c r="W298" s="28"/>
      <c r="X298" s="138" t="s">
        <v>138</v>
      </c>
      <c r="Y298" s="138">
        <v>0</v>
      </c>
      <c r="Z298" s="141">
        <v>0</v>
      </c>
      <c r="AA298" s="138"/>
      <c r="AB298" s="141"/>
      <c r="AC298" s="28"/>
      <c r="AD298" s="43">
        <v>1</v>
      </c>
      <c r="AE298" s="28" t="s">
        <v>221</v>
      </c>
      <c r="AF298" s="28"/>
      <c r="AG298" s="141"/>
      <c r="AL298" s="138" t="s">
        <v>81</v>
      </c>
      <c r="AM298" s="138">
        <v>12</v>
      </c>
      <c r="AN298" s="141">
        <v>4</v>
      </c>
      <c r="AO298" s="138"/>
      <c r="AP298" s="141"/>
      <c r="AQ298" s="28"/>
      <c r="AR298" s="28"/>
      <c r="AS298" s="28"/>
      <c r="AT298" s="28"/>
      <c r="AU298" s="141" t="s">
        <v>6</v>
      </c>
      <c r="AW298" t="s">
        <v>6</v>
      </c>
      <c r="AZ298" s="138" t="s">
        <v>81</v>
      </c>
      <c r="BA298" s="138">
        <v>36</v>
      </c>
      <c r="BB298" s="141">
        <v>54</v>
      </c>
      <c r="BC298" s="138">
        <v>0</v>
      </c>
      <c r="BD298" s="141">
        <v>0</v>
      </c>
      <c r="BE298" s="28"/>
      <c r="BF298" s="28"/>
      <c r="BG298" s="28"/>
      <c r="BH298" s="28"/>
      <c r="BI298" s="141"/>
    </row>
    <row r="299" spans="1:61" ht="15" thickBot="1" x14ac:dyDescent="0.35">
      <c r="B299" s="62"/>
      <c r="C299" s="72"/>
      <c r="D299" s="73"/>
      <c r="E299" s="47"/>
      <c r="F299" s="49"/>
      <c r="G299" s="47"/>
      <c r="H299" s="48"/>
      <c r="I299" s="48"/>
      <c r="J299" s="48"/>
      <c r="K299" s="49"/>
      <c r="L299" s="28"/>
      <c r="M299" s="52" t="s">
        <v>84</v>
      </c>
      <c r="N299" s="47">
        <f>SUM(N292:N298)</f>
        <v>14</v>
      </c>
      <c r="O299" s="49">
        <f>SUM(O292:O298)</f>
        <v>25</v>
      </c>
      <c r="P299" s="28"/>
      <c r="Q299" s="28"/>
      <c r="R299" s="47"/>
      <c r="S299" s="48"/>
      <c r="T299" s="48"/>
      <c r="U299" s="48"/>
      <c r="V299" s="49">
        <f>SUM(S296)</f>
        <v>18</v>
      </c>
      <c r="W299" s="28"/>
      <c r="X299" s="138" t="s">
        <v>67</v>
      </c>
      <c r="Y299" s="138">
        <f>1+7</f>
        <v>8</v>
      </c>
      <c r="Z299" s="141">
        <f>5+12</f>
        <v>17</v>
      </c>
      <c r="AA299" s="138"/>
      <c r="AB299" s="141"/>
      <c r="AC299" s="28"/>
      <c r="AD299" s="43">
        <v>1</v>
      </c>
      <c r="AE299" s="28" t="s">
        <v>1042</v>
      </c>
      <c r="AF299" s="28"/>
      <c r="AG299" s="141"/>
      <c r="AL299" s="138" t="s">
        <v>1599</v>
      </c>
      <c r="AM299" s="138">
        <v>2</v>
      </c>
      <c r="AN299" s="141">
        <v>9</v>
      </c>
      <c r="AO299" s="138"/>
      <c r="AP299" s="141"/>
      <c r="AQ299" s="28"/>
      <c r="AR299" s="28"/>
      <c r="AS299" s="28"/>
      <c r="AT299" s="28"/>
      <c r="AU299" s="141"/>
      <c r="AZ299" s="138" t="s">
        <v>122</v>
      </c>
      <c r="BA299" s="138">
        <v>5</v>
      </c>
      <c r="BB299" s="141"/>
      <c r="BC299" s="138">
        <v>0</v>
      </c>
      <c r="BD299" s="141">
        <v>0</v>
      </c>
      <c r="BE299" s="28"/>
      <c r="BF299" s="28"/>
      <c r="BG299" s="28"/>
      <c r="BH299" s="28"/>
      <c r="BI299" s="141"/>
    </row>
    <row r="300" spans="1:61" x14ac:dyDescent="0.3">
      <c r="B300" s="67" t="s">
        <v>63</v>
      </c>
      <c r="C300" s="33">
        <v>4</v>
      </c>
      <c r="D300" s="35">
        <v>9</v>
      </c>
      <c r="G300" s="33"/>
      <c r="H300" s="34"/>
      <c r="I300" s="34"/>
      <c r="J300" s="34"/>
      <c r="K300" s="35"/>
      <c r="L300" s="28"/>
      <c r="M300" s="32" t="s">
        <v>63</v>
      </c>
      <c r="N300" s="123">
        <f>6+1</f>
        <v>7</v>
      </c>
      <c r="O300" s="123">
        <f>4+1</f>
        <v>5</v>
      </c>
      <c r="P300" s="33"/>
      <c r="Q300" s="7"/>
      <c r="R300" s="6"/>
      <c r="S300" s="34" t="s">
        <v>140</v>
      </c>
      <c r="T300" s="8"/>
      <c r="U300" s="8"/>
      <c r="V300" s="7"/>
      <c r="W300" s="28"/>
      <c r="X300" s="138" t="s">
        <v>122</v>
      </c>
      <c r="Y300" s="138">
        <v>1</v>
      </c>
      <c r="Z300" s="141">
        <v>0</v>
      </c>
      <c r="AA300" s="138"/>
      <c r="AB300" s="141"/>
      <c r="AC300" s="28"/>
      <c r="AD300" s="43">
        <v>1</v>
      </c>
      <c r="AE300" s="28" t="s">
        <v>618</v>
      </c>
      <c r="AF300" s="28"/>
      <c r="AG300" s="141"/>
      <c r="AL300" s="138" t="s">
        <v>56</v>
      </c>
      <c r="AM300" s="138">
        <v>5</v>
      </c>
      <c r="AN300" s="141">
        <v>0</v>
      </c>
      <c r="AO300" s="138"/>
      <c r="AP300" s="141"/>
      <c r="AQ300" s="28"/>
      <c r="AR300" s="28"/>
      <c r="AS300" s="28"/>
      <c r="AT300" s="28"/>
      <c r="AU300" s="141"/>
      <c r="AZ300" s="138" t="s">
        <v>128</v>
      </c>
      <c r="BA300" s="138"/>
      <c r="BB300" s="141">
        <v>3</v>
      </c>
      <c r="BC300" s="138">
        <v>0</v>
      </c>
      <c r="BD300" s="141">
        <v>0</v>
      </c>
      <c r="BE300" s="28"/>
      <c r="BF300" s="28"/>
      <c r="BG300" s="28"/>
      <c r="BH300" s="28"/>
      <c r="BI300" s="209"/>
    </row>
    <row r="301" spans="1:61" x14ac:dyDescent="0.3">
      <c r="B301" s="67" t="s">
        <v>168</v>
      </c>
      <c r="C301" s="42">
        <v>0</v>
      </c>
      <c r="D301" s="40">
        <v>0</v>
      </c>
      <c r="G301" s="42"/>
      <c r="H301" s="28"/>
      <c r="I301" s="28"/>
      <c r="J301" s="28"/>
      <c r="K301" s="40"/>
      <c r="L301" s="28"/>
      <c r="M301" s="44" t="s">
        <v>78</v>
      </c>
      <c r="N301" s="37">
        <f>22+5+20</f>
        <v>47</v>
      </c>
      <c r="O301" s="37">
        <f>11+9+17</f>
        <v>37</v>
      </c>
      <c r="P301" s="42"/>
      <c r="Q301" s="11"/>
      <c r="R301" s="10"/>
      <c r="S301" s="37">
        <v>8</v>
      </c>
      <c r="T301" s="37" t="s">
        <v>204</v>
      </c>
      <c r="U301" s="18"/>
      <c r="V301" s="11"/>
      <c r="W301" s="28"/>
      <c r="X301" s="138" t="s">
        <v>227</v>
      </c>
      <c r="Y301" s="138">
        <v>0</v>
      </c>
      <c r="Z301" s="141">
        <v>0</v>
      </c>
      <c r="AA301" s="138"/>
      <c r="AB301" s="141"/>
      <c r="AC301" s="28"/>
      <c r="AD301" s="43"/>
      <c r="AE301" s="28" t="s">
        <v>392</v>
      </c>
      <c r="AF301" s="28"/>
      <c r="AG301" s="141"/>
      <c r="AL301" s="138" t="s">
        <v>67</v>
      </c>
      <c r="AM301" s="138">
        <v>74</v>
      </c>
      <c r="AN301" s="141">
        <v>68</v>
      </c>
      <c r="AO301" s="138"/>
      <c r="AP301" s="141"/>
      <c r="AQ301" s="28"/>
      <c r="AR301" s="28"/>
      <c r="AS301" s="28"/>
      <c r="AT301" s="28"/>
      <c r="AU301" s="141"/>
      <c r="AZ301" s="142" t="s">
        <v>84</v>
      </c>
      <c r="BA301" s="142">
        <v>342</v>
      </c>
      <c r="BB301" s="146">
        <v>259</v>
      </c>
      <c r="BC301" s="142">
        <v>0</v>
      </c>
      <c r="BD301" s="146">
        <v>0</v>
      </c>
      <c r="BE301" s="143"/>
      <c r="BF301" s="143"/>
      <c r="BG301" s="143"/>
      <c r="BH301" s="143"/>
      <c r="BI301" s="146">
        <v>106</v>
      </c>
    </row>
    <row r="302" spans="1:61" x14ac:dyDescent="0.3">
      <c r="B302" s="52" t="s">
        <v>56</v>
      </c>
      <c r="C302" s="52">
        <v>0</v>
      </c>
      <c r="D302" s="85">
        <v>0</v>
      </c>
      <c r="E302" s="28"/>
      <c r="F302" s="28"/>
      <c r="G302" s="42"/>
      <c r="H302" s="28" t="s">
        <v>173</v>
      </c>
      <c r="I302" s="28"/>
      <c r="J302" s="28"/>
      <c r="K302" s="40"/>
      <c r="L302" s="28"/>
      <c r="M302" s="125" t="s">
        <v>209</v>
      </c>
      <c r="N302" s="54">
        <v>0</v>
      </c>
      <c r="O302" s="54">
        <v>0</v>
      </c>
      <c r="P302" s="42"/>
      <c r="Q302" s="40"/>
      <c r="R302" s="42"/>
      <c r="S302" s="28">
        <v>4</v>
      </c>
      <c r="T302" s="28" t="s">
        <v>210</v>
      </c>
      <c r="U302" s="28" t="s">
        <v>6</v>
      </c>
      <c r="V302" s="40"/>
      <c r="W302" s="28"/>
      <c r="X302" s="138" t="s">
        <v>230</v>
      </c>
      <c r="Y302" s="138">
        <v>0</v>
      </c>
      <c r="Z302" s="141">
        <v>0</v>
      </c>
      <c r="AA302" s="138"/>
      <c r="AB302" s="141"/>
      <c r="AC302" s="28"/>
      <c r="AD302" s="43">
        <v>11</v>
      </c>
      <c r="AE302" s="28" t="s">
        <v>655</v>
      </c>
      <c r="AF302" s="28"/>
      <c r="AG302" s="141"/>
      <c r="AL302" s="142" t="s">
        <v>84</v>
      </c>
      <c r="AM302" s="142">
        <f>SUM(AM290:AM301)</f>
        <v>291</v>
      </c>
      <c r="AN302" s="146">
        <f>SUM(AN290:AN301)</f>
        <v>205</v>
      </c>
      <c r="AO302" s="142"/>
      <c r="AP302" s="146">
        <v>0</v>
      </c>
      <c r="AQ302" s="143"/>
      <c r="AR302" s="143"/>
      <c r="AS302" s="143"/>
      <c r="AT302" s="143"/>
      <c r="AU302" s="146">
        <f>SUM(AR294:AR296)</f>
        <v>101</v>
      </c>
      <c r="AZ302" s="134"/>
      <c r="BA302" s="134"/>
      <c r="BB302" s="136"/>
      <c r="BC302" s="134"/>
      <c r="BD302" s="136"/>
      <c r="BE302" s="135"/>
      <c r="BF302" s="135"/>
      <c r="BG302" s="135"/>
      <c r="BH302" s="135"/>
      <c r="BI302" s="136"/>
    </row>
    <row r="303" spans="1:61" x14ac:dyDescent="0.3">
      <c r="B303" s="52" t="s">
        <v>67</v>
      </c>
      <c r="C303" s="52">
        <v>10</v>
      </c>
      <c r="D303" s="56">
        <v>5</v>
      </c>
      <c r="G303" s="42"/>
      <c r="H303" s="28"/>
      <c r="I303" s="28"/>
      <c r="J303" s="28"/>
      <c r="K303" s="40"/>
      <c r="L303" s="28"/>
      <c r="M303" s="44" t="s">
        <v>168</v>
      </c>
      <c r="N303" s="54">
        <v>2</v>
      </c>
      <c r="O303" s="54">
        <v>2</v>
      </c>
      <c r="P303" s="42"/>
      <c r="Q303" s="11"/>
      <c r="R303" s="10"/>
      <c r="S303" s="37">
        <v>15</v>
      </c>
      <c r="T303" s="37" t="s">
        <v>213</v>
      </c>
      <c r="U303" s="18" t="s">
        <v>6</v>
      </c>
      <c r="V303" s="11"/>
      <c r="W303" s="28"/>
      <c r="X303" s="138" t="s">
        <v>125</v>
      </c>
      <c r="Y303" s="138">
        <v>0</v>
      </c>
      <c r="Z303" s="141">
        <v>0</v>
      </c>
      <c r="AA303" s="138"/>
      <c r="AB303" s="141"/>
      <c r="AC303" s="28"/>
      <c r="AD303" s="43">
        <v>3</v>
      </c>
      <c r="AE303" s="28" t="s">
        <v>352</v>
      </c>
      <c r="AF303" s="28"/>
      <c r="AG303" s="141"/>
      <c r="AL303" s="134"/>
      <c r="AM303" s="134"/>
      <c r="AN303" s="136"/>
      <c r="AO303" s="134"/>
      <c r="AP303" s="136"/>
      <c r="AQ303" s="135"/>
      <c r="AR303" s="135"/>
      <c r="AS303" s="135"/>
      <c r="AT303" s="135"/>
      <c r="AU303" s="136"/>
      <c r="AZ303" s="138" t="s">
        <v>56</v>
      </c>
      <c r="BA303" s="138"/>
      <c r="BB303" s="141"/>
      <c r="BC303" s="138"/>
      <c r="BD303" s="141"/>
      <c r="BE303" s="28"/>
      <c r="BF303" s="28" t="s">
        <v>173</v>
      </c>
      <c r="BG303" s="28"/>
      <c r="BH303" s="28"/>
      <c r="BI303" s="141"/>
    </row>
    <row r="304" spans="1:61" x14ac:dyDescent="0.3">
      <c r="B304" s="10" t="s">
        <v>78</v>
      </c>
      <c r="C304" s="52">
        <v>0</v>
      </c>
      <c r="D304" s="85">
        <v>0</v>
      </c>
      <c r="E304" s="28"/>
      <c r="F304" s="28"/>
      <c r="G304" s="42"/>
      <c r="H304" s="28">
        <v>11</v>
      </c>
      <c r="I304" s="28" t="s">
        <v>183</v>
      </c>
      <c r="J304" s="28"/>
      <c r="K304" s="40"/>
      <c r="L304" s="37"/>
      <c r="M304" s="125" t="s">
        <v>81</v>
      </c>
      <c r="N304" s="54">
        <v>5</v>
      </c>
      <c r="O304" s="54">
        <f>4+4</f>
        <v>8</v>
      </c>
      <c r="P304" s="42"/>
      <c r="Q304" s="40"/>
      <c r="R304" s="42"/>
      <c r="S304" s="54">
        <v>32</v>
      </c>
      <c r="T304" s="128" t="s">
        <v>222</v>
      </c>
      <c r="U304" s="28"/>
      <c r="V304" s="40" t="s">
        <v>6</v>
      </c>
      <c r="W304" s="37"/>
      <c r="X304" s="138" t="s">
        <v>132</v>
      </c>
      <c r="Y304" s="138">
        <v>6</v>
      </c>
      <c r="Z304" s="141">
        <v>5</v>
      </c>
      <c r="AA304" s="138"/>
      <c r="AB304" s="141"/>
      <c r="AC304" s="28"/>
      <c r="AD304" s="43">
        <v>5</v>
      </c>
      <c r="AE304" s="28" t="s">
        <v>682</v>
      </c>
      <c r="AF304" s="28"/>
      <c r="AG304" s="141"/>
      <c r="AL304" s="138" t="s">
        <v>56</v>
      </c>
      <c r="AM304" s="138">
        <v>0</v>
      </c>
      <c r="AN304" s="141">
        <v>0</v>
      </c>
      <c r="AO304" s="138"/>
      <c r="AP304" s="141"/>
      <c r="AQ304" s="28"/>
      <c r="AR304" s="28" t="s">
        <v>173</v>
      </c>
      <c r="AS304" s="28"/>
      <c r="AT304" s="28"/>
      <c r="AU304" s="141"/>
      <c r="AZ304" s="138" t="s">
        <v>67</v>
      </c>
      <c r="BA304" s="138"/>
      <c r="BB304" s="141"/>
      <c r="BC304" s="138"/>
      <c r="BD304" s="141"/>
      <c r="BE304" s="28"/>
      <c r="BF304" s="28"/>
      <c r="BG304" s="28"/>
      <c r="BH304" s="28"/>
      <c r="BI304" s="141"/>
    </row>
    <row r="305" spans="2:61" x14ac:dyDescent="0.3">
      <c r="B305" s="52" t="s">
        <v>81</v>
      </c>
      <c r="C305" s="52">
        <v>2</v>
      </c>
      <c r="D305" s="85">
        <v>2</v>
      </c>
      <c r="E305" s="28"/>
      <c r="F305" s="28"/>
      <c r="G305" s="42"/>
      <c r="H305" s="28" t="s">
        <v>6</v>
      </c>
      <c r="I305" s="28"/>
      <c r="J305" s="28"/>
      <c r="K305" s="40"/>
      <c r="L305" s="28"/>
      <c r="M305" s="125" t="s">
        <v>72</v>
      </c>
      <c r="N305" s="54">
        <f>21+5+4+3+5</f>
        <v>38</v>
      </c>
      <c r="O305" s="45">
        <f>16+2+11+6+3</f>
        <v>38</v>
      </c>
      <c r="P305" s="42"/>
      <c r="Q305" s="40"/>
      <c r="R305" s="42"/>
      <c r="S305" s="54">
        <v>2</v>
      </c>
      <c r="T305" s="54" t="s">
        <v>216</v>
      </c>
      <c r="U305" s="45"/>
      <c r="V305" s="40"/>
      <c r="W305" s="28"/>
      <c r="X305" s="138" t="s">
        <v>992</v>
      </c>
      <c r="Y305" s="138">
        <v>0</v>
      </c>
      <c r="Z305" s="141">
        <v>0</v>
      </c>
      <c r="AA305" s="138"/>
      <c r="AB305" s="141"/>
      <c r="AC305" s="28"/>
      <c r="AD305" s="43">
        <f>34+2</f>
        <v>36</v>
      </c>
      <c r="AE305" s="28" t="s">
        <v>555</v>
      </c>
      <c r="AF305" s="28"/>
      <c r="AG305" s="141"/>
      <c r="AL305" s="138" t="s">
        <v>67</v>
      </c>
      <c r="AM305" s="138">
        <v>0</v>
      </c>
      <c r="AN305" s="141">
        <v>0</v>
      </c>
      <c r="AO305" s="138"/>
      <c r="AP305" s="141"/>
      <c r="AQ305" s="28"/>
      <c r="AR305" s="28"/>
      <c r="AS305" s="28"/>
      <c r="AT305" s="28"/>
      <c r="AU305" s="141"/>
      <c r="AZ305" s="138" t="s">
        <v>78</v>
      </c>
      <c r="BA305" s="138"/>
      <c r="BB305" s="141"/>
      <c r="BC305" s="138"/>
      <c r="BD305" s="141"/>
      <c r="BE305" s="28"/>
      <c r="BF305" s="28"/>
      <c r="BG305" s="28" t="s">
        <v>183</v>
      </c>
      <c r="BH305" s="28"/>
      <c r="BI305" s="141"/>
    </row>
    <row r="306" spans="2:61" ht="15" thickBot="1" x14ac:dyDescent="0.35">
      <c r="B306" s="52" t="s">
        <v>72</v>
      </c>
      <c r="C306" s="52">
        <v>0</v>
      </c>
      <c r="D306" s="85">
        <v>0</v>
      </c>
      <c r="G306" s="42"/>
      <c r="H306" s="28"/>
      <c r="I306" s="28"/>
      <c r="J306" s="28"/>
      <c r="K306" s="40"/>
      <c r="L306" s="28"/>
      <c r="M306" s="125" t="s">
        <v>115</v>
      </c>
      <c r="N306" s="54">
        <v>0</v>
      </c>
      <c r="O306" s="45">
        <f>3+2</f>
        <v>5</v>
      </c>
      <c r="P306" s="42"/>
      <c r="Q306" s="40"/>
      <c r="R306" s="42"/>
      <c r="S306" s="54">
        <v>0</v>
      </c>
      <c r="T306" s="54" t="s">
        <v>217</v>
      </c>
      <c r="U306" s="28"/>
      <c r="V306" s="40"/>
      <c r="W306" s="28"/>
      <c r="X306" s="138" t="s">
        <v>84</v>
      </c>
      <c r="Y306" s="138">
        <f>SUM(Y290:Y305)</f>
        <v>140</v>
      </c>
      <c r="Z306" s="141">
        <f>SUM(Z290:Z305)</f>
        <v>116</v>
      </c>
      <c r="AA306" s="138"/>
      <c r="AB306" s="141"/>
      <c r="AC306" s="28"/>
      <c r="AD306" s="43">
        <v>0</v>
      </c>
      <c r="AE306" s="28" t="s">
        <v>1010</v>
      </c>
      <c r="AF306" s="28"/>
      <c r="AG306" s="141">
        <f>SUM(AD291:AD306)</f>
        <v>117</v>
      </c>
      <c r="AL306" s="138" t="s">
        <v>78</v>
      </c>
      <c r="AM306" s="138">
        <v>0</v>
      </c>
      <c r="AN306" s="141">
        <v>0</v>
      </c>
      <c r="AO306" s="138"/>
      <c r="AP306" s="141"/>
      <c r="AQ306" s="28"/>
      <c r="AR306" s="28">
        <v>0</v>
      </c>
      <c r="AS306" s="28" t="s">
        <v>183</v>
      </c>
      <c r="AT306" s="28"/>
      <c r="AU306" s="141"/>
      <c r="AZ306" s="142" t="s">
        <v>84</v>
      </c>
      <c r="BA306" s="142"/>
      <c r="BB306" s="146"/>
      <c r="BC306" s="142"/>
      <c r="BD306" s="146"/>
      <c r="BE306" s="143"/>
      <c r="BF306" s="143"/>
      <c r="BG306" s="143"/>
      <c r="BH306" s="143"/>
      <c r="BI306" s="146"/>
    </row>
    <row r="307" spans="2:61" ht="15" thickBot="1" x14ac:dyDescent="0.35">
      <c r="B307" s="52" t="s">
        <v>84</v>
      </c>
      <c r="C307" s="47">
        <f>SUM(C300:C306)</f>
        <v>16</v>
      </c>
      <c r="D307" s="49">
        <f>SUM(D300:D306)</f>
        <v>16</v>
      </c>
      <c r="E307" s="28"/>
      <c r="F307" s="28"/>
      <c r="G307" s="47"/>
      <c r="H307" s="48"/>
      <c r="I307" s="48"/>
      <c r="J307" s="48"/>
      <c r="K307" s="49">
        <f>SUM(H304)</f>
        <v>11</v>
      </c>
      <c r="L307" s="28"/>
      <c r="M307" s="125" t="s">
        <v>56</v>
      </c>
      <c r="N307" s="54">
        <f>6+6+7</f>
        <v>19</v>
      </c>
      <c r="O307" s="45">
        <f>8+2+4+6</f>
        <v>20</v>
      </c>
      <c r="P307" s="42"/>
      <c r="Q307" s="40"/>
      <c r="R307" s="42"/>
      <c r="S307" s="54">
        <v>2</v>
      </c>
      <c r="T307" s="54" t="s">
        <v>769</v>
      </c>
      <c r="U307" s="28"/>
      <c r="V307" s="40"/>
      <c r="W307" s="28"/>
      <c r="X307" s="171" t="s">
        <v>84</v>
      </c>
      <c r="Y307" s="207">
        <f>SUM(Y306+Y288+Y279+Y264)</f>
        <v>2094</v>
      </c>
      <c r="Z307" s="207">
        <f>SUM(Z306+Z288+Z279+Z264)</f>
        <v>2072</v>
      </c>
      <c r="AA307" s="207"/>
      <c r="AB307" s="208"/>
      <c r="AC307" s="170"/>
      <c r="AD307" s="170"/>
      <c r="AE307" s="170"/>
      <c r="AF307" s="170"/>
      <c r="AG307" s="172">
        <f>SUM(AG264:AG306)</f>
        <v>336</v>
      </c>
      <c r="AL307" s="142" t="s">
        <v>84</v>
      </c>
      <c r="AM307" s="142">
        <f>SUM(AM304:AM306)</f>
        <v>0</v>
      </c>
      <c r="AN307" s="146">
        <f>SUM(AN304:AN306)</f>
        <v>0</v>
      </c>
      <c r="AO307" s="142"/>
      <c r="AP307" s="146"/>
      <c r="AQ307" s="143"/>
      <c r="AR307" s="143"/>
      <c r="AS307" s="143"/>
      <c r="AT307" s="143"/>
      <c r="AU307" s="146">
        <f>SUM(AR306)</f>
        <v>0</v>
      </c>
      <c r="AZ307" s="134"/>
      <c r="BA307" s="134"/>
      <c r="BB307" s="136"/>
      <c r="BC307" s="134"/>
      <c r="BD307" s="136"/>
      <c r="BE307" s="134"/>
      <c r="BF307" s="135" t="s">
        <v>140</v>
      </c>
      <c r="BG307" s="135"/>
      <c r="BH307" s="135"/>
      <c r="BI307" s="136"/>
    </row>
    <row r="308" spans="2:61" x14ac:dyDescent="0.3">
      <c r="B308" s="32" t="s">
        <v>63</v>
      </c>
      <c r="C308" s="123">
        <v>2</v>
      </c>
      <c r="D308" s="123">
        <v>5</v>
      </c>
      <c r="E308" s="33"/>
      <c r="F308" s="7"/>
      <c r="G308" s="6"/>
      <c r="H308" s="34" t="s">
        <v>140</v>
      </c>
      <c r="I308" s="8"/>
      <c r="J308" s="8"/>
      <c r="K308" s="7"/>
      <c r="L308" s="28"/>
      <c r="M308" s="125" t="s">
        <v>138</v>
      </c>
      <c r="N308" s="54">
        <v>0</v>
      </c>
      <c r="O308" s="45">
        <v>0</v>
      </c>
      <c r="P308" s="42"/>
      <c r="Q308" s="40"/>
      <c r="R308" s="42"/>
      <c r="S308" s="54">
        <v>9</v>
      </c>
      <c r="T308" s="54" t="s">
        <v>221</v>
      </c>
      <c r="U308" s="28"/>
      <c r="V308" s="40"/>
      <c r="W308" s="28"/>
      <c r="AL308" s="134"/>
      <c r="AM308" s="134"/>
      <c r="AN308" s="136"/>
      <c r="AO308" s="134"/>
      <c r="AP308" s="136"/>
      <c r="AQ308" s="135"/>
      <c r="AR308" s="28" t="s">
        <v>140</v>
      </c>
      <c r="AS308" s="135"/>
      <c r="AT308" s="135"/>
      <c r="AU308" s="136"/>
      <c r="AW308" t="s">
        <v>6</v>
      </c>
      <c r="AZ308" s="138" t="s">
        <v>56</v>
      </c>
      <c r="BA308" s="138">
        <v>23</v>
      </c>
      <c r="BB308" s="141">
        <v>21</v>
      </c>
      <c r="BC308" s="138">
        <v>0</v>
      </c>
      <c r="BD308" s="141">
        <v>0</v>
      </c>
      <c r="BE308" s="138"/>
      <c r="BF308" s="43">
        <v>12</v>
      </c>
      <c r="BG308" s="28" t="s">
        <v>213</v>
      </c>
      <c r="BH308" s="28" t="s">
        <v>1469</v>
      </c>
      <c r="BI308" s="141"/>
    </row>
    <row r="309" spans="2:61" x14ac:dyDescent="0.3">
      <c r="B309" s="44" t="s">
        <v>78</v>
      </c>
      <c r="C309" s="37">
        <f>15+4+2</f>
        <v>21</v>
      </c>
      <c r="D309" s="37">
        <f>11+4+4</f>
        <v>19</v>
      </c>
      <c r="E309" s="42"/>
      <c r="F309" s="11"/>
      <c r="G309" s="10"/>
      <c r="H309" s="37">
        <v>4</v>
      </c>
      <c r="I309" s="37" t="s">
        <v>204</v>
      </c>
      <c r="J309" s="18"/>
      <c r="K309" s="11"/>
      <c r="L309" s="28"/>
      <c r="M309" s="125" t="s">
        <v>67</v>
      </c>
      <c r="N309" s="54">
        <f>2+16</f>
        <v>18</v>
      </c>
      <c r="O309" s="45">
        <f>2+1+9</f>
        <v>12</v>
      </c>
      <c r="P309" s="42"/>
      <c r="Q309" s="40"/>
      <c r="R309" s="42"/>
      <c r="S309" s="54">
        <v>1</v>
      </c>
      <c r="T309" s="54" t="s">
        <v>246</v>
      </c>
      <c r="U309" s="28"/>
      <c r="V309" s="40"/>
      <c r="W309" s="28"/>
      <c r="AJ309" t="s">
        <v>6</v>
      </c>
      <c r="AL309" s="138" t="s">
        <v>63</v>
      </c>
      <c r="AM309" s="138">
        <f>6+10</f>
        <v>16</v>
      </c>
      <c r="AN309" s="141">
        <f>2+6+1</f>
        <v>9</v>
      </c>
      <c r="AO309" s="138"/>
      <c r="AP309" s="141"/>
      <c r="AQ309" s="28"/>
      <c r="AR309">
        <v>2</v>
      </c>
      <c r="AS309" s="28" t="s">
        <v>1143</v>
      </c>
      <c r="AT309" s="28"/>
      <c r="AU309" s="141"/>
      <c r="AZ309" s="138" t="s">
        <v>72</v>
      </c>
      <c r="BA309" s="138">
        <v>53</v>
      </c>
      <c r="BB309" s="141">
        <v>38</v>
      </c>
      <c r="BC309" s="138">
        <v>0</v>
      </c>
      <c r="BD309" s="141">
        <v>0</v>
      </c>
      <c r="BE309" s="138"/>
      <c r="BF309" s="43">
        <v>3</v>
      </c>
      <c r="BG309" s="28" t="s">
        <v>1038</v>
      </c>
      <c r="BH309" s="43" t="s">
        <v>1885</v>
      </c>
      <c r="BI309" s="141"/>
    </row>
    <row r="310" spans="2:61" x14ac:dyDescent="0.3">
      <c r="B310" s="125" t="s">
        <v>209</v>
      </c>
      <c r="C310" s="54">
        <v>0</v>
      </c>
      <c r="D310" s="54">
        <v>0</v>
      </c>
      <c r="E310" s="42"/>
      <c r="F310" s="40"/>
      <c r="G310" s="42"/>
      <c r="H310" s="28">
        <v>0</v>
      </c>
      <c r="I310" s="28" t="s">
        <v>210</v>
      </c>
      <c r="J310" s="28"/>
      <c r="K310" s="40"/>
      <c r="L310" s="28"/>
      <c r="M310" s="125" t="s">
        <v>122</v>
      </c>
      <c r="N310" s="54">
        <f>8+4</f>
        <v>12</v>
      </c>
      <c r="O310" s="45">
        <v>18</v>
      </c>
      <c r="P310" s="42"/>
      <c r="Q310" s="40"/>
      <c r="R310" s="42"/>
      <c r="S310" s="54">
        <v>1</v>
      </c>
      <c r="T310" s="54" t="s">
        <v>618</v>
      </c>
      <c r="U310" s="28"/>
      <c r="V310" s="40"/>
      <c r="W310" s="28"/>
      <c r="AL310" s="138" t="s">
        <v>78</v>
      </c>
      <c r="AM310" s="138">
        <f>6+15+3+5</f>
        <v>29</v>
      </c>
      <c r="AN310" s="141">
        <f>4+15+3+15</f>
        <v>37</v>
      </c>
      <c r="AO310" s="138"/>
      <c r="AP310" s="141"/>
      <c r="AQ310" s="28"/>
      <c r="AR310" s="28">
        <v>1</v>
      </c>
      <c r="AS310" s="28" t="s">
        <v>1579</v>
      </c>
      <c r="AT310" s="28"/>
      <c r="AU310" s="141"/>
      <c r="AZ310" s="138" t="s">
        <v>78</v>
      </c>
      <c r="BA310" s="138">
        <v>31</v>
      </c>
      <c r="BB310" s="141">
        <v>35</v>
      </c>
      <c r="BC310" s="138">
        <v>0</v>
      </c>
      <c r="BD310" s="141">
        <v>0</v>
      </c>
      <c r="BE310" s="138"/>
      <c r="BF310" s="43"/>
      <c r="BG310" s="43"/>
      <c r="BH310" s="28" t="s">
        <v>1886</v>
      </c>
      <c r="BI310" s="141"/>
    </row>
    <row r="311" spans="2:61" x14ac:dyDescent="0.3">
      <c r="B311" s="44" t="s">
        <v>168</v>
      </c>
      <c r="C311" s="37">
        <v>0</v>
      </c>
      <c r="D311" s="18">
        <v>0</v>
      </c>
      <c r="E311" s="42"/>
      <c r="F311" s="11"/>
      <c r="G311" s="10"/>
      <c r="H311" s="37">
        <f>5+4+5+5+11</f>
        <v>30</v>
      </c>
      <c r="I311" s="37" t="s">
        <v>213</v>
      </c>
      <c r="J311" s="18"/>
      <c r="K311" s="11"/>
      <c r="M311" s="125" t="s">
        <v>227</v>
      </c>
      <c r="N311" s="54">
        <v>0</v>
      </c>
      <c r="O311" s="45">
        <v>0</v>
      </c>
      <c r="P311" s="42"/>
      <c r="Q311" s="40"/>
      <c r="R311" s="42"/>
      <c r="S311" s="54">
        <v>1</v>
      </c>
      <c r="T311" s="54" t="s">
        <v>773</v>
      </c>
      <c r="U311" s="28"/>
      <c r="V311" s="40"/>
      <c r="AL311" s="138" t="s">
        <v>209</v>
      </c>
      <c r="AM311" s="138">
        <v>0</v>
      </c>
      <c r="AN311" s="141">
        <v>0</v>
      </c>
      <c r="AO311" s="138"/>
      <c r="AP311" s="141"/>
      <c r="AQ311" s="28"/>
      <c r="AR311" s="28">
        <v>1</v>
      </c>
      <c r="AS311" s="28" t="s">
        <v>1517</v>
      </c>
      <c r="AT311" s="28"/>
      <c r="AU311" s="141"/>
      <c r="AZ311" s="138" t="s">
        <v>67</v>
      </c>
      <c r="BA311" s="138">
        <v>27</v>
      </c>
      <c r="BB311" s="141">
        <v>43</v>
      </c>
      <c r="BC311" s="138">
        <v>0</v>
      </c>
      <c r="BD311" s="141">
        <v>0</v>
      </c>
      <c r="BE311" s="138"/>
      <c r="BF311" s="43">
        <v>3</v>
      </c>
      <c r="BG311" s="43" t="s">
        <v>682</v>
      </c>
      <c r="BH311" s="43" t="s">
        <v>1471</v>
      </c>
      <c r="BI311" s="141"/>
    </row>
    <row r="312" spans="2:61" x14ac:dyDescent="0.3">
      <c r="B312" s="125" t="s">
        <v>81</v>
      </c>
      <c r="C312" s="54">
        <v>4</v>
      </c>
      <c r="D312" s="45">
        <v>6</v>
      </c>
      <c r="E312" s="42"/>
      <c r="F312" s="40"/>
      <c r="G312" s="42"/>
      <c r="H312" s="54">
        <v>0</v>
      </c>
      <c r="I312" s="128" t="s">
        <v>235</v>
      </c>
      <c r="J312" s="28"/>
      <c r="K312" s="40" t="s">
        <v>6</v>
      </c>
      <c r="M312" s="41" t="s">
        <v>230</v>
      </c>
      <c r="N312" s="54">
        <f>2+4+5+4+12</f>
        <v>27</v>
      </c>
      <c r="O312" s="45">
        <f>2+6+5+12+2</f>
        <v>27</v>
      </c>
      <c r="P312" s="42"/>
      <c r="Q312" s="40"/>
      <c r="R312" s="42"/>
      <c r="S312" s="54">
        <v>12</v>
      </c>
      <c r="T312" s="54" t="s">
        <v>655</v>
      </c>
      <c r="U312" s="28"/>
      <c r="V312" s="40"/>
      <c r="AL312" s="138" t="s">
        <v>168</v>
      </c>
      <c r="AM312" s="138">
        <v>0</v>
      </c>
      <c r="AN312" s="141">
        <v>0</v>
      </c>
      <c r="AO312" s="138"/>
      <c r="AP312" s="141"/>
      <c r="AQ312" s="28"/>
      <c r="AR312" s="28">
        <v>13</v>
      </c>
      <c r="AS312" s="28" t="s">
        <v>213</v>
      </c>
      <c r="AT312" s="28" t="s">
        <v>6</v>
      </c>
      <c r="AU312" s="141"/>
      <c r="AZ312" s="138" t="s">
        <v>115</v>
      </c>
      <c r="BA312" s="138">
        <v>19</v>
      </c>
      <c r="BB312" s="141">
        <v>14</v>
      </c>
      <c r="BC312" s="138">
        <v>0</v>
      </c>
      <c r="BD312" s="141">
        <v>0</v>
      </c>
      <c r="BE312" s="138"/>
      <c r="BF312" s="43">
        <v>30</v>
      </c>
      <c r="BG312" s="43" t="s">
        <v>903</v>
      </c>
      <c r="BH312" s="43" t="s">
        <v>1888</v>
      </c>
      <c r="BI312" s="141"/>
    </row>
    <row r="313" spans="2:61" x14ac:dyDescent="0.3">
      <c r="B313" s="125" t="s">
        <v>72</v>
      </c>
      <c r="C313" s="54">
        <v>14</v>
      </c>
      <c r="D313" s="45">
        <v>18</v>
      </c>
      <c r="E313" s="42"/>
      <c r="F313" s="40"/>
      <c r="G313" s="42"/>
      <c r="H313" s="54">
        <v>14</v>
      </c>
      <c r="I313" s="54" t="s">
        <v>216</v>
      </c>
      <c r="J313" s="45"/>
      <c r="K313" s="40"/>
      <c r="M313" s="68" t="s">
        <v>125</v>
      </c>
      <c r="N313" s="54">
        <v>0</v>
      </c>
      <c r="O313" s="45">
        <v>0</v>
      </c>
      <c r="P313" s="42"/>
      <c r="Q313" s="40"/>
      <c r="R313" s="42"/>
      <c r="S313" s="54">
        <v>1</v>
      </c>
      <c r="T313" s="54" t="s">
        <v>774</v>
      </c>
      <c r="U313" s="28"/>
      <c r="V313" s="40"/>
      <c r="AL313" s="138" t="s">
        <v>81</v>
      </c>
      <c r="AM313" s="138">
        <v>5</v>
      </c>
      <c r="AN313" s="141">
        <v>9</v>
      </c>
      <c r="AO313" s="138"/>
      <c r="AP313" s="141"/>
      <c r="AQ313" s="28"/>
      <c r="AR313" s="28">
        <v>24</v>
      </c>
      <c r="AS313" s="28" t="s">
        <v>903</v>
      </c>
      <c r="AT313" s="28"/>
      <c r="AU313" s="141" t="s">
        <v>6</v>
      </c>
      <c r="AZ313" s="138" t="s">
        <v>122</v>
      </c>
      <c r="BA313" s="138">
        <v>5</v>
      </c>
      <c r="BB313" s="141">
        <v>30</v>
      </c>
      <c r="BC313" s="138">
        <v>0</v>
      </c>
      <c r="BD313" s="141">
        <v>0</v>
      </c>
      <c r="BE313" s="138"/>
      <c r="BF313" s="43">
        <v>72</v>
      </c>
      <c r="BG313" s="43" t="s">
        <v>215</v>
      </c>
      <c r="BH313" s="43" t="s">
        <v>1889</v>
      </c>
      <c r="BI313" s="141"/>
    </row>
    <row r="314" spans="2:61" x14ac:dyDescent="0.3">
      <c r="B314" s="125" t="s">
        <v>115</v>
      </c>
      <c r="C314" s="54">
        <v>8</v>
      </c>
      <c r="D314" s="45">
        <v>7</v>
      </c>
      <c r="E314" s="42"/>
      <c r="F314" s="40"/>
      <c r="G314" s="42"/>
      <c r="H314" s="54">
        <v>7</v>
      </c>
      <c r="I314" s="54" t="s">
        <v>217</v>
      </c>
      <c r="J314" s="28"/>
      <c r="K314" s="40"/>
      <c r="M314" s="68" t="s">
        <v>132</v>
      </c>
      <c r="N314" s="54">
        <v>2</v>
      </c>
      <c r="O314" s="45">
        <v>3</v>
      </c>
      <c r="P314" s="42"/>
      <c r="Q314" s="40"/>
      <c r="R314" s="42"/>
      <c r="S314" s="54">
        <v>2</v>
      </c>
      <c r="T314" s="54" t="s">
        <v>472</v>
      </c>
      <c r="U314" s="28"/>
      <c r="V314" s="40"/>
      <c r="AL314" s="138" t="s">
        <v>72</v>
      </c>
      <c r="AM314" s="138">
        <f>4+17+8</f>
        <v>29</v>
      </c>
      <c r="AN314" s="141">
        <f>3+17+4</f>
        <v>24</v>
      </c>
      <c r="AO314" s="138"/>
      <c r="AP314" s="141"/>
      <c r="AQ314" s="28"/>
      <c r="AR314" s="43">
        <v>3</v>
      </c>
      <c r="AS314" s="28" t="s">
        <v>472</v>
      </c>
      <c r="AT314" s="28"/>
      <c r="AU314" s="141"/>
      <c r="AZ314" s="138" t="s">
        <v>81</v>
      </c>
      <c r="BA314" s="138">
        <v>15</v>
      </c>
      <c r="BB314" s="141">
        <v>12</v>
      </c>
      <c r="BC314" s="138">
        <v>0</v>
      </c>
      <c r="BD314" s="141">
        <v>0</v>
      </c>
      <c r="BE314" s="138"/>
      <c r="BF314" s="43">
        <v>1</v>
      </c>
      <c r="BG314" s="43" t="s">
        <v>244</v>
      </c>
      <c r="BH314" s="43"/>
      <c r="BI314" s="141"/>
    </row>
    <row r="315" spans="2:61" x14ac:dyDescent="0.3">
      <c r="B315" s="125" t="s">
        <v>56</v>
      </c>
      <c r="C315" s="54">
        <v>3</v>
      </c>
      <c r="D315" s="45">
        <v>2</v>
      </c>
      <c r="E315" s="42"/>
      <c r="F315" s="40"/>
      <c r="G315" s="42"/>
      <c r="H315" s="54">
        <v>3</v>
      </c>
      <c r="I315" s="54" t="s">
        <v>219</v>
      </c>
      <c r="J315" s="28"/>
      <c r="K315" s="40"/>
      <c r="M315" s="41" t="s">
        <v>6</v>
      </c>
      <c r="P315" s="42"/>
      <c r="Q315" s="40"/>
      <c r="R315" s="42"/>
      <c r="S315" s="54">
        <v>24</v>
      </c>
      <c r="T315" s="54" t="s">
        <v>215</v>
      </c>
      <c r="U315" s="28"/>
      <c r="V315" s="40"/>
      <c r="AL315" s="138" t="s">
        <v>115</v>
      </c>
      <c r="AM315" s="138">
        <f>1+4</f>
        <v>5</v>
      </c>
      <c r="AN315" s="141">
        <f>1+10</f>
        <v>11</v>
      </c>
      <c r="AO315" s="138"/>
      <c r="AP315" s="141"/>
      <c r="AQ315" s="28"/>
      <c r="AR315" s="43">
        <v>4</v>
      </c>
      <c r="AS315" s="28" t="s">
        <v>217</v>
      </c>
      <c r="AT315" s="28"/>
      <c r="AU315" s="141"/>
      <c r="AZ315" s="138" t="s">
        <v>230</v>
      </c>
      <c r="BA315" s="138">
        <v>3</v>
      </c>
      <c r="BB315" s="141">
        <v>0</v>
      </c>
      <c r="BC315" s="138">
        <v>0</v>
      </c>
      <c r="BD315" s="141">
        <v>0</v>
      </c>
      <c r="BE315" s="138"/>
      <c r="BF315" s="43">
        <v>1</v>
      </c>
      <c r="BG315" s="43" t="s">
        <v>216</v>
      </c>
      <c r="BH315" s="43"/>
      <c r="BI315" s="141"/>
    </row>
    <row r="316" spans="2:61" ht="15" thickBot="1" x14ac:dyDescent="0.35">
      <c r="B316" s="125" t="s">
        <v>138</v>
      </c>
      <c r="C316" s="54">
        <v>0</v>
      </c>
      <c r="D316" s="45">
        <v>0</v>
      </c>
      <c r="E316" s="42"/>
      <c r="F316" s="40"/>
      <c r="G316" s="42"/>
      <c r="H316" s="54">
        <v>11</v>
      </c>
      <c r="I316" s="54" t="s">
        <v>221</v>
      </c>
      <c r="J316" s="28"/>
      <c r="K316" s="40"/>
      <c r="M316" s="46" t="s">
        <v>84</v>
      </c>
      <c r="N316" s="48">
        <f>SUM(N300:N315)</f>
        <v>177</v>
      </c>
      <c r="O316" s="48">
        <f>SUM(O300:O315)</f>
        <v>175</v>
      </c>
      <c r="P316" s="47"/>
      <c r="Q316" s="49"/>
      <c r="R316" s="47"/>
      <c r="S316" s="48">
        <v>5</v>
      </c>
      <c r="T316" s="48" t="s">
        <v>244</v>
      </c>
      <c r="U316" s="48"/>
      <c r="V316" s="49">
        <f>SUM(S301:S316)</f>
        <v>119</v>
      </c>
      <c r="AL316" s="138" t="s">
        <v>56</v>
      </c>
      <c r="AM316" s="138">
        <f>5+4</f>
        <v>9</v>
      </c>
      <c r="AN316" s="141">
        <f>6+6+15+2</f>
        <v>29</v>
      </c>
      <c r="AO316" s="138"/>
      <c r="AP316" s="141"/>
      <c r="AQ316" s="28"/>
      <c r="AR316" s="43">
        <v>1</v>
      </c>
      <c r="AS316" s="28" t="s">
        <v>967</v>
      </c>
      <c r="AT316" s="28"/>
      <c r="AU316" s="141"/>
      <c r="AZ316" s="138" t="s">
        <v>63</v>
      </c>
      <c r="BA316" s="138">
        <v>5</v>
      </c>
      <c r="BB316" s="141">
        <v>5</v>
      </c>
      <c r="BC316" s="138">
        <v>0</v>
      </c>
      <c r="BD316" s="141">
        <v>0</v>
      </c>
      <c r="BE316" s="138"/>
      <c r="BF316" s="43"/>
      <c r="BG316" s="43" t="s">
        <v>1891</v>
      </c>
      <c r="BH316" s="28"/>
      <c r="BI316" s="141"/>
    </row>
    <row r="317" spans="2:61" ht="15" thickBot="1" x14ac:dyDescent="0.35">
      <c r="B317" s="125" t="s">
        <v>67</v>
      </c>
      <c r="C317" s="54">
        <v>11</v>
      </c>
      <c r="D317" s="45">
        <f>12+8</f>
        <v>20</v>
      </c>
      <c r="E317" s="42"/>
      <c r="F317" s="40"/>
      <c r="G317" s="42"/>
      <c r="H317" s="54">
        <v>17</v>
      </c>
      <c r="I317" s="54" t="s">
        <v>222</v>
      </c>
      <c r="J317" s="28"/>
      <c r="K317" s="40"/>
      <c r="M317" s="169" t="s">
        <v>84</v>
      </c>
      <c r="N317" s="170">
        <f>SUM(N316+N299+N289+N274)</f>
        <v>1932</v>
      </c>
      <c r="O317" s="170">
        <f>SUM(O316+O299+O289+O274)</f>
        <v>1943</v>
      </c>
      <c r="P317" s="171"/>
      <c r="Q317" s="172"/>
      <c r="R317" s="170"/>
      <c r="S317" s="170"/>
      <c r="T317" s="170"/>
      <c r="U317" s="170"/>
      <c r="V317" s="172">
        <f>SUM(V273:V316)</f>
        <v>355</v>
      </c>
      <c r="AA317" t="s">
        <v>4</v>
      </c>
      <c r="AL317" s="138" t="s">
        <v>138</v>
      </c>
      <c r="AM317" s="138">
        <v>3</v>
      </c>
      <c r="AN317" s="141">
        <v>2</v>
      </c>
      <c r="AO317" s="138"/>
      <c r="AP317" s="141"/>
      <c r="AQ317" s="28"/>
      <c r="AR317" s="43">
        <v>5</v>
      </c>
      <c r="AS317" s="28" t="s">
        <v>1294</v>
      </c>
      <c r="AT317" s="28"/>
      <c r="AU317" s="141"/>
      <c r="AW317" t="s">
        <v>6</v>
      </c>
      <c r="AZ317" s="138" t="s">
        <v>1895</v>
      </c>
      <c r="BA317" s="138">
        <v>0</v>
      </c>
      <c r="BB317" s="141">
        <v>1</v>
      </c>
      <c r="BC317" s="138">
        <v>0</v>
      </c>
      <c r="BD317" s="141">
        <v>0</v>
      </c>
      <c r="BE317" s="138"/>
      <c r="BF317" s="220"/>
      <c r="BG317" s="220" t="s">
        <v>1896</v>
      </c>
      <c r="BH317" s="28"/>
      <c r="BI317" s="141"/>
    </row>
    <row r="318" spans="2:61" ht="15" thickBot="1" x14ac:dyDescent="0.35">
      <c r="B318" s="125" t="s">
        <v>122</v>
      </c>
      <c r="C318" s="54">
        <v>0</v>
      </c>
      <c r="D318" s="45">
        <v>0</v>
      </c>
      <c r="E318" s="42"/>
      <c r="F318" s="40"/>
      <c r="G318" s="42"/>
      <c r="H318" s="54">
        <v>0</v>
      </c>
      <c r="I318" s="54" t="s">
        <v>390</v>
      </c>
      <c r="J318" s="28"/>
      <c r="K318" s="40"/>
      <c r="AB318" t="s">
        <v>2</v>
      </c>
      <c r="AL318" s="138" t="s">
        <v>67</v>
      </c>
      <c r="AM318" s="138">
        <f>5+28</f>
        <v>33</v>
      </c>
      <c r="AN318" s="141">
        <f>7+35+2+1</f>
        <v>45</v>
      </c>
      <c r="AO318" s="138"/>
      <c r="AP318" s="141"/>
      <c r="AQ318" s="28"/>
      <c r="AR318" s="43">
        <v>1</v>
      </c>
      <c r="AS318" s="28" t="s">
        <v>653</v>
      </c>
      <c r="AT318" s="28"/>
      <c r="AU318" s="141"/>
      <c r="AZ318" s="138" t="s">
        <v>84</v>
      </c>
      <c r="BA318" s="138">
        <v>181</v>
      </c>
      <c r="BB318" s="141">
        <v>199</v>
      </c>
      <c r="BC318" s="138">
        <v>0</v>
      </c>
      <c r="BD318" s="141">
        <v>0</v>
      </c>
      <c r="BE318" s="142"/>
      <c r="BF318" s="224">
        <v>1</v>
      </c>
      <c r="BG318" s="224" t="s">
        <v>433</v>
      </c>
      <c r="BH318" s="143"/>
      <c r="BI318" s="146">
        <v>149</v>
      </c>
    </row>
    <row r="319" spans="2:61" ht="15" thickBot="1" x14ac:dyDescent="0.35">
      <c r="B319" s="125" t="s">
        <v>227</v>
      </c>
      <c r="C319" s="54">
        <v>0</v>
      </c>
      <c r="D319" s="45">
        <v>0</v>
      </c>
      <c r="E319" s="42"/>
      <c r="F319" s="40"/>
      <c r="G319" s="42"/>
      <c r="H319" s="54">
        <v>6</v>
      </c>
      <c r="I319" s="54" t="s">
        <v>391</v>
      </c>
      <c r="J319" s="28"/>
      <c r="K319" s="40"/>
      <c r="Z319" t="s">
        <v>12</v>
      </c>
      <c r="AL319" s="138" t="s">
        <v>122</v>
      </c>
      <c r="AM319" s="138">
        <v>4</v>
      </c>
      <c r="AN319" s="141">
        <f>1+2</f>
        <v>3</v>
      </c>
      <c r="AO319" s="138"/>
      <c r="AP319" s="141"/>
      <c r="AQ319" s="28"/>
      <c r="AR319" s="43">
        <v>2</v>
      </c>
      <c r="AS319" s="28" t="s">
        <v>618</v>
      </c>
      <c r="AT319" s="28"/>
      <c r="AU319" s="141"/>
      <c r="AZ319" s="171" t="s">
        <v>84</v>
      </c>
      <c r="BA319" s="171">
        <v>2067</v>
      </c>
      <c r="BB319" s="172">
        <v>1952</v>
      </c>
      <c r="BC319" s="170">
        <v>0</v>
      </c>
      <c r="BD319" s="172">
        <v>0</v>
      </c>
      <c r="BE319" s="48"/>
      <c r="BF319" s="48"/>
      <c r="BG319" s="48"/>
      <c r="BH319" s="48"/>
      <c r="BI319" s="49">
        <v>362</v>
      </c>
    </row>
    <row r="320" spans="2:61" x14ac:dyDescent="0.3">
      <c r="B320" s="41" t="s">
        <v>230</v>
      </c>
      <c r="C320" s="54">
        <f>9+5</f>
        <v>14</v>
      </c>
      <c r="D320" s="45">
        <f>7+17</f>
        <v>24</v>
      </c>
      <c r="E320" s="42"/>
      <c r="F320" s="40"/>
      <c r="G320" s="42"/>
      <c r="H320" s="54">
        <v>0</v>
      </c>
      <c r="I320" s="54" t="s">
        <v>392</v>
      </c>
      <c r="J320" s="28"/>
      <c r="K320" s="40"/>
      <c r="AB320" t="s">
        <v>1044</v>
      </c>
      <c r="AL320" s="138" t="s">
        <v>227</v>
      </c>
      <c r="AM320" s="138">
        <v>0</v>
      </c>
      <c r="AN320" s="141">
        <v>0</v>
      </c>
      <c r="AO320" s="138"/>
      <c r="AP320" s="141"/>
      <c r="AQ320" s="28"/>
      <c r="AR320" s="43">
        <v>10</v>
      </c>
      <c r="AS320" s="28" t="s">
        <v>352</v>
      </c>
      <c r="AT320" s="28"/>
      <c r="AU320" s="141"/>
      <c r="AZ320" s="28"/>
      <c r="BA320" s="28"/>
      <c r="BB320" s="28"/>
      <c r="BC320" s="28"/>
      <c r="BD320" s="28"/>
      <c r="BE320" s="28"/>
      <c r="BF320" s="43"/>
      <c r="BG320" s="43"/>
      <c r="BH320" s="28"/>
      <c r="BI320" s="28"/>
    </row>
    <row r="321" spans="2:61" x14ac:dyDescent="0.3">
      <c r="B321" s="68" t="s">
        <v>125</v>
      </c>
      <c r="C321" s="54">
        <v>0</v>
      </c>
      <c r="D321" s="45">
        <v>0</v>
      </c>
      <c r="E321" s="42"/>
      <c r="F321" s="40"/>
      <c r="G321" s="42"/>
      <c r="H321" s="54">
        <v>2</v>
      </c>
      <c r="I321" s="54" t="s">
        <v>228</v>
      </c>
      <c r="J321" s="28"/>
      <c r="K321" s="40"/>
      <c r="AF321" s="194" t="s">
        <v>951</v>
      </c>
      <c r="AL321" s="138" t="s">
        <v>230</v>
      </c>
      <c r="AM321" s="138">
        <f>4+3</f>
        <v>7</v>
      </c>
      <c r="AN321" s="141">
        <f>7+3</f>
        <v>10</v>
      </c>
      <c r="AO321" s="138"/>
      <c r="AP321" s="141"/>
      <c r="AQ321" s="28"/>
      <c r="AR321" s="28">
        <v>13</v>
      </c>
      <c r="AS321" s="28" t="s">
        <v>655</v>
      </c>
      <c r="AT321" s="28"/>
      <c r="AU321" s="141"/>
      <c r="AZ321" s="28"/>
      <c r="BA321" s="28"/>
      <c r="BB321" s="28"/>
      <c r="BC321" s="28"/>
      <c r="BD321" s="28"/>
      <c r="BE321" s="28"/>
      <c r="BF321" s="220"/>
      <c r="BG321" s="220"/>
      <c r="BH321" s="28"/>
      <c r="BI321" s="28"/>
    </row>
    <row r="322" spans="2:61" x14ac:dyDescent="0.3">
      <c r="B322" s="68" t="s">
        <v>132</v>
      </c>
      <c r="C322" s="54">
        <v>16</v>
      </c>
      <c r="D322" s="45">
        <v>16</v>
      </c>
      <c r="E322" s="42"/>
      <c r="F322" s="40"/>
      <c r="G322" s="42"/>
      <c r="H322" s="54">
        <v>1</v>
      </c>
      <c r="I322" s="54" t="s">
        <v>237</v>
      </c>
      <c r="J322" s="28"/>
      <c r="K322" s="40"/>
      <c r="X322" s="134" t="s">
        <v>17</v>
      </c>
      <c r="Y322" s="134" t="s">
        <v>39</v>
      </c>
      <c r="Z322" s="136"/>
      <c r="AA322" s="134" t="s">
        <v>29</v>
      </c>
      <c r="AB322" s="136" t="s">
        <v>30</v>
      </c>
      <c r="AC322" s="135" t="s">
        <v>40</v>
      </c>
      <c r="AD322" s="135"/>
      <c r="AE322" s="135"/>
      <c r="AF322" s="135"/>
      <c r="AG322" s="136"/>
      <c r="AL322" s="138" t="s">
        <v>125</v>
      </c>
      <c r="AM322" s="138">
        <v>0</v>
      </c>
      <c r="AN322" s="141">
        <v>0</v>
      </c>
      <c r="AO322" s="138"/>
      <c r="AP322" s="141"/>
      <c r="AQ322" s="28"/>
      <c r="AR322" s="43">
        <v>1</v>
      </c>
      <c r="AS322" s="28" t="s">
        <v>991</v>
      </c>
      <c r="AT322" s="28"/>
      <c r="AU322" s="141"/>
    </row>
    <row r="323" spans="2:61" x14ac:dyDescent="0.3">
      <c r="B323" s="41" t="s">
        <v>6</v>
      </c>
      <c r="E323" s="42"/>
      <c r="F323" s="40"/>
      <c r="G323" s="42"/>
      <c r="H323" s="54">
        <v>1</v>
      </c>
      <c r="I323" s="54" t="s">
        <v>433</v>
      </c>
      <c r="J323" s="28"/>
      <c r="K323" s="40"/>
      <c r="X323" s="138" t="s">
        <v>42</v>
      </c>
      <c r="Y323" s="138" t="s">
        <v>43</v>
      </c>
      <c r="Z323" s="141" t="s">
        <v>44</v>
      </c>
      <c r="AA323" s="138" t="s">
        <v>43</v>
      </c>
      <c r="AB323" s="141" t="s">
        <v>44</v>
      </c>
      <c r="AC323" s="28"/>
      <c r="AD323" s="28"/>
      <c r="AE323" s="28"/>
      <c r="AF323" s="28"/>
      <c r="AG323" s="141"/>
      <c r="AL323" s="138" t="s">
        <v>132</v>
      </c>
      <c r="AM323" s="138">
        <v>0</v>
      </c>
      <c r="AN323" s="141">
        <v>0</v>
      </c>
      <c r="AO323" s="138"/>
      <c r="AP323" s="141"/>
      <c r="AQ323" s="28"/>
      <c r="AR323" s="43">
        <v>3</v>
      </c>
      <c r="AS323" s="28" t="s">
        <v>682</v>
      </c>
      <c r="AT323" s="28"/>
      <c r="AU323" s="141"/>
    </row>
    <row r="324" spans="2:61" ht="15" thickBot="1" x14ac:dyDescent="0.35">
      <c r="B324" s="46" t="s">
        <v>84</v>
      </c>
      <c r="C324" s="48">
        <f>SUM(C308:C323)</f>
        <v>93</v>
      </c>
      <c r="D324" s="48">
        <f>SUM(D308:D323)</f>
        <v>117</v>
      </c>
      <c r="E324" s="47"/>
      <c r="F324" s="49"/>
      <c r="G324" s="47"/>
      <c r="H324" s="48">
        <v>2</v>
      </c>
      <c r="I324" s="48" t="s">
        <v>244</v>
      </c>
      <c r="J324" s="48"/>
      <c r="K324" s="49">
        <f>SUM(H310:H322)</f>
        <v>91</v>
      </c>
      <c r="X324" s="134"/>
      <c r="Y324" s="134"/>
      <c r="Z324" s="136"/>
      <c r="AA324" s="134"/>
      <c r="AB324" s="136"/>
      <c r="AC324" s="135"/>
      <c r="AD324" s="135"/>
      <c r="AE324" s="135"/>
      <c r="AF324" s="135"/>
      <c r="AG324" s="136"/>
      <c r="AL324" s="138" t="s">
        <v>536</v>
      </c>
      <c r="AM324" s="138">
        <v>0</v>
      </c>
      <c r="AN324" s="141">
        <v>0</v>
      </c>
      <c r="AO324" s="138"/>
      <c r="AP324" s="141"/>
      <c r="AQ324" s="28"/>
      <c r="AR324" s="43">
        <v>45</v>
      </c>
      <c r="AS324" s="28" t="s">
        <v>215</v>
      </c>
      <c r="AT324" s="28"/>
      <c r="AU324" s="141"/>
    </row>
    <row r="325" spans="2:61" ht="15" thickBot="1" x14ac:dyDescent="0.35">
      <c r="B325" s="147" t="s">
        <v>84</v>
      </c>
      <c r="C325" s="147">
        <f>SUM(+C324+C307+C297+C282+C279)</f>
        <v>2675</v>
      </c>
      <c r="D325" s="148">
        <f>SUM(D324+D307+D297+D282+D279)</f>
        <v>2665</v>
      </c>
      <c r="E325" s="147"/>
      <c r="F325" s="148"/>
      <c r="G325" s="149" t="s">
        <v>247</v>
      </c>
      <c r="H325" s="149"/>
      <c r="I325" s="149"/>
      <c r="J325" s="149"/>
      <c r="K325" s="148">
        <f>SUM(K279:K324)</f>
        <v>410</v>
      </c>
      <c r="X325" s="138" t="s">
        <v>6</v>
      </c>
      <c r="Y325" s="138"/>
      <c r="Z325" s="141"/>
      <c r="AA325" s="138"/>
      <c r="AB325" s="141"/>
      <c r="AC325" s="28"/>
      <c r="AD325" s="28" t="s">
        <v>91</v>
      </c>
      <c r="AE325" s="28"/>
      <c r="AF325" s="28"/>
      <c r="AG325" s="141"/>
      <c r="AL325" s="138" t="s">
        <v>84</v>
      </c>
      <c r="AM325" s="138">
        <f>SUM(AM309:AM324)</f>
        <v>140</v>
      </c>
      <c r="AN325" s="141">
        <f>SUM(AN309:AN324)</f>
        <v>179</v>
      </c>
      <c r="AO325" s="138"/>
      <c r="AP325" s="141"/>
      <c r="AQ325" s="28"/>
      <c r="AR325" s="28">
        <v>3</v>
      </c>
      <c r="AS325" s="28" t="s">
        <v>244</v>
      </c>
      <c r="AT325" s="28"/>
      <c r="AU325" s="141">
        <f>SUM(AR309:AR325)</f>
        <v>132</v>
      </c>
    </row>
    <row r="326" spans="2:61" ht="15.6" thickTop="1" thickBot="1" x14ac:dyDescent="0.35">
      <c r="X326" s="138" t="s">
        <v>56</v>
      </c>
      <c r="Y326" s="138">
        <v>1796</v>
      </c>
      <c r="Z326" s="141">
        <v>1817</v>
      </c>
      <c r="AA326" s="138"/>
      <c r="AB326" s="141"/>
      <c r="AC326" s="28"/>
      <c r="AD326" s="28">
        <v>36</v>
      </c>
      <c r="AE326" s="28" t="s">
        <v>145</v>
      </c>
      <c r="AF326" s="28"/>
      <c r="AG326" s="141"/>
      <c r="AL326" s="171" t="s">
        <v>84</v>
      </c>
      <c r="AM326" s="207">
        <f>SUM(AM325+AM307+AM302+AM287)</f>
        <v>1769</v>
      </c>
      <c r="AN326" s="207">
        <f>SUM(AN325+AN307+AN302+AN287)</f>
        <v>1733</v>
      </c>
      <c r="AO326" s="207"/>
      <c r="AP326" s="208"/>
      <c r="AQ326" s="170"/>
      <c r="AR326" s="170"/>
      <c r="AS326" s="170"/>
      <c r="AT326" s="170"/>
      <c r="AU326" s="172">
        <f>SUM(AU287:AU325)</f>
        <v>328</v>
      </c>
    </row>
    <row r="327" spans="2:61" x14ac:dyDescent="0.3">
      <c r="X327" s="142" t="s">
        <v>6</v>
      </c>
      <c r="Y327" s="142"/>
      <c r="Z327" s="146"/>
      <c r="AA327" s="142"/>
      <c r="AB327" s="146"/>
      <c r="AC327" s="143"/>
      <c r="AD327" s="143">
        <v>62</v>
      </c>
      <c r="AE327" s="143" t="s">
        <v>73</v>
      </c>
      <c r="AF327" s="143"/>
      <c r="AG327" s="146">
        <f>SUM(AD327)</f>
        <v>62</v>
      </c>
    </row>
    <row r="328" spans="2:61" x14ac:dyDescent="0.3">
      <c r="X328" s="134" t="s">
        <v>56</v>
      </c>
      <c r="Y328" s="134">
        <v>2</v>
      </c>
      <c r="Z328" s="136">
        <v>4</v>
      </c>
      <c r="AA328" s="134"/>
      <c r="AB328" s="136"/>
      <c r="AC328" s="135"/>
      <c r="AD328" s="135"/>
      <c r="AE328" s="135"/>
      <c r="AF328" s="135"/>
      <c r="AG328" s="136"/>
    </row>
    <row r="329" spans="2:61" ht="15" thickBot="1" x14ac:dyDescent="0.35">
      <c r="X329" s="138" t="s">
        <v>63</v>
      </c>
      <c r="Y329" s="138">
        <v>15</v>
      </c>
      <c r="Z329" s="141">
        <v>9</v>
      </c>
      <c r="AA329" s="138"/>
      <c r="AB329" s="141"/>
      <c r="AC329" s="28"/>
      <c r="AD329" s="28" t="s">
        <v>110</v>
      </c>
      <c r="AE329" s="28" t="s">
        <v>111</v>
      </c>
      <c r="AF329" s="28" t="s">
        <v>112</v>
      </c>
      <c r="AG329" s="141"/>
    </row>
    <row r="330" spans="2:61" ht="16.2" thickBot="1" x14ac:dyDescent="0.35">
      <c r="P330" s="1" t="s">
        <v>4</v>
      </c>
      <c r="X330" s="138" t="s">
        <v>115</v>
      </c>
      <c r="Y330" s="138">
        <v>66</v>
      </c>
      <c r="Z330" s="141">
        <v>49</v>
      </c>
      <c r="AA330" s="138"/>
      <c r="AB330" s="141"/>
      <c r="AC330" s="28"/>
      <c r="AD330" s="28"/>
      <c r="AE330" s="28"/>
      <c r="AF330" s="28"/>
      <c r="AG330" s="141"/>
      <c r="AL330" s="317" t="s">
        <v>1532</v>
      </c>
      <c r="AM330" s="210">
        <v>2094</v>
      </c>
      <c r="AN330" s="318">
        <v>2072</v>
      </c>
      <c r="AO330" s="170"/>
      <c r="AP330" s="170"/>
      <c r="AQ330" s="170"/>
      <c r="AR330" s="170"/>
      <c r="AS330" s="170"/>
      <c r="AT330" s="170"/>
      <c r="AU330" s="172">
        <v>336</v>
      </c>
    </row>
    <row r="331" spans="2:61" x14ac:dyDescent="0.3">
      <c r="Q331" t="s">
        <v>2</v>
      </c>
      <c r="X331" s="138" t="s">
        <v>72</v>
      </c>
      <c r="Y331" s="138">
        <v>2</v>
      </c>
      <c r="Z331" s="141">
        <v>30</v>
      </c>
      <c r="AA331" s="138"/>
      <c r="AB331" s="141"/>
      <c r="AC331" s="28"/>
      <c r="AD331" s="28"/>
      <c r="AE331" s="28"/>
      <c r="AF331" s="28"/>
      <c r="AG331" s="141"/>
    </row>
    <row r="332" spans="2:61" x14ac:dyDescent="0.3">
      <c r="O332" t="s">
        <v>12</v>
      </c>
      <c r="X332" s="138" t="s">
        <v>78</v>
      </c>
      <c r="Y332" s="138">
        <v>26</v>
      </c>
      <c r="Z332" s="141">
        <v>79</v>
      </c>
      <c r="AA332" s="138"/>
      <c r="AB332" s="141"/>
      <c r="AC332" s="28"/>
      <c r="AD332" s="28"/>
      <c r="AE332" s="28"/>
      <c r="AF332" s="28"/>
      <c r="AG332" s="141"/>
      <c r="AH332" t="s">
        <v>6</v>
      </c>
    </row>
    <row r="333" spans="2:61" x14ac:dyDescent="0.3">
      <c r="Q333" t="s">
        <v>777</v>
      </c>
      <c r="V333" s="5"/>
      <c r="X333" s="138" t="s">
        <v>122</v>
      </c>
      <c r="Y333" s="138">
        <v>12</v>
      </c>
      <c r="Z333" s="141">
        <v>43</v>
      </c>
      <c r="AA333" s="138"/>
      <c r="AB333" s="141"/>
      <c r="AC333" s="28"/>
      <c r="AD333" s="28">
        <v>10</v>
      </c>
      <c r="AE333" s="28" t="s">
        <v>123</v>
      </c>
      <c r="AF333" s="28"/>
      <c r="AG333" s="141"/>
      <c r="AW333" t="s">
        <v>6</v>
      </c>
    </row>
    <row r="334" spans="2:61" ht="15" thickBot="1" x14ac:dyDescent="0.35">
      <c r="U334" s="5" t="s">
        <v>26</v>
      </c>
      <c r="X334" s="138" t="s">
        <v>125</v>
      </c>
      <c r="Y334" s="138">
        <v>0</v>
      </c>
      <c r="Z334" s="141">
        <v>0</v>
      </c>
      <c r="AA334" s="138"/>
      <c r="AB334" s="141"/>
      <c r="AC334" s="28"/>
      <c r="AD334" s="28">
        <v>35</v>
      </c>
      <c r="AE334" s="28" t="s">
        <v>126</v>
      </c>
      <c r="AF334" s="28"/>
      <c r="AG334" s="141"/>
    </row>
    <row r="335" spans="2:61" x14ac:dyDescent="0.3">
      <c r="M335" s="6" t="s">
        <v>17</v>
      </c>
      <c r="N335" s="6" t="s">
        <v>39</v>
      </c>
      <c r="O335" s="7"/>
      <c r="P335" s="6" t="s">
        <v>29</v>
      </c>
      <c r="Q335" s="7" t="s">
        <v>30</v>
      </c>
      <c r="R335" s="8" t="s">
        <v>40</v>
      </c>
      <c r="S335" s="8"/>
      <c r="T335" s="8"/>
      <c r="U335" s="8"/>
      <c r="V335" s="7"/>
      <c r="X335" s="138" t="s">
        <v>536</v>
      </c>
      <c r="Y335" s="138">
        <v>0</v>
      </c>
      <c r="Z335" s="141">
        <v>0</v>
      </c>
      <c r="AA335" s="138"/>
      <c r="AB335" s="141"/>
      <c r="AC335" s="28"/>
      <c r="AD335" s="28">
        <v>43</v>
      </c>
      <c r="AE335" s="28" t="s">
        <v>129</v>
      </c>
      <c r="AF335" s="28"/>
      <c r="AG335" s="141"/>
    </row>
    <row r="336" spans="2:61" ht="15" thickBot="1" x14ac:dyDescent="0.35">
      <c r="M336" s="13" t="s">
        <v>42</v>
      </c>
      <c r="N336" s="13" t="s">
        <v>43</v>
      </c>
      <c r="O336" s="26" t="s">
        <v>44</v>
      </c>
      <c r="P336" s="13" t="s">
        <v>43</v>
      </c>
      <c r="Q336" s="26" t="s">
        <v>44</v>
      </c>
      <c r="R336" s="27"/>
      <c r="S336" s="27"/>
      <c r="T336" s="27"/>
      <c r="U336" s="27"/>
      <c r="V336" s="26"/>
      <c r="X336" s="138" t="s">
        <v>132</v>
      </c>
      <c r="Y336" s="138">
        <v>0</v>
      </c>
      <c r="Z336" s="141">
        <v>0</v>
      </c>
      <c r="AA336" s="138"/>
      <c r="AB336" s="141"/>
      <c r="AC336" s="28"/>
      <c r="AD336" s="28"/>
      <c r="AE336" s="28"/>
      <c r="AF336" s="28"/>
      <c r="AG336" s="141"/>
    </row>
    <row r="337" spans="2:48" ht="15.6" x14ac:dyDescent="0.3">
      <c r="E337" s="1" t="s">
        <v>4</v>
      </c>
      <c r="M337" s="32" t="s">
        <v>6</v>
      </c>
      <c r="N337" s="43"/>
      <c r="O337" s="54"/>
      <c r="P337" s="33"/>
      <c r="Q337" s="35"/>
      <c r="R337" s="33"/>
      <c r="S337" s="34" t="s">
        <v>91</v>
      </c>
      <c r="T337" s="34"/>
      <c r="U337" s="34"/>
      <c r="V337" s="35"/>
      <c r="W337" s="28"/>
      <c r="X337" s="138" t="s">
        <v>81</v>
      </c>
      <c r="Y337" s="138">
        <v>24</v>
      </c>
      <c r="Z337" s="141">
        <v>10</v>
      </c>
      <c r="AA337" s="138"/>
      <c r="AB337" s="141"/>
      <c r="AC337" s="28"/>
      <c r="AD337" s="28"/>
      <c r="AE337" s="28"/>
      <c r="AF337" s="28"/>
      <c r="AG337" s="141"/>
    </row>
    <row r="338" spans="2:48" x14ac:dyDescent="0.3">
      <c r="F338" t="s">
        <v>2</v>
      </c>
      <c r="M338" s="41" t="s">
        <v>56</v>
      </c>
      <c r="N338" s="43">
        <v>1385</v>
      </c>
      <c r="O338" s="54">
        <v>1480</v>
      </c>
      <c r="P338" s="42"/>
      <c r="Q338" s="40"/>
      <c r="R338" s="42"/>
      <c r="S338" s="28"/>
      <c r="T338" s="28"/>
      <c r="U338" s="28"/>
      <c r="V338" s="40"/>
      <c r="W338" s="28"/>
      <c r="X338" s="138" t="s">
        <v>138</v>
      </c>
      <c r="Y338" s="138">
        <v>0</v>
      </c>
      <c r="Z338" s="141">
        <v>0</v>
      </c>
      <c r="AA338" s="138"/>
      <c r="AB338" s="141"/>
      <c r="AC338" s="28"/>
      <c r="AD338" s="28"/>
      <c r="AE338" s="28"/>
      <c r="AF338" s="28"/>
      <c r="AG338" s="141"/>
    </row>
    <row r="339" spans="2:48" ht="15" thickBot="1" x14ac:dyDescent="0.35">
      <c r="D339" t="s">
        <v>12</v>
      </c>
      <c r="L339" t="s">
        <v>6</v>
      </c>
      <c r="M339" s="62" t="s">
        <v>6</v>
      </c>
      <c r="N339" s="43"/>
      <c r="O339" s="43"/>
      <c r="P339" s="47"/>
      <c r="Q339" s="49"/>
      <c r="R339" s="47"/>
      <c r="S339" s="48">
        <v>108</v>
      </c>
      <c r="T339" s="48" t="s">
        <v>73</v>
      </c>
      <c r="U339" s="48"/>
      <c r="V339" s="49">
        <f>SUM(S339)</f>
        <v>108</v>
      </c>
      <c r="W339" s="28"/>
      <c r="X339" s="138" t="s">
        <v>230</v>
      </c>
      <c r="Y339" s="138">
        <v>0</v>
      </c>
      <c r="Z339" s="141">
        <v>0</v>
      </c>
      <c r="AA339" s="138"/>
      <c r="AB339" s="141"/>
      <c r="AC339" s="28"/>
      <c r="AD339" s="28"/>
      <c r="AE339" s="28"/>
      <c r="AF339" s="28"/>
      <c r="AG339" s="141"/>
    </row>
    <row r="340" spans="2:48" x14ac:dyDescent="0.3">
      <c r="F340" t="s">
        <v>434</v>
      </c>
      <c r="K340" s="5"/>
      <c r="M340" s="10"/>
      <c r="N340" s="29"/>
      <c r="O340" s="31"/>
      <c r="P340" s="33"/>
      <c r="Q340" s="7"/>
      <c r="R340" s="8"/>
      <c r="S340" s="8"/>
      <c r="T340" s="8"/>
      <c r="U340" s="8"/>
      <c r="V340" s="7"/>
      <c r="W340" s="28"/>
      <c r="X340" s="138" t="s">
        <v>67</v>
      </c>
      <c r="Y340" s="138">
        <v>74</v>
      </c>
      <c r="Z340" s="141">
        <v>39</v>
      </c>
      <c r="AA340" s="138"/>
      <c r="AB340" s="141"/>
      <c r="AC340" s="28"/>
      <c r="AD340" s="28"/>
      <c r="AE340" s="28"/>
      <c r="AF340" s="28"/>
      <c r="AG340" s="141"/>
    </row>
    <row r="341" spans="2:48" ht="15" thickBot="1" x14ac:dyDescent="0.35">
      <c r="J341" s="5" t="s">
        <v>26</v>
      </c>
      <c r="M341" s="36" t="s">
        <v>63</v>
      </c>
      <c r="N341" s="10">
        <v>46</v>
      </c>
      <c r="O341" s="18">
        <v>31</v>
      </c>
      <c r="P341" s="42"/>
      <c r="Q341" s="11"/>
      <c r="R341" s="18"/>
      <c r="S341" s="18" t="s">
        <v>110</v>
      </c>
      <c r="T341" s="18" t="s">
        <v>111</v>
      </c>
      <c r="U341" s="18" t="s">
        <v>112</v>
      </c>
      <c r="V341" s="11"/>
      <c r="W341" s="28"/>
      <c r="X341" s="142" t="s">
        <v>84</v>
      </c>
      <c r="Y341" s="142">
        <f>SUM(Y328:Y340)</f>
        <v>221</v>
      </c>
      <c r="Z341" s="146">
        <f>SUM(Z328:Z340)</f>
        <v>263</v>
      </c>
      <c r="AA341" s="142"/>
      <c r="AB341" s="146">
        <v>0</v>
      </c>
      <c r="AC341" s="143"/>
      <c r="AD341" s="143"/>
      <c r="AE341" s="143"/>
      <c r="AF341" s="143"/>
      <c r="AG341" s="146">
        <f>SUM(AD333:AD335)</f>
        <v>88</v>
      </c>
    </row>
    <row r="342" spans="2:48" x14ac:dyDescent="0.3">
      <c r="B342" s="6" t="s">
        <v>17</v>
      </c>
      <c r="C342" s="6" t="s">
        <v>39</v>
      </c>
      <c r="D342" s="7"/>
      <c r="E342" s="6" t="s">
        <v>29</v>
      </c>
      <c r="F342" s="7" t="s">
        <v>30</v>
      </c>
      <c r="G342" s="8" t="s">
        <v>40</v>
      </c>
      <c r="H342" s="8"/>
      <c r="I342" s="8"/>
      <c r="J342" s="8"/>
      <c r="K342" s="7"/>
      <c r="M342" s="10" t="s">
        <v>115</v>
      </c>
      <c r="N342" s="36">
        <v>56</v>
      </c>
      <c r="O342" s="37">
        <v>26</v>
      </c>
      <c r="P342" s="42"/>
      <c r="Q342" s="11"/>
      <c r="R342" s="18"/>
      <c r="S342" s="18"/>
      <c r="T342" s="18"/>
      <c r="U342" s="18"/>
      <c r="V342" s="11"/>
      <c r="W342" s="28"/>
      <c r="X342" s="134"/>
      <c r="Y342" s="134"/>
      <c r="Z342" s="136"/>
      <c r="AA342" s="134"/>
      <c r="AB342" s="136"/>
      <c r="AC342" s="135"/>
      <c r="AD342" s="135"/>
      <c r="AE342" s="135"/>
      <c r="AF342" s="135"/>
      <c r="AG342" s="136"/>
    </row>
    <row r="343" spans="2:48" ht="15" thickBot="1" x14ac:dyDescent="0.35">
      <c r="B343" s="13" t="s">
        <v>42</v>
      </c>
      <c r="C343" s="10" t="s">
        <v>43</v>
      </c>
      <c r="D343" s="11" t="s">
        <v>44</v>
      </c>
      <c r="E343" s="13" t="s">
        <v>43</v>
      </c>
      <c r="F343" s="26" t="s">
        <v>44</v>
      </c>
      <c r="G343" s="27"/>
      <c r="H343" s="27"/>
      <c r="I343" s="27"/>
      <c r="J343" s="27"/>
      <c r="K343" s="26"/>
      <c r="M343" s="52" t="s">
        <v>72</v>
      </c>
      <c r="N343" s="52">
        <v>0</v>
      </c>
      <c r="O343" s="54">
        <v>0</v>
      </c>
      <c r="P343" s="42"/>
      <c r="Q343" s="40"/>
      <c r="R343" s="28"/>
      <c r="S343" s="28"/>
      <c r="T343" s="28"/>
      <c r="U343" s="28"/>
      <c r="V343" s="40"/>
      <c r="W343" s="28"/>
      <c r="X343" s="138" t="s">
        <v>63</v>
      </c>
      <c r="Y343" s="138">
        <v>0</v>
      </c>
      <c r="Z343" s="141">
        <v>0</v>
      </c>
      <c r="AA343" s="138"/>
      <c r="AB343" s="141"/>
      <c r="AC343" s="28"/>
      <c r="AD343" s="28"/>
      <c r="AE343" s="28"/>
      <c r="AF343" s="28"/>
      <c r="AG343" s="141"/>
    </row>
    <row r="344" spans="2:48" x14ac:dyDescent="0.3">
      <c r="B344" s="6" t="s">
        <v>56</v>
      </c>
      <c r="C344" s="29">
        <v>1035</v>
      </c>
      <c r="D344" s="30">
        <v>1076</v>
      </c>
      <c r="G344" s="6"/>
      <c r="H344" s="8"/>
      <c r="I344" s="31" t="s">
        <v>57</v>
      </c>
      <c r="J344" s="8"/>
      <c r="K344" s="7"/>
      <c r="L344" s="28"/>
      <c r="M344" s="36" t="s">
        <v>78</v>
      </c>
      <c r="N344" s="36">
        <v>76</v>
      </c>
      <c r="O344" s="37">
        <v>46</v>
      </c>
      <c r="P344" s="42"/>
      <c r="Q344" s="11"/>
      <c r="R344" s="18"/>
      <c r="S344" s="37"/>
      <c r="T344" s="18"/>
      <c r="U344" s="37"/>
      <c r="V344" s="11"/>
      <c r="W344" s="28"/>
      <c r="X344" s="138" t="s">
        <v>536</v>
      </c>
      <c r="Y344" s="138">
        <v>0</v>
      </c>
      <c r="Z344" s="141">
        <v>0</v>
      </c>
      <c r="AA344" s="138"/>
      <c r="AB344" s="141"/>
      <c r="AC344" s="28"/>
      <c r="AD344" s="28"/>
      <c r="AE344" s="28"/>
      <c r="AF344" s="28"/>
      <c r="AG344" s="141"/>
    </row>
    <row r="345" spans="2:48" x14ac:dyDescent="0.3">
      <c r="B345" s="36" t="s">
        <v>63</v>
      </c>
      <c r="C345" s="36">
        <v>19</v>
      </c>
      <c r="D345" s="39">
        <v>0</v>
      </c>
      <c r="F345" s="18"/>
      <c r="G345" s="10"/>
      <c r="H345" s="18"/>
      <c r="I345" s="18"/>
      <c r="J345" s="18"/>
      <c r="K345" s="11"/>
      <c r="L345" s="28"/>
      <c r="M345" s="10" t="s">
        <v>122</v>
      </c>
      <c r="N345" s="36">
        <v>20</v>
      </c>
      <c r="O345" s="37">
        <v>15</v>
      </c>
      <c r="P345" s="42"/>
      <c r="Q345" s="11"/>
      <c r="R345" s="18"/>
      <c r="S345" s="18">
        <v>28</v>
      </c>
      <c r="T345" s="18" t="s">
        <v>123</v>
      </c>
      <c r="U345" s="18"/>
      <c r="V345" s="11"/>
      <c r="W345" s="28" t="s">
        <v>6</v>
      </c>
      <c r="X345" s="138" t="s">
        <v>56</v>
      </c>
      <c r="Y345" s="138">
        <v>0</v>
      </c>
      <c r="Z345" s="141">
        <v>0</v>
      </c>
      <c r="AA345" s="138"/>
      <c r="AB345" s="141"/>
      <c r="AC345" s="28"/>
      <c r="AD345" s="28" t="s">
        <v>173</v>
      </c>
      <c r="AE345" s="28"/>
      <c r="AF345" s="28"/>
      <c r="AG345" s="141"/>
      <c r="AO345" t="s">
        <v>4</v>
      </c>
    </row>
    <row r="346" spans="2:48" x14ac:dyDescent="0.3">
      <c r="B346" s="36" t="s">
        <v>67</v>
      </c>
      <c r="C346" s="36">
        <v>338</v>
      </c>
      <c r="D346" s="39">
        <v>336</v>
      </c>
      <c r="F346" s="18"/>
      <c r="G346" s="10"/>
      <c r="H346" s="37">
        <v>98</v>
      </c>
      <c r="I346" s="37" t="s">
        <v>68</v>
      </c>
      <c r="J346" s="18"/>
      <c r="K346" s="11"/>
      <c r="L346" s="28"/>
      <c r="M346" s="10" t="s">
        <v>125</v>
      </c>
      <c r="N346" s="36">
        <v>0</v>
      </c>
      <c r="O346" s="37">
        <v>0</v>
      </c>
      <c r="P346" s="42"/>
      <c r="Q346" s="11"/>
      <c r="R346" s="18"/>
      <c r="S346" s="18">
        <v>39</v>
      </c>
      <c r="T346" s="18" t="s">
        <v>126</v>
      </c>
      <c r="U346" s="18"/>
      <c r="V346" s="11"/>
      <c r="W346" s="28"/>
      <c r="X346" s="138" t="s">
        <v>67</v>
      </c>
      <c r="Y346" s="138">
        <v>0</v>
      </c>
      <c r="Z346" s="141">
        <v>0</v>
      </c>
      <c r="AA346" s="138"/>
      <c r="AB346" s="141"/>
      <c r="AC346" s="28"/>
      <c r="AD346" s="28"/>
      <c r="AE346" s="28"/>
      <c r="AF346" s="28"/>
      <c r="AG346" s="141"/>
      <c r="AP346" t="s">
        <v>2</v>
      </c>
    </row>
    <row r="347" spans="2:48" x14ac:dyDescent="0.3">
      <c r="B347" s="36" t="s">
        <v>72</v>
      </c>
      <c r="C347" s="36"/>
      <c r="D347" s="39">
        <v>11</v>
      </c>
      <c r="F347" s="18"/>
      <c r="G347" s="10"/>
      <c r="H347" s="37">
        <v>30</v>
      </c>
      <c r="I347" s="37" t="s">
        <v>73</v>
      </c>
      <c r="J347" s="18"/>
      <c r="K347" s="11"/>
      <c r="L347" s="28"/>
      <c r="M347" s="84" t="s">
        <v>128</v>
      </c>
      <c r="N347" s="52">
        <v>0</v>
      </c>
      <c r="O347" s="37">
        <v>0</v>
      </c>
      <c r="P347" s="42"/>
      <c r="Q347" s="40"/>
      <c r="R347" s="28"/>
      <c r="S347" s="28">
        <v>33</v>
      </c>
      <c r="T347" s="28" t="s">
        <v>129</v>
      </c>
      <c r="U347" s="28"/>
      <c r="V347" s="40"/>
      <c r="W347" s="28"/>
      <c r="X347" s="138" t="s">
        <v>78</v>
      </c>
      <c r="Y347" s="138">
        <v>0</v>
      </c>
      <c r="Z347" s="141">
        <v>0</v>
      </c>
      <c r="AA347" s="138"/>
      <c r="AB347" s="141"/>
      <c r="AC347" s="28"/>
      <c r="AD347" s="28">
        <v>0</v>
      </c>
      <c r="AE347" s="28" t="s">
        <v>183</v>
      </c>
      <c r="AF347" s="28"/>
      <c r="AG347" s="141"/>
      <c r="AN347" t="s">
        <v>12</v>
      </c>
      <c r="AV347" t="s">
        <v>6</v>
      </c>
    </row>
    <row r="348" spans="2:48" x14ac:dyDescent="0.3">
      <c r="B348" s="36" t="s">
        <v>78</v>
      </c>
      <c r="C348" s="36">
        <v>28</v>
      </c>
      <c r="D348" s="39">
        <v>0</v>
      </c>
      <c r="F348" s="18"/>
      <c r="G348" s="10"/>
      <c r="H348" s="37"/>
      <c r="I348" s="37"/>
      <c r="J348" s="18" t="s">
        <v>6</v>
      </c>
      <c r="K348" s="11"/>
      <c r="L348" s="28"/>
      <c r="M348" s="84" t="s">
        <v>132</v>
      </c>
      <c r="N348" s="42">
        <v>0</v>
      </c>
      <c r="O348" s="37">
        <v>0</v>
      </c>
      <c r="P348" s="42"/>
      <c r="Q348" s="40"/>
      <c r="R348" s="28"/>
      <c r="S348" s="28"/>
      <c r="T348" s="28"/>
      <c r="U348" s="28"/>
      <c r="V348" s="40"/>
      <c r="W348" s="28"/>
      <c r="X348" s="138" t="s">
        <v>115</v>
      </c>
      <c r="Y348" s="138">
        <v>0</v>
      </c>
      <c r="Z348" s="141">
        <v>0</v>
      </c>
      <c r="AA348" s="138"/>
      <c r="AB348" s="141"/>
      <c r="AC348" s="28"/>
      <c r="AD348" s="28" t="s">
        <v>6</v>
      </c>
      <c r="AE348" s="28"/>
      <c r="AF348" s="28"/>
      <c r="AG348" s="141"/>
      <c r="AP348" t="s">
        <v>1615</v>
      </c>
    </row>
    <row r="349" spans="2:48" x14ac:dyDescent="0.3">
      <c r="B349" s="52" t="s">
        <v>81</v>
      </c>
      <c r="C349" s="36">
        <v>0</v>
      </c>
      <c r="D349" s="39">
        <v>0</v>
      </c>
      <c r="G349" s="42"/>
      <c r="H349" s="28"/>
      <c r="I349" s="28"/>
      <c r="J349" s="28"/>
      <c r="K349" s="40"/>
      <c r="L349" s="28"/>
      <c r="M349" s="84" t="s">
        <v>81</v>
      </c>
      <c r="N349" s="42">
        <v>16</v>
      </c>
      <c r="O349" s="37">
        <v>17</v>
      </c>
      <c r="P349" s="42"/>
      <c r="Q349" s="40"/>
      <c r="R349" s="28"/>
      <c r="S349" s="28"/>
      <c r="T349" s="28"/>
      <c r="U349" s="28"/>
      <c r="V349" s="40"/>
      <c r="W349" s="45"/>
      <c r="X349" s="138" t="s">
        <v>72</v>
      </c>
      <c r="Y349" s="138">
        <v>0</v>
      </c>
      <c r="Z349" s="141">
        <v>0</v>
      </c>
      <c r="AA349" s="138"/>
      <c r="AB349" s="141"/>
      <c r="AC349" s="28"/>
      <c r="AD349" s="28"/>
      <c r="AE349" s="28"/>
      <c r="AF349" s="28"/>
      <c r="AG349" s="141"/>
      <c r="AT349" s="194" t="s">
        <v>951</v>
      </c>
    </row>
    <row r="350" spans="2:48" x14ac:dyDescent="0.3">
      <c r="B350" s="52" t="s">
        <v>115</v>
      </c>
      <c r="C350" s="52">
        <v>0</v>
      </c>
      <c r="D350" s="86">
        <v>4</v>
      </c>
      <c r="G350" s="42"/>
      <c r="H350" s="28"/>
      <c r="I350" s="28"/>
      <c r="J350" s="28"/>
      <c r="K350" s="40"/>
      <c r="L350" s="28"/>
      <c r="M350" s="10" t="s">
        <v>138</v>
      </c>
      <c r="N350" s="36">
        <v>0</v>
      </c>
      <c r="O350" s="37">
        <v>0</v>
      </c>
      <c r="P350" s="42"/>
      <c r="Q350" s="11"/>
      <c r="R350" s="18"/>
      <c r="S350" s="18"/>
      <c r="T350" s="18"/>
      <c r="U350" s="18"/>
      <c r="V350" s="11"/>
      <c r="W350" s="28"/>
      <c r="X350" s="142" t="s">
        <v>84</v>
      </c>
      <c r="Y350" s="142">
        <f>SUM(Y343:Y349)</f>
        <v>0</v>
      </c>
      <c r="Z350" s="146">
        <f>SUM(Z343:Z349)</f>
        <v>0</v>
      </c>
      <c r="AA350" s="142"/>
      <c r="AB350" s="146"/>
      <c r="AC350" s="143"/>
      <c r="AD350" s="143"/>
      <c r="AE350" s="143"/>
      <c r="AF350" s="143"/>
      <c r="AG350" s="146">
        <f>SUM(AD347)</f>
        <v>0</v>
      </c>
      <c r="AL350" s="134" t="s">
        <v>17</v>
      </c>
      <c r="AM350" s="134" t="s">
        <v>39</v>
      </c>
      <c r="AN350" s="136"/>
      <c r="AO350" s="134" t="s">
        <v>29</v>
      </c>
      <c r="AP350" s="136" t="s">
        <v>30</v>
      </c>
      <c r="AQ350" s="135" t="s">
        <v>40</v>
      </c>
      <c r="AR350" s="135"/>
      <c r="AS350" s="135"/>
      <c r="AT350" s="135"/>
      <c r="AU350" s="136"/>
    </row>
    <row r="351" spans="2:48" ht="15" thickBot="1" x14ac:dyDescent="0.35">
      <c r="B351" s="13" t="s">
        <v>84</v>
      </c>
      <c r="C351" s="13">
        <f>SUM(C344:C350)</f>
        <v>1420</v>
      </c>
      <c r="D351" s="26">
        <f>SUM(D344:D350)</f>
        <v>1427</v>
      </c>
      <c r="F351" s="18"/>
      <c r="G351" s="13"/>
      <c r="H351" s="27"/>
      <c r="I351" s="27"/>
      <c r="J351" s="27"/>
      <c r="K351" s="26">
        <f>SUM(H346:H347)</f>
        <v>128</v>
      </c>
      <c r="L351" s="28"/>
      <c r="M351" s="84" t="s">
        <v>56</v>
      </c>
      <c r="N351" s="42">
        <v>9</v>
      </c>
      <c r="O351" s="54">
        <v>10</v>
      </c>
      <c r="P351" s="42"/>
      <c r="Q351" s="40"/>
      <c r="R351" s="28"/>
      <c r="S351" s="28"/>
      <c r="T351" s="28"/>
      <c r="U351" s="28"/>
      <c r="V351" s="40"/>
      <c r="W351" s="28"/>
      <c r="X351" s="134"/>
      <c r="Y351" s="134"/>
      <c r="Z351" s="136"/>
      <c r="AA351" s="134"/>
      <c r="AB351" s="136"/>
      <c r="AC351" s="135"/>
      <c r="AD351" s="135"/>
      <c r="AE351" s="135"/>
      <c r="AF351" s="135"/>
      <c r="AG351" s="136"/>
      <c r="AL351" s="138" t="s">
        <v>42</v>
      </c>
      <c r="AM351" s="138" t="s">
        <v>43</v>
      </c>
      <c r="AN351" s="141" t="s">
        <v>44</v>
      </c>
      <c r="AO351" s="138" t="s">
        <v>43</v>
      </c>
      <c r="AP351" s="141" t="s">
        <v>44</v>
      </c>
      <c r="AQ351" s="28"/>
      <c r="AR351" s="28"/>
      <c r="AS351" s="28"/>
      <c r="AT351" s="28"/>
      <c r="AU351" s="141"/>
    </row>
    <row r="352" spans="2:48" x14ac:dyDescent="0.3">
      <c r="B352" s="32" t="s">
        <v>6</v>
      </c>
      <c r="C352" s="43"/>
      <c r="D352" s="54"/>
      <c r="E352" s="33"/>
      <c r="F352" s="35"/>
      <c r="G352" s="33"/>
      <c r="H352" s="34" t="s">
        <v>91</v>
      </c>
      <c r="I352" s="34"/>
      <c r="J352" s="34"/>
      <c r="K352" s="35"/>
      <c r="L352" s="28" t="s">
        <v>6</v>
      </c>
      <c r="M352" s="36" t="s">
        <v>67</v>
      </c>
      <c r="N352" s="10">
        <v>103</v>
      </c>
      <c r="O352" s="18">
        <v>105</v>
      </c>
      <c r="P352" s="42"/>
      <c r="Q352" s="11"/>
      <c r="R352" s="18"/>
      <c r="S352" s="18"/>
      <c r="T352" s="18"/>
      <c r="U352" s="18"/>
      <c r="V352" s="11"/>
      <c r="W352" s="28"/>
      <c r="X352" s="138" t="s">
        <v>63</v>
      </c>
      <c r="Y352" s="138">
        <f>9+4</f>
        <v>13</v>
      </c>
      <c r="Z352" s="141">
        <v>13</v>
      </c>
      <c r="AA352" s="138"/>
      <c r="AB352" s="141"/>
      <c r="AC352" s="28"/>
      <c r="AD352" s="28" t="s">
        <v>140</v>
      </c>
      <c r="AE352" s="28"/>
      <c r="AF352" s="28"/>
      <c r="AG352" s="141"/>
      <c r="AL352" s="134"/>
      <c r="AM352" s="134"/>
      <c r="AN352" s="136"/>
      <c r="AO352" s="134"/>
      <c r="AP352" s="136"/>
      <c r="AQ352" s="135"/>
      <c r="AR352" s="135"/>
      <c r="AS352" s="135"/>
      <c r="AT352" s="135"/>
      <c r="AU352" s="136"/>
    </row>
    <row r="353" spans="1:49" ht="15" thickBot="1" x14ac:dyDescent="0.35">
      <c r="B353" s="41" t="s">
        <v>56</v>
      </c>
      <c r="C353">
        <v>882</v>
      </c>
      <c r="D353">
        <v>844</v>
      </c>
      <c r="E353" s="42"/>
      <c r="F353" s="40"/>
      <c r="G353" s="42"/>
      <c r="H353" s="28"/>
      <c r="I353" s="28"/>
      <c r="J353" s="28"/>
      <c r="K353" s="40"/>
      <c r="L353" s="28"/>
      <c r="M353" s="13" t="s">
        <v>84</v>
      </c>
      <c r="N353" s="13">
        <f>SUM(N341:N352)</f>
        <v>326</v>
      </c>
      <c r="O353" s="27">
        <f>SUM(O341:O352)</f>
        <v>250</v>
      </c>
      <c r="P353" s="47"/>
      <c r="Q353" s="26">
        <f>SUM(Q345:Q352)</f>
        <v>0</v>
      </c>
      <c r="R353" s="27"/>
      <c r="S353" s="27"/>
      <c r="T353" s="27"/>
      <c r="U353" s="27"/>
      <c r="V353" s="26">
        <f>SUM(S345:S347)</f>
        <v>100</v>
      </c>
      <c r="W353" s="28"/>
      <c r="X353" s="138" t="s">
        <v>78</v>
      </c>
      <c r="Y353" s="138">
        <f>2+17+1+11</f>
        <v>31</v>
      </c>
      <c r="Z353" s="141">
        <f>2+17+14+16</f>
        <v>49</v>
      </c>
      <c r="AA353" s="138"/>
      <c r="AB353" s="141"/>
      <c r="AC353" s="28"/>
      <c r="AD353" s="28"/>
      <c r="AE353" s="28" t="s">
        <v>204</v>
      </c>
      <c r="AF353" s="28"/>
      <c r="AG353" s="141"/>
      <c r="AL353" s="138"/>
      <c r="AM353" s="138"/>
      <c r="AN353" s="141"/>
      <c r="AO353" s="138"/>
      <c r="AP353" s="141"/>
      <c r="AQ353" s="28"/>
      <c r="AR353" s="28" t="s">
        <v>91</v>
      </c>
      <c r="AS353" s="28"/>
      <c r="AT353" s="28"/>
      <c r="AU353" s="141"/>
    </row>
    <row r="354" spans="1:49" ht="15" thickBot="1" x14ac:dyDescent="0.35">
      <c r="B354" s="62" t="s">
        <v>6</v>
      </c>
      <c r="C354" s="43"/>
      <c r="D354" s="43"/>
      <c r="E354" s="47"/>
      <c r="F354" s="49"/>
      <c r="G354" s="47"/>
      <c r="H354" s="48">
        <v>78</v>
      </c>
      <c r="I354" s="48" t="s">
        <v>73</v>
      </c>
      <c r="J354" s="48"/>
      <c r="K354" s="49">
        <f>SUM(H354)</f>
        <v>78</v>
      </c>
      <c r="L354" s="28" t="s">
        <v>437</v>
      </c>
      <c r="M354" s="32"/>
      <c r="N354" s="53"/>
      <c r="O354" s="97"/>
      <c r="P354" s="33"/>
      <c r="Q354" s="7"/>
      <c r="R354" s="6"/>
      <c r="S354" s="8"/>
      <c r="T354" s="31"/>
      <c r="U354" s="8"/>
      <c r="V354" s="7"/>
      <c r="W354" s="28"/>
      <c r="X354" s="138" t="s">
        <v>209</v>
      </c>
      <c r="Y354" s="138">
        <v>0</v>
      </c>
      <c r="Z354" s="141">
        <v>0</v>
      </c>
      <c r="AA354" s="138"/>
      <c r="AB354" s="141"/>
      <c r="AC354" s="28"/>
      <c r="AD354" s="28">
        <v>2</v>
      </c>
      <c r="AE354" s="28" t="s">
        <v>1018</v>
      </c>
      <c r="AF354" s="28" t="s">
        <v>6</v>
      </c>
      <c r="AG354" s="141"/>
      <c r="AL354" s="138" t="s">
        <v>56</v>
      </c>
      <c r="AM354" s="138">
        <v>1486</v>
      </c>
      <c r="AN354" s="141">
        <v>1518</v>
      </c>
      <c r="AO354" s="138"/>
      <c r="AP354" s="141"/>
      <c r="AQ354" s="28"/>
      <c r="AR354" s="28"/>
      <c r="AS354" s="28"/>
      <c r="AT354" s="28"/>
      <c r="AU354" s="141"/>
    </row>
    <row r="355" spans="1:49" ht="15" thickBot="1" x14ac:dyDescent="0.35">
      <c r="B355" s="10"/>
      <c r="C355" s="29"/>
      <c r="D355" s="31"/>
      <c r="E355" s="33"/>
      <c r="F355" s="7"/>
      <c r="G355" s="8"/>
      <c r="H355" s="8"/>
      <c r="I355" s="8"/>
      <c r="J355" s="8"/>
      <c r="K355" s="7"/>
      <c r="L355" s="28"/>
      <c r="M355" s="62"/>
      <c r="N355" s="72"/>
      <c r="O355" s="73"/>
      <c r="P355" s="47"/>
      <c r="Q355" s="49"/>
      <c r="R355" s="47"/>
      <c r="S355" s="48"/>
      <c r="T355" s="48"/>
      <c r="U355" s="48"/>
      <c r="V355" s="49"/>
      <c r="X355" s="138" t="s">
        <v>168</v>
      </c>
      <c r="Y355" s="138">
        <v>0</v>
      </c>
      <c r="Z355" s="141">
        <v>0</v>
      </c>
      <c r="AA355" s="138"/>
      <c r="AB355" s="141"/>
      <c r="AC355" s="28"/>
      <c r="AD355" s="28">
        <f>6+12+9+5+6+41</f>
        <v>79</v>
      </c>
      <c r="AE355" s="28" t="s">
        <v>213</v>
      </c>
      <c r="AF355" s="28" t="s">
        <v>6</v>
      </c>
      <c r="AG355" s="141"/>
      <c r="AL355" s="142" t="s">
        <v>6</v>
      </c>
      <c r="AM355" s="142"/>
      <c r="AN355" s="146"/>
      <c r="AO355" s="142"/>
      <c r="AP355" s="146"/>
      <c r="AQ355" s="143"/>
      <c r="AR355" s="143">
        <v>106</v>
      </c>
      <c r="AS355" s="143" t="s">
        <v>73</v>
      </c>
      <c r="AT355" s="143"/>
      <c r="AU355" s="146">
        <f>SUM(AR355)</f>
        <v>106</v>
      </c>
    </row>
    <row r="356" spans="1:49" x14ac:dyDescent="0.3">
      <c r="B356" s="36" t="s">
        <v>63</v>
      </c>
      <c r="C356" s="10">
        <v>40</v>
      </c>
      <c r="D356" s="18">
        <v>17</v>
      </c>
      <c r="E356" s="42"/>
      <c r="F356" s="11"/>
      <c r="G356" s="18"/>
      <c r="H356" s="18" t="s">
        <v>110</v>
      </c>
      <c r="I356" s="18" t="s">
        <v>111</v>
      </c>
      <c r="J356" s="18" t="s">
        <v>112</v>
      </c>
      <c r="K356" s="11"/>
      <c r="L356" s="45"/>
      <c r="M356" s="67" t="s">
        <v>63</v>
      </c>
      <c r="N356" s="33">
        <v>6</v>
      </c>
      <c r="O356" s="35">
        <v>5</v>
      </c>
      <c r="R356" s="33"/>
      <c r="S356" s="34"/>
      <c r="T356" s="34"/>
      <c r="U356" s="34"/>
      <c r="V356" s="35"/>
      <c r="W356" s="28"/>
      <c r="X356" s="138" t="s">
        <v>81</v>
      </c>
      <c r="Y356" s="138">
        <v>10</v>
      </c>
      <c r="Z356" s="141">
        <f>2+7+5</f>
        <v>14</v>
      </c>
      <c r="AA356" s="138"/>
      <c r="AB356" s="141"/>
      <c r="AC356" s="28"/>
      <c r="AD356" s="43">
        <v>0</v>
      </c>
      <c r="AE356" s="28" t="s">
        <v>1038</v>
      </c>
      <c r="AF356" s="28"/>
      <c r="AG356" s="141" t="s">
        <v>6</v>
      </c>
      <c r="AL356" s="134"/>
      <c r="AM356" s="134"/>
      <c r="AN356" s="136"/>
      <c r="AO356" s="134"/>
      <c r="AP356" s="136"/>
      <c r="AQ356" s="135"/>
      <c r="AR356" s="135"/>
      <c r="AS356" s="135"/>
      <c r="AT356" s="135"/>
      <c r="AU356" s="136"/>
    </row>
    <row r="357" spans="1:49" x14ac:dyDescent="0.3">
      <c r="B357" s="10" t="s">
        <v>115</v>
      </c>
      <c r="C357" s="36">
        <v>52</v>
      </c>
      <c r="D357" s="37">
        <v>60</v>
      </c>
      <c r="E357" s="42"/>
      <c r="F357" s="11"/>
      <c r="G357" s="18"/>
      <c r="H357" s="18"/>
      <c r="I357" s="18"/>
      <c r="J357" s="18"/>
      <c r="K357" s="11"/>
      <c r="L357" s="28"/>
      <c r="M357" s="67" t="s">
        <v>716</v>
      </c>
      <c r="N357" s="42">
        <v>0</v>
      </c>
      <c r="O357" s="40">
        <v>0</v>
      </c>
      <c r="R357" s="42"/>
      <c r="S357" s="28"/>
      <c r="T357" s="28"/>
      <c r="U357" s="28"/>
      <c r="V357" s="40"/>
      <c r="W357" s="28"/>
      <c r="X357" s="138" t="s">
        <v>72</v>
      </c>
      <c r="Y357" s="138">
        <f>2+12+5</f>
        <v>19</v>
      </c>
      <c r="Z357" s="141">
        <v>12</v>
      </c>
      <c r="AA357" s="138"/>
      <c r="AB357" s="141"/>
      <c r="AC357" s="28"/>
      <c r="AD357" s="43">
        <v>1</v>
      </c>
      <c r="AE357" s="28" t="s">
        <v>433</v>
      </c>
      <c r="AF357" s="28"/>
      <c r="AG357" s="141"/>
      <c r="AL357" s="138" t="s">
        <v>63</v>
      </c>
      <c r="AM357" s="138">
        <v>67</v>
      </c>
      <c r="AN357" s="141">
        <v>49</v>
      </c>
      <c r="AO357" s="138"/>
      <c r="AP357" s="141"/>
      <c r="AQ357" s="28"/>
      <c r="AR357" s="28" t="s">
        <v>110</v>
      </c>
      <c r="AS357" s="28" t="s">
        <v>111</v>
      </c>
      <c r="AT357" s="28" t="s">
        <v>112</v>
      </c>
      <c r="AU357" s="141"/>
    </row>
    <row r="358" spans="1:49" x14ac:dyDescent="0.3">
      <c r="B358" s="52" t="s">
        <v>72</v>
      </c>
      <c r="C358" s="52">
        <v>0</v>
      </c>
      <c r="D358" s="54">
        <v>0</v>
      </c>
      <c r="E358" s="42"/>
      <c r="F358" s="40"/>
      <c r="G358" s="28"/>
      <c r="H358" s="28"/>
      <c r="I358" s="28"/>
      <c r="J358" s="28"/>
      <c r="K358" s="40"/>
      <c r="L358" s="28"/>
      <c r="M358" s="52" t="s">
        <v>56</v>
      </c>
      <c r="N358" s="52">
        <v>2</v>
      </c>
      <c r="O358" s="85">
        <v>3</v>
      </c>
      <c r="P358" s="28"/>
      <c r="Q358" s="28"/>
      <c r="R358" s="42"/>
      <c r="S358" s="28" t="s">
        <v>173</v>
      </c>
      <c r="T358" s="28"/>
      <c r="U358" s="28"/>
      <c r="V358" s="40"/>
      <c r="W358" s="28"/>
      <c r="X358" s="138" t="s">
        <v>115</v>
      </c>
      <c r="Y358" s="138">
        <v>7</v>
      </c>
      <c r="Z358" s="141">
        <v>12</v>
      </c>
      <c r="AA358" s="138"/>
      <c r="AB358" s="141"/>
      <c r="AC358" s="28"/>
      <c r="AD358" s="43">
        <v>0</v>
      </c>
      <c r="AE358" s="28" t="s">
        <v>217</v>
      </c>
      <c r="AF358" s="28"/>
      <c r="AG358" s="141"/>
      <c r="AL358" s="138" t="s">
        <v>115</v>
      </c>
      <c r="AM358" s="138">
        <v>20</v>
      </c>
      <c r="AN358" s="141">
        <v>13</v>
      </c>
      <c r="AO358" s="138"/>
      <c r="AP358" s="141"/>
      <c r="AQ358" s="28"/>
      <c r="AR358" s="28"/>
      <c r="AS358" s="28"/>
      <c r="AT358" s="28"/>
      <c r="AU358" s="141"/>
    </row>
    <row r="359" spans="1:49" x14ac:dyDescent="0.3">
      <c r="B359" s="36" t="s">
        <v>78</v>
      </c>
      <c r="C359" s="36">
        <v>49</v>
      </c>
      <c r="D359" s="37">
        <v>59</v>
      </c>
      <c r="E359" s="42"/>
      <c r="F359" s="11"/>
      <c r="G359" s="18"/>
      <c r="H359" s="37"/>
      <c r="I359" s="18"/>
      <c r="J359" s="37"/>
      <c r="K359" s="11"/>
      <c r="L359" s="28"/>
      <c r="M359" s="52" t="s">
        <v>67</v>
      </c>
      <c r="N359" s="52">
        <v>4</v>
      </c>
      <c r="O359" s="56">
        <v>4</v>
      </c>
      <c r="R359" s="42"/>
      <c r="S359" s="28"/>
      <c r="T359" s="28" t="s">
        <v>213</v>
      </c>
      <c r="U359" s="28"/>
      <c r="V359" s="40"/>
      <c r="W359" s="28"/>
      <c r="X359" s="138" t="s">
        <v>56</v>
      </c>
      <c r="Y359" s="138">
        <f>10+8+2</f>
        <v>20</v>
      </c>
      <c r="Z359" s="141">
        <f>12+5+7</f>
        <v>24</v>
      </c>
      <c r="AA359" s="138"/>
      <c r="AB359" s="141"/>
      <c r="AC359" s="28"/>
      <c r="AD359" s="43">
        <v>2</v>
      </c>
      <c r="AE359" s="28" t="s">
        <v>1022</v>
      </c>
      <c r="AF359" s="28"/>
      <c r="AG359" s="141"/>
      <c r="AL359" s="138" t="s">
        <v>72</v>
      </c>
      <c r="AM359" s="138">
        <v>0</v>
      </c>
      <c r="AN359" s="141">
        <v>9</v>
      </c>
      <c r="AO359" s="138"/>
      <c r="AP359" s="141"/>
      <c r="AQ359" s="28"/>
      <c r="AR359" s="28"/>
      <c r="AS359" s="28"/>
      <c r="AT359" s="28"/>
      <c r="AU359" s="141"/>
    </row>
    <row r="360" spans="1:49" x14ac:dyDescent="0.3">
      <c r="B360" s="10" t="s">
        <v>122</v>
      </c>
      <c r="C360" s="36">
        <v>8</v>
      </c>
      <c r="D360" s="37">
        <v>21</v>
      </c>
      <c r="E360" s="42"/>
      <c r="F360" s="11"/>
      <c r="G360" s="18"/>
      <c r="H360" s="18">
        <v>34</v>
      </c>
      <c r="I360" s="18" t="s">
        <v>123</v>
      </c>
      <c r="J360" s="18"/>
      <c r="K360" s="11"/>
      <c r="L360" s="28"/>
      <c r="M360" s="10" t="s">
        <v>78</v>
      </c>
      <c r="N360" s="52">
        <v>0</v>
      </c>
      <c r="O360" s="85">
        <v>0</v>
      </c>
      <c r="P360" s="28"/>
      <c r="Q360" s="28"/>
      <c r="R360" s="42"/>
      <c r="S360" s="28">
        <v>12</v>
      </c>
      <c r="T360" s="28" t="s">
        <v>183</v>
      </c>
      <c r="U360" s="28"/>
      <c r="V360" s="40"/>
      <c r="W360" s="28"/>
      <c r="X360" s="138" t="s">
        <v>138</v>
      </c>
      <c r="Y360" s="138">
        <v>0</v>
      </c>
      <c r="Z360" s="141">
        <v>0</v>
      </c>
      <c r="AA360" s="138"/>
      <c r="AB360" s="141"/>
      <c r="AC360" s="28"/>
      <c r="AD360" s="43"/>
      <c r="AE360" s="28" t="s">
        <v>221</v>
      </c>
      <c r="AF360" s="28"/>
      <c r="AG360" s="141"/>
      <c r="AL360" s="138" t="s">
        <v>78</v>
      </c>
      <c r="AM360" s="138">
        <v>42</v>
      </c>
      <c r="AN360" s="141">
        <v>56</v>
      </c>
      <c r="AO360" s="138"/>
      <c r="AP360" s="141"/>
      <c r="AQ360" s="28"/>
      <c r="AR360" s="28"/>
      <c r="AS360" s="28"/>
      <c r="AT360" s="28"/>
      <c r="AU360" s="141"/>
      <c r="AV360" t="s">
        <v>6</v>
      </c>
    </row>
    <row r="361" spans="1:49" x14ac:dyDescent="0.3">
      <c r="B361" s="10" t="s">
        <v>125</v>
      </c>
      <c r="C361" s="36">
        <v>4</v>
      </c>
      <c r="D361" s="37">
        <v>4</v>
      </c>
      <c r="E361" s="42"/>
      <c r="F361" s="11"/>
      <c r="G361" s="18"/>
      <c r="H361" s="18">
        <v>32</v>
      </c>
      <c r="I361" s="18" t="s">
        <v>126</v>
      </c>
      <c r="J361" s="18"/>
      <c r="K361" s="11"/>
      <c r="L361" s="28"/>
      <c r="M361" s="52" t="s">
        <v>115</v>
      </c>
      <c r="N361" s="52">
        <v>0</v>
      </c>
      <c r="O361" s="85">
        <v>0</v>
      </c>
      <c r="P361" s="28"/>
      <c r="Q361" s="28"/>
      <c r="R361" s="42"/>
      <c r="S361" s="28" t="s">
        <v>6</v>
      </c>
      <c r="T361" s="28"/>
      <c r="U361" s="28"/>
      <c r="V361" s="40"/>
      <c r="W361" s="28"/>
      <c r="X361" s="138" t="s">
        <v>67</v>
      </c>
      <c r="Y361" s="138">
        <f>6+2+15</f>
        <v>23</v>
      </c>
      <c r="Z361" s="141">
        <f>5+8</f>
        <v>13</v>
      </c>
      <c r="AA361" s="138"/>
      <c r="AB361" s="141"/>
      <c r="AC361" s="28"/>
      <c r="AD361" s="43">
        <v>1</v>
      </c>
      <c r="AE361" s="28" t="s">
        <v>1065</v>
      </c>
      <c r="AF361" s="28"/>
      <c r="AG361" s="141"/>
      <c r="AL361" s="138" t="s">
        <v>122</v>
      </c>
      <c r="AM361" s="138">
        <v>48</v>
      </c>
      <c r="AN361" s="141">
        <v>27</v>
      </c>
      <c r="AO361" s="138"/>
      <c r="AP361" s="141"/>
      <c r="AQ361" s="28"/>
      <c r="AR361" s="28">
        <v>29</v>
      </c>
      <c r="AS361" s="28" t="s">
        <v>123</v>
      </c>
      <c r="AT361" s="28" t="s">
        <v>6</v>
      </c>
      <c r="AU361" s="141"/>
    </row>
    <row r="362" spans="1:49" x14ac:dyDescent="0.3">
      <c r="B362" s="84" t="s">
        <v>230</v>
      </c>
      <c r="C362" s="52">
        <v>0</v>
      </c>
      <c r="D362" s="37">
        <v>0</v>
      </c>
      <c r="E362" s="42"/>
      <c r="F362" s="40"/>
      <c r="G362" s="28"/>
      <c r="H362" s="28">
        <v>25</v>
      </c>
      <c r="I362" s="28" t="s">
        <v>129</v>
      </c>
      <c r="J362" s="28"/>
      <c r="K362" s="40"/>
      <c r="M362" s="52" t="s">
        <v>72</v>
      </c>
      <c r="N362" s="52">
        <v>1</v>
      </c>
      <c r="O362" s="85">
        <v>1</v>
      </c>
      <c r="R362" s="42"/>
      <c r="S362" s="28"/>
      <c r="T362" s="28"/>
      <c r="U362" s="28"/>
      <c r="V362" s="40"/>
      <c r="W362" s="28"/>
      <c r="X362" s="138" t="s">
        <v>122</v>
      </c>
      <c r="Y362" s="138">
        <v>1</v>
      </c>
      <c r="Z362" s="141">
        <v>8</v>
      </c>
      <c r="AA362" s="138"/>
      <c r="AB362" s="141"/>
      <c r="AC362" s="28"/>
      <c r="AD362" s="43">
        <v>1</v>
      </c>
      <c r="AE362" s="28" t="s">
        <v>618</v>
      </c>
      <c r="AF362" s="28"/>
      <c r="AG362" s="141"/>
      <c r="AL362" s="138" t="s">
        <v>125</v>
      </c>
      <c r="AM362" s="138">
        <v>0</v>
      </c>
      <c r="AN362" s="141">
        <v>0</v>
      </c>
      <c r="AO362" s="138"/>
      <c r="AP362" s="141"/>
      <c r="AQ362" s="28"/>
      <c r="AR362" s="28">
        <v>54</v>
      </c>
      <c r="AS362" s="28" t="s">
        <v>126</v>
      </c>
      <c r="AT362" s="28"/>
      <c r="AU362" s="141"/>
      <c r="AW362" t="s">
        <v>6</v>
      </c>
    </row>
    <row r="363" spans="1:49" ht="15" thickBot="1" x14ac:dyDescent="0.35">
      <c r="B363" s="84" t="s">
        <v>132</v>
      </c>
      <c r="C363" s="42">
        <v>0</v>
      </c>
      <c r="D363" s="37">
        <v>0</v>
      </c>
      <c r="E363" s="42"/>
      <c r="F363" s="40"/>
      <c r="G363" s="28"/>
      <c r="H363" s="28"/>
      <c r="I363" s="28"/>
      <c r="J363" s="28"/>
      <c r="K363" s="40"/>
      <c r="L363" s="28"/>
      <c r="M363" s="52" t="s">
        <v>84</v>
      </c>
      <c r="N363" s="47">
        <f>SUM(N356:N362)</f>
        <v>13</v>
      </c>
      <c r="O363" s="49">
        <f>SUM(O356:O362)</f>
        <v>13</v>
      </c>
      <c r="P363" s="28"/>
      <c r="Q363" s="28"/>
      <c r="R363" s="47"/>
      <c r="S363" s="48"/>
      <c r="T363" s="48"/>
      <c r="U363" s="48"/>
      <c r="V363" s="49">
        <f>SUM(S360)</f>
        <v>12</v>
      </c>
      <c r="W363" s="28"/>
      <c r="X363" s="138" t="s">
        <v>227</v>
      </c>
      <c r="Y363" s="138">
        <v>0</v>
      </c>
      <c r="Z363" s="141">
        <v>0</v>
      </c>
      <c r="AA363" s="138"/>
      <c r="AB363" s="141"/>
      <c r="AC363" s="28"/>
      <c r="AD363" s="43">
        <v>2</v>
      </c>
      <c r="AE363" s="28" t="s">
        <v>1067</v>
      </c>
      <c r="AF363" s="28"/>
      <c r="AG363" s="141"/>
      <c r="AL363" s="138" t="s">
        <v>536</v>
      </c>
      <c r="AM363" s="138">
        <v>3</v>
      </c>
      <c r="AN363" s="141">
        <v>4</v>
      </c>
      <c r="AO363" s="138"/>
      <c r="AP363" s="141"/>
      <c r="AQ363" s="28"/>
      <c r="AR363" s="28">
        <v>22</v>
      </c>
      <c r="AS363" s="28" t="s">
        <v>129</v>
      </c>
      <c r="AT363" s="28" t="s">
        <v>6</v>
      </c>
      <c r="AU363" s="141"/>
      <c r="AW363" t="s">
        <v>6</v>
      </c>
    </row>
    <row r="364" spans="1:49" x14ac:dyDescent="0.3">
      <c r="B364" s="84" t="s">
        <v>81</v>
      </c>
      <c r="C364" s="42">
        <v>70</v>
      </c>
      <c r="D364" s="37">
        <v>51</v>
      </c>
      <c r="E364" s="42"/>
      <c r="F364" s="40"/>
      <c r="G364" s="28"/>
      <c r="H364" s="28"/>
      <c r="I364" s="28"/>
      <c r="J364" s="28"/>
      <c r="K364" s="40"/>
      <c r="L364" s="28"/>
      <c r="M364" s="32" t="s">
        <v>63</v>
      </c>
      <c r="N364" s="123">
        <f>4+3</f>
        <v>7</v>
      </c>
      <c r="O364" s="123">
        <f>1+7+5</f>
        <v>13</v>
      </c>
      <c r="P364" s="33"/>
      <c r="Q364" s="7"/>
      <c r="R364" s="6"/>
      <c r="S364" s="34" t="s">
        <v>140</v>
      </c>
      <c r="T364" s="8"/>
      <c r="U364" s="8"/>
      <c r="V364" s="7"/>
      <c r="W364" s="28"/>
      <c r="X364" s="138" t="s">
        <v>230</v>
      </c>
      <c r="Y364" s="138">
        <f>5+4+2+12</f>
        <v>23</v>
      </c>
      <c r="Z364" s="141">
        <v>23</v>
      </c>
      <c r="AA364" s="138"/>
      <c r="AB364" s="141"/>
      <c r="AC364" s="28"/>
      <c r="AD364" s="43">
        <v>9</v>
      </c>
      <c r="AE364" s="28" t="s">
        <v>655</v>
      </c>
      <c r="AF364" s="28"/>
      <c r="AG364" s="141"/>
      <c r="AL364" s="138" t="s">
        <v>132</v>
      </c>
      <c r="AM364" s="138">
        <v>0</v>
      </c>
      <c r="AN364" s="141">
        <v>0</v>
      </c>
      <c r="AO364" s="138"/>
      <c r="AP364" s="141"/>
      <c r="AQ364" s="28"/>
      <c r="AR364" s="28"/>
      <c r="AS364" s="28"/>
      <c r="AT364" s="28"/>
      <c r="AU364" s="141"/>
      <c r="AV364" t="s">
        <v>6</v>
      </c>
    </row>
    <row r="365" spans="1:49" x14ac:dyDescent="0.3">
      <c r="B365" s="10" t="s">
        <v>138</v>
      </c>
      <c r="C365" s="36">
        <v>0</v>
      </c>
      <c r="D365" s="37">
        <v>3</v>
      </c>
      <c r="E365" s="42"/>
      <c r="F365" s="11"/>
      <c r="G365" s="18"/>
      <c r="H365" s="18"/>
      <c r="I365" s="18"/>
      <c r="J365" s="18"/>
      <c r="K365" s="11"/>
      <c r="L365" s="28"/>
      <c r="M365" s="44" t="s">
        <v>78</v>
      </c>
      <c r="N365" s="37">
        <f>9+7+36</f>
        <v>52</v>
      </c>
      <c r="O365" s="37">
        <f>19+7+2</f>
        <v>28</v>
      </c>
      <c r="P365" s="42"/>
      <c r="Q365" s="11"/>
      <c r="R365" s="10"/>
      <c r="S365" s="37">
        <v>2</v>
      </c>
      <c r="T365" s="37" t="s">
        <v>204</v>
      </c>
      <c r="U365" s="18"/>
      <c r="V365" s="11"/>
      <c r="W365" s="28"/>
      <c r="X365" s="138" t="s">
        <v>125</v>
      </c>
      <c r="Y365" s="138">
        <v>0</v>
      </c>
      <c r="Z365" s="141">
        <v>0</v>
      </c>
      <c r="AA365" s="138"/>
      <c r="AB365" s="141"/>
      <c r="AC365" s="28"/>
      <c r="AD365" s="43">
        <v>1</v>
      </c>
      <c r="AE365" s="28" t="s">
        <v>1068</v>
      </c>
      <c r="AF365" s="28"/>
      <c r="AG365" s="141"/>
      <c r="AL365" s="138" t="s">
        <v>81</v>
      </c>
      <c r="AM365" s="138">
        <v>47</v>
      </c>
      <c r="AN365" s="141">
        <v>45</v>
      </c>
      <c r="AO365" s="138"/>
      <c r="AP365" s="141"/>
      <c r="AQ365" s="28"/>
      <c r="AR365" s="28"/>
      <c r="AS365" s="28"/>
      <c r="AT365" s="28"/>
      <c r="AU365" s="141" t="s">
        <v>6</v>
      </c>
      <c r="AW365" t="s">
        <v>6</v>
      </c>
    </row>
    <row r="366" spans="1:49" x14ac:dyDescent="0.3">
      <c r="B366" s="84" t="s">
        <v>56</v>
      </c>
      <c r="C366" s="42">
        <v>9</v>
      </c>
      <c r="D366" s="54">
        <v>10</v>
      </c>
      <c r="E366" s="42"/>
      <c r="F366" s="40"/>
      <c r="G366" s="28"/>
      <c r="H366" s="28"/>
      <c r="I366" s="28"/>
      <c r="J366" s="28"/>
      <c r="K366" s="40"/>
      <c r="L366" s="28"/>
      <c r="M366" s="125" t="s">
        <v>209</v>
      </c>
      <c r="N366" s="54">
        <v>0</v>
      </c>
      <c r="O366" s="54">
        <v>0</v>
      </c>
      <c r="P366" s="42"/>
      <c r="Q366" s="40"/>
      <c r="R366" s="42"/>
      <c r="S366" s="28"/>
      <c r="T366" s="28" t="s">
        <v>210</v>
      </c>
      <c r="U366" s="28" t="s">
        <v>6</v>
      </c>
      <c r="V366" s="40"/>
      <c r="W366" s="28"/>
      <c r="X366" s="138" t="s">
        <v>132</v>
      </c>
      <c r="Y366" s="138">
        <v>6</v>
      </c>
      <c r="Z366" s="141">
        <v>0</v>
      </c>
      <c r="AA366" s="138"/>
      <c r="AB366" s="141"/>
      <c r="AC366" s="28"/>
      <c r="AD366" s="43">
        <v>3</v>
      </c>
      <c r="AE366" s="28" t="s">
        <v>682</v>
      </c>
      <c r="AF366" s="28"/>
      <c r="AG366" s="141"/>
      <c r="AL366" s="138" t="s">
        <v>1599</v>
      </c>
      <c r="AM366" s="138">
        <v>0</v>
      </c>
      <c r="AN366" s="141">
        <v>0</v>
      </c>
      <c r="AO366" s="138"/>
      <c r="AP366" s="141"/>
      <c r="AQ366" s="28"/>
      <c r="AR366" s="28"/>
      <c r="AS366" s="28"/>
      <c r="AT366" s="28"/>
      <c r="AU366" s="141"/>
    </row>
    <row r="367" spans="1:49" x14ac:dyDescent="0.3">
      <c r="B367" s="36" t="s">
        <v>67</v>
      </c>
      <c r="C367" s="10">
        <v>68</v>
      </c>
      <c r="D367" s="18">
        <v>77</v>
      </c>
      <c r="E367" s="42"/>
      <c r="F367" s="11"/>
      <c r="G367" s="18"/>
      <c r="H367" s="18"/>
      <c r="I367" s="18"/>
      <c r="J367" s="18"/>
      <c r="K367" s="11"/>
      <c r="L367" s="28"/>
      <c r="M367" s="44" t="s">
        <v>168</v>
      </c>
      <c r="N367" s="54">
        <v>2</v>
      </c>
      <c r="O367" s="54">
        <v>2</v>
      </c>
      <c r="P367" s="42"/>
      <c r="Q367" s="11"/>
      <c r="R367" s="10"/>
      <c r="S367" s="37">
        <v>20</v>
      </c>
      <c r="T367" s="37" t="s">
        <v>213</v>
      </c>
      <c r="U367" s="18" t="s">
        <v>6</v>
      </c>
      <c r="V367" s="11"/>
      <c r="W367" s="28"/>
      <c r="X367" s="138" t="s">
        <v>992</v>
      </c>
      <c r="Y367" s="138">
        <v>0</v>
      </c>
      <c r="Z367" s="141">
        <v>0</v>
      </c>
      <c r="AA367" s="138"/>
      <c r="AB367" s="141"/>
      <c r="AC367" s="28"/>
      <c r="AD367" s="43">
        <f>2+35</f>
        <v>37</v>
      </c>
      <c r="AE367" s="28" t="s">
        <v>555</v>
      </c>
      <c r="AF367" s="28"/>
      <c r="AG367" s="141"/>
      <c r="AL367" s="138" t="s">
        <v>56</v>
      </c>
      <c r="AM367" s="138">
        <v>0</v>
      </c>
      <c r="AN367" s="141">
        <v>0</v>
      </c>
      <c r="AO367" s="138"/>
      <c r="AP367" s="141"/>
      <c r="AQ367" s="28"/>
      <c r="AR367" s="28"/>
      <c r="AS367" s="28"/>
      <c r="AT367" s="28"/>
      <c r="AU367" s="141"/>
    </row>
    <row r="368" spans="1:49" ht="15" thickBot="1" x14ac:dyDescent="0.35">
      <c r="A368" s="95"/>
      <c r="B368" s="13" t="s">
        <v>84</v>
      </c>
      <c r="C368" s="13">
        <f>SUM(C356:C367)</f>
        <v>300</v>
      </c>
      <c r="D368" s="27">
        <f>SUM(D356:D367)</f>
        <v>302</v>
      </c>
      <c r="E368" s="47"/>
      <c r="F368" s="26">
        <f>SUM(F360:F367)</f>
        <v>0</v>
      </c>
      <c r="G368" s="27"/>
      <c r="H368" s="27"/>
      <c r="I368" s="27"/>
      <c r="J368" s="27"/>
      <c r="K368" s="26">
        <f>SUM(H360:H362)</f>
        <v>91</v>
      </c>
      <c r="L368" s="28"/>
      <c r="M368" s="125" t="s">
        <v>81</v>
      </c>
      <c r="N368" s="54">
        <v>5</v>
      </c>
      <c r="O368" s="54">
        <v>5</v>
      </c>
      <c r="P368" s="42"/>
      <c r="Q368" s="40"/>
      <c r="R368" s="42"/>
      <c r="S368" s="54">
        <v>14</v>
      </c>
      <c r="T368" s="128" t="s">
        <v>222</v>
      </c>
      <c r="U368" s="28"/>
      <c r="V368" s="40" t="s">
        <v>6</v>
      </c>
      <c r="W368" s="37"/>
      <c r="X368" s="138" t="s">
        <v>84</v>
      </c>
      <c r="Y368" s="138">
        <f>SUM(Y352:Y367)</f>
        <v>153</v>
      </c>
      <c r="Z368" s="141">
        <f>SUM(Z352:Z367)</f>
        <v>168</v>
      </c>
      <c r="AA368" s="138"/>
      <c r="AB368" s="141"/>
      <c r="AC368" s="28"/>
      <c r="AD368" s="43"/>
      <c r="AE368" s="28" t="s">
        <v>6</v>
      </c>
      <c r="AF368" s="28"/>
      <c r="AG368" s="141">
        <f>SUM(AD353:AD368)</f>
        <v>138</v>
      </c>
      <c r="AL368" s="138" t="s">
        <v>67</v>
      </c>
      <c r="AM368" s="138">
        <v>170</v>
      </c>
      <c r="AN368" s="141">
        <v>102</v>
      </c>
      <c r="AO368" s="138"/>
      <c r="AP368" s="141"/>
      <c r="AQ368" s="28"/>
      <c r="AR368" s="28"/>
      <c r="AS368" s="28"/>
      <c r="AT368" s="28"/>
      <c r="AU368" s="141"/>
    </row>
    <row r="369" spans="2:49" ht="15" thickBot="1" x14ac:dyDescent="0.35">
      <c r="B369" s="32"/>
      <c r="C369" s="53"/>
      <c r="D369" s="97"/>
      <c r="E369" s="33"/>
      <c r="F369" s="7"/>
      <c r="G369" s="6"/>
      <c r="H369" s="8"/>
      <c r="I369" s="31"/>
      <c r="J369" s="8"/>
      <c r="K369" s="7"/>
      <c r="L369" s="28"/>
      <c r="M369" s="125" t="s">
        <v>72</v>
      </c>
      <c r="N369" s="54">
        <f>2+7+11+1</f>
        <v>21</v>
      </c>
      <c r="O369" s="45">
        <f>2+12+7</f>
        <v>21</v>
      </c>
      <c r="P369" s="42"/>
      <c r="Q369" s="40"/>
      <c r="R369" s="42"/>
      <c r="S369" s="54">
        <v>3</v>
      </c>
      <c r="T369" s="54" t="s">
        <v>216</v>
      </c>
      <c r="U369" s="45"/>
      <c r="V369" s="40"/>
      <c r="W369" s="28"/>
      <c r="X369" s="171" t="s">
        <v>84</v>
      </c>
      <c r="Y369" s="207">
        <f>SUM(Y368+Y350+Y341+Y326)</f>
        <v>2170</v>
      </c>
      <c r="Z369" s="207">
        <f>SUM(Z368+Z350+Z341+Z326)</f>
        <v>2248</v>
      </c>
      <c r="AA369" s="207"/>
      <c r="AB369" s="208"/>
      <c r="AC369" s="170"/>
      <c r="AD369" s="170" t="s">
        <v>1069</v>
      </c>
      <c r="AE369" s="170"/>
      <c r="AF369" s="170"/>
      <c r="AG369" s="172">
        <f>SUM(AG326:AG368)</f>
        <v>288</v>
      </c>
      <c r="AL369" s="142" t="s">
        <v>84</v>
      </c>
      <c r="AM369" s="142">
        <f>SUM(AM357:AM368)</f>
        <v>397</v>
      </c>
      <c r="AN369" s="146">
        <f>SUM(AN357:AN368)</f>
        <v>305</v>
      </c>
      <c r="AO369" s="142"/>
      <c r="AP369" s="146">
        <v>0</v>
      </c>
      <c r="AQ369" s="143"/>
      <c r="AR369" s="143"/>
      <c r="AS369" s="143"/>
      <c r="AT369" s="143"/>
      <c r="AU369" s="146">
        <f>SUM(AR361:AR363)</f>
        <v>105</v>
      </c>
    </row>
    <row r="370" spans="2:49" ht="15" thickBot="1" x14ac:dyDescent="0.35">
      <c r="B370" s="62"/>
      <c r="C370" s="72"/>
      <c r="D370" s="73"/>
      <c r="E370" s="47"/>
      <c r="F370" s="49"/>
      <c r="G370" s="47"/>
      <c r="H370" s="48"/>
      <c r="I370" s="48"/>
      <c r="J370" s="48"/>
      <c r="K370" s="49"/>
      <c r="L370" s="28"/>
      <c r="M370" s="125" t="s">
        <v>115</v>
      </c>
      <c r="N370" s="54">
        <f>11+8</f>
        <v>19</v>
      </c>
      <c r="O370" s="45">
        <f>6+8</f>
        <v>14</v>
      </c>
      <c r="P370" s="42"/>
      <c r="Q370" s="40"/>
      <c r="R370" s="42"/>
      <c r="S370" s="54"/>
      <c r="T370" s="54" t="s">
        <v>217</v>
      </c>
      <c r="U370" s="28"/>
      <c r="V370" s="40"/>
      <c r="W370" s="28"/>
      <c r="AL370" s="134"/>
      <c r="AM370" s="134"/>
      <c r="AN370" s="136"/>
      <c r="AO370" s="134"/>
      <c r="AP370" s="136"/>
      <c r="AQ370" s="135"/>
      <c r="AR370" s="135"/>
      <c r="AS370" s="135"/>
      <c r="AT370" s="135"/>
      <c r="AU370" s="136"/>
    </row>
    <row r="371" spans="2:49" x14ac:dyDescent="0.3">
      <c r="B371" s="67" t="s">
        <v>63</v>
      </c>
      <c r="C371" s="33">
        <v>1</v>
      </c>
      <c r="D371" s="35">
        <v>2</v>
      </c>
      <c r="G371" s="33"/>
      <c r="H371" s="34"/>
      <c r="I371" s="34"/>
      <c r="J371" s="34"/>
      <c r="K371" s="35"/>
      <c r="L371" s="28"/>
      <c r="M371" s="125" t="s">
        <v>56</v>
      </c>
      <c r="N371" s="54">
        <f>1+3+1+3</f>
        <v>8</v>
      </c>
      <c r="O371" s="45">
        <f>1+2+4+3</f>
        <v>10</v>
      </c>
      <c r="P371" s="42"/>
      <c r="Q371" s="40"/>
      <c r="R371" s="42"/>
      <c r="S371" s="54">
        <v>1</v>
      </c>
      <c r="T371" s="54" t="s">
        <v>352</v>
      </c>
      <c r="U371" s="28"/>
      <c r="V371" s="40"/>
      <c r="W371" s="28"/>
      <c r="AL371" s="138" t="s">
        <v>56</v>
      </c>
      <c r="AM371" s="138">
        <v>0</v>
      </c>
      <c r="AN371" s="141">
        <v>0</v>
      </c>
      <c r="AO371" s="138"/>
      <c r="AP371" s="141"/>
      <c r="AQ371" s="28"/>
      <c r="AR371" s="28" t="s">
        <v>173</v>
      </c>
      <c r="AS371" s="28"/>
      <c r="AT371" s="28"/>
      <c r="AU371" s="141"/>
    </row>
    <row r="372" spans="2:49" x14ac:dyDescent="0.3">
      <c r="B372" s="67" t="s">
        <v>168</v>
      </c>
      <c r="C372" s="42">
        <v>0</v>
      </c>
      <c r="D372" s="40">
        <v>0</v>
      </c>
      <c r="G372" s="42"/>
      <c r="H372" s="28"/>
      <c r="I372" s="28"/>
      <c r="J372" s="28"/>
      <c r="K372" s="40"/>
      <c r="L372" s="28"/>
      <c r="M372" s="125" t="s">
        <v>138</v>
      </c>
      <c r="N372" s="54">
        <v>0</v>
      </c>
      <c r="O372" s="45">
        <v>0</v>
      </c>
      <c r="P372" s="42"/>
      <c r="Q372" s="40"/>
      <c r="R372" s="42"/>
      <c r="S372" s="54">
        <v>9</v>
      </c>
      <c r="T372" s="54" t="s">
        <v>221</v>
      </c>
      <c r="U372" s="28"/>
      <c r="V372" s="40"/>
      <c r="W372" s="28"/>
      <c r="AL372" s="138" t="s">
        <v>67</v>
      </c>
      <c r="AM372" s="138">
        <v>0</v>
      </c>
      <c r="AN372" s="141">
        <v>0</v>
      </c>
      <c r="AO372" s="138"/>
      <c r="AP372" s="141"/>
      <c r="AQ372" s="28"/>
      <c r="AR372" s="28"/>
      <c r="AS372" s="28"/>
      <c r="AT372" s="28"/>
      <c r="AU372" s="141"/>
    </row>
    <row r="373" spans="2:49" x14ac:dyDescent="0.3">
      <c r="B373" s="52" t="s">
        <v>56</v>
      </c>
      <c r="C373" s="52">
        <v>3</v>
      </c>
      <c r="D373" s="85">
        <v>2</v>
      </c>
      <c r="E373" s="28"/>
      <c r="F373" s="28"/>
      <c r="G373" s="42"/>
      <c r="H373" s="28" t="s">
        <v>173</v>
      </c>
      <c r="I373" s="28"/>
      <c r="J373" s="28"/>
      <c r="K373" s="40"/>
      <c r="L373" s="28"/>
      <c r="M373" s="125" t="s">
        <v>67</v>
      </c>
      <c r="N373" s="54">
        <f>9+3+12</f>
        <v>24</v>
      </c>
      <c r="O373" s="45">
        <f>8+4+7</f>
        <v>19</v>
      </c>
      <c r="P373" s="42"/>
      <c r="Q373" s="40"/>
      <c r="R373" s="42"/>
      <c r="S373" s="54">
        <v>2</v>
      </c>
      <c r="T373" s="54" t="s">
        <v>246</v>
      </c>
      <c r="U373" s="28"/>
      <c r="V373" s="40"/>
      <c r="W373" s="28"/>
      <c r="AL373" s="138" t="s">
        <v>78</v>
      </c>
      <c r="AM373" s="138">
        <v>0</v>
      </c>
      <c r="AN373" s="141">
        <v>0</v>
      </c>
      <c r="AO373" s="138"/>
      <c r="AP373" s="141"/>
      <c r="AQ373" s="28"/>
      <c r="AR373" s="28">
        <v>0</v>
      </c>
      <c r="AS373" s="28" t="s">
        <v>183</v>
      </c>
      <c r="AT373" s="28"/>
      <c r="AU373" s="141"/>
    </row>
    <row r="374" spans="2:49" x14ac:dyDescent="0.3">
      <c r="B374" s="52" t="s">
        <v>67</v>
      </c>
      <c r="C374" s="52">
        <v>3</v>
      </c>
      <c r="D374" s="56">
        <v>3</v>
      </c>
      <c r="G374" s="42"/>
      <c r="H374" s="28"/>
      <c r="I374" s="28"/>
      <c r="J374" s="28"/>
      <c r="K374" s="40"/>
      <c r="L374" s="28"/>
      <c r="M374" s="125" t="s">
        <v>122</v>
      </c>
      <c r="N374" s="54">
        <v>1</v>
      </c>
      <c r="O374" s="45">
        <v>0</v>
      </c>
      <c r="P374" s="42"/>
      <c r="Q374" s="40"/>
      <c r="R374" s="42"/>
      <c r="S374" s="54">
        <v>15</v>
      </c>
      <c r="T374" s="54" t="s">
        <v>618</v>
      </c>
      <c r="U374" s="28"/>
      <c r="V374" s="40"/>
      <c r="W374" s="28"/>
      <c r="AL374" s="142" t="s">
        <v>84</v>
      </c>
      <c r="AM374" s="142">
        <f>SUM(AM371:AM373)</f>
        <v>0</v>
      </c>
      <c r="AN374" s="146">
        <f>SUM(AN371:AN373)</f>
        <v>0</v>
      </c>
      <c r="AO374" s="142"/>
      <c r="AP374" s="146"/>
      <c r="AQ374" s="143"/>
      <c r="AR374" s="143"/>
      <c r="AS374" s="143"/>
      <c r="AT374" s="143"/>
      <c r="AU374" s="146">
        <f>SUM(AR373)</f>
        <v>0</v>
      </c>
    </row>
    <row r="375" spans="2:49" x14ac:dyDescent="0.3">
      <c r="B375" s="10" t="s">
        <v>78</v>
      </c>
      <c r="C375" s="52">
        <v>0</v>
      </c>
      <c r="D375" s="85">
        <v>1</v>
      </c>
      <c r="E375" s="28"/>
      <c r="F375" s="28"/>
      <c r="G375" s="42"/>
      <c r="H375" s="28">
        <v>7</v>
      </c>
      <c r="I375" s="28" t="s">
        <v>183</v>
      </c>
      <c r="J375" s="28"/>
      <c r="K375" s="40"/>
      <c r="L375" s="37"/>
      <c r="M375" s="125" t="s">
        <v>227</v>
      </c>
      <c r="N375" s="54">
        <v>0</v>
      </c>
      <c r="O375" s="45">
        <v>0</v>
      </c>
      <c r="P375" s="42"/>
      <c r="Q375" s="40"/>
      <c r="R375" s="42"/>
      <c r="S375" s="54">
        <v>1</v>
      </c>
      <c r="T375" s="54" t="s">
        <v>773</v>
      </c>
      <c r="U375" s="28"/>
      <c r="V375" s="40"/>
      <c r="AL375" s="134"/>
      <c r="AM375" s="134"/>
      <c r="AN375" s="136"/>
      <c r="AO375" s="134"/>
      <c r="AP375" s="136"/>
      <c r="AQ375" s="135"/>
      <c r="AR375" s="28" t="s">
        <v>140</v>
      </c>
      <c r="AS375" s="135"/>
      <c r="AT375" s="135"/>
      <c r="AU375" s="136"/>
      <c r="AW375" t="s">
        <v>6</v>
      </c>
    </row>
    <row r="376" spans="2:49" x14ac:dyDescent="0.3">
      <c r="B376" s="52" t="s">
        <v>81</v>
      </c>
      <c r="C376" s="52">
        <v>0</v>
      </c>
      <c r="D376" s="85">
        <v>0</v>
      </c>
      <c r="E376" s="28"/>
      <c r="F376" s="28"/>
      <c r="G376" s="42"/>
      <c r="H376" s="28" t="s">
        <v>6</v>
      </c>
      <c r="I376" s="28"/>
      <c r="J376" s="28"/>
      <c r="K376" s="40"/>
      <c r="L376" s="28"/>
      <c r="M376" s="41" t="s">
        <v>230</v>
      </c>
      <c r="N376" s="54">
        <f>4+3</f>
        <v>7</v>
      </c>
      <c r="O376" s="45">
        <f>4+3</f>
        <v>7</v>
      </c>
      <c r="P376" s="42"/>
      <c r="Q376" s="40"/>
      <c r="R376" s="42"/>
      <c r="S376" s="54">
        <v>13</v>
      </c>
      <c r="T376" s="54" t="s">
        <v>655</v>
      </c>
      <c r="U376" s="28"/>
      <c r="V376" s="40"/>
      <c r="AJ376" t="s">
        <v>6</v>
      </c>
      <c r="AL376" s="138" t="s">
        <v>63</v>
      </c>
      <c r="AM376" s="138">
        <f>1+1</f>
        <v>2</v>
      </c>
      <c r="AN376" s="141">
        <f>2+4</f>
        <v>6</v>
      </c>
      <c r="AO376" s="138"/>
      <c r="AP376" s="141"/>
      <c r="AQ376" s="28"/>
      <c r="AR376">
        <v>0</v>
      </c>
      <c r="AS376" s="28" t="s">
        <v>1143</v>
      </c>
      <c r="AT376" s="28"/>
      <c r="AU376" s="141"/>
    </row>
    <row r="377" spans="2:49" x14ac:dyDescent="0.3">
      <c r="B377" s="52" t="s">
        <v>72</v>
      </c>
      <c r="C377" s="52">
        <v>1</v>
      </c>
      <c r="D377" s="85">
        <v>0</v>
      </c>
      <c r="G377" s="42"/>
      <c r="H377" s="28"/>
      <c r="I377" s="28"/>
      <c r="J377" s="28"/>
      <c r="K377" s="40"/>
      <c r="L377" s="28"/>
      <c r="M377" s="68" t="s">
        <v>125</v>
      </c>
      <c r="N377" s="54">
        <v>6</v>
      </c>
      <c r="O377" s="45">
        <v>0</v>
      </c>
      <c r="P377" s="42"/>
      <c r="Q377" s="40"/>
      <c r="R377" s="42"/>
      <c r="S377" s="54">
        <v>1</v>
      </c>
      <c r="T377" s="54" t="s">
        <v>774</v>
      </c>
      <c r="U377" s="28"/>
      <c r="V377" s="40"/>
      <c r="AL377" s="138" t="s">
        <v>78</v>
      </c>
      <c r="AM377" s="138">
        <f>9+26</f>
        <v>35</v>
      </c>
      <c r="AN377" s="141">
        <f>8+32</f>
        <v>40</v>
      </c>
      <c r="AO377" s="138"/>
      <c r="AP377" s="141"/>
      <c r="AQ377" s="28"/>
      <c r="AR377" s="28">
        <v>2</v>
      </c>
      <c r="AS377" s="28" t="s">
        <v>1579</v>
      </c>
      <c r="AT377" s="28"/>
      <c r="AU377" s="141"/>
    </row>
    <row r="378" spans="2:49" ht="15" thickBot="1" x14ac:dyDescent="0.35">
      <c r="B378" s="52" t="s">
        <v>84</v>
      </c>
      <c r="C378" s="47">
        <f>SUM(C371:C377)</f>
        <v>8</v>
      </c>
      <c r="D378" s="49">
        <f>SUM(D371:D377)</f>
        <v>8</v>
      </c>
      <c r="E378" s="28"/>
      <c r="F378" s="28"/>
      <c r="G378" s="47"/>
      <c r="H378" s="48"/>
      <c r="I378" s="48"/>
      <c r="J378" s="48"/>
      <c r="K378" s="49">
        <f>SUM(H375)</f>
        <v>7</v>
      </c>
      <c r="L378" s="28"/>
      <c r="M378" s="68" t="s">
        <v>132</v>
      </c>
      <c r="N378" s="54">
        <v>6</v>
      </c>
      <c r="O378" s="45">
        <v>3</v>
      </c>
      <c r="P378" s="42"/>
      <c r="Q378" s="40"/>
      <c r="R378" s="42"/>
      <c r="S378" s="54"/>
      <c r="T378" s="54" t="s">
        <v>472</v>
      </c>
      <c r="U378" s="28"/>
      <c r="V378" s="40"/>
      <c r="AL378" s="138" t="s">
        <v>209</v>
      </c>
      <c r="AM378" s="138">
        <v>0</v>
      </c>
      <c r="AN378" s="141">
        <v>0</v>
      </c>
      <c r="AO378" s="138"/>
      <c r="AP378" s="141"/>
      <c r="AQ378" s="28"/>
      <c r="AR378" s="28">
        <v>2</v>
      </c>
      <c r="AS378" s="28" t="s">
        <v>1117</v>
      </c>
      <c r="AT378" s="28"/>
      <c r="AU378" s="141"/>
    </row>
    <row r="379" spans="2:49" x14ac:dyDescent="0.3">
      <c r="B379" s="32" t="s">
        <v>63</v>
      </c>
      <c r="C379" s="123">
        <f>1+1+1</f>
        <v>3</v>
      </c>
      <c r="D379" s="123">
        <f>1+1+1</f>
        <v>3</v>
      </c>
      <c r="E379" s="33"/>
      <c r="F379" s="7"/>
      <c r="G379" s="6"/>
      <c r="H379" s="34" t="s">
        <v>140</v>
      </c>
      <c r="I379" s="8"/>
      <c r="J379" s="8"/>
      <c r="K379" s="7"/>
      <c r="L379" s="28"/>
      <c r="M379" s="41" t="s">
        <v>6</v>
      </c>
      <c r="P379" s="42"/>
      <c r="Q379" s="40"/>
      <c r="R379" s="42"/>
      <c r="S379" s="54">
        <v>28</v>
      </c>
      <c r="T379" s="54" t="s">
        <v>215</v>
      </c>
      <c r="U379" s="28"/>
      <c r="V379" s="40"/>
      <c r="AL379" s="138" t="s">
        <v>168</v>
      </c>
      <c r="AM379" s="138">
        <v>0</v>
      </c>
      <c r="AN379" s="141">
        <v>0</v>
      </c>
      <c r="AO379" s="138"/>
      <c r="AP379" s="141"/>
      <c r="AQ379" s="28"/>
      <c r="AR379" s="28">
        <v>4</v>
      </c>
      <c r="AS379" s="28" t="s">
        <v>213</v>
      </c>
      <c r="AT379" s="28" t="s">
        <v>6</v>
      </c>
      <c r="AU379" s="141"/>
    </row>
    <row r="380" spans="2:49" ht="15" thickBot="1" x14ac:dyDescent="0.35">
      <c r="B380" s="44" t="s">
        <v>78</v>
      </c>
      <c r="C380" s="37">
        <f>22+7</f>
        <v>29</v>
      </c>
      <c r="D380" s="37">
        <f>5+2</f>
        <v>7</v>
      </c>
      <c r="E380" s="42"/>
      <c r="F380" s="11"/>
      <c r="G380" s="10"/>
      <c r="H380" s="37">
        <v>1</v>
      </c>
      <c r="I380" s="37" t="s">
        <v>204</v>
      </c>
      <c r="J380" s="18"/>
      <c r="K380" s="11"/>
      <c r="L380" s="28"/>
      <c r="M380" s="46" t="s">
        <v>84</v>
      </c>
      <c r="N380" s="48">
        <f>SUM(N364:N379)</f>
        <v>158</v>
      </c>
      <c r="O380" s="48">
        <f>SUM(O364:O379)</f>
        <v>122</v>
      </c>
      <c r="P380" s="47"/>
      <c r="Q380" s="49"/>
      <c r="R380" s="47"/>
      <c r="S380" s="48">
        <v>1</v>
      </c>
      <c r="T380" s="48" t="s">
        <v>244</v>
      </c>
      <c r="U380" s="48"/>
      <c r="V380" s="49">
        <f>SUM(S365:S380)</f>
        <v>110</v>
      </c>
      <c r="AL380" s="138" t="s">
        <v>81</v>
      </c>
      <c r="AM380" s="138">
        <v>16</v>
      </c>
      <c r="AN380" s="141">
        <f>1+13</f>
        <v>14</v>
      </c>
      <c r="AO380" s="138"/>
      <c r="AP380" s="141"/>
      <c r="AQ380" s="28"/>
      <c r="AR380" s="28">
        <v>32</v>
      </c>
      <c r="AS380" s="28" t="s">
        <v>903</v>
      </c>
      <c r="AT380" s="28"/>
      <c r="AU380" s="141" t="s">
        <v>6</v>
      </c>
    </row>
    <row r="381" spans="2:49" ht="15" thickBot="1" x14ac:dyDescent="0.35">
      <c r="B381" s="125" t="s">
        <v>209</v>
      </c>
      <c r="C381" s="54">
        <v>0</v>
      </c>
      <c r="D381" s="54">
        <v>0</v>
      </c>
      <c r="E381" s="42"/>
      <c r="F381" s="40"/>
      <c r="G381" s="42"/>
      <c r="H381" s="28">
        <v>6</v>
      </c>
      <c r="I381" s="28" t="s">
        <v>210</v>
      </c>
      <c r="J381" s="28"/>
      <c r="K381" s="40"/>
      <c r="L381" s="28"/>
      <c r="M381" s="169" t="s">
        <v>84</v>
      </c>
      <c r="N381" s="170">
        <f>SUM(N380+N363+N353+N338)</f>
        <v>1882</v>
      </c>
      <c r="O381" s="170">
        <f>SUM(O380+O363+O353+O338)</f>
        <v>1865</v>
      </c>
      <c r="P381" s="171"/>
      <c r="Q381" s="172"/>
      <c r="R381" s="170"/>
      <c r="S381" s="170"/>
      <c r="T381" s="170"/>
      <c r="U381" s="170"/>
      <c r="V381" s="172">
        <f>SUM(V337:V380)</f>
        <v>330</v>
      </c>
      <c r="AL381" s="138" t="s">
        <v>72</v>
      </c>
      <c r="AM381" s="138">
        <f>3+6+29+6</f>
        <v>44</v>
      </c>
      <c r="AN381" s="141">
        <f>3+4+21</f>
        <v>28</v>
      </c>
      <c r="AO381" s="138"/>
      <c r="AP381" s="141"/>
      <c r="AQ381" s="28"/>
      <c r="AR381" s="43">
        <v>1</v>
      </c>
      <c r="AS381" s="28" t="s">
        <v>216</v>
      </c>
      <c r="AT381" s="28"/>
      <c r="AU381" s="141"/>
    </row>
    <row r="382" spans="2:49" x14ac:dyDescent="0.3">
      <c r="B382" s="44" t="s">
        <v>168</v>
      </c>
      <c r="C382" s="37">
        <v>0</v>
      </c>
      <c r="D382" s="18">
        <v>0</v>
      </c>
      <c r="E382" s="42"/>
      <c r="F382" s="11"/>
      <c r="G382" s="10"/>
      <c r="H382" s="37">
        <f>2+7+11</f>
        <v>20</v>
      </c>
      <c r="I382" s="37" t="s">
        <v>213</v>
      </c>
      <c r="J382" s="18"/>
      <c r="K382" s="11"/>
      <c r="AL382" s="138" t="s">
        <v>115</v>
      </c>
      <c r="AM382" s="138">
        <f>1+3</f>
        <v>4</v>
      </c>
      <c r="AN382" s="141">
        <f>5+2</f>
        <v>7</v>
      </c>
      <c r="AO382" s="138"/>
      <c r="AP382" s="141"/>
      <c r="AQ382" s="28"/>
      <c r="AR382" s="43">
        <v>15</v>
      </c>
      <c r="AS382" s="28" t="s">
        <v>217</v>
      </c>
      <c r="AT382" s="28"/>
      <c r="AU382" s="141"/>
    </row>
    <row r="383" spans="2:49" x14ac:dyDescent="0.3">
      <c r="B383" s="125" t="s">
        <v>81</v>
      </c>
      <c r="C383" s="54">
        <f>1+2</f>
        <v>3</v>
      </c>
      <c r="D383" s="45">
        <v>3</v>
      </c>
      <c r="E383" s="42"/>
      <c r="F383" s="40"/>
      <c r="G383" s="42"/>
      <c r="H383" s="54">
        <v>1</v>
      </c>
      <c r="I383" s="128" t="s">
        <v>235</v>
      </c>
      <c r="J383" s="28"/>
      <c r="K383" s="40" t="s">
        <v>6</v>
      </c>
      <c r="AA383" t="s">
        <v>4</v>
      </c>
      <c r="AL383" s="138" t="s">
        <v>56</v>
      </c>
      <c r="AM383" s="138">
        <f>4+12+9</f>
        <v>25</v>
      </c>
      <c r="AN383" s="141">
        <f>3+3</f>
        <v>6</v>
      </c>
      <c r="AO383" s="138"/>
      <c r="AP383" s="141"/>
      <c r="AQ383" s="28"/>
      <c r="AR383" s="43">
        <v>1</v>
      </c>
      <c r="AS383" s="28" t="s">
        <v>967</v>
      </c>
      <c r="AT383" s="28"/>
      <c r="AU383" s="141"/>
    </row>
    <row r="384" spans="2:49" x14ac:dyDescent="0.3">
      <c r="B384" s="125" t="s">
        <v>72</v>
      </c>
      <c r="C384" s="54">
        <f>24+3+12+1+6</f>
        <v>46</v>
      </c>
      <c r="D384" s="45">
        <f>27+5+15+6</f>
        <v>53</v>
      </c>
      <c r="E384" s="42"/>
      <c r="F384" s="40"/>
      <c r="G384" s="42"/>
      <c r="H384" s="54">
        <v>12</v>
      </c>
      <c r="I384" s="54" t="s">
        <v>216</v>
      </c>
      <c r="J384" s="45"/>
      <c r="K384" s="40"/>
      <c r="AB384" t="s">
        <v>2</v>
      </c>
      <c r="AL384" s="138" t="s">
        <v>138</v>
      </c>
      <c r="AM384" s="138">
        <v>0</v>
      </c>
      <c r="AN384" s="141">
        <v>0</v>
      </c>
      <c r="AO384" s="138"/>
      <c r="AP384" s="141"/>
      <c r="AQ384" s="28"/>
      <c r="AR384" s="43">
        <v>5</v>
      </c>
      <c r="AS384" s="28" t="s">
        <v>1294</v>
      </c>
      <c r="AT384" s="28"/>
      <c r="AU384" s="141"/>
      <c r="AW384" t="s">
        <v>6</v>
      </c>
    </row>
    <row r="385" spans="2:49" x14ac:dyDescent="0.3">
      <c r="B385" s="125" t="s">
        <v>115</v>
      </c>
      <c r="C385" s="54">
        <f>6+1</f>
        <v>7</v>
      </c>
      <c r="D385" s="45">
        <f>1+1</f>
        <v>2</v>
      </c>
      <c r="E385" s="42"/>
      <c r="F385" s="40"/>
      <c r="G385" s="42"/>
      <c r="H385" s="54">
        <v>6</v>
      </c>
      <c r="I385" s="54" t="s">
        <v>217</v>
      </c>
      <c r="J385" s="28"/>
      <c r="K385" s="40"/>
      <c r="Z385" t="s">
        <v>12</v>
      </c>
      <c r="AL385" s="138" t="s">
        <v>67</v>
      </c>
      <c r="AM385" s="138">
        <f>2+16</f>
        <v>18</v>
      </c>
      <c r="AN385" s="141">
        <f>4+24</f>
        <v>28</v>
      </c>
      <c r="AO385" s="138"/>
      <c r="AP385" s="141"/>
      <c r="AQ385" s="28"/>
      <c r="AR385" s="43">
        <v>1</v>
      </c>
      <c r="AS385" s="28" t="s">
        <v>681</v>
      </c>
      <c r="AT385" s="28"/>
      <c r="AU385" s="141"/>
    </row>
    <row r="386" spans="2:49" x14ac:dyDescent="0.3">
      <c r="B386" s="125" t="s">
        <v>56</v>
      </c>
      <c r="C386" s="54">
        <f>2+8+1</f>
        <v>11</v>
      </c>
      <c r="D386" s="45">
        <f>7+2+4+21+2</f>
        <v>36</v>
      </c>
      <c r="E386" s="42"/>
      <c r="F386" s="40"/>
      <c r="G386" s="42"/>
      <c r="H386" s="54">
        <v>3</v>
      </c>
      <c r="I386" s="54" t="s">
        <v>469</v>
      </c>
      <c r="J386" s="28"/>
      <c r="K386" s="40"/>
      <c r="AB386" t="s">
        <v>1070</v>
      </c>
      <c r="AL386" s="138" t="s">
        <v>122</v>
      </c>
      <c r="AM386" s="138">
        <v>1</v>
      </c>
      <c r="AN386" s="141">
        <f>23+3</f>
        <v>26</v>
      </c>
      <c r="AO386" s="138"/>
      <c r="AP386" s="141"/>
      <c r="AQ386" s="28"/>
      <c r="AR386" s="43">
        <v>9</v>
      </c>
      <c r="AS386" s="28" t="s">
        <v>618</v>
      </c>
      <c r="AT386" s="28"/>
      <c r="AU386" s="141"/>
    </row>
    <row r="387" spans="2:49" x14ac:dyDescent="0.3">
      <c r="B387" s="125" t="s">
        <v>138</v>
      </c>
      <c r="C387" s="54">
        <v>0</v>
      </c>
      <c r="D387" s="45">
        <v>0</v>
      </c>
      <c r="E387" s="42"/>
      <c r="F387" s="40"/>
      <c r="G387" s="42"/>
      <c r="H387" s="54">
        <f>5+1+1</f>
        <v>7</v>
      </c>
      <c r="I387" s="54" t="s">
        <v>221</v>
      </c>
      <c r="J387" s="28"/>
      <c r="K387" s="40"/>
      <c r="AF387" s="194" t="s">
        <v>951</v>
      </c>
      <c r="AL387" s="138" t="s">
        <v>227</v>
      </c>
      <c r="AM387" s="138">
        <v>0</v>
      </c>
      <c r="AN387" s="141">
        <v>0</v>
      </c>
      <c r="AO387" s="138"/>
      <c r="AP387" s="141"/>
      <c r="AQ387" s="28"/>
      <c r="AR387" s="43">
        <v>1</v>
      </c>
      <c r="AS387" s="28" t="s">
        <v>352</v>
      </c>
      <c r="AT387" s="28"/>
      <c r="AU387" s="141"/>
    </row>
    <row r="388" spans="2:49" x14ac:dyDescent="0.3">
      <c r="B388" s="125" t="s">
        <v>67</v>
      </c>
      <c r="C388" s="54">
        <f>11+1</f>
        <v>12</v>
      </c>
      <c r="D388" s="45">
        <f>6+1+3</f>
        <v>10</v>
      </c>
      <c r="E388" s="42"/>
      <c r="F388" s="40"/>
      <c r="G388" s="42"/>
      <c r="H388" s="54">
        <v>18</v>
      </c>
      <c r="I388" s="54" t="s">
        <v>222</v>
      </c>
      <c r="J388" s="28"/>
      <c r="K388" s="40"/>
      <c r="X388" s="134" t="s">
        <v>17</v>
      </c>
      <c r="Y388" s="134" t="s">
        <v>39</v>
      </c>
      <c r="Z388" s="136"/>
      <c r="AA388" s="134" t="s">
        <v>29</v>
      </c>
      <c r="AB388" s="136" t="s">
        <v>30</v>
      </c>
      <c r="AC388" s="135" t="s">
        <v>40</v>
      </c>
      <c r="AD388" s="135"/>
      <c r="AE388" s="135"/>
      <c r="AF388" s="135"/>
      <c r="AG388" s="136"/>
      <c r="AL388" s="138" t="s">
        <v>230</v>
      </c>
      <c r="AM388" s="138">
        <f>2+5+3</f>
        <v>10</v>
      </c>
      <c r="AN388" s="141">
        <v>4</v>
      </c>
      <c r="AO388" s="138"/>
      <c r="AP388" s="141"/>
      <c r="AQ388" s="28"/>
      <c r="AR388" s="28">
        <v>14</v>
      </c>
      <c r="AS388" s="28" t="s">
        <v>655</v>
      </c>
      <c r="AT388" s="28"/>
      <c r="AU388" s="141"/>
    </row>
    <row r="389" spans="2:49" x14ac:dyDescent="0.3">
      <c r="B389" s="125" t="s">
        <v>122</v>
      </c>
      <c r="C389" s="54">
        <v>4</v>
      </c>
      <c r="D389" s="45">
        <f>2+4+4</f>
        <v>10</v>
      </c>
      <c r="E389" s="42"/>
      <c r="F389" s="40"/>
      <c r="G389" s="42"/>
      <c r="H389" s="54">
        <v>2</v>
      </c>
      <c r="I389" s="54" t="s">
        <v>471</v>
      </c>
      <c r="J389" s="28"/>
      <c r="K389" s="40"/>
      <c r="X389" s="138" t="s">
        <v>42</v>
      </c>
      <c r="Y389" s="138" t="s">
        <v>43</v>
      </c>
      <c r="Z389" s="141" t="s">
        <v>44</v>
      </c>
      <c r="AA389" s="138" t="s">
        <v>43</v>
      </c>
      <c r="AB389" s="141" t="s">
        <v>44</v>
      </c>
      <c r="AC389" s="28"/>
      <c r="AD389" s="28"/>
      <c r="AE389" s="28"/>
      <c r="AF389" s="28"/>
      <c r="AG389" s="141"/>
      <c r="AL389" s="138" t="s">
        <v>125</v>
      </c>
      <c r="AM389" s="138">
        <v>0</v>
      </c>
      <c r="AN389" s="141">
        <v>0</v>
      </c>
      <c r="AO389" s="138"/>
      <c r="AP389" s="141"/>
      <c r="AQ389" s="28"/>
      <c r="AR389" s="43">
        <v>0</v>
      </c>
      <c r="AS389" s="28" t="s">
        <v>991</v>
      </c>
      <c r="AT389" s="28"/>
      <c r="AU389" s="141"/>
    </row>
    <row r="390" spans="2:49" x14ac:dyDescent="0.3">
      <c r="B390" s="125" t="s">
        <v>227</v>
      </c>
      <c r="C390" s="54">
        <v>0</v>
      </c>
      <c r="D390" s="45">
        <v>0</v>
      </c>
      <c r="E390" s="42"/>
      <c r="F390" s="40"/>
      <c r="G390" s="42"/>
      <c r="H390" s="54">
        <v>4</v>
      </c>
      <c r="I390" s="54" t="s">
        <v>391</v>
      </c>
      <c r="J390" s="28"/>
      <c r="K390" s="40"/>
      <c r="X390" s="138" t="s">
        <v>6</v>
      </c>
      <c r="Y390" s="138"/>
      <c r="Z390" s="141"/>
      <c r="AA390" s="138"/>
      <c r="AB390" s="141"/>
      <c r="AC390" s="28"/>
      <c r="AD390" s="28" t="s">
        <v>91</v>
      </c>
      <c r="AE390" s="28"/>
      <c r="AF390" s="28"/>
      <c r="AG390" s="141"/>
      <c r="AL390" s="138" t="s">
        <v>132</v>
      </c>
      <c r="AM390" s="138">
        <v>1</v>
      </c>
      <c r="AN390" s="141">
        <f>3+2</f>
        <v>5</v>
      </c>
      <c r="AO390" s="138"/>
      <c r="AP390" s="141"/>
      <c r="AQ390" s="28"/>
      <c r="AR390" s="43">
        <v>5</v>
      </c>
      <c r="AS390" s="28" t="s">
        <v>682</v>
      </c>
      <c r="AT390" s="28"/>
      <c r="AU390" s="141"/>
    </row>
    <row r="391" spans="2:49" x14ac:dyDescent="0.3">
      <c r="B391" s="41" t="s">
        <v>230</v>
      </c>
      <c r="C391" s="54">
        <f>7+2+2</f>
        <v>11</v>
      </c>
      <c r="D391" s="45">
        <f>7+2+2+2</f>
        <v>13</v>
      </c>
      <c r="E391" s="42"/>
      <c r="F391" s="40"/>
      <c r="G391" s="42"/>
      <c r="H391" s="54">
        <v>1</v>
      </c>
      <c r="I391" s="54" t="s">
        <v>392</v>
      </c>
      <c r="J391" s="28"/>
      <c r="K391" s="40"/>
      <c r="X391" s="138" t="s">
        <v>56</v>
      </c>
      <c r="Y391" s="138">
        <v>1582</v>
      </c>
      <c r="Z391" s="141">
        <f>1514+13+2</f>
        <v>1529</v>
      </c>
      <c r="AA391" s="138"/>
      <c r="AB391" s="141"/>
      <c r="AC391" s="28"/>
      <c r="AD391" s="28">
        <v>6</v>
      </c>
      <c r="AE391" s="28" t="s">
        <v>145</v>
      </c>
      <c r="AF391" s="28"/>
      <c r="AG391" s="141"/>
      <c r="AL391" s="138" t="s">
        <v>536</v>
      </c>
      <c r="AM391" s="138">
        <v>0</v>
      </c>
      <c r="AN391" s="141">
        <v>0</v>
      </c>
      <c r="AO391" s="138"/>
      <c r="AP391" s="141"/>
      <c r="AQ391" s="28"/>
      <c r="AR391" s="43">
        <f>13+24+11+11</f>
        <v>59</v>
      </c>
      <c r="AS391" s="28" t="s">
        <v>215</v>
      </c>
      <c r="AT391" s="28"/>
      <c r="AU391" s="141"/>
    </row>
    <row r="392" spans="2:49" ht="15" thickBot="1" x14ac:dyDescent="0.35">
      <c r="B392" s="68" t="s">
        <v>125</v>
      </c>
      <c r="C392" s="54">
        <v>0</v>
      </c>
      <c r="D392" s="45">
        <v>0</v>
      </c>
      <c r="E392" s="42"/>
      <c r="F392" s="40"/>
      <c r="G392" s="42"/>
      <c r="H392" s="54">
        <v>5</v>
      </c>
      <c r="I392" s="54" t="s">
        <v>228</v>
      </c>
      <c r="J392" s="28"/>
      <c r="K392" s="40"/>
      <c r="X392" s="142" t="s">
        <v>6</v>
      </c>
      <c r="Y392" s="142"/>
      <c r="Z392" s="146"/>
      <c r="AA392" s="142"/>
      <c r="AB392" s="146"/>
      <c r="AC392" s="143"/>
      <c r="AD392" s="143">
        <v>98</v>
      </c>
      <c r="AE392" s="143" t="s">
        <v>73</v>
      </c>
      <c r="AF392" s="143"/>
      <c r="AG392" s="146">
        <f>SUM(AD392)</f>
        <v>98</v>
      </c>
      <c r="AL392" s="138" t="s">
        <v>84</v>
      </c>
      <c r="AM392" s="138">
        <f>SUM(AM376:AM391)</f>
        <v>156</v>
      </c>
      <c r="AN392" s="141">
        <f>SUM(AN376:AN391)</f>
        <v>164</v>
      </c>
      <c r="AO392" s="138"/>
      <c r="AP392" s="141"/>
      <c r="AQ392" s="28"/>
      <c r="AR392" s="28">
        <v>2</v>
      </c>
      <c r="AS392" s="28" t="s">
        <v>244</v>
      </c>
      <c r="AT392" s="28"/>
      <c r="AU392" s="141">
        <f>SUM(AR376:AR392)</f>
        <v>153</v>
      </c>
    </row>
    <row r="393" spans="2:49" ht="15" thickBot="1" x14ac:dyDescent="0.35">
      <c r="B393" s="68" t="s">
        <v>132</v>
      </c>
      <c r="C393" s="54">
        <v>4</v>
      </c>
      <c r="D393" s="45">
        <v>11</v>
      </c>
      <c r="E393" s="42"/>
      <c r="F393" s="40"/>
      <c r="G393" s="42"/>
      <c r="H393" s="54">
        <v>1</v>
      </c>
      <c r="I393" s="54" t="s">
        <v>237</v>
      </c>
      <c r="J393" s="28"/>
      <c r="K393" s="40"/>
      <c r="X393" s="134" t="s">
        <v>56</v>
      </c>
      <c r="Y393" s="134">
        <v>0</v>
      </c>
      <c r="Z393" s="136">
        <v>0</v>
      </c>
      <c r="AA393" s="134"/>
      <c r="AB393" s="136"/>
      <c r="AC393" s="135"/>
      <c r="AD393" s="135"/>
      <c r="AE393" s="135"/>
      <c r="AF393" s="135"/>
      <c r="AG393" s="136"/>
      <c r="AL393" s="171" t="s">
        <v>84</v>
      </c>
      <c r="AM393" s="207">
        <f>SUM(AM392+AM374+AM369+AM354)</f>
        <v>2039</v>
      </c>
      <c r="AN393" s="207">
        <f>SUM(AN392+AN374+AN369+AN354)</f>
        <v>1987</v>
      </c>
      <c r="AO393" s="207"/>
      <c r="AP393" s="208"/>
      <c r="AQ393" s="170"/>
      <c r="AR393" s="170"/>
      <c r="AS393" s="170"/>
      <c r="AT393" s="170"/>
      <c r="AU393" s="172">
        <f>SUM(AU354:AU392)</f>
        <v>364</v>
      </c>
    </row>
    <row r="394" spans="2:49" x14ac:dyDescent="0.3">
      <c r="B394" s="41" t="s">
        <v>6</v>
      </c>
      <c r="E394" s="42"/>
      <c r="F394" s="40"/>
      <c r="G394" s="42"/>
      <c r="H394" s="54">
        <v>1</v>
      </c>
      <c r="I394" s="54" t="s">
        <v>472</v>
      </c>
      <c r="J394" s="28"/>
      <c r="K394" s="40"/>
      <c r="X394" s="138" t="s">
        <v>63</v>
      </c>
      <c r="Y394" s="138">
        <v>48</v>
      </c>
      <c r="Z394" s="141">
        <v>27</v>
      </c>
      <c r="AA394" s="138"/>
      <c r="AB394" s="141"/>
      <c r="AC394" s="28"/>
      <c r="AD394" s="28" t="s">
        <v>110</v>
      </c>
      <c r="AE394" s="28" t="s">
        <v>111</v>
      </c>
      <c r="AF394" s="28" t="s">
        <v>112</v>
      </c>
      <c r="AG394" s="141"/>
    </row>
    <row r="395" spans="2:49" ht="15" thickBot="1" x14ac:dyDescent="0.35">
      <c r="B395" s="46" t="s">
        <v>84</v>
      </c>
      <c r="C395" s="48">
        <f>SUM(C379:C394)</f>
        <v>130</v>
      </c>
      <c r="D395" s="48">
        <f>SUM(D379:D394)</f>
        <v>148</v>
      </c>
      <c r="E395" s="47"/>
      <c r="F395" s="49"/>
      <c r="G395" s="47"/>
      <c r="H395" s="48">
        <v>4</v>
      </c>
      <c r="I395" s="48" t="s">
        <v>244</v>
      </c>
      <c r="J395" s="48"/>
      <c r="K395" s="49">
        <f>SUM(H381:H393)</f>
        <v>86</v>
      </c>
      <c r="X395" s="138" t="s">
        <v>115</v>
      </c>
      <c r="Y395" s="138">
        <v>42</v>
      </c>
      <c r="Z395" s="141">
        <v>27</v>
      </c>
      <c r="AA395" s="138"/>
      <c r="AB395" s="141"/>
      <c r="AC395" s="28"/>
      <c r="AD395" s="28"/>
      <c r="AE395" s="28"/>
      <c r="AF395" s="28"/>
      <c r="AG395" s="141"/>
    </row>
    <row r="396" spans="2:49" ht="16.2" thickBot="1" x14ac:dyDescent="0.35">
      <c r="B396" s="147" t="s">
        <v>84</v>
      </c>
      <c r="C396" s="147">
        <f>SUM(+C395+C378+C368+C353+C351)</f>
        <v>2740</v>
      </c>
      <c r="D396" s="148">
        <f>SUM(D395+D378+D368+D353+D351)</f>
        <v>2729</v>
      </c>
      <c r="E396" s="147"/>
      <c r="F396" s="148"/>
      <c r="G396" s="149" t="s">
        <v>247</v>
      </c>
      <c r="H396" s="149"/>
      <c r="I396" s="149"/>
      <c r="J396" s="149"/>
      <c r="K396" s="148">
        <f>SUM(K351:K395)</f>
        <v>390</v>
      </c>
      <c r="P396" s="1" t="s">
        <v>4</v>
      </c>
      <c r="X396" s="138" t="s">
        <v>72</v>
      </c>
      <c r="Y396" s="138">
        <v>11</v>
      </c>
      <c r="Z396" s="141">
        <v>16</v>
      </c>
      <c r="AA396" s="138"/>
      <c r="AB396" s="141"/>
      <c r="AC396" s="28"/>
      <c r="AD396" s="28"/>
      <c r="AE396" s="28"/>
      <c r="AF396" s="28"/>
      <c r="AG396" s="141"/>
    </row>
    <row r="397" spans="2:49" ht="15.6" thickTop="1" thickBot="1" x14ac:dyDescent="0.35">
      <c r="Q397" t="s">
        <v>2</v>
      </c>
      <c r="X397" s="138" t="s">
        <v>78</v>
      </c>
      <c r="Y397" s="138">
        <v>72</v>
      </c>
      <c r="Z397" s="141">
        <v>65</v>
      </c>
      <c r="AA397" s="138"/>
      <c r="AB397" s="141"/>
      <c r="AC397" s="28"/>
      <c r="AD397" s="28"/>
      <c r="AE397" s="28"/>
      <c r="AF397" s="28"/>
      <c r="AG397" s="141"/>
      <c r="AL397" s="317" t="s">
        <v>1532</v>
      </c>
      <c r="AM397" s="210">
        <v>2170</v>
      </c>
      <c r="AN397" s="318">
        <v>2248</v>
      </c>
      <c r="AO397" s="170"/>
      <c r="AP397" s="170"/>
      <c r="AQ397" s="170"/>
      <c r="AR397" s="170"/>
      <c r="AS397" s="170"/>
      <c r="AT397" s="170"/>
      <c r="AU397" s="172">
        <v>288</v>
      </c>
    </row>
    <row r="398" spans="2:49" x14ac:dyDescent="0.3">
      <c r="O398" t="s">
        <v>12</v>
      </c>
      <c r="X398" s="138" t="s">
        <v>122</v>
      </c>
      <c r="Y398" s="138">
        <v>78</v>
      </c>
      <c r="Z398" s="141">
        <v>24</v>
      </c>
      <c r="AA398" s="138"/>
      <c r="AB398" s="141"/>
      <c r="AC398" s="28"/>
      <c r="AD398" s="28">
        <v>38</v>
      </c>
      <c r="AE398" s="28" t="s">
        <v>123</v>
      </c>
      <c r="AF398" s="28"/>
      <c r="AG398" s="141"/>
      <c r="AH398" t="s">
        <v>6</v>
      </c>
    </row>
    <row r="399" spans="2:49" x14ac:dyDescent="0.3">
      <c r="Q399" t="s">
        <v>810</v>
      </c>
      <c r="V399" s="5"/>
      <c r="X399" s="138" t="s">
        <v>125</v>
      </c>
      <c r="Y399" s="138">
        <v>10</v>
      </c>
      <c r="Z399" s="141">
        <v>0</v>
      </c>
      <c r="AA399" s="138"/>
      <c r="AB399" s="141"/>
      <c r="AC399" s="28"/>
      <c r="AD399" s="28">
        <v>47</v>
      </c>
      <c r="AE399" s="28" t="s">
        <v>126</v>
      </c>
      <c r="AF399" s="28"/>
      <c r="AG399" s="141"/>
    </row>
    <row r="400" spans="2:49" ht="15" thickBot="1" x14ac:dyDescent="0.35">
      <c r="U400" s="5" t="s">
        <v>26</v>
      </c>
      <c r="X400" s="138" t="s">
        <v>536</v>
      </c>
      <c r="Y400" s="138">
        <v>0</v>
      </c>
      <c r="Z400" s="141">
        <v>0</v>
      </c>
      <c r="AA400" s="138"/>
      <c r="AB400" s="141"/>
      <c r="AC400" s="28"/>
      <c r="AD400" s="28">
        <v>26</v>
      </c>
      <c r="AE400" s="28" t="s">
        <v>129</v>
      </c>
      <c r="AF400" s="28"/>
      <c r="AG400" s="141"/>
      <c r="AW400" t="s">
        <v>6</v>
      </c>
    </row>
    <row r="401" spans="2:48" x14ac:dyDescent="0.3">
      <c r="M401" s="6" t="s">
        <v>17</v>
      </c>
      <c r="N401" s="6" t="s">
        <v>39</v>
      </c>
      <c r="O401" s="7"/>
      <c r="P401" s="6" t="s">
        <v>29</v>
      </c>
      <c r="Q401" s="7" t="s">
        <v>30</v>
      </c>
      <c r="R401" s="8" t="s">
        <v>40</v>
      </c>
      <c r="S401" s="8"/>
      <c r="T401" s="8"/>
      <c r="U401" s="8"/>
      <c r="V401" s="7"/>
      <c r="X401" s="138" t="s">
        <v>132</v>
      </c>
      <c r="Y401" s="138">
        <v>0</v>
      </c>
      <c r="Z401" s="141">
        <v>0</v>
      </c>
      <c r="AA401" s="138"/>
      <c r="AB401" s="141"/>
      <c r="AC401" s="28"/>
      <c r="AD401" s="28"/>
      <c r="AE401" s="28"/>
      <c r="AF401" s="28"/>
      <c r="AG401" s="141"/>
    </row>
    <row r="402" spans="2:48" ht="15" thickBot="1" x14ac:dyDescent="0.35">
      <c r="M402" s="13" t="s">
        <v>42</v>
      </c>
      <c r="N402" s="13" t="s">
        <v>43</v>
      </c>
      <c r="O402" s="26" t="s">
        <v>44</v>
      </c>
      <c r="P402" s="13" t="s">
        <v>43</v>
      </c>
      <c r="Q402" s="26" t="s">
        <v>44</v>
      </c>
      <c r="R402" s="27"/>
      <c r="S402" s="27"/>
      <c r="T402" s="27"/>
      <c r="U402" s="27"/>
      <c r="V402" s="26"/>
      <c r="X402" s="138" t="s">
        <v>81</v>
      </c>
      <c r="Y402" s="138">
        <v>63</v>
      </c>
      <c r="Z402" s="141">
        <v>26</v>
      </c>
      <c r="AA402" s="138"/>
      <c r="AB402" s="141"/>
      <c r="AC402" s="28"/>
      <c r="AD402" s="28"/>
      <c r="AE402" s="28"/>
      <c r="AF402" s="28"/>
      <c r="AG402" s="141"/>
      <c r="AS402" s="229"/>
    </row>
    <row r="403" spans="2:48" x14ac:dyDescent="0.3">
      <c r="M403" s="32" t="s">
        <v>6</v>
      </c>
      <c r="N403" s="43"/>
      <c r="O403" s="54"/>
      <c r="P403" s="33"/>
      <c r="Q403" s="35"/>
      <c r="R403" s="33"/>
      <c r="S403" s="34" t="s">
        <v>91</v>
      </c>
      <c r="T403" s="34"/>
      <c r="U403" s="34"/>
      <c r="V403" s="35"/>
      <c r="W403" s="28"/>
      <c r="X403" s="138" t="s">
        <v>138</v>
      </c>
      <c r="Y403" s="138">
        <v>8</v>
      </c>
      <c r="Z403" s="141">
        <v>0</v>
      </c>
      <c r="AA403" s="138"/>
      <c r="AB403" s="141"/>
      <c r="AC403" s="28"/>
      <c r="AD403" s="28"/>
      <c r="AE403" s="28"/>
      <c r="AF403" s="28"/>
      <c r="AG403" s="141"/>
    </row>
    <row r="404" spans="2:48" x14ac:dyDescent="0.3">
      <c r="M404" s="41" t="s">
        <v>56</v>
      </c>
      <c r="N404" s="43">
        <v>1316</v>
      </c>
      <c r="O404" s="54">
        <v>1266</v>
      </c>
      <c r="P404" s="42"/>
      <c r="Q404" s="40"/>
      <c r="R404" s="42"/>
      <c r="S404" s="28"/>
      <c r="T404" s="28"/>
      <c r="U404" s="28"/>
      <c r="V404" s="40"/>
      <c r="W404" s="28"/>
      <c r="X404" s="138" t="s">
        <v>230</v>
      </c>
      <c r="Y404" s="138">
        <v>0</v>
      </c>
      <c r="Z404" s="141">
        <v>0</v>
      </c>
      <c r="AA404" s="138"/>
      <c r="AB404" s="141"/>
      <c r="AC404" s="28"/>
      <c r="AD404" s="28"/>
      <c r="AE404" s="28"/>
      <c r="AF404" s="28"/>
      <c r="AG404" s="141"/>
    </row>
    <row r="405" spans="2:48" ht="15" thickBot="1" x14ac:dyDescent="0.35">
      <c r="M405" s="62" t="s">
        <v>6</v>
      </c>
      <c r="N405" s="43"/>
      <c r="O405" s="43"/>
      <c r="P405" s="47"/>
      <c r="Q405" s="49"/>
      <c r="R405" s="47"/>
      <c r="S405" s="48">
        <v>93</v>
      </c>
      <c r="T405" s="48" t="s">
        <v>73</v>
      </c>
      <c r="U405" s="48"/>
      <c r="V405" s="49">
        <f>SUM(S405)</f>
        <v>93</v>
      </c>
      <c r="W405" s="28"/>
      <c r="X405" s="138" t="s">
        <v>67</v>
      </c>
      <c r="Y405" s="138">
        <v>65</v>
      </c>
      <c r="Z405" s="141">
        <v>70</v>
      </c>
      <c r="AA405" s="138"/>
      <c r="AB405" s="141"/>
      <c r="AC405" s="28"/>
      <c r="AD405" s="28"/>
      <c r="AE405" s="28"/>
      <c r="AF405" s="28"/>
      <c r="AG405" s="141"/>
    </row>
    <row r="406" spans="2:48" x14ac:dyDescent="0.3">
      <c r="M406" s="10"/>
      <c r="N406" s="29"/>
      <c r="O406" s="31"/>
      <c r="P406" s="33"/>
      <c r="Q406" s="7"/>
      <c r="R406" s="8"/>
      <c r="S406" s="8"/>
      <c r="T406" s="8"/>
      <c r="U406" s="8"/>
      <c r="V406" s="7"/>
      <c r="W406" s="28"/>
      <c r="X406" s="142" t="s">
        <v>84</v>
      </c>
      <c r="Y406" s="142">
        <f>SUM(Y393:Y405)</f>
        <v>397</v>
      </c>
      <c r="Z406" s="146">
        <f>SUM(Z393:Z405)</f>
        <v>255</v>
      </c>
      <c r="AA406" s="142"/>
      <c r="AB406" s="146">
        <v>0</v>
      </c>
      <c r="AC406" s="143"/>
      <c r="AD406" s="143"/>
      <c r="AE406" s="143"/>
      <c r="AF406" s="143"/>
      <c r="AG406" s="146">
        <f>SUM(AD398:AD400)</f>
        <v>111</v>
      </c>
    </row>
    <row r="407" spans="2:48" ht="15.6" x14ac:dyDescent="0.3">
      <c r="E407" s="1" t="s">
        <v>4</v>
      </c>
      <c r="M407" s="36" t="s">
        <v>63</v>
      </c>
      <c r="N407" s="10">
        <v>22</v>
      </c>
      <c r="O407" s="18">
        <v>19</v>
      </c>
      <c r="P407" s="42"/>
      <c r="Q407" s="11"/>
      <c r="R407" s="18"/>
      <c r="S407" s="18" t="s">
        <v>110</v>
      </c>
      <c r="T407" s="18" t="s">
        <v>111</v>
      </c>
      <c r="U407" s="18" t="s">
        <v>112</v>
      </c>
      <c r="V407" s="11"/>
      <c r="W407" s="28"/>
      <c r="X407" s="134"/>
      <c r="Y407" s="134"/>
      <c r="Z407" s="136"/>
      <c r="AA407" s="134"/>
      <c r="AB407" s="136"/>
      <c r="AC407" s="135"/>
      <c r="AD407" s="135"/>
      <c r="AE407" s="135"/>
      <c r="AF407" s="135"/>
      <c r="AG407" s="136"/>
    </row>
    <row r="408" spans="2:48" x14ac:dyDescent="0.3">
      <c r="F408" t="s">
        <v>2</v>
      </c>
      <c r="M408" s="10" t="s">
        <v>115</v>
      </c>
      <c r="N408" s="36">
        <v>14</v>
      </c>
      <c r="O408" s="37">
        <v>14</v>
      </c>
      <c r="P408" s="42"/>
      <c r="Q408" s="11"/>
      <c r="R408" s="18"/>
      <c r="S408" s="18"/>
      <c r="T408" s="18"/>
      <c r="U408" s="18"/>
      <c r="V408" s="11"/>
      <c r="W408" s="28"/>
      <c r="X408" s="138" t="s">
        <v>63</v>
      </c>
      <c r="Y408" s="138">
        <v>0</v>
      </c>
      <c r="Z408" s="141">
        <v>0</v>
      </c>
      <c r="AA408" s="138"/>
      <c r="AB408" s="141"/>
      <c r="AC408" s="28"/>
      <c r="AD408" s="28"/>
      <c r="AE408" s="28"/>
      <c r="AF408" s="28"/>
      <c r="AG408" s="141"/>
    </row>
    <row r="409" spans="2:48" x14ac:dyDescent="0.3">
      <c r="D409" t="s">
        <v>12</v>
      </c>
      <c r="L409" t="s">
        <v>6</v>
      </c>
      <c r="M409" s="52" t="s">
        <v>72</v>
      </c>
      <c r="N409" s="52">
        <v>0</v>
      </c>
      <c r="O409" s="54">
        <v>5</v>
      </c>
      <c r="P409" s="42"/>
      <c r="Q409" s="40"/>
      <c r="R409" s="28"/>
      <c r="S409" s="28"/>
      <c r="T409" s="28"/>
      <c r="U409" s="28"/>
      <c r="V409" s="40"/>
      <c r="W409" s="28"/>
      <c r="X409" s="138" t="s">
        <v>536</v>
      </c>
      <c r="Y409" s="138">
        <v>0</v>
      </c>
      <c r="Z409" s="141">
        <v>0</v>
      </c>
      <c r="AA409" s="138"/>
      <c r="AB409" s="141"/>
      <c r="AC409" s="28"/>
      <c r="AD409" s="28"/>
      <c r="AE409" s="28"/>
      <c r="AF409" s="28"/>
      <c r="AG409" s="141"/>
    </row>
    <row r="410" spans="2:48" x14ac:dyDescent="0.3">
      <c r="F410" t="s">
        <v>473</v>
      </c>
      <c r="K410" s="5"/>
      <c r="M410" s="36" t="s">
        <v>78</v>
      </c>
      <c r="N410" s="36">
        <v>5</v>
      </c>
      <c r="O410" s="37">
        <v>5</v>
      </c>
      <c r="P410" s="42"/>
      <c r="Q410" s="11"/>
      <c r="R410" s="18"/>
      <c r="S410" s="37"/>
      <c r="T410" s="18"/>
      <c r="U410" s="37"/>
      <c r="V410" s="11"/>
      <c r="W410" s="28"/>
      <c r="X410" s="138" t="s">
        <v>56</v>
      </c>
      <c r="Y410" s="138">
        <v>0</v>
      </c>
      <c r="Z410" s="141">
        <v>0</v>
      </c>
      <c r="AA410" s="138"/>
      <c r="AB410" s="141"/>
      <c r="AC410" s="28"/>
      <c r="AD410" s="28" t="s">
        <v>173</v>
      </c>
      <c r="AE410" s="28"/>
      <c r="AF410" s="28"/>
      <c r="AG410" s="141"/>
    </row>
    <row r="411" spans="2:48" ht="15" thickBot="1" x14ac:dyDescent="0.35">
      <c r="J411" s="5" t="s">
        <v>26</v>
      </c>
      <c r="M411" s="10" t="s">
        <v>122</v>
      </c>
      <c r="N411" s="36">
        <v>52</v>
      </c>
      <c r="O411" s="37">
        <v>38</v>
      </c>
      <c r="P411" s="42"/>
      <c r="Q411" s="11"/>
      <c r="R411" s="18"/>
      <c r="S411" s="18">
        <v>31</v>
      </c>
      <c r="T411" s="18" t="s">
        <v>123</v>
      </c>
      <c r="U411" s="18"/>
      <c r="V411" s="11"/>
      <c r="W411" s="28" t="s">
        <v>6</v>
      </c>
      <c r="X411" s="138" t="s">
        <v>67</v>
      </c>
      <c r="Y411" s="138">
        <v>0</v>
      </c>
      <c r="Z411" s="141">
        <v>0</v>
      </c>
      <c r="AA411" s="138"/>
      <c r="AB411" s="141"/>
      <c r="AC411" s="28"/>
      <c r="AD411" s="28"/>
      <c r="AE411" s="28"/>
      <c r="AF411" s="28"/>
      <c r="AG411" s="141"/>
    </row>
    <row r="412" spans="2:48" x14ac:dyDescent="0.3">
      <c r="B412" s="6" t="s">
        <v>17</v>
      </c>
      <c r="C412" s="6" t="s">
        <v>39</v>
      </c>
      <c r="D412" s="7"/>
      <c r="E412" s="6" t="s">
        <v>29</v>
      </c>
      <c r="F412" s="7" t="s">
        <v>30</v>
      </c>
      <c r="G412" s="8" t="s">
        <v>40</v>
      </c>
      <c r="H412" s="8"/>
      <c r="I412" s="8"/>
      <c r="J412" s="8"/>
      <c r="K412" s="7"/>
      <c r="M412" s="10" t="s">
        <v>125</v>
      </c>
      <c r="N412" s="36">
        <v>0</v>
      </c>
      <c r="O412" s="37">
        <v>0</v>
      </c>
      <c r="P412" s="42"/>
      <c r="Q412" s="11"/>
      <c r="R412" s="18"/>
      <c r="S412" s="18">
        <v>22</v>
      </c>
      <c r="T412" s="18" t="s">
        <v>126</v>
      </c>
      <c r="U412" s="18"/>
      <c r="V412" s="11"/>
      <c r="W412" s="28"/>
      <c r="X412" s="138" t="s">
        <v>78</v>
      </c>
      <c r="Y412" s="138">
        <v>0</v>
      </c>
      <c r="Z412" s="141">
        <v>0</v>
      </c>
      <c r="AA412" s="138"/>
      <c r="AB412" s="141"/>
      <c r="AC412" s="28"/>
      <c r="AD412" s="28">
        <v>1</v>
      </c>
      <c r="AE412" s="28" t="s">
        <v>183</v>
      </c>
      <c r="AF412" s="28"/>
      <c r="AG412" s="141"/>
    </row>
    <row r="413" spans="2:48" ht="15" thickBot="1" x14ac:dyDescent="0.35">
      <c r="B413" s="13" t="s">
        <v>42</v>
      </c>
      <c r="C413" s="10" t="s">
        <v>43</v>
      </c>
      <c r="D413" s="11" t="s">
        <v>44</v>
      </c>
      <c r="E413" s="13" t="s">
        <v>43</v>
      </c>
      <c r="F413" s="26" t="s">
        <v>44</v>
      </c>
      <c r="G413" s="27"/>
      <c r="H413" s="27"/>
      <c r="I413" s="27"/>
      <c r="J413" s="27"/>
      <c r="K413" s="26"/>
      <c r="M413" s="84" t="s">
        <v>128</v>
      </c>
      <c r="N413" s="52">
        <v>1</v>
      </c>
      <c r="O413" s="37">
        <v>0</v>
      </c>
      <c r="P413" s="42"/>
      <c r="Q413" s="40"/>
      <c r="R413" s="28"/>
      <c r="S413" s="28">
        <v>24</v>
      </c>
      <c r="T413" s="28" t="s">
        <v>129</v>
      </c>
      <c r="U413" s="28"/>
      <c r="V413" s="40"/>
      <c r="W413" s="28"/>
      <c r="X413" s="138" t="s">
        <v>115</v>
      </c>
      <c r="Y413" s="138">
        <v>0</v>
      </c>
      <c r="Z413" s="141">
        <v>0</v>
      </c>
      <c r="AA413" s="138"/>
      <c r="AB413" s="141"/>
      <c r="AC413" s="28"/>
      <c r="AD413" s="28" t="s">
        <v>6</v>
      </c>
      <c r="AE413" s="28"/>
      <c r="AF413" s="28"/>
      <c r="AG413" s="141"/>
    </row>
    <row r="414" spans="2:48" x14ac:dyDescent="0.3">
      <c r="B414" s="6" t="s">
        <v>56</v>
      </c>
      <c r="C414" s="29">
        <v>898</v>
      </c>
      <c r="D414" s="30">
        <v>987</v>
      </c>
      <c r="G414" s="6"/>
      <c r="H414" s="8"/>
      <c r="I414" s="31" t="s">
        <v>57</v>
      </c>
      <c r="J414" s="8"/>
      <c r="K414" s="7"/>
      <c r="L414" s="28"/>
      <c r="M414" s="84" t="s">
        <v>132</v>
      </c>
      <c r="N414" s="42">
        <v>0</v>
      </c>
      <c r="O414" s="37"/>
      <c r="P414" s="42"/>
      <c r="Q414" s="40"/>
      <c r="R414" s="28"/>
      <c r="S414" s="28"/>
      <c r="T414" s="28"/>
      <c r="U414" s="28"/>
      <c r="V414" s="40"/>
      <c r="W414" s="28"/>
      <c r="X414" s="138" t="s">
        <v>72</v>
      </c>
      <c r="Y414" s="138">
        <v>0</v>
      </c>
      <c r="Z414" s="141">
        <v>0</v>
      </c>
      <c r="AA414" s="138"/>
      <c r="AB414" s="141"/>
      <c r="AC414" s="28"/>
      <c r="AD414" s="28"/>
      <c r="AE414" s="28"/>
      <c r="AF414" s="28"/>
      <c r="AG414" s="141"/>
      <c r="AO414" t="s">
        <v>4</v>
      </c>
    </row>
    <row r="415" spans="2:48" x14ac:dyDescent="0.3">
      <c r="B415" s="36" t="s">
        <v>132</v>
      </c>
      <c r="C415" s="36">
        <v>0</v>
      </c>
      <c r="D415" s="39">
        <v>10</v>
      </c>
      <c r="F415" s="18"/>
      <c r="G415" s="10"/>
      <c r="H415" s="18"/>
      <c r="I415" s="18"/>
      <c r="J415" s="18"/>
      <c r="K415" s="11"/>
      <c r="L415" s="28"/>
      <c r="M415" s="84" t="s">
        <v>81</v>
      </c>
      <c r="N415" s="42">
        <v>63</v>
      </c>
      <c r="O415" s="37">
        <v>62</v>
      </c>
      <c r="P415" s="42"/>
      <c r="Q415" s="40"/>
      <c r="R415" s="28"/>
      <c r="S415" s="28"/>
      <c r="T415" s="28"/>
      <c r="U415" s="28"/>
      <c r="V415" s="40"/>
      <c r="W415" s="45"/>
      <c r="X415" s="142" t="s">
        <v>84</v>
      </c>
      <c r="Y415" s="142">
        <f>SUM(Y408:Y414)</f>
        <v>0</v>
      </c>
      <c r="Z415" s="146">
        <f>SUM(Z408:Z414)</f>
        <v>0</v>
      </c>
      <c r="AA415" s="142"/>
      <c r="AB415" s="146"/>
      <c r="AC415" s="143"/>
      <c r="AD415" s="143"/>
      <c r="AE415" s="143"/>
      <c r="AF415" s="143"/>
      <c r="AG415" s="146">
        <f>SUM(AD412)</f>
        <v>1</v>
      </c>
      <c r="AP415" t="s">
        <v>2</v>
      </c>
    </row>
    <row r="416" spans="2:48" x14ac:dyDescent="0.3">
      <c r="B416" s="36" t="s">
        <v>67</v>
      </c>
      <c r="C416" s="36">
        <v>48</v>
      </c>
      <c r="D416" s="39">
        <v>39</v>
      </c>
      <c r="F416" s="18"/>
      <c r="G416" s="10"/>
      <c r="H416" s="37">
        <v>30</v>
      </c>
      <c r="I416" s="37" t="s">
        <v>68</v>
      </c>
      <c r="J416" s="18"/>
      <c r="K416" s="11"/>
      <c r="L416" s="28"/>
      <c r="M416" s="10" t="s">
        <v>138</v>
      </c>
      <c r="N416" s="36">
        <v>0</v>
      </c>
      <c r="O416" s="37">
        <v>0</v>
      </c>
      <c r="P416" s="42"/>
      <c r="Q416" s="11"/>
      <c r="R416" s="18"/>
      <c r="S416" s="18"/>
      <c r="T416" s="18"/>
      <c r="U416" s="18"/>
      <c r="V416" s="11"/>
      <c r="W416" s="28"/>
      <c r="X416" s="134"/>
      <c r="Y416" s="134"/>
      <c r="Z416" s="136"/>
      <c r="AA416" s="134"/>
      <c r="AB416" s="136"/>
      <c r="AC416" s="135"/>
      <c r="AD416" s="135"/>
      <c r="AE416" s="135"/>
      <c r="AF416" s="135"/>
      <c r="AG416" s="136"/>
      <c r="AN416" t="s">
        <v>12</v>
      </c>
      <c r="AV416" t="s">
        <v>6</v>
      </c>
    </row>
    <row r="417" spans="2:49" x14ac:dyDescent="0.3">
      <c r="B417" s="36" t="s">
        <v>72</v>
      </c>
      <c r="C417" s="36">
        <v>0</v>
      </c>
      <c r="D417" s="39">
        <v>0</v>
      </c>
      <c r="F417" s="18"/>
      <c r="G417" s="10"/>
      <c r="H417" s="37">
        <v>55</v>
      </c>
      <c r="I417" s="37" t="s">
        <v>73</v>
      </c>
      <c r="J417" s="18"/>
      <c r="K417" s="11"/>
      <c r="L417" s="28"/>
      <c r="M417" s="84" t="s">
        <v>56</v>
      </c>
      <c r="N417" s="42">
        <v>3</v>
      </c>
      <c r="O417" s="54">
        <v>5</v>
      </c>
      <c r="P417" s="42"/>
      <c r="Q417" s="40"/>
      <c r="R417" s="28"/>
      <c r="S417" s="28"/>
      <c r="T417" s="28"/>
      <c r="U417" s="28"/>
      <c r="V417" s="40"/>
      <c r="W417" s="28"/>
      <c r="X417" s="138" t="s">
        <v>63</v>
      </c>
      <c r="Y417" s="138">
        <f>3+5</f>
        <v>8</v>
      </c>
      <c r="Z417" s="141">
        <f>4+6</f>
        <v>10</v>
      </c>
      <c r="AA417" s="138"/>
      <c r="AB417" s="141"/>
      <c r="AC417" s="28"/>
      <c r="AD417" s="28" t="s">
        <v>140</v>
      </c>
      <c r="AE417" s="28"/>
      <c r="AF417" s="28"/>
      <c r="AG417" s="141"/>
      <c r="AP417" t="s">
        <v>1631</v>
      </c>
    </row>
    <row r="418" spans="2:49" x14ac:dyDescent="0.3">
      <c r="B418" s="36" t="s">
        <v>78</v>
      </c>
      <c r="C418" s="36">
        <v>0</v>
      </c>
      <c r="D418" s="39">
        <v>0</v>
      </c>
      <c r="F418" s="18"/>
      <c r="G418" s="10"/>
      <c r="H418" s="37"/>
      <c r="I418" s="37"/>
      <c r="J418" s="18" t="s">
        <v>6</v>
      </c>
      <c r="K418" s="11"/>
      <c r="L418" s="28"/>
      <c r="M418" s="36" t="s">
        <v>67</v>
      </c>
      <c r="N418" s="10">
        <v>54</v>
      </c>
      <c r="O418" s="18">
        <v>45</v>
      </c>
      <c r="P418" s="42"/>
      <c r="Q418" s="11"/>
      <c r="R418" s="18"/>
      <c r="S418" s="18"/>
      <c r="T418" s="18"/>
      <c r="U418" s="18"/>
      <c r="V418" s="11"/>
      <c r="W418" s="28"/>
      <c r="X418" s="138" t="s">
        <v>78</v>
      </c>
      <c r="Y418" s="138">
        <f>1+25+2+17</f>
        <v>45</v>
      </c>
      <c r="Z418" s="141">
        <f>25+3+16</f>
        <v>44</v>
      </c>
      <c r="AA418" s="138"/>
      <c r="AB418" s="141"/>
      <c r="AC418" s="28"/>
      <c r="AD418" s="28">
        <f>3+13</f>
        <v>16</v>
      </c>
      <c r="AE418" s="28" t="s">
        <v>204</v>
      </c>
      <c r="AF418" s="28"/>
      <c r="AG418" s="141"/>
      <c r="AT418" s="194" t="s">
        <v>951</v>
      </c>
    </row>
    <row r="419" spans="2:49" ht="15" thickBot="1" x14ac:dyDescent="0.35">
      <c r="B419" s="52" t="s">
        <v>81</v>
      </c>
      <c r="C419" s="36">
        <v>0</v>
      </c>
      <c r="D419" s="39">
        <v>0</v>
      </c>
      <c r="G419" s="42"/>
      <c r="H419" s="28"/>
      <c r="I419" s="28"/>
      <c r="J419" s="28"/>
      <c r="K419" s="40"/>
      <c r="L419" s="28"/>
      <c r="M419" s="13" t="s">
        <v>84</v>
      </c>
      <c r="N419" s="13">
        <f>SUM(N407:N418)</f>
        <v>214</v>
      </c>
      <c r="O419" s="27">
        <f>SUM(O407:O418)</f>
        <v>193</v>
      </c>
      <c r="P419" s="47"/>
      <c r="Q419" s="26">
        <f>SUM(Q411:Q418)</f>
        <v>0</v>
      </c>
      <c r="R419" s="27"/>
      <c r="S419" s="27"/>
      <c r="T419" s="27"/>
      <c r="U419" s="27"/>
      <c r="V419" s="26">
        <f>SUM(S411:S413)</f>
        <v>77</v>
      </c>
      <c r="W419" s="28"/>
      <c r="X419" s="138" t="s">
        <v>209</v>
      </c>
      <c r="Y419" s="138">
        <v>0</v>
      </c>
      <c r="Z419" s="141">
        <v>0</v>
      </c>
      <c r="AA419" s="138"/>
      <c r="AB419" s="141"/>
      <c r="AC419" s="28"/>
      <c r="AD419" s="28">
        <v>0</v>
      </c>
      <c r="AE419" s="28" t="s">
        <v>1018</v>
      </c>
      <c r="AF419" s="28"/>
      <c r="AG419" s="141"/>
      <c r="AL419" s="134" t="s">
        <v>17</v>
      </c>
      <c r="AM419" s="134" t="s">
        <v>39</v>
      </c>
      <c r="AN419" s="136"/>
      <c r="AO419" s="134" t="s">
        <v>29</v>
      </c>
      <c r="AP419" s="136" t="s">
        <v>30</v>
      </c>
      <c r="AQ419" s="135" t="s">
        <v>40</v>
      </c>
      <c r="AR419" s="135"/>
      <c r="AS419" s="135"/>
      <c r="AT419" s="135"/>
      <c r="AU419" s="136"/>
    </row>
    <row r="420" spans="2:49" x14ac:dyDescent="0.3">
      <c r="B420" s="52" t="s">
        <v>115</v>
      </c>
      <c r="C420" s="52">
        <v>0</v>
      </c>
      <c r="D420" s="86"/>
      <c r="G420" s="42"/>
      <c r="H420" s="28"/>
      <c r="I420" s="28"/>
      <c r="J420" s="28"/>
      <c r="K420" s="40"/>
      <c r="L420" s="28"/>
      <c r="M420" s="32"/>
      <c r="N420" s="53"/>
      <c r="O420" s="97"/>
      <c r="P420" s="33"/>
      <c r="Q420" s="7"/>
      <c r="R420" s="6"/>
      <c r="S420" s="8"/>
      <c r="T420" s="31"/>
      <c r="U420" s="8"/>
      <c r="V420" s="7"/>
      <c r="W420" s="28"/>
      <c r="X420" s="138" t="s">
        <v>168</v>
      </c>
      <c r="Y420" s="138">
        <v>0</v>
      </c>
      <c r="Z420" s="141">
        <v>0</v>
      </c>
      <c r="AA420" s="138"/>
      <c r="AB420" s="141"/>
      <c r="AC420" s="28"/>
      <c r="AD420" s="28">
        <f>2+4+16+6</f>
        <v>28</v>
      </c>
      <c r="AE420" s="28" t="s">
        <v>213</v>
      </c>
      <c r="AF420" s="28" t="s">
        <v>6</v>
      </c>
      <c r="AG420" s="141"/>
      <c r="AL420" s="138" t="s">
        <v>42</v>
      </c>
      <c r="AM420" s="138" t="s">
        <v>43</v>
      </c>
      <c r="AN420" s="141" t="s">
        <v>44</v>
      </c>
      <c r="AO420" s="138" t="s">
        <v>43</v>
      </c>
      <c r="AP420" s="141" t="s">
        <v>44</v>
      </c>
      <c r="AQ420" s="28"/>
      <c r="AR420" s="28"/>
      <c r="AS420" s="28"/>
      <c r="AT420" s="28"/>
      <c r="AU420" s="141"/>
    </row>
    <row r="421" spans="2:49" ht="15" thickBot="1" x14ac:dyDescent="0.35">
      <c r="B421" s="13" t="s">
        <v>84</v>
      </c>
      <c r="C421" s="13">
        <f>SUM(C414:C420)</f>
        <v>946</v>
      </c>
      <c r="D421" s="26">
        <f>SUM(D414:D420)</f>
        <v>1036</v>
      </c>
      <c r="F421" s="18"/>
      <c r="G421" s="13"/>
      <c r="H421" s="27"/>
      <c r="I421" s="27"/>
      <c r="J421" s="27"/>
      <c r="K421" s="26">
        <f>SUM(H416:H417)</f>
        <v>85</v>
      </c>
      <c r="L421" s="28"/>
      <c r="M421" s="62"/>
      <c r="N421" s="72"/>
      <c r="O421" s="73"/>
      <c r="P421" s="47"/>
      <c r="Q421" s="49"/>
      <c r="R421" s="47"/>
      <c r="S421" s="48"/>
      <c r="T421" s="48"/>
      <c r="U421" s="48"/>
      <c r="V421" s="49"/>
      <c r="X421" s="138" t="s">
        <v>81</v>
      </c>
      <c r="Y421" s="138">
        <f>5+1</f>
        <v>6</v>
      </c>
      <c r="Z421" s="141">
        <v>2</v>
      </c>
      <c r="AA421" s="138"/>
      <c r="AB421" s="141"/>
      <c r="AC421" s="28"/>
      <c r="AD421" s="43">
        <v>1</v>
      </c>
      <c r="AE421" s="28" t="s">
        <v>1038</v>
      </c>
      <c r="AF421" s="28"/>
      <c r="AG421" s="141" t="s">
        <v>6</v>
      </c>
      <c r="AL421" s="134"/>
      <c r="AM421" s="134"/>
      <c r="AN421" s="136"/>
      <c r="AO421" s="134"/>
      <c r="AP421" s="136"/>
      <c r="AQ421" s="135"/>
      <c r="AR421" s="135"/>
      <c r="AS421" s="135"/>
      <c r="AT421" s="135"/>
      <c r="AU421" s="136"/>
    </row>
    <row r="422" spans="2:49" x14ac:dyDescent="0.3">
      <c r="B422" s="32" t="s">
        <v>6</v>
      </c>
      <c r="C422" s="43"/>
      <c r="D422" s="54"/>
      <c r="E422" s="33"/>
      <c r="F422" s="35"/>
      <c r="G422" s="33"/>
      <c r="H422" s="34" t="s">
        <v>91</v>
      </c>
      <c r="I422" s="34"/>
      <c r="J422" s="34"/>
      <c r="K422" s="35"/>
      <c r="L422" s="28" t="s">
        <v>6</v>
      </c>
      <c r="M422" s="67" t="s">
        <v>63</v>
      </c>
      <c r="N422" s="33">
        <v>5</v>
      </c>
      <c r="O422" s="35">
        <v>4</v>
      </c>
      <c r="R422" s="33"/>
      <c r="S422" s="34"/>
      <c r="T422" s="34"/>
      <c r="U422" s="34"/>
      <c r="V422" s="35"/>
      <c r="W422" s="28"/>
      <c r="X422" s="138" t="s">
        <v>72</v>
      </c>
      <c r="Y422" s="138">
        <f>6+13+4+9+3</f>
        <v>35</v>
      </c>
      <c r="Z422" s="141">
        <f>9+2+3+12+1</f>
        <v>27</v>
      </c>
      <c r="AA422" s="138"/>
      <c r="AB422" s="141"/>
      <c r="AC422" s="28"/>
      <c r="AD422" s="43">
        <v>6</v>
      </c>
      <c r="AE422" s="28" t="s">
        <v>433</v>
      </c>
      <c r="AF422" s="28"/>
      <c r="AG422" s="141"/>
      <c r="AL422" s="138"/>
      <c r="AM422" s="138"/>
      <c r="AN422" s="141"/>
      <c r="AO422" s="138"/>
      <c r="AP422" s="141"/>
      <c r="AQ422" s="28"/>
      <c r="AR422" s="28" t="s">
        <v>91</v>
      </c>
      <c r="AS422" s="28"/>
      <c r="AT422" s="28"/>
      <c r="AU422" s="141"/>
    </row>
    <row r="423" spans="2:49" x14ac:dyDescent="0.3">
      <c r="B423" s="41" t="s">
        <v>56</v>
      </c>
      <c r="C423">
        <v>941</v>
      </c>
      <c r="D423">
        <v>978</v>
      </c>
      <c r="E423" s="42"/>
      <c r="F423" s="40"/>
      <c r="G423" s="42"/>
      <c r="H423" s="28"/>
      <c r="I423" s="28"/>
      <c r="J423" s="28"/>
      <c r="K423" s="40"/>
      <c r="L423" s="28"/>
      <c r="M423" s="67" t="s">
        <v>716</v>
      </c>
      <c r="N423" s="42">
        <v>0</v>
      </c>
      <c r="O423" s="40">
        <v>0</v>
      </c>
      <c r="R423" s="42"/>
      <c r="S423" s="28"/>
      <c r="T423" s="28"/>
      <c r="U423" s="28"/>
      <c r="V423" s="40"/>
      <c r="W423" s="28"/>
      <c r="X423" s="138" t="s">
        <v>115</v>
      </c>
      <c r="Y423" s="138">
        <f>4+2</f>
        <v>6</v>
      </c>
      <c r="Z423" s="141">
        <f>4+3</f>
        <v>7</v>
      </c>
      <c r="AA423" s="138"/>
      <c r="AB423" s="141"/>
      <c r="AC423" s="28"/>
      <c r="AD423" s="43">
        <v>0</v>
      </c>
      <c r="AE423" s="28" t="s">
        <v>217</v>
      </c>
      <c r="AF423" s="28"/>
      <c r="AG423" s="141"/>
      <c r="AL423" s="138" t="s">
        <v>56</v>
      </c>
      <c r="AM423" s="138">
        <v>1567</v>
      </c>
      <c r="AN423" s="141">
        <v>1658</v>
      </c>
      <c r="AO423" s="138"/>
      <c r="AP423" s="141"/>
      <c r="AQ423" s="28"/>
      <c r="AR423" s="28"/>
      <c r="AS423" s="28"/>
      <c r="AT423" s="28"/>
      <c r="AU423" s="141"/>
    </row>
    <row r="424" spans="2:49" ht="15" thickBot="1" x14ac:dyDescent="0.35">
      <c r="B424" s="62" t="s">
        <v>6</v>
      </c>
      <c r="C424" s="43"/>
      <c r="D424" s="43"/>
      <c r="E424" s="47"/>
      <c r="F424" s="49"/>
      <c r="G424" s="47"/>
      <c r="H424" s="48">
        <v>86</v>
      </c>
      <c r="I424" s="48" t="s">
        <v>73</v>
      </c>
      <c r="J424" s="48"/>
      <c r="K424" s="49">
        <f>SUM(H424)</f>
        <v>86</v>
      </c>
      <c r="L424" s="28" t="s">
        <v>6</v>
      </c>
      <c r="M424" s="52" t="s">
        <v>56</v>
      </c>
      <c r="N424" s="52">
        <v>4</v>
      </c>
      <c r="O424" s="85">
        <v>3</v>
      </c>
      <c r="P424" s="28"/>
      <c r="Q424" s="28"/>
      <c r="R424" s="42"/>
      <c r="S424" s="28" t="s">
        <v>173</v>
      </c>
      <c r="T424" s="28"/>
      <c r="U424" s="28"/>
      <c r="V424" s="40"/>
      <c r="W424" s="28"/>
      <c r="X424" s="138" t="s">
        <v>56</v>
      </c>
      <c r="Y424" s="138">
        <f>2+1+1</f>
        <v>4</v>
      </c>
      <c r="Z424" s="141">
        <f>2+15+4+1</f>
        <v>22</v>
      </c>
      <c r="AA424" s="138"/>
      <c r="AB424" s="141"/>
      <c r="AC424" s="28"/>
      <c r="AD424" s="43">
        <v>1</v>
      </c>
      <c r="AE424" s="28" t="s">
        <v>1022</v>
      </c>
      <c r="AF424" s="28"/>
      <c r="AG424" s="141"/>
      <c r="AL424" s="142" t="s">
        <v>6</v>
      </c>
      <c r="AM424" s="142"/>
      <c r="AN424" s="146"/>
      <c r="AO424" s="142"/>
      <c r="AP424" s="146"/>
      <c r="AQ424" s="143"/>
      <c r="AR424" s="143">
        <v>102</v>
      </c>
      <c r="AS424" s="143" t="s">
        <v>73</v>
      </c>
      <c r="AT424" s="143"/>
      <c r="AU424" s="146">
        <f>SUM(AR424)</f>
        <v>102</v>
      </c>
    </row>
    <row r="425" spans="2:49" x14ac:dyDescent="0.3">
      <c r="B425" s="10"/>
      <c r="C425" s="29"/>
      <c r="D425" s="31"/>
      <c r="E425" s="33"/>
      <c r="F425" s="7"/>
      <c r="G425" s="8"/>
      <c r="H425" s="8"/>
      <c r="I425" s="8"/>
      <c r="J425" s="8"/>
      <c r="K425" s="7"/>
      <c r="L425" s="28"/>
      <c r="M425" s="52" t="s">
        <v>67</v>
      </c>
      <c r="N425" s="52">
        <v>8</v>
      </c>
      <c r="O425" s="56">
        <v>8</v>
      </c>
      <c r="R425" s="42"/>
      <c r="S425" s="28"/>
      <c r="T425" s="28" t="s">
        <v>213</v>
      </c>
      <c r="U425" s="28"/>
      <c r="V425" s="40"/>
      <c r="W425" s="28"/>
      <c r="X425" s="138" t="s">
        <v>138</v>
      </c>
      <c r="Y425" s="138">
        <v>0</v>
      </c>
      <c r="Z425" s="141">
        <v>0</v>
      </c>
      <c r="AA425" s="138"/>
      <c r="AB425" s="141"/>
      <c r="AC425" s="28"/>
      <c r="AD425" s="43">
        <v>4</v>
      </c>
      <c r="AE425" s="28" t="s">
        <v>216</v>
      </c>
      <c r="AF425" s="28"/>
      <c r="AG425" s="141"/>
      <c r="AL425" s="134"/>
      <c r="AM425" s="134"/>
      <c r="AN425" s="136"/>
      <c r="AO425" s="134"/>
      <c r="AP425" s="136"/>
      <c r="AQ425" s="135"/>
      <c r="AR425" s="135"/>
      <c r="AS425" s="135"/>
      <c r="AT425" s="135"/>
      <c r="AU425" s="136"/>
    </row>
    <row r="426" spans="2:49" x14ac:dyDescent="0.3">
      <c r="B426" s="36" t="s">
        <v>63</v>
      </c>
      <c r="C426" s="10">
        <v>43</v>
      </c>
      <c r="D426" s="18">
        <v>31</v>
      </c>
      <c r="E426" s="42"/>
      <c r="F426" s="11"/>
      <c r="G426" s="18"/>
      <c r="H426" s="18" t="s">
        <v>110</v>
      </c>
      <c r="I426" s="18" t="s">
        <v>111</v>
      </c>
      <c r="J426" s="18" t="s">
        <v>112</v>
      </c>
      <c r="K426" s="11"/>
      <c r="L426" s="45"/>
      <c r="M426" s="10" t="s">
        <v>78</v>
      </c>
      <c r="N426" s="52">
        <v>0</v>
      </c>
      <c r="O426" s="85">
        <v>0</v>
      </c>
      <c r="P426" s="28"/>
      <c r="Q426" s="28"/>
      <c r="R426" s="42"/>
      <c r="S426" s="28">
        <v>19</v>
      </c>
      <c r="T426" s="28" t="s">
        <v>183</v>
      </c>
      <c r="U426" s="28"/>
      <c r="V426" s="40"/>
      <c r="W426" s="28"/>
      <c r="X426" s="138" t="s">
        <v>67</v>
      </c>
      <c r="Y426" s="138">
        <f>24+4+4</f>
        <v>32</v>
      </c>
      <c r="Z426" s="141">
        <f>26+3+2</f>
        <v>31</v>
      </c>
      <c r="AA426" s="138"/>
      <c r="AB426" s="141"/>
      <c r="AC426" s="28"/>
      <c r="AD426" s="43">
        <v>2</v>
      </c>
      <c r="AE426" s="28" t="s">
        <v>352</v>
      </c>
      <c r="AF426" s="28"/>
      <c r="AG426" s="141"/>
      <c r="AL426" s="138" t="s">
        <v>63</v>
      </c>
      <c r="AM426" s="138">
        <v>34</v>
      </c>
      <c r="AN426" s="141">
        <v>31</v>
      </c>
      <c r="AO426" s="138"/>
      <c r="AP426" s="141"/>
      <c r="AQ426" s="28"/>
      <c r="AR426" s="28" t="s">
        <v>110</v>
      </c>
      <c r="AS426" s="28" t="s">
        <v>111</v>
      </c>
      <c r="AT426" s="28" t="s">
        <v>112</v>
      </c>
      <c r="AU426" s="141"/>
    </row>
    <row r="427" spans="2:49" x14ac:dyDescent="0.3">
      <c r="B427" s="10" t="s">
        <v>115</v>
      </c>
      <c r="C427" s="36">
        <v>52</v>
      </c>
      <c r="D427" s="37">
        <v>45</v>
      </c>
      <c r="E427" s="42"/>
      <c r="F427" s="11"/>
      <c r="G427" s="18"/>
      <c r="H427" s="18"/>
      <c r="I427" s="18"/>
      <c r="J427" s="18"/>
      <c r="K427" s="11"/>
      <c r="L427" s="28"/>
      <c r="M427" s="52" t="s">
        <v>115</v>
      </c>
      <c r="N427" s="52">
        <v>0</v>
      </c>
      <c r="O427" s="85">
        <v>0</v>
      </c>
      <c r="P427" s="28"/>
      <c r="Q427" s="28"/>
      <c r="R427" s="42"/>
      <c r="S427" s="28" t="s">
        <v>6</v>
      </c>
      <c r="T427" s="28"/>
      <c r="U427" s="28"/>
      <c r="V427" s="40"/>
      <c r="W427" s="28"/>
      <c r="X427" s="138" t="s">
        <v>122</v>
      </c>
      <c r="Y427" s="138">
        <v>13</v>
      </c>
      <c r="Z427" s="141">
        <f>11+4</f>
        <v>15</v>
      </c>
      <c r="AA427" s="138"/>
      <c r="AB427" s="141"/>
      <c r="AC427" s="28"/>
      <c r="AD427" s="43">
        <v>1</v>
      </c>
      <c r="AE427" s="28" t="s">
        <v>618</v>
      </c>
      <c r="AF427" s="28"/>
      <c r="AG427" s="141"/>
      <c r="AL427" s="138" t="s">
        <v>115</v>
      </c>
      <c r="AM427" s="138">
        <v>12</v>
      </c>
      <c r="AN427" s="141">
        <v>16</v>
      </c>
      <c r="AO427" s="138"/>
      <c r="AP427" s="141"/>
      <c r="AQ427" s="28"/>
      <c r="AR427" s="28"/>
      <c r="AS427" s="28"/>
      <c r="AT427" s="28"/>
      <c r="AU427" s="141"/>
    </row>
    <row r="428" spans="2:49" x14ac:dyDescent="0.3">
      <c r="B428" s="52" t="s">
        <v>72</v>
      </c>
      <c r="C428" s="52">
        <v>3</v>
      </c>
      <c r="D428" s="54">
        <v>4</v>
      </c>
      <c r="E428" s="42"/>
      <c r="F428" s="40"/>
      <c r="G428" s="28"/>
      <c r="H428" s="28"/>
      <c r="I428" s="28"/>
      <c r="J428" s="28"/>
      <c r="K428" s="40"/>
      <c r="L428" s="28"/>
      <c r="M428" s="52" t="s">
        <v>72</v>
      </c>
      <c r="N428" s="52">
        <v>1</v>
      </c>
      <c r="O428" s="85">
        <v>2</v>
      </c>
      <c r="R428" s="42"/>
      <c r="S428" s="28"/>
      <c r="T428" s="28"/>
      <c r="U428" s="28"/>
      <c r="V428" s="40"/>
      <c r="W428" s="28"/>
      <c r="X428" s="138" t="s">
        <v>227</v>
      </c>
      <c r="Y428" s="138">
        <v>0</v>
      </c>
      <c r="Z428" s="141">
        <v>0</v>
      </c>
      <c r="AA428" s="138"/>
      <c r="AB428" s="141"/>
      <c r="AC428" s="28"/>
      <c r="AD428" s="43">
        <v>3</v>
      </c>
      <c r="AE428" s="28" t="s">
        <v>1067</v>
      </c>
      <c r="AF428" s="28"/>
      <c r="AG428" s="141"/>
      <c r="AL428" s="138" t="s">
        <v>72</v>
      </c>
      <c r="AM428" s="138">
        <v>0</v>
      </c>
      <c r="AN428" s="141">
        <v>1</v>
      </c>
      <c r="AO428" s="138"/>
      <c r="AP428" s="141"/>
      <c r="AQ428" s="28"/>
      <c r="AR428" s="28"/>
      <c r="AS428" s="28"/>
      <c r="AT428" s="28"/>
      <c r="AU428" s="141"/>
    </row>
    <row r="429" spans="2:49" ht="15" thickBot="1" x14ac:dyDescent="0.35">
      <c r="B429" s="36" t="s">
        <v>78</v>
      </c>
      <c r="C429" s="36">
        <v>56</v>
      </c>
      <c r="D429" s="37">
        <v>18</v>
      </c>
      <c r="E429" s="42"/>
      <c r="F429" s="11"/>
      <c r="G429" s="18"/>
      <c r="H429" s="37"/>
      <c r="I429" s="18"/>
      <c r="J429" s="37"/>
      <c r="K429" s="11"/>
      <c r="L429" s="28"/>
      <c r="M429" s="52" t="s">
        <v>84</v>
      </c>
      <c r="N429" s="47">
        <f>SUM(N422:N428)</f>
        <v>18</v>
      </c>
      <c r="O429" s="49">
        <f>SUM(O422:O428)</f>
        <v>17</v>
      </c>
      <c r="P429" s="28"/>
      <c r="Q429" s="28"/>
      <c r="R429" s="47"/>
      <c r="S429" s="48"/>
      <c r="T429" s="48"/>
      <c r="U429" s="48"/>
      <c r="V429" s="49">
        <f>SUM(S426)</f>
        <v>19</v>
      </c>
      <c r="W429" s="28"/>
      <c r="X429" s="138" t="s">
        <v>230</v>
      </c>
      <c r="Y429" s="138">
        <v>5</v>
      </c>
      <c r="Z429" s="141">
        <v>5</v>
      </c>
      <c r="AA429" s="138"/>
      <c r="AB429" s="141"/>
      <c r="AC429" s="28"/>
      <c r="AD429" s="43">
        <v>9</v>
      </c>
      <c r="AE429" s="28" t="s">
        <v>655</v>
      </c>
      <c r="AF429" s="28"/>
      <c r="AG429" s="141"/>
      <c r="AL429" s="138" t="s">
        <v>78</v>
      </c>
      <c r="AM429" s="138">
        <v>30</v>
      </c>
      <c r="AN429" s="141">
        <v>2</v>
      </c>
      <c r="AO429" s="138"/>
      <c r="AP429" s="141"/>
      <c r="AQ429" s="28"/>
      <c r="AR429" s="28"/>
      <c r="AS429" s="28"/>
      <c r="AT429" s="28"/>
      <c r="AU429" s="141"/>
      <c r="AV429" t="s">
        <v>6</v>
      </c>
    </row>
    <row r="430" spans="2:49" x14ac:dyDescent="0.3">
      <c r="B430" s="10" t="s">
        <v>122</v>
      </c>
      <c r="C430" s="36">
        <v>77</v>
      </c>
      <c r="D430" s="37">
        <v>66</v>
      </c>
      <c r="E430" s="42"/>
      <c r="F430" s="11"/>
      <c r="G430" s="18"/>
      <c r="H430" s="18">
        <v>49</v>
      </c>
      <c r="I430" s="18" t="s">
        <v>123</v>
      </c>
      <c r="J430" s="18"/>
      <c r="K430" s="11"/>
      <c r="L430" s="28"/>
      <c r="M430" s="32" t="s">
        <v>63</v>
      </c>
      <c r="N430" s="123">
        <v>6</v>
      </c>
      <c r="O430" s="123">
        <v>7</v>
      </c>
      <c r="P430" s="33"/>
      <c r="Q430" s="7"/>
      <c r="R430" s="6"/>
      <c r="S430" s="34" t="s">
        <v>140</v>
      </c>
      <c r="T430" s="8"/>
      <c r="U430" s="8"/>
      <c r="V430" s="7"/>
      <c r="W430" s="28"/>
      <c r="X430" s="138" t="s">
        <v>125</v>
      </c>
      <c r="Y430" s="138">
        <v>0</v>
      </c>
      <c r="Z430" s="141">
        <v>0</v>
      </c>
      <c r="AA430" s="138"/>
      <c r="AB430" s="141"/>
      <c r="AC430" s="28"/>
      <c r="AD430" s="43">
        <v>1</v>
      </c>
      <c r="AE430" s="28" t="s">
        <v>235</v>
      </c>
      <c r="AF430" s="28"/>
      <c r="AG430" s="141"/>
      <c r="AL430" s="138" t="s">
        <v>122</v>
      </c>
      <c r="AM430" s="138">
        <v>34</v>
      </c>
      <c r="AN430" s="141">
        <v>24</v>
      </c>
      <c r="AO430" s="138"/>
      <c r="AP430" s="141"/>
      <c r="AQ430" s="28"/>
      <c r="AR430" s="28">
        <v>20</v>
      </c>
      <c r="AS430" s="28" t="s">
        <v>123</v>
      </c>
      <c r="AT430" s="28" t="s">
        <v>6</v>
      </c>
      <c r="AU430" s="141"/>
    </row>
    <row r="431" spans="2:49" x14ac:dyDescent="0.3">
      <c r="B431" s="10" t="s">
        <v>125</v>
      </c>
      <c r="C431" s="36">
        <v>0</v>
      </c>
      <c r="D431" s="37">
        <v>0</v>
      </c>
      <c r="E431" s="42"/>
      <c r="F431" s="11"/>
      <c r="G431" s="18"/>
      <c r="H431" s="18">
        <v>33</v>
      </c>
      <c r="I431" s="18" t="s">
        <v>126</v>
      </c>
      <c r="J431" s="18"/>
      <c r="K431" s="11"/>
      <c r="L431" s="28"/>
      <c r="M431" s="44" t="s">
        <v>78</v>
      </c>
      <c r="N431" s="37">
        <f>39+9+3+2</f>
        <v>53</v>
      </c>
      <c r="O431" s="37">
        <f>5+8+15+6+3</f>
        <v>37</v>
      </c>
      <c r="P431" s="42"/>
      <c r="Q431" s="11"/>
      <c r="R431" s="10"/>
      <c r="S431" s="37">
        <v>18</v>
      </c>
      <c r="T431" s="37" t="s">
        <v>204</v>
      </c>
      <c r="U431" s="18"/>
      <c r="V431" s="11"/>
      <c r="W431" s="28"/>
      <c r="X431" s="138" t="s">
        <v>132</v>
      </c>
      <c r="Y431" s="138">
        <v>4</v>
      </c>
      <c r="Z431" s="141">
        <f>10+1</f>
        <v>11</v>
      </c>
      <c r="AA431" s="138"/>
      <c r="AB431" s="141"/>
      <c r="AC431" s="28"/>
      <c r="AD431" s="43">
        <v>2</v>
      </c>
      <c r="AE431" s="28" t="s">
        <v>682</v>
      </c>
      <c r="AF431" s="28"/>
      <c r="AG431" s="141"/>
      <c r="AL431" s="138" t="s">
        <v>125</v>
      </c>
      <c r="AM431" s="138">
        <v>0</v>
      </c>
      <c r="AN431" s="141">
        <v>8</v>
      </c>
      <c r="AO431" s="138"/>
      <c r="AP431" s="141"/>
      <c r="AQ431" s="28"/>
      <c r="AR431" s="28">
        <v>34</v>
      </c>
      <c r="AS431" s="28" t="s">
        <v>126</v>
      </c>
      <c r="AT431" s="28"/>
      <c r="AU431" s="141"/>
      <c r="AW431" t="s">
        <v>6</v>
      </c>
    </row>
    <row r="432" spans="2:49" x14ac:dyDescent="0.3">
      <c r="B432" s="84" t="s">
        <v>128</v>
      </c>
      <c r="C432" s="52">
        <v>15</v>
      </c>
      <c r="D432" s="37">
        <v>2</v>
      </c>
      <c r="E432" s="42"/>
      <c r="F432" s="40"/>
      <c r="G432" s="28"/>
      <c r="H432" s="28">
        <v>30</v>
      </c>
      <c r="I432" s="28" t="s">
        <v>129</v>
      </c>
      <c r="J432" s="28"/>
      <c r="K432" s="40"/>
      <c r="M432" s="125" t="s">
        <v>209</v>
      </c>
      <c r="N432" s="54">
        <v>0</v>
      </c>
      <c r="O432" s="54">
        <v>0</v>
      </c>
      <c r="P432" s="42"/>
      <c r="Q432" s="40"/>
      <c r="R432" s="42"/>
      <c r="S432" s="28">
        <v>0</v>
      </c>
      <c r="T432" s="28" t="s">
        <v>210</v>
      </c>
      <c r="U432" s="28" t="s">
        <v>6</v>
      </c>
      <c r="V432" s="40"/>
      <c r="W432" s="28"/>
      <c r="X432" s="138" t="s">
        <v>992</v>
      </c>
      <c r="Y432" s="138">
        <v>0</v>
      </c>
      <c r="Z432" s="141">
        <v>0</v>
      </c>
      <c r="AA432" s="138"/>
      <c r="AB432" s="141"/>
      <c r="AC432" s="28"/>
      <c r="AD432" s="43">
        <v>52</v>
      </c>
      <c r="AE432" s="28" t="s">
        <v>555</v>
      </c>
      <c r="AF432" s="28"/>
      <c r="AG432" s="141"/>
      <c r="AL432" s="138" t="s">
        <v>536</v>
      </c>
      <c r="AM432" s="138">
        <v>0</v>
      </c>
      <c r="AN432" s="141">
        <v>8</v>
      </c>
      <c r="AO432" s="138"/>
      <c r="AP432" s="141"/>
      <c r="AQ432" s="28"/>
      <c r="AR432" s="28">
        <v>36</v>
      </c>
      <c r="AS432" s="28" t="s">
        <v>129</v>
      </c>
      <c r="AT432" s="28" t="s">
        <v>6</v>
      </c>
      <c r="AU432" s="141"/>
      <c r="AW432" t="s">
        <v>6</v>
      </c>
    </row>
    <row r="433" spans="1:49" ht="15" thickBot="1" x14ac:dyDescent="0.35">
      <c r="B433" s="84" t="s">
        <v>132</v>
      </c>
      <c r="C433" s="42">
        <v>0</v>
      </c>
      <c r="D433" s="37">
        <v>0</v>
      </c>
      <c r="E433" s="42"/>
      <c r="F433" s="40"/>
      <c r="G433" s="28"/>
      <c r="H433" s="28"/>
      <c r="I433" s="28"/>
      <c r="J433" s="28"/>
      <c r="K433" s="40"/>
      <c r="L433" s="28"/>
      <c r="M433" s="44" t="s">
        <v>168</v>
      </c>
      <c r="N433" s="54">
        <v>2</v>
      </c>
      <c r="O433" s="54">
        <v>2</v>
      </c>
      <c r="P433" s="42"/>
      <c r="Q433" s="11"/>
      <c r="R433" s="10"/>
      <c r="S433" s="37">
        <f>13+2+8</f>
        <v>23</v>
      </c>
      <c r="T433" s="37" t="s">
        <v>213</v>
      </c>
      <c r="U433" s="18" t="s">
        <v>6</v>
      </c>
      <c r="V433" s="11"/>
      <c r="W433" s="28"/>
      <c r="X433" s="138" t="s">
        <v>84</v>
      </c>
      <c r="Y433" s="138">
        <f>SUM(Y417:Y432)</f>
        <v>158</v>
      </c>
      <c r="Z433" s="141">
        <f>SUM(Z417:Z432)</f>
        <v>174</v>
      </c>
      <c r="AA433" s="138"/>
      <c r="AB433" s="141"/>
      <c r="AC433" s="28"/>
      <c r="AD433" s="43">
        <v>1</v>
      </c>
      <c r="AE433" s="28" t="s">
        <v>991</v>
      </c>
      <c r="AF433" s="28"/>
      <c r="AG433" s="141">
        <f>SUM(AD418:AD433)</f>
        <v>127</v>
      </c>
      <c r="AL433" s="138" t="s">
        <v>132</v>
      </c>
      <c r="AM433" s="138">
        <v>0</v>
      </c>
      <c r="AN433" s="141">
        <v>0</v>
      </c>
      <c r="AO433" s="138"/>
      <c r="AP433" s="141"/>
      <c r="AQ433" s="28"/>
      <c r="AR433" s="28"/>
      <c r="AS433" s="28"/>
      <c r="AT433" s="28"/>
      <c r="AU433" s="141"/>
      <c r="AV433" t="s">
        <v>6</v>
      </c>
    </row>
    <row r="434" spans="1:49" ht="15" thickBot="1" x14ac:dyDescent="0.35">
      <c r="B434" s="84" t="s">
        <v>81</v>
      </c>
      <c r="C434" s="42">
        <v>69</v>
      </c>
      <c r="D434" s="37">
        <v>36</v>
      </c>
      <c r="E434" s="42"/>
      <c r="F434" s="40"/>
      <c r="G434" s="28"/>
      <c r="H434" s="28"/>
      <c r="I434" s="28"/>
      <c r="J434" s="28"/>
      <c r="K434" s="40"/>
      <c r="L434" s="28"/>
      <c r="M434" s="125" t="s">
        <v>81</v>
      </c>
      <c r="N434" s="54">
        <f>5+3</f>
        <v>8</v>
      </c>
      <c r="O434" s="54">
        <v>9</v>
      </c>
      <c r="P434" s="42"/>
      <c r="Q434" s="40"/>
      <c r="R434" s="42"/>
      <c r="S434" s="54">
        <v>15</v>
      </c>
      <c r="T434" s="128" t="s">
        <v>222</v>
      </c>
      <c r="U434" s="28"/>
      <c r="V434" s="40" t="s">
        <v>6</v>
      </c>
      <c r="W434" s="37"/>
      <c r="X434" s="171" t="s">
        <v>84</v>
      </c>
      <c r="Y434" s="207">
        <f>SUM(Y433+Y415+Y406+Y391)</f>
        <v>2137</v>
      </c>
      <c r="Z434" s="207">
        <f>SUM(Z433+Z415+Z406+Z391)</f>
        <v>1958</v>
      </c>
      <c r="AA434" s="207"/>
      <c r="AB434" s="208"/>
      <c r="AC434" s="170"/>
      <c r="AD434" s="170"/>
      <c r="AE434" s="170"/>
      <c r="AF434" s="170"/>
      <c r="AG434" s="172">
        <f>SUM(AG391:AG433)</f>
        <v>337</v>
      </c>
      <c r="AL434" s="138" t="s">
        <v>81</v>
      </c>
      <c r="AM434" s="138">
        <v>42</v>
      </c>
      <c r="AN434" s="141">
        <v>61</v>
      </c>
      <c r="AO434" s="138"/>
      <c r="AP434" s="141"/>
      <c r="AQ434" s="28"/>
      <c r="AR434" s="28"/>
      <c r="AS434" s="28"/>
      <c r="AT434" s="28"/>
      <c r="AU434" s="141" t="s">
        <v>6</v>
      </c>
      <c r="AW434" t="s">
        <v>6</v>
      </c>
    </row>
    <row r="435" spans="1:49" x14ac:dyDescent="0.3">
      <c r="B435" s="10" t="s">
        <v>138</v>
      </c>
      <c r="C435" s="36">
        <v>16</v>
      </c>
      <c r="D435" s="37">
        <v>6</v>
      </c>
      <c r="E435" s="42"/>
      <c r="F435" s="11"/>
      <c r="G435" s="18"/>
      <c r="H435" s="18"/>
      <c r="I435" s="18"/>
      <c r="J435" s="18"/>
      <c r="K435" s="11"/>
      <c r="L435" s="28"/>
      <c r="M435" s="125" t="s">
        <v>72</v>
      </c>
      <c r="N435" s="54">
        <v>2</v>
      </c>
      <c r="O435" s="45">
        <v>2</v>
      </c>
      <c r="P435" s="42"/>
      <c r="Q435" s="40"/>
      <c r="R435" s="42"/>
      <c r="S435" s="54">
        <v>2</v>
      </c>
      <c r="T435" s="54" t="s">
        <v>216</v>
      </c>
      <c r="U435" s="45"/>
      <c r="V435" s="40"/>
      <c r="W435" s="28"/>
      <c r="AL435" s="138" t="s">
        <v>1599</v>
      </c>
      <c r="AM435" s="138">
        <v>0</v>
      </c>
      <c r="AN435" s="141">
        <v>0</v>
      </c>
      <c r="AO435" s="138"/>
      <c r="AP435" s="141"/>
      <c r="AQ435" s="28"/>
      <c r="AR435" s="28"/>
      <c r="AS435" s="28"/>
      <c r="AT435" s="28"/>
      <c r="AU435" s="141"/>
    </row>
    <row r="436" spans="1:49" x14ac:dyDescent="0.3">
      <c r="B436" s="84" t="s">
        <v>56</v>
      </c>
      <c r="C436" s="42">
        <v>0</v>
      </c>
      <c r="D436" s="54">
        <v>2</v>
      </c>
      <c r="E436" s="42"/>
      <c r="F436" s="40"/>
      <c r="G436" s="28"/>
      <c r="H436" s="28"/>
      <c r="I436" s="28"/>
      <c r="J436" s="28"/>
      <c r="K436" s="40"/>
      <c r="L436" s="28"/>
      <c r="M436" s="125" t="s">
        <v>115</v>
      </c>
      <c r="N436" s="54">
        <f>3+12+1</f>
        <v>16</v>
      </c>
      <c r="O436" s="45">
        <f>9+13</f>
        <v>22</v>
      </c>
      <c r="P436" s="42"/>
      <c r="Q436" s="40"/>
      <c r="R436" s="42"/>
      <c r="S436" s="54">
        <v>0</v>
      </c>
      <c r="T436" s="54" t="s">
        <v>217</v>
      </c>
      <c r="U436" s="28"/>
      <c r="V436" s="40"/>
      <c r="W436" s="28"/>
      <c r="AL436" s="138" t="s">
        <v>56</v>
      </c>
      <c r="AM436" s="138">
        <v>3</v>
      </c>
      <c r="AN436" s="141">
        <v>1</v>
      </c>
      <c r="AO436" s="138"/>
      <c r="AP436" s="141"/>
      <c r="AQ436" s="28"/>
      <c r="AR436" s="28"/>
      <c r="AS436" s="28"/>
      <c r="AT436" s="28"/>
      <c r="AU436" s="141"/>
    </row>
    <row r="437" spans="1:49" x14ac:dyDescent="0.3">
      <c r="B437" s="36" t="s">
        <v>67</v>
      </c>
      <c r="C437" s="10">
        <v>56</v>
      </c>
      <c r="D437" s="18">
        <v>50</v>
      </c>
      <c r="E437" s="42"/>
      <c r="F437" s="11"/>
      <c r="G437" s="18"/>
      <c r="H437" s="18"/>
      <c r="I437" s="18"/>
      <c r="J437" s="18"/>
      <c r="K437" s="11"/>
      <c r="L437" s="28"/>
      <c r="M437" s="125" t="s">
        <v>56</v>
      </c>
      <c r="N437" s="54">
        <f>14+9+13+1</f>
        <v>37</v>
      </c>
      <c r="O437" s="45">
        <f>40+11+1+3+5</f>
        <v>60</v>
      </c>
      <c r="P437" s="42"/>
      <c r="Q437" s="40"/>
      <c r="R437" s="42"/>
      <c r="S437" s="54">
        <v>0</v>
      </c>
      <c r="T437" s="54" t="s">
        <v>352</v>
      </c>
      <c r="U437" s="28"/>
      <c r="V437" s="40"/>
      <c r="W437" s="28"/>
      <c r="AL437" s="138" t="s">
        <v>67</v>
      </c>
      <c r="AM437" s="138">
        <v>111</v>
      </c>
      <c r="AN437" s="141">
        <v>64</v>
      </c>
      <c r="AO437" s="138"/>
      <c r="AP437" s="141"/>
      <c r="AQ437" s="28"/>
      <c r="AR437" s="28"/>
      <c r="AS437" s="28"/>
      <c r="AT437" s="28"/>
      <c r="AU437" s="141"/>
    </row>
    <row r="438" spans="1:49" ht="15" thickBot="1" x14ac:dyDescent="0.35">
      <c r="A438" s="95"/>
      <c r="B438" s="13" t="s">
        <v>84</v>
      </c>
      <c r="C438" s="13">
        <f>SUM(C426:C437)</f>
        <v>387</v>
      </c>
      <c r="D438" s="27">
        <f>SUM(D426:D437)</f>
        <v>260</v>
      </c>
      <c r="E438" s="47"/>
      <c r="F438" s="26">
        <f>SUM(F430:F437)</f>
        <v>0</v>
      </c>
      <c r="G438" s="27"/>
      <c r="H438" s="27"/>
      <c r="I438" s="27"/>
      <c r="J438" s="27"/>
      <c r="K438" s="26">
        <f>SUM(H430:H432)</f>
        <v>112</v>
      </c>
      <c r="L438" s="28"/>
      <c r="M438" s="125" t="s">
        <v>138</v>
      </c>
      <c r="N438" s="54">
        <v>0</v>
      </c>
      <c r="O438" s="45">
        <v>0</v>
      </c>
      <c r="P438" s="42"/>
      <c r="Q438" s="40"/>
      <c r="R438" s="42"/>
      <c r="S438" s="54">
        <v>8</v>
      </c>
      <c r="T438" s="54" t="s">
        <v>221</v>
      </c>
      <c r="U438" s="28"/>
      <c r="V438" s="40"/>
      <c r="W438" s="28"/>
      <c r="AL438" s="142" t="s">
        <v>84</v>
      </c>
      <c r="AM438" s="142">
        <f>SUM(AM426:AM437)</f>
        <v>266</v>
      </c>
      <c r="AN438" s="146">
        <f>SUM(AN426:AN437)</f>
        <v>216</v>
      </c>
      <c r="AO438" s="142"/>
      <c r="AP438" s="146">
        <v>0</v>
      </c>
      <c r="AQ438" s="143"/>
      <c r="AR438" s="143"/>
      <c r="AS438" s="143"/>
      <c r="AT438" s="143"/>
      <c r="AU438" s="146">
        <f>SUM(AR430:AR432)</f>
        <v>90</v>
      </c>
    </row>
    <row r="439" spans="1:49" x14ac:dyDescent="0.3">
      <c r="B439" s="32"/>
      <c r="C439" s="53"/>
      <c r="D439" s="97"/>
      <c r="E439" s="33"/>
      <c r="F439" s="7"/>
      <c r="G439" s="6"/>
      <c r="H439" s="8"/>
      <c r="I439" s="31"/>
      <c r="J439" s="8"/>
      <c r="K439" s="7"/>
      <c r="L439" s="28"/>
      <c r="M439" s="125" t="s">
        <v>67</v>
      </c>
      <c r="N439" s="54">
        <f>3+10+1</f>
        <v>14</v>
      </c>
      <c r="O439" s="45">
        <f>12+8+2+2</f>
        <v>24</v>
      </c>
      <c r="P439" s="42"/>
      <c r="Q439" s="40"/>
      <c r="R439" s="42"/>
      <c r="S439" s="54">
        <v>0</v>
      </c>
      <c r="T439" s="54" t="s">
        <v>246</v>
      </c>
      <c r="U439" s="28"/>
      <c r="V439" s="40"/>
      <c r="W439" s="28"/>
      <c r="AL439" s="134"/>
      <c r="AM439" s="134"/>
      <c r="AN439" s="136"/>
      <c r="AO439" s="134"/>
      <c r="AP439" s="136"/>
      <c r="AQ439" s="135"/>
      <c r="AR439" s="135"/>
      <c r="AS439" s="135"/>
      <c r="AT439" s="135"/>
      <c r="AU439" s="136"/>
    </row>
    <row r="440" spans="1:49" ht="15" thickBot="1" x14ac:dyDescent="0.35">
      <c r="B440" s="62"/>
      <c r="C440" s="72"/>
      <c r="D440" s="73"/>
      <c r="E440" s="47"/>
      <c r="F440" s="49"/>
      <c r="G440" s="47"/>
      <c r="H440" s="48"/>
      <c r="I440" s="48"/>
      <c r="J440" s="48"/>
      <c r="K440" s="49"/>
      <c r="L440" s="28"/>
      <c r="M440" s="125" t="s">
        <v>122</v>
      </c>
      <c r="N440" s="54">
        <v>3</v>
      </c>
      <c r="O440" s="45">
        <f>5+15</f>
        <v>20</v>
      </c>
      <c r="P440" s="42"/>
      <c r="Q440" s="40"/>
      <c r="R440" s="42"/>
      <c r="S440" s="54">
        <v>1</v>
      </c>
      <c r="T440" s="54" t="s">
        <v>618</v>
      </c>
      <c r="U440" s="28"/>
      <c r="V440" s="40"/>
      <c r="W440" s="28"/>
      <c r="AL440" s="138" t="s">
        <v>56</v>
      </c>
      <c r="AM440" s="138">
        <v>0</v>
      </c>
      <c r="AN440" s="141">
        <v>0</v>
      </c>
      <c r="AO440" s="138"/>
      <c r="AP440" s="141"/>
      <c r="AQ440" s="28"/>
      <c r="AR440" s="28" t="s">
        <v>173</v>
      </c>
      <c r="AS440" s="28"/>
      <c r="AT440" s="28"/>
      <c r="AU440" s="141"/>
    </row>
    <row r="441" spans="1:49" x14ac:dyDescent="0.3">
      <c r="B441" s="67" t="s">
        <v>63</v>
      </c>
      <c r="C441" s="33">
        <v>6</v>
      </c>
      <c r="D441" s="35">
        <v>2</v>
      </c>
      <c r="G441" s="33"/>
      <c r="H441" s="34"/>
      <c r="I441" s="34"/>
      <c r="J441" s="34"/>
      <c r="K441" s="35"/>
      <c r="L441" s="28"/>
      <c r="M441" s="125" t="s">
        <v>227</v>
      </c>
      <c r="N441" s="54">
        <v>0</v>
      </c>
      <c r="O441" s="45">
        <v>0</v>
      </c>
      <c r="P441" s="42"/>
      <c r="Q441" s="40"/>
      <c r="R441" s="42"/>
      <c r="S441" s="54">
        <v>0</v>
      </c>
      <c r="T441" s="54" t="s">
        <v>773</v>
      </c>
      <c r="U441" s="28"/>
      <c r="V441" s="40"/>
      <c r="AL441" s="138" t="s">
        <v>67</v>
      </c>
      <c r="AM441" s="138">
        <v>0</v>
      </c>
      <c r="AN441" s="141">
        <v>0</v>
      </c>
      <c r="AO441" s="138"/>
      <c r="AP441" s="141"/>
      <c r="AQ441" s="28"/>
      <c r="AR441" s="28"/>
      <c r="AS441" s="28"/>
      <c r="AT441" s="28"/>
      <c r="AU441" s="141"/>
    </row>
    <row r="442" spans="1:49" x14ac:dyDescent="0.3">
      <c r="B442" s="67" t="s">
        <v>168</v>
      </c>
      <c r="C442" s="42">
        <v>0</v>
      </c>
      <c r="D442" s="40">
        <v>0</v>
      </c>
      <c r="G442" s="42"/>
      <c r="H442" s="28"/>
      <c r="I442" s="28"/>
      <c r="J442" s="28"/>
      <c r="K442" s="40"/>
      <c r="L442" s="28"/>
      <c r="M442" s="41" t="s">
        <v>230</v>
      </c>
      <c r="N442" s="54">
        <f>7+7</f>
        <v>14</v>
      </c>
      <c r="O442" s="45">
        <f>7+7</f>
        <v>14</v>
      </c>
      <c r="P442" s="42"/>
      <c r="Q442" s="40"/>
      <c r="R442" s="42"/>
      <c r="S442" s="54">
        <v>12</v>
      </c>
      <c r="T442" s="54" t="s">
        <v>655</v>
      </c>
      <c r="U442" s="28"/>
      <c r="V442" s="40"/>
      <c r="AL442" s="138" t="s">
        <v>78</v>
      </c>
      <c r="AM442" s="138">
        <v>0</v>
      </c>
      <c r="AN442" s="141">
        <v>0</v>
      </c>
      <c r="AO442" s="138"/>
      <c r="AP442" s="141"/>
      <c r="AQ442" s="28"/>
      <c r="AR442" s="28">
        <v>0</v>
      </c>
      <c r="AS442" s="28" t="s">
        <v>183</v>
      </c>
      <c r="AT442" s="28"/>
      <c r="AU442" s="141"/>
    </row>
    <row r="443" spans="1:49" x14ac:dyDescent="0.3">
      <c r="B443" s="52" t="s">
        <v>56</v>
      </c>
      <c r="C443" s="52">
        <v>1</v>
      </c>
      <c r="D443" s="85">
        <v>1</v>
      </c>
      <c r="E443" s="28"/>
      <c r="F443" s="28"/>
      <c r="G443" s="42"/>
      <c r="H443" s="28" t="s">
        <v>173</v>
      </c>
      <c r="I443" s="28"/>
      <c r="J443" s="28"/>
      <c r="K443" s="40"/>
      <c r="L443" s="28"/>
      <c r="M443" s="68" t="s">
        <v>125</v>
      </c>
      <c r="N443" s="54">
        <v>0</v>
      </c>
      <c r="O443" s="45">
        <v>0</v>
      </c>
      <c r="P443" s="42"/>
      <c r="Q443" s="40"/>
      <c r="R443" s="42"/>
      <c r="S443" s="54">
        <v>0</v>
      </c>
      <c r="T443" s="54" t="s">
        <v>774</v>
      </c>
      <c r="U443" s="28"/>
      <c r="V443" s="40"/>
      <c r="AL443" s="142" t="s">
        <v>84</v>
      </c>
      <c r="AM443" s="142">
        <f>SUM(AM440:AM442)</f>
        <v>0</v>
      </c>
      <c r="AN443" s="146">
        <f>SUM(AN440:AN442)</f>
        <v>0</v>
      </c>
      <c r="AO443" s="142"/>
      <c r="AP443" s="146"/>
      <c r="AQ443" s="143"/>
      <c r="AR443" s="143"/>
      <c r="AS443" s="143"/>
      <c r="AT443" s="143"/>
      <c r="AU443" s="146">
        <f>SUM(AR442)</f>
        <v>0</v>
      </c>
    </row>
    <row r="444" spans="1:49" x14ac:dyDescent="0.3">
      <c r="B444" s="52" t="s">
        <v>67</v>
      </c>
      <c r="C444" s="52">
        <v>24</v>
      </c>
      <c r="D444" s="56">
        <v>14</v>
      </c>
      <c r="G444" s="42"/>
      <c r="H444" s="28"/>
      <c r="I444" s="28"/>
      <c r="J444" s="28"/>
      <c r="K444" s="40"/>
      <c r="L444" s="28"/>
      <c r="M444" s="68" t="s">
        <v>132</v>
      </c>
      <c r="N444" s="54">
        <v>1</v>
      </c>
      <c r="O444" s="45">
        <v>0</v>
      </c>
      <c r="P444" s="42"/>
      <c r="Q444" s="40"/>
      <c r="R444" s="42"/>
      <c r="S444" s="54">
        <v>2</v>
      </c>
      <c r="T444" s="54" t="s">
        <v>472</v>
      </c>
      <c r="U444" s="28"/>
      <c r="V444" s="40"/>
      <c r="AL444" s="134"/>
      <c r="AM444" s="134"/>
      <c r="AN444" s="136"/>
      <c r="AO444" s="134"/>
      <c r="AP444" s="136"/>
      <c r="AQ444" s="135"/>
      <c r="AR444" s="28" t="s">
        <v>140</v>
      </c>
      <c r="AS444" s="135"/>
      <c r="AT444" s="135"/>
      <c r="AU444" s="136"/>
      <c r="AW444" t="s">
        <v>6</v>
      </c>
    </row>
    <row r="445" spans="1:49" x14ac:dyDescent="0.3">
      <c r="B445" s="10" t="s">
        <v>78</v>
      </c>
      <c r="C445" s="52">
        <v>0</v>
      </c>
      <c r="D445" s="85">
        <v>0</v>
      </c>
      <c r="E445" s="28"/>
      <c r="F445" s="28"/>
      <c r="G445" s="42"/>
      <c r="H445" s="28">
        <v>15</v>
      </c>
      <c r="I445" s="28" t="s">
        <v>183</v>
      </c>
      <c r="J445" s="28"/>
      <c r="K445" s="40"/>
      <c r="L445" s="37"/>
      <c r="M445" s="41" t="s">
        <v>6</v>
      </c>
      <c r="P445" s="42"/>
      <c r="Q445" s="40"/>
      <c r="R445" s="42"/>
      <c r="S445" s="54">
        <v>2</v>
      </c>
      <c r="T445" s="54" t="s">
        <v>215</v>
      </c>
      <c r="U445" s="28"/>
      <c r="V445" s="40"/>
      <c r="AA445" t="s">
        <v>4</v>
      </c>
      <c r="AJ445" t="s">
        <v>6</v>
      </c>
      <c r="AL445" s="138" t="s">
        <v>63</v>
      </c>
      <c r="AM445" s="138">
        <f>2+15+1</f>
        <v>18</v>
      </c>
      <c r="AN445" s="141">
        <f>3+17+1</f>
        <v>21</v>
      </c>
      <c r="AO445" s="138"/>
      <c r="AP445" s="141"/>
      <c r="AQ445" s="28"/>
      <c r="AR445">
        <v>1</v>
      </c>
      <c r="AS445" s="28" t="s">
        <v>235</v>
      </c>
      <c r="AT445" s="28"/>
      <c r="AU445" s="141"/>
    </row>
    <row r="446" spans="1:49" ht="15" thickBot="1" x14ac:dyDescent="0.35">
      <c r="B446" s="52" t="s">
        <v>115</v>
      </c>
      <c r="C446" s="52">
        <v>5</v>
      </c>
      <c r="D446" s="85">
        <v>8</v>
      </c>
      <c r="E446" s="28"/>
      <c r="F446" s="28"/>
      <c r="G446" s="42"/>
      <c r="H446" s="28" t="s">
        <v>6</v>
      </c>
      <c r="I446" s="28"/>
      <c r="J446" s="28"/>
      <c r="K446" s="40"/>
      <c r="L446" s="28"/>
      <c r="M446" s="46" t="s">
        <v>84</v>
      </c>
      <c r="N446" s="48">
        <f>SUM(N430:N445)</f>
        <v>156</v>
      </c>
      <c r="O446" s="48">
        <f>SUM(O430:O445)</f>
        <v>197</v>
      </c>
      <c r="P446" s="47"/>
      <c r="Q446" s="49"/>
      <c r="R446" s="47"/>
      <c r="S446" s="48">
        <v>0</v>
      </c>
      <c r="T446" s="48" t="s">
        <v>244</v>
      </c>
      <c r="U446" s="48"/>
      <c r="V446" s="49">
        <f>SUM(S431:S446)</f>
        <v>83</v>
      </c>
      <c r="AB446" t="s">
        <v>2</v>
      </c>
      <c r="AL446" s="138" t="s">
        <v>78</v>
      </c>
      <c r="AM446" s="138">
        <f>20+8+18+35+9</f>
        <v>90</v>
      </c>
      <c r="AN446" s="141">
        <f>15+4+6+25+5</f>
        <v>55</v>
      </c>
      <c r="AO446" s="138"/>
      <c r="AP446" s="141"/>
      <c r="AQ446" s="28"/>
      <c r="AR446" s="28">
        <v>1</v>
      </c>
      <c r="AS446" s="28" t="s">
        <v>1635</v>
      </c>
      <c r="AT446" s="28"/>
      <c r="AU446" s="141"/>
    </row>
    <row r="447" spans="1:49" ht="15" thickBot="1" x14ac:dyDescent="0.35">
      <c r="B447" s="52" t="s">
        <v>72</v>
      </c>
      <c r="C447" s="52">
        <v>0</v>
      </c>
      <c r="D447" s="85">
        <v>0</v>
      </c>
      <c r="G447" s="42"/>
      <c r="H447" s="28"/>
      <c r="I447" s="28"/>
      <c r="J447" s="28"/>
      <c r="K447" s="40"/>
      <c r="L447" s="28"/>
      <c r="M447" s="169" t="s">
        <v>84</v>
      </c>
      <c r="N447" s="170">
        <f>SUM(N446+N429+N419+N404)</f>
        <v>1704</v>
      </c>
      <c r="O447" s="170">
        <f>SUM(O446+O429+O419+O404)</f>
        <v>1673</v>
      </c>
      <c r="P447" s="171"/>
      <c r="Q447" s="172"/>
      <c r="R447" s="170"/>
      <c r="S447" s="170"/>
      <c r="T447" s="170"/>
      <c r="U447" s="170"/>
      <c r="V447" s="172">
        <f>SUM(V403:V446)</f>
        <v>272</v>
      </c>
      <c r="Z447" t="s">
        <v>12</v>
      </c>
      <c r="AL447" s="138" t="s">
        <v>209</v>
      </c>
      <c r="AM447" s="138">
        <v>0</v>
      </c>
      <c r="AN447" s="141">
        <v>0</v>
      </c>
      <c r="AO447" s="138"/>
      <c r="AP447" s="141"/>
      <c r="AQ447" s="28"/>
      <c r="AR447" s="28">
        <v>6</v>
      </c>
      <c r="AS447" s="28" t="s">
        <v>1117</v>
      </c>
      <c r="AT447" s="28"/>
      <c r="AU447" s="141"/>
    </row>
    <row r="448" spans="1:49" ht="15" thickBot="1" x14ac:dyDescent="0.35">
      <c r="B448" s="52" t="s">
        <v>84</v>
      </c>
      <c r="C448" s="47">
        <f>SUM(C441:C447)</f>
        <v>36</v>
      </c>
      <c r="D448" s="49">
        <f>SUM(D441:D447)</f>
        <v>25</v>
      </c>
      <c r="E448" s="28"/>
      <c r="F448" s="28"/>
      <c r="G448" s="47"/>
      <c r="H448" s="48"/>
      <c r="I448" s="48"/>
      <c r="J448" s="48"/>
      <c r="K448" s="49">
        <f>SUM(H445)</f>
        <v>15</v>
      </c>
      <c r="L448" s="28"/>
      <c r="AB448" t="s">
        <v>1091</v>
      </c>
      <c r="AL448" s="138" t="s">
        <v>168</v>
      </c>
      <c r="AM448" s="138">
        <v>0</v>
      </c>
      <c r="AN448" s="141">
        <v>0</v>
      </c>
      <c r="AO448" s="138"/>
      <c r="AP448" s="141"/>
      <c r="AQ448" s="28"/>
      <c r="AR448" s="28">
        <v>2</v>
      </c>
      <c r="AS448" s="28" t="s">
        <v>213</v>
      </c>
      <c r="AT448" s="28" t="s">
        <v>6</v>
      </c>
      <c r="AU448" s="141"/>
    </row>
    <row r="449" spans="2:49" x14ac:dyDescent="0.3">
      <c r="B449" s="32" t="s">
        <v>63</v>
      </c>
      <c r="C449" s="123">
        <f>5+1+1</f>
        <v>7</v>
      </c>
      <c r="D449" s="123">
        <f>7+1+1</f>
        <v>9</v>
      </c>
      <c r="E449" s="33"/>
      <c r="F449" s="7"/>
      <c r="G449" s="6"/>
      <c r="H449" s="34" t="s">
        <v>140</v>
      </c>
      <c r="I449" s="8"/>
      <c r="J449" s="8"/>
      <c r="K449" s="7"/>
      <c r="L449" s="28"/>
      <c r="AF449" s="194" t="s">
        <v>951</v>
      </c>
      <c r="AL449" s="138" t="s">
        <v>81</v>
      </c>
      <c r="AM449" s="138">
        <f>3+10+2</f>
        <v>15</v>
      </c>
      <c r="AN449" s="141">
        <f>3+20</f>
        <v>23</v>
      </c>
      <c r="AO449" s="138"/>
      <c r="AP449" s="141"/>
      <c r="AQ449" s="28"/>
      <c r="AR449" s="28">
        <f>28+3</f>
        <v>31</v>
      </c>
      <c r="AS449" s="28" t="s">
        <v>903</v>
      </c>
      <c r="AT449" s="28"/>
      <c r="AU449" s="141" t="s">
        <v>6</v>
      </c>
    </row>
    <row r="450" spans="2:49" x14ac:dyDescent="0.3">
      <c r="B450" s="44" t="s">
        <v>78</v>
      </c>
      <c r="C450" s="37">
        <f>26+2</f>
        <v>28</v>
      </c>
      <c r="D450" s="37">
        <f>19+3</f>
        <v>22</v>
      </c>
      <c r="E450" s="42"/>
      <c r="F450" s="11"/>
      <c r="G450" s="10"/>
      <c r="H450" s="37">
        <v>6</v>
      </c>
      <c r="I450" s="37" t="s">
        <v>204</v>
      </c>
      <c r="J450" s="18"/>
      <c r="K450" s="11"/>
      <c r="L450" s="28"/>
      <c r="X450" s="134" t="s">
        <v>17</v>
      </c>
      <c r="Y450" s="134" t="s">
        <v>39</v>
      </c>
      <c r="Z450" s="136"/>
      <c r="AA450" s="134" t="s">
        <v>29</v>
      </c>
      <c r="AB450" s="136" t="s">
        <v>30</v>
      </c>
      <c r="AC450" s="135" t="s">
        <v>40</v>
      </c>
      <c r="AD450" s="135"/>
      <c r="AE450" s="135"/>
      <c r="AF450" s="135"/>
      <c r="AG450" s="136"/>
      <c r="AL450" s="138" t="s">
        <v>72</v>
      </c>
      <c r="AM450" s="138">
        <f>3+7+14</f>
        <v>24</v>
      </c>
      <c r="AN450" s="141">
        <f>7+22+4</f>
        <v>33</v>
      </c>
      <c r="AO450" s="138"/>
      <c r="AP450" s="141"/>
      <c r="AQ450" s="28"/>
      <c r="AR450" s="43"/>
      <c r="AS450" s="28" t="s">
        <v>216</v>
      </c>
      <c r="AT450" s="28"/>
      <c r="AU450" s="141"/>
    </row>
    <row r="451" spans="2:49" x14ac:dyDescent="0.3">
      <c r="B451" s="125" t="s">
        <v>209</v>
      </c>
      <c r="C451" s="54">
        <v>0</v>
      </c>
      <c r="D451" s="54">
        <v>0</v>
      </c>
      <c r="E451" s="42"/>
      <c r="F451" s="40"/>
      <c r="G451" s="42"/>
      <c r="H451" s="28">
        <v>6</v>
      </c>
      <c r="I451" s="28" t="s">
        <v>210</v>
      </c>
      <c r="J451" s="28"/>
      <c r="K451" s="40"/>
      <c r="L451" s="28"/>
      <c r="X451" s="138" t="s">
        <v>42</v>
      </c>
      <c r="Y451" s="138" t="s">
        <v>43</v>
      </c>
      <c r="Z451" s="141" t="s">
        <v>44</v>
      </c>
      <c r="AA451" s="138" t="s">
        <v>43</v>
      </c>
      <c r="AB451" s="141" t="s">
        <v>44</v>
      </c>
      <c r="AC451" s="28"/>
      <c r="AD451" s="28"/>
      <c r="AE451" s="28"/>
      <c r="AF451" s="28"/>
      <c r="AG451" s="141"/>
      <c r="AL451" s="138" t="s">
        <v>115</v>
      </c>
      <c r="AM451" s="138">
        <v>19</v>
      </c>
      <c r="AN451" s="141">
        <v>25</v>
      </c>
      <c r="AO451" s="138"/>
      <c r="AP451" s="141"/>
      <c r="AQ451" s="28"/>
      <c r="AR451" s="43">
        <v>8</v>
      </c>
      <c r="AS451" s="28" t="s">
        <v>217</v>
      </c>
      <c r="AT451" s="28"/>
      <c r="AU451" s="141"/>
    </row>
    <row r="452" spans="2:49" x14ac:dyDescent="0.3">
      <c r="B452" s="44" t="s">
        <v>168</v>
      </c>
      <c r="C452" s="37">
        <v>0</v>
      </c>
      <c r="D452" s="18">
        <v>0</v>
      </c>
      <c r="E452" s="42"/>
      <c r="F452" s="11"/>
      <c r="G452" s="10"/>
      <c r="H452" s="37">
        <f>9+5+13</f>
        <v>27</v>
      </c>
      <c r="I452" s="37" t="s">
        <v>213</v>
      </c>
      <c r="J452" s="18"/>
      <c r="K452" s="11"/>
      <c r="X452" s="138" t="s">
        <v>6</v>
      </c>
      <c r="Y452" s="138"/>
      <c r="Z452" s="141"/>
      <c r="AA452" s="138"/>
      <c r="AB452" s="141"/>
      <c r="AC452" s="28"/>
      <c r="AD452" s="28" t="s">
        <v>91</v>
      </c>
      <c r="AE452" s="28"/>
      <c r="AF452" s="28"/>
      <c r="AG452" s="141"/>
      <c r="AL452" s="138" t="s">
        <v>56</v>
      </c>
      <c r="AM452" s="138">
        <f>8+3+15</f>
        <v>26</v>
      </c>
      <c r="AN452" s="141">
        <f>13+10</f>
        <v>23</v>
      </c>
      <c r="AO452" s="138"/>
      <c r="AP452" s="141"/>
      <c r="AQ452" s="28"/>
      <c r="AR452" s="43">
        <v>4</v>
      </c>
      <c r="AS452" s="28" t="s">
        <v>1640</v>
      </c>
      <c r="AT452" s="28"/>
      <c r="AU452" s="141"/>
    </row>
    <row r="453" spans="2:49" x14ac:dyDescent="0.3">
      <c r="B453" s="125" t="s">
        <v>81</v>
      </c>
      <c r="C453" s="54">
        <v>5</v>
      </c>
      <c r="D453" s="45">
        <f>2+1</f>
        <v>3</v>
      </c>
      <c r="E453" s="42"/>
      <c r="F453" s="40"/>
      <c r="G453" s="42"/>
      <c r="H453" s="54">
        <v>2</v>
      </c>
      <c r="I453" s="128" t="s">
        <v>235</v>
      </c>
      <c r="J453" s="28"/>
      <c r="K453" s="40" t="s">
        <v>6</v>
      </c>
      <c r="X453" s="138" t="s">
        <v>56</v>
      </c>
      <c r="Y453" s="138">
        <v>1548</v>
      </c>
      <c r="Z453" s="141">
        <v>1491</v>
      </c>
      <c r="AA453" s="138"/>
      <c r="AB453" s="141"/>
      <c r="AC453" s="28"/>
      <c r="AD453" s="28">
        <v>3</v>
      </c>
      <c r="AE453" s="28" t="s">
        <v>145</v>
      </c>
      <c r="AF453" s="28"/>
      <c r="AG453" s="141"/>
      <c r="AL453" s="138" t="s">
        <v>138</v>
      </c>
      <c r="AM453" s="138">
        <v>0</v>
      </c>
      <c r="AN453" s="141">
        <v>0</v>
      </c>
      <c r="AO453" s="138"/>
      <c r="AP453" s="141"/>
      <c r="AQ453" s="28"/>
      <c r="AR453" s="43">
        <v>9</v>
      </c>
      <c r="AS453" s="28" t="s">
        <v>1294</v>
      </c>
      <c r="AT453" s="28"/>
      <c r="AU453" s="141"/>
      <c r="AW453" t="s">
        <v>6</v>
      </c>
    </row>
    <row r="454" spans="2:49" x14ac:dyDescent="0.3">
      <c r="B454" s="125" t="s">
        <v>72</v>
      </c>
      <c r="C454" s="54">
        <f>36+1+18</f>
        <v>55</v>
      </c>
      <c r="D454" s="45">
        <f>17+1+17+3</f>
        <v>38</v>
      </c>
      <c r="E454" s="42"/>
      <c r="F454" s="40"/>
      <c r="G454" s="42"/>
      <c r="H454" s="54">
        <v>12</v>
      </c>
      <c r="I454" s="54" t="s">
        <v>216</v>
      </c>
      <c r="J454" s="45"/>
      <c r="K454" s="40"/>
      <c r="X454" s="142" t="s">
        <v>6</v>
      </c>
      <c r="Y454" s="142"/>
      <c r="Z454" s="146"/>
      <c r="AA454" s="142"/>
      <c r="AB454" s="146"/>
      <c r="AC454" s="143"/>
      <c r="AD454" s="143">
        <v>101</v>
      </c>
      <c r="AE454" s="143" t="s">
        <v>73</v>
      </c>
      <c r="AF454" s="143"/>
      <c r="AG454" s="146">
        <f>SUM(AD454)</f>
        <v>101</v>
      </c>
      <c r="AL454" s="138" t="s">
        <v>67</v>
      </c>
      <c r="AM454" s="138">
        <f>3+3+22+4</f>
        <v>32</v>
      </c>
      <c r="AN454" s="141">
        <f>7+4+45+1</f>
        <v>57</v>
      </c>
      <c r="AO454" s="138"/>
      <c r="AP454" s="141"/>
      <c r="AQ454" s="28"/>
      <c r="AR454" s="43">
        <v>1</v>
      </c>
      <c r="AS454" s="28" t="s">
        <v>681</v>
      </c>
      <c r="AT454" s="28"/>
      <c r="AU454" s="141"/>
    </row>
    <row r="455" spans="2:49" x14ac:dyDescent="0.3">
      <c r="B455" s="125" t="s">
        <v>115</v>
      </c>
      <c r="C455" s="54">
        <v>4</v>
      </c>
      <c r="D455" s="45">
        <v>2</v>
      </c>
      <c r="E455" s="42"/>
      <c r="F455" s="40"/>
      <c r="G455" s="42"/>
      <c r="H455" s="54">
        <v>3</v>
      </c>
      <c r="I455" s="54" t="s">
        <v>217</v>
      </c>
      <c r="J455" s="28"/>
      <c r="K455" s="40"/>
      <c r="X455" s="134" t="s">
        <v>56</v>
      </c>
      <c r="Y455" s="134">
        <v>0</v>
      </c>
      <c r="Z455" s="136">
        <v>2</v>
      </c>
      <c r="AA455" s="134"/>
      <c r="AB455" s="136"/>
      <c r="AC455" s="135"/>
      <c r="AD455" s="135"/>
      <c r="AE455" s="135"/>
      <c r="AF455" s="135"/>
      <c r="AG455" s="136"/>
      <c r="AL455" s="138" t="s">
        <v>122</v>
      </c>
      <c r="AM455" s="138">
        <f>2+3+8</f>
        <v>13</v>
      </c>
      <c r="AN455" s="141">
        <f>1+8</f>
        <v>9</v>
      </c>
      <c r="AO455" s="138"/>
      <c r="AP455" s="141"/>
      <c r="AQ455" s="28"/>
      <c r="AR455" s="43">
        <v>25</v>
      </c>
      <c r="AS455" s="28" t="s">
        <v>618</v>
      </c>
      <c r="AT455" s="28"/>
      <c r="AU455" s="141"/>
    </row>
    <row r="456" spans="2:49" x14ac:dyDescent="0.3">
      <c r="B456" s="125" t="s">
        <v>56</v>
      </c>
      <c r="C456" s="54">
        <v>3</v>
      </c>
      <c r="D456" s="45">
        <v>31</v>
      </c>
      <c r="E456" s="42"/>
      <c r="F456" s="40"/>
      <c r="G456" s="42"/>
      <c r="H456" s="54">
        <v>1</v>
      </c>
      <c r="I456" s="54" t="s">
        <v>503</v>
      </c>
      <c r="J456" s="28"/>
      <c r="K456" s="40"/>
      <c r="X456" s="138" t="s">
        <v>63</v>
      </c>
      <c r="Y456" s="138">
        <v>26</v>
      </c>
      <c r="Z456" s="141">
        <v>66</v>
      </c>
      <c r="AA456" s="138"/>
      <c r="AB456" s="141"/>
      <c r="AC456" s="28"/>
      <c r="AD456" s="28" t="s">
        <v>110</v>
      </c>
      <c r="AE456" s="28" t="s">
        <v>111</v>
      </c>
      <c r="AF456" s="28" t="s">
        <v>112</v>
      </c>
      <c r="AG456" s="141"/>
      <c r="AL456" s="138" t="s">
        <v>227</v>
      </c>
      <c r="AM456" s="138">
        <v>0</v>
      </c>
      <c r="AN456" s="141">
        <v>0</v>
      </c>
      <c r="AO456" s="138"/>
      <c r="AP456" s="141"/>
      <c r="AQ456" s="28"/>
      <c r="AR456" s="43">
        <v>2</v>
      </c>
      <c r="AS456" s="28" t="s">
        <v>352</v>
      </c>
      <c r="AT456" s="28"/>
      <c r="AU456" s="141"/>
    </row>
    <row r="457" spans="2:49" x14ac:dyDescent="0.3">
      <c r="B457" s="125" t="s">
        <v>138</v>
      </c>
      <c r="C457" s="54">
        <v>0</v>
      </c>
      <c r="D457" s="45">
        <v>0</v>
      </c>
      <c r="E457" s="42"/>
      <c r="F457" s="40"/>
      <c r="G457" s="42"/>
      <c r="H457" s="54">
        <v>5</v>
      </c>
      <c r="I457" s="54" t="s">
        <v>221</v>
      </c>
      <c r="J457" s="28"/>
      <c r="K457" s="40"/>
      <c r="X457" s="138" t="s">
        <v>115</v>
      </c>
      <c r="Y457" s="138">
        <v>30</v>
      </c>
      <c r="Z457" s="141">
        <v>23</v>
      </c>
      <c r="AA457" s="138"/>
      <c r="AB457" s="141"/>
      <c r="AC457" s="28"/>
      <c r="AD457" s="28"/>
      <c r="AE457" s="28"/>
      <c r="AF457" s="28"/>
      <c r="AG457" s="141"/>
      <c r="AL457" s="138" t="s">
        <v>230</v>
      </c>
      <c r="AM457" s="138">
        <v>59</v>
      </c>
      <c r="AN457" s="141">
        <f>57+2</f>
        <v>59</v>
      </c>
      <c r="AO457" s="138"/>
      <c r="AP457" s="141"/>
      <c r="AQ457" s="28"/>
      <c r="AR457" s="28">
        <v>4</v>
      </c>
      <c r="AS457" s="28" t="s">
        <v>655</v>
      </c>
      <c r="AT457" s="28"/>
      <c r="AU457" s="141"/>
    </row>
    <row r="458" spans="2:49" x14ac:dyDescent="0.3">
      <c r="B458" s="125" t="s">
        <v>67</v>
      </c>
      <c r="C458" s="54">
        <f>22+1+6</f>
        <v>29</v>
      </c>
      <c r="D458" s="45">
        <f>21+1+1</f>
        <v>23</v>
      </c>
      <c r="E458" s="42"/>
      <c r="F458" s="40"/>
      <c r="G458" s="42"/>
      <c r="H458" s="54">
        <v>29</v>
      </c>
      <c r="I458" s="54" t="s">
        <v>222</v>
      </c>
      <c r="J458" s="28"/>
      <c r="K458" s="40"/>
      <c r="X458" s="138" t="s">
        <v>72</v>
      </c>
      <c r="Y458" s="138">
        <v>0</v>
      </c>
      <c r="Z458" s="141">
        <v>0</v>
      </c>
      <c r="AA458" s="138"/>
      <c r="AB458" s="141"/>
      <c r="AC458" s="28"/>
      <c r="AD458" s="28"/>
      <c r="AE458" s="28"/>
      <c r="AF458" s="28"/>
      <c r="AG458" s="141"/>
      <c r="AL458" s="138" t="s">
        <v>125</v>
      </c>
      <c r="AM458" s="138">
        <v>0</v>
      </c>
      <c r="AN458" s="141">
        <v>0</v>
      </c>
      <c r="AO458" s="138"/>
      <c r="AP458" s="141"/>
      <c r="AQ458" s="28"/>
      <c r="AR458" s="43">
        <v>1</v>
      </c>
      <c r="AS458" s="28" t="s">
        <v>1649</v>
      </c>
      <c r="AT458" s="28"/>
      <c r="AU458" s="141"/>
    </row>
    <row r="459" spans="2:49" x14ac:dyDescent="0.3">
      <c r="B459" s="125" t="s">
        <v>122</v>
      </c>
      <c r="C459" s="54">
        <v>11</v>
      </c>
      <c r="D459" s="45">
        <v>4</v>
      </c>
      <c r="E459" s="42"/>
      <c r="F459" s="40"/>
      <c r="G459" s="42"/>
      <c r="H459" s="54">
        <v>2</v>
      </c>
      <c r="I459" s="54" t="s">
        <v>471</v>
      </c>
      <c r="J459" s="28"/>
      <c r="K459" s="40"/>
      <c r="X459" s="138" t="s">
        <v>78</v>
      </c>
      <c r="Y459" s="138">
        <v>35</v>
      </c>
      <c r="Z459" s="141">
        <v>19</v>
      </c>
      <c r="AA459" s="138"/>
      <c r="AB459" s="141"/>
      <c r="AC459" s="28"/>
      <c r="AD459" s="28"/>
      <c r="AE459" s="28"/>
      <c r="AF459" s="28"/>
      <c r="AG459" s="141"/>
      <c r="AL459" s="138" t="s">
        <v>132</v>
      </c>
      <c r="AM459" s="138">
        <v>0</v>
      </c>
      <c r="AN459" s="141">
        <v>0</v>
      </c>
      <c r="AO459" s="138"/>
      <c r="AP459" s="141"/>
      <c r="AQ459" s="28"/>
      <c r="AR459" s="43">
        <v>5</v>
      </c>
      <c r="AS459" s="28" t="s">
        <v>682</v>
      </c>
      <c r="AT459" s="28"/>
      <c r="AU459" s="141"/>
    </row>
    <row r="460" spans="2:49" x14ac:dyDescent="0.3">
      <c r="B460" s="125" t="s">
        <v>227</v>
      </c>
      <c r="C460" s="54">
        <v>0</v>
      </c>
      <c r="D460" s="45">
        <v>0</v>
      </c>
      <c r="E460" s="42"/>
      <c r="F460" s="40"/>
      <c r="G460" s="42"/>
      <c r="H460" s="54">
        <v>8</v>
      </c>
      <c r="I460" s="54" t="s">
        <v>391</v>
      </c>
      <c r="J460" s="28"/>
      <c r="K460" s="40"/>
      <c r="X460" s="138" t="s">
        <v>122</v>
      </c>
      <c r="Y460" s="138">
        <v>20</v>
      </c>
      <c r="Z460" s="141">
        <v>16</v>
      </c>
      <c r="AA460" s="138"/>
      <c r="AB460" s="141"/>
      <c r="AC460" s="28"/>
      <c r="AD460" s="28">
        <v>32</v>
      </c>
      <c r="AE460" s="28" t="s">
        <v>123</v>
      </c>
      <c r="AF460" s="28"/>
      <c r="AG460" s="141"/>
      <c r="AL460" s="138" t="s">
        <v>536</v>
      </c>
      <c r="AM460" s="138">
        <v>0</v>
      </c>
      <c r="AN460" s="141">
        <v>0</v>
      </c>
      <c r="AO460" s="138"/>
      <c r="AP460" s="141"/>
      <c r="AQ460" s="28"/>
      <c r="AR460" s="43">
        <f>63+19+1</f>
        <v>83</v>
      </c>
      <c r="AS460" s="28" t="s">
        <v>215</v>
      </c>
      <c r="AT460" s="28"/>
      <c r="AU460" s="141"/>
    </row>
    <row r="461" spans="2:49" ht="15" thickBot="1" x14ac:dyDescent="0.35">
      <c r="B461" s="41" t="s">
        <v>230</v>
      </c>
      <c r="C461" s="54">
        <f>7+6+2</f>
        <v>15</v>
      </c>
      <c r="D461" s="45">
        <f>7+6+2</f>
        <v>15</v>
      </c>
      <c r="E461" s="42"/>
      <c r="F461" s="40"/>
      <c r="G461" s="42"/>
      <c r="H461" s="54">
        <v>0</v>
      </c>
      <c r="I461" s="54" t="s">
        <v>392</v>
      </c>
      <c r="J461" s="28"/>
      <c r="K461" s="40"/>
      <c r="X461" s="138" t="s">
        <v>125</v>
      </c>
      <c r="Y461" s="138">
        <v>0</v>
      </c>
      <c r="Z461" s="141">
        <v>0</v>
      </c>
      <c r="AA461" s="138"/>
      <c r="AB461" s="141"/>
      <c r="AC461" s="28"/>
      <c r="AD461" s="28">
        <v>5</v>
      </c>
      <c r="AE461" s="28" t="s">
        <v>126</v>
      </c>
      <c r="AF461" s="28"/>
      <c r="AG461" s="141"/>
      <c r="AL461" s="138" t="s">
        <v>84</v>
      </c>
      <c r="AM461" s="138">
        <f>SUM(AM445:AM460)</f>
        <v>296</v>
      </c>
      <c r="AN461" s="141">
        <f>SUM(AN445:AN460)</f>
        <v>305</v>
      </c>
      <c r="AO461" s="138"/>
      <c r="AP461" s="141"/>
      <c r="AQ461" s="28"/>
      <c r="AR461" s="28">
        <v>2</v>
      </c>
      <c r="AS461" s="28" t="s">
        <v>244</v>
      </c>
      <c r="AT461" s="28"/>
      <c r="AU461" s="141">
        <f>SUM(AR445:AR461)</f>
        <v>185</v>
      </c>
    </row>
    <row r="462" spans="2:49" ht="16.2" thickBot="1" x14ac:dyDescent="0.35">
      <c r="B462" s="68" t="s">
        <v>125</v>
      </c>
      <c r="C462" s="54">
        <v>0</v>
      </c>
      <c r="D462" s="45">
        <v>0</v>
      </c>
      <c r="E462" s="42"/>
      <c r="F462" s="40"/>
      <c r="G462" s="42"/>
      <c r="H462" s="54">
        <v>4</v>
      </c>
      <c r="I462" s="54" t="s">
        <v>228</v>
      </c>
      <c r="J462" s="28"/>
      <c r="K462" s="40"/>
      <c r="P462" s="1" t="s">
        <v>4</v>
      </c>
      <c r="X462" s="138" t="s">
        <v>536</v>
      </c>
      <c r="Y462" s="138">
        <v>0</v>
      </c>
      <c r="Z462" s="141">
        <v>0</v>
      </c>
      <c r="AA462" s="138"/>
      <c r="AB462" s="141"/>
      <c r="AC462" s="28"/>
      <c r="AD462" s="28">
        <v>37</v>
      </c>
      <c r="AE462" s="28" t="s">
        <v>129</v>
      </c>
      <c r="AF462" s="28"/>
      <c r="AG462" s="141"/>
      <c r="AL462" s="171" t="s">
        <v>84</v>
      </c>
      <c r="AM462" s="207">
        <f>SUM(AM461+AM443+AM438+AM423)</f>
        <v>2129</v>
      </c>
      <c r="AN462" s="207">
        <f>SUM(AN461+AN443+AN438+AN423)</f>
        <v>2179</v>
      </c>
      <c r="AO462" s="207"/>
      <c r="AP462" s="208"/>
      <c r="AQ462" s="170"/>
      <c r="AR462" s="170"/>
      <c r="AS462" s="170"/>
      <c r="AT462" s="170"/>
      <c r="AU462" s="172">
        <f>SUM(AU423:AU461)</f>
        <v>377</v>
      </c>
    </row>
    <row r="463" spans="2:49" x14ac:dyDescent="0.3">
      <c r="B463" s="68" t="s">
        <v>132</v>
      </c>
      <c r="C463" s="54">
        <v>19</v>
      </c>
      <c r="D463" s="45">
        <v>17</v>
      </c>
      <c r="E463" s="42"/>
      <c r="F463" s="40"/>
      <c r="G463" s="42"/>
      <c r="H463" s="54">
        <v>12</v>
      </c>
      <c r="I463" s="54" t="s">
        <v>237</v>
      </c>
      <c r="J463" s="28"/>
      <c r="K463" s="40"/>
      <c r="Q463" t="s">
        <v>2</v>
      </c>
      <c r="X463" s="138" t="s">
        <v>132</v>
      </c>
      <c r="Y463" s="138">
        <v>0</v>
      </c>
      <c r="Z463" s="141">
        <v>0</v>
      </c>
      <c r="AA463" s="138"/>
      <c r="AB463" s="141"/>
      <c r="AC463" s="28"/>
      <c r="AD463" s="28"/>
      <c r="AE463" s="28"/>
      <c r="AF463" s="28"/>
      <c r="AG463" s="141"/>
    </row>
    <row r="464" spans="2:49" x14ac:dyDescent="0.3">
      <c r="B464" s="41" t="s">
        <v>6</v>
      </c>
      <c r="E464" s="42"/>
      <c r="F464" s="40"/>
      <c r="G464" s="42"/>
      <c r="H464" s="54">
        <v>0</v>
      </c>
      <c r="I464" s="54" t="s">
        <v>472</v>
      </c>
      <c r="J464" s="28"/>
      <c r="K464" s="40"/>
      <c r="O464" t="s">
        <v>12</v>
      </c>
      <c r="X464" s="138" t="s">
        <v>81</v>
      </c>
      <c r="Y464" s="138">
        <v>3</v>
      </c>
      <c r="Z464" s="141">
        <v>0</v>
      </c>
      <c r="AA464" s="138"/>
      <c r="AB464" s="141"/>
      <c r="AC464" s="28"/>
      <c r="AD464" s="28"/>
      <c r="AE464" s="28"/>
      <c r="AF464" s="28"/>
      <c r="AG464" s="141"/>
    </row>
    <row r="465" spans="2:49" ht="15" thickBot="1" x14ac:dyDescent="0.35">
      <c r="B465" s="46" t="s">
        <v>84</v>
      </c>
      <c r="C465" s="48">
        <f>SUM(C449:C464)</f>
        <v>176</v>
      </c>
      <c r="D465" s="48">
        <f>SUM(D449:D464)</f>
        <v>164</v>
      </c>
      <c r="E465" s="47"/>
      <c r="F465" s="49"/>
      <c r="G465" s="47"/>
      <c r="H465" s="48">
        <v>0</v>
      </c>
      <c r="I465" s="48" t="s">
        <v>244</v>
      </c>
      <c r="J465" s="48"/>
      <c r="K465" s="49">
        <f>SUM(H451:H463)</f>
        <v>111</v>
      </c>
      <c r="Q465" t="s">
        <v>827</v>
      </c>
      <c r="V465" s="5"/>
      <c r="X465" s="138" t="s">
        <v>138</v>
      </c>
      <c r="Y465" s="138">
        <v>0</v>
      </c>
      <c r="Z465" s="141">
        <v>0</v>
      </c>
      <c r="AA465" s="138"/>
      <c r="AB465" s="141"/>
      <c r="AC465" s="28"/>
      <c r="AD465" s="28"/>
      <c r="AE465" s="28"/>
      <c r="AF465" s="28"/>
      <c r="AG465" s="141"/>
    </row>
    <row r="466" spans="2:49" ht="15" thickBot="1" x14ac:dyDescent="0.35">
      <c r="B466" s="147" t="s">
        <v>84</v>
      </c>
      <c r="C466" s="147">
        <f>SUM(+C465+C448+C438+C423+C421)</f>
        <v>2486</v>
      </c>
      <c r="D466" s="148">
        <f>SUM(D465+D448+D438+D423+D421)</f>
        <v>2463</v>
      </c>
      <c r="E466" s="147"/>
      <c r="F466" s="148"/>
      <c r="G466" s="149" t="s">
        <v>247</v>
      </c>
      <c r="H466" s="149"/>
      <c r="I466" s="149"/>
      <c r="J466" s="149"/>
      <c r="K466" s="148">
        <f>SUM(K421:K465)</f>
        <v>409</v>
      </c>
      <c r="U466" s="5" t="s">
        <v>26</v>
      </c>
      <c r="X466" s="138" t="s">
        <v>230</v>
      </c>
      <c r="Y466" s="138">
        <v>0</v>
      </c>
      <c r="Z466" s="141">
        <v>0</v>
      </c>
      <c r="AA466" s="138"/>
      <c r="AB466" s="141"/>
      <c r="AC466" s="28"/>
      <c r="AD466" s="28"/>
      <c r="AE466" s="28"/>
      <c r="AF466" s="28"/>
      <c r="AG466" s="141"/>
      <c r="AL466" s="140"/>
      <c r="AM466" s="28"/>
      <c r="AN466" s="28"/>
      <c r="AO466" s="28"/>
      <c r="AP466" s="28"/>
      <c r="AQ466" s="28"/>
      <c r="AR466" s="28"/>
      <c r="AS466" s="28"/>
      <c r="AT466" s="28"/>
      <c r="AU466" s="28"/>
    </row>
    <row r="467" spans="2:49" ht="15" thickTop="1" x14ac:dyDescent="0.3">
      <c r="M467" s="6" t="s">
        <v>17</v>
      </c>
      <c r="N467" s="6" t="s">
        <v>39</v>
      </c>
      <c r="O467" s="7"/>
      <c r="P467" s="6" t="s">
        <v>29</v>
      </c>
      <c r="Q467" s="7" t="s">
        <v>30</v>
      </c>
      <c r="R467" s="8" t="s">
        <v>40</v>
      </c>
      <c r="S467" s="8"/>
      <c r="T467" s="8"/>
      <c r="U467" s="8"/>
      <c r="V467" s="7"/>
      <c r="X467" s="138" t="s">
        <v>67</v>
      </c>
      <c r="Y467" s="138">
        <v>45</v>
      </c>
      <c r="Z467" s="141">
        <v>46</v>
      </c>
      <c r="AA467" s="138"/>
      <c r="AB467" s="141"/>
      <c r="AC467" s="28"/>
      <c r="AD467" s="28"/>
      <c r="AE467" s="28"/>
      <c r="AF467" s="28"/>
      <c r="AG467" s="141"/>
    </row>
    <row r="468" spans="2:49" ht="15" thickBot="1" x14ac:dyDescent="0.35">
      <c r="M468" s="13" t="s">
        <v>42</v>
      </c>
      <c r="N468" s="13" t="s">
        <v>43</v>
      </c>
      <c r="O468" s="26" t="s">
        <v>44</v>
      </c>
      <c r="P468" s="13" t="s">
        <v>43</v>
      </c>
      <c r="Q468" s="26" t="s">
        <v>44</v>
      </c>
      <c r="R468" s="27"/>
      <c r="S468" s="27"/>
      <c r="T468" s="27"/>
      <c r="U468" s="27"/>
      <c r="V468" s="26"/>
      <c r="X468" s="142" t="s">
        <v>84</v>
      </c>
      <c r="Y468" s="142">
        <f>SUM(Y455:Y467)</f>
        <v>159</v>
      </c>
      <c r="Z468" s="146">
        <f>SUM(Z455:Z467)</f>
        <v>172</v>
      </c>
      <c r="AA468" s="142"/>
      <c r="AB468" s="146">
        <v>0</v>
      </c>
      <c r="AC468" s="143"/>
      <c r="AD468" s="143"/>
      <c r="AE468" s="143"/>
      <c r="AF468" s="143"/>
      <c r="AG468" s="146">
        <f>SUM(AD460:AD462)</f>
        <v>74</v>
      </c>
    </row>
    <row r="469" spans="2:49" x14ac:dyDescent="0.3">
      <c r="M469" s="32" t="s">
        <v>6</v>
      </c>
      <c r="N469" s="43"/>
      <c r="O469" s="54"/>
      <c r="P469" s="33"/>
      <c r="Q469" s="35"/>
      <c r="R469" s="33"/>
      <c r="S469" s="34" t="s">
        <v>91</v>
      </c>
      <c r="T469" s="34"/>
      <c r="U469" s="34"/>
      <c r="V469" s="35"/>
      <c r="W469" s="28"/>
      <c r="X469" s="134"/>
      <c r="Y469" s="134"/>
      <c r="Z469" s="136"/>
      <c r="AA469" s="134"/>
      <c r="AB469" s="136"/>
      <c r="AC469" s="135"/>
      <c r="AD469" s="135"/>
      <c r="AE469" s="135"/>
      <c r="AF469" s="135"/>
      <c r="AG469" s="136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W469" t="s">
        <v>6</v>
      </c>
    </row>
    <row r="470" spans="2:49" x14ac:dyDescent="0.3">
      <c r="M470" s="41" t="s">
        <v>56</v>
      </c>
      <c r="N470" s="43">
        <f>16+1149</f>
        <v>1165</v>
      </c>
      <c r="O470" s="54">
        <f>1293+12</f>
        <v>1305</v>
      </c>
      <c r="P470" s="42"/>
      <c r="Q470" s="40"/>
      <c r="R470" s="42"/>
      <c r="S470" s="28"/>
      <c r="T470" s="28"/>
      <c r="U470" s="28"/>
      <c r="V470" s="40"/>
      <c r="W470" s="28"/>
      <c r="X470" s="138" t="s">
        <v>63</v>
      </c>
      <c r="Y470" s="138">
        <v>0</v>
      </c>
      <c r="Z470" s="141">
        <v>0</v>
      </c>
      <c r="AA470" s="138"/>
      <c r="AB470" s="141"/>
      <c r="AC470" s="28"/>
      <c r="AD470" s="28"/>
      <c r="AE470" s="28"/>
      <c r="AF470" s="28"/>
      <c r="AG470" s="141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</row>
    <row r="471" spans="2:49" ht="16.2" thickBot="1" x14ac:dyDescent="0.35">
      <c r="E471" s="1" t="s">
        <v>4</v>
      </c>
      <c r="M471" s="62" t="s">
        <v>6</v>
      </c>
      <c r="N471" s="43"/>
      <c r="O471" s="43"/>
      <c r="P471" s="47"/>
      <c r="Q471" s="49"/>
      <c r="R471" s="47"/>
      <c r="S471" s="48">
        <v>101</v>
      </c>
      <c r="T471" s="48" t="s">
        <v>73</v>
      </c>
      <c r="U471" s="48"/>
      <c r="V471" s="49">
        <f>SUM(S471)</f>
        <v>101</v>
      </c>
      <c r="W471" s="28"/>
      <c r="X471" s="138" t="s">
        <v>536</v>
      </c>
      <c r="Y471" s="138">
        <v>0</v>
      </c>
      <c r="Z471" s="141">
        <v>0</v>
      </c>
      <c r="AA471" s="138"/>
      <c r="AB471" s="141"/>
      <c r="AC471" s="28"/>
      <c r="AD471" s="28"/>
      <c r="AE471" s="28"/>
      <c r="AF471" s="28"/>
      <c r="AG471" s="141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</row>
    <row r="472" spans="2:49" x14ac:dyDescent="0.3">
      <c r="F472" t="s">
        <v>2</v>
      </c>
      <c r="M472" s="10"/>
      <c r="N472" s="29"/>
      <c r="O472" s="31"/>
      <c r="P472" s="33"/>
      <c r="Q472" s="7"/>
      <c r="R472" s="8"/>
      <c r="S472" s="8"/>
      <c r="T472" s="8"/>
      <c r="U472" s="8"/>
      <c r="V472" s="7"/>
      <c r="W472" s="28"/>
      <c r="X472" s="138" t="s">
        <v>56</v>
      </c>
      <c r="Y472" s="138">
        <v>0</v>
      </c>
      <c r="Z472" s="141">
        <v>0</v>
      </c>
      <c r="AA472" s="138"/>
      <c r="AB472" s="141"/>
      <c r="AC472" s="28"/>
      <c r="AD472" s="28" t="s">
        <v>173</v>
      </c>
      <c r="AE472" s="28"/>
      <c r="AF472" s="28"/>
      <c r="AG472" s="141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</row>
    <row r="473" spans="2:49" x14ac:dyDescent="0.3">
      <c r="D473" t="s">
        <v>12</v>
      </c>
      <c r="L473" t="s">
        <v>6</v>
      </c>
      <c r="M473" s="36" t="s">
        <v>63</v>
      </c>
      <c r="N473" s="10">
        <v>26</v>
      </c>
      <c r="O473" s="18">
        <v>49</v>
      </c>
      <c r="P473" s="42"/>
      <c r="Q473" s="11"/>
      <c r="R473" s="18"/>
      <c r="S473" s="18" t="s">
        <v>110</v>
      </c>
      <c r="T473" s="18" t="s">
        <v>111</v>
      </c>
      <c r="U473" s="18" t="s">
        <v>112</v>
      </c>
      <c r="V473" s="11"/>
      <c r="W473" s="28"/>
      <c r="X473" s="138" t="s">
        <v>67</v>
      </c>
      <c r="Y473" s="138">
        <v>0</v>
      </c>
      <c r="Z473" s="141">
        <v>0</v>
      </c>
      <c r="AA473" s="138"/>
      <c r="AB473" s="141"/>
      <c r="AC473" s="28"/>
      <c r="AD473" s="28"/>
      <c r="AE473" s="28"/>
      <c r="AF473" s="28"/>
      <c r="AG473" s="141"/>
      <c r="AL473" s="28"/>
      <c r="AM473" s="28"/>
      <c r="AN473" s="28"/>
      <c r="AO473" s="28"/>
      <c r="AP473" s="28"/>
      <c r="AQ473" s="28"/>
      <c r="AR473" s="28"/>
      <c r="AS473" s="28"/>
      <c r="AT473" s="322"/>
      <c r="AU473" s="28"/>
    </row>
    <row r="474" spans="2:49" x14ac:dyDescent="0.3">
      <c r="F474" t="s">
        <v>505</v>
      </c>
      <c r="K474" s="5"/>
      <c r="M474" s="10" t="s">
        <v>115</v>
      </c>
      <c r="N474" s="36">
        <v>50</v>
      </c>
      <c r="O474" s="37">
        <v>39</v>
      </c>
      <c r="P474" s="42"/>
      <c r="Q474" s="11"/>
      <c r="R474" s="18"/>
      <c r="S474" s="18"/>
      <c r="T474" s="18"/>
      <c r="U474" s="18"/>
      <c r="V474" s="11"/>
      <c r="W474" s="28"/>
      <c r="X474" s="138" t="s">
        <v>78</v>
      </c>
      <c r="Y474" s="138">
        <v>0</v>
      </c>
      <c r="Z474" s="141">
        <v>0</v>
      </c>
      <c r="AA474" s="138"/>
      <c r="AB474" s="141"/>
      <c r="AC474" s="28"/>
      <c r="AD474" s="28">
        <v>0</v>
      </c>
      <c r="AE474" s="28" t="s">
        <v>183</v>
      </c>
      <c r="AF474" s="28"/>
      <c r="AG474" s="141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</row>
    <row r="475" spans="2:49" ht="15" thickBot="1" x14ac:dyDescent="0.35">
      <c r="J475" s="5" t="s">
        <v>26</v>
      </c>
      <c r="M475" s="52" t="s">
        <v>72</v>
      </c>
      <c r="N475" s="52">
        <v>0</v>
      </c>
      <c r="O475" s="54">
        <v>6</v>
      </c>
      <c r="P475" s="42"/>
      <c r="Q475" s="40"/>
      <c r="R475" s="28"/>
      <c r="S475" s="28"/>
      <c r="T475" s="28"/>
      <c r="U475" s="28"/>
      <c r="V475" s="40"/>
      <c r="W475" s="28"/>
      <c r="X475" s="138" t="s">
        <v>115</v>
      </c>
      <c r="Y475" s="138">
        <v>0</v>
      </c>
      <c r="Z475" s="141">
        <v>0</v>
      </c>
      <c r="AA475" s="138"/>
      <c r="AB475" s="141"/>
      <c r="AC475" s="28"/>
      <c r="AD475" s="28" t="s">
        <v>6</v>
      </c>
      <c r="AE475" s="28"/>
      <c r="AF475" s="28"/>
      <c r="AG475" s="141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</row>
    <row r="476" spans="2:49" x14ac:dyDescent="0.3">
      <c r="B476" s="6" t="s">
        <v>17</v>
      </c>
      <c r="C476" s="6" t="s">
        <v>39</v>
      </c>
      <c r="D476" s="7"/>
      <c r="E476" s="6" t="s">
        <v>29</v>
      </c>
      <c r="F476" s="7" t="s">
        <v>30</v>
      </c>
      <c r="G476" s="8" t="s">
        <v>40</v>
      </c>
      <c r="H476" s="8"/>
      <c r="I476" s="8"/>
      <c r="J476" s="8"/>
      <c r="K476" s="7"/>
      <c r="M476" s="36" t="s">
        <v>78</v>
      </c>
      <c r="N476" s="36">
        <v>84</v>
      </c>
      <c r="O476" s="37">
        <v>11</v>
      </c>
      <c r="P476" s="42"/>
      <c r="Q476" s="11"/>
      <c r="R476" s="18"/>
      <c r="S476" s="37"/>
      <c r="T476" s="18"/>
      <c r="U476" s="37"/>
      <c r="V476" s="11"/>
      <c r="W476" s="28"/>
      <c r="X476" s="138" t="s">
        <v>72</v>
      </c>
      <c r="Y476" s="138">
        <v>0</v>
      </c>
      <c r="Z476" s="141">
        <v>0</v>
      </c>
      <c r="AA476" s="138"/>
      <c r="AB476" s="141"/>
      <c r="AC476" s="28"/>
      <c r="AD476" s="28"/>
      <c r="AE476" s="28"/>
      <c r="AF476" s="28"/>
      <c r="AG476" s="141"/>
      <c r="AO476" t="s">
        <v>4</v>
      </c>
    </row>
    <row r="477" spans="2:49" ht="15" thickBot="1" x14ac:dyDescent="0.35">
      <c r="B477" s="13" t="s">
        <v>42</v>
      </c>
      <c r="C477" s="10" t="s">
        <v>43</v>
      </c>
      <c r="D477" s="11" t="s">
        <v>44</v>
      </c>
      <c r="E477" s="13" t="s">
        <v>43</v>
      </c>
      <c r="F477" s="26" t="s">
        <v>44</v>
      </c>
      <c r="G477" s="27"/>
      <c r="H477" s="27"/>
      <c r="I477" s="27"/>
      <c r="J477" s="27"/>
      <c r="K477" s="26"/>
      <c r="M477" s="10" t="s">
        <v>122</v>
      </c>
      <c r="N477" s="36">
        <v>11</v>
      </c>
      <c r="O477" s="37">
        <v>7</v>
      </c>
      <c r="P477" s="42"/>
      <c r="Q477" s="11"/>
      <c r="R477" s="18"/>
      <c r="S477" s="18">
        <v>20</v>
      </c>
      <c r="T477" s="18" t="s">
        <v>123</v>
      </c>
      <c r="U477" s="18"/>
      <c r="V477" s="11"/>
      <c r="W477" s="28" t="s">
        <v>6</v>
      </c>
      <c r="X477" s="142" t="s">
        <v>84</v>
      </c>
      <c r="Y477" s="142">
        <f>SUM(Y470:Y476)</f>
        <v>0</v>
      </c>
      <c r="Z477" s="146">
        <f>SUM(Z470:Z476)</f>
        <v>0</v>
      </c>
      <c r="AA477" s="142"/>
      <c r="AB477" s="146"/>
      <c r="AC477" s="143"/>
      <c r="AD477" s="143"/>
      <c r="AE477" s="143"/>
      <c r="AF477" s="143"/>
      <c r="AG477" s="146">
        <f>SUM(AD474)</f>
        <v>0</v>
      </c>
      <c r="AP477" t="s">
        <v>2</v>
      </c>
    </row>
    <row r="478" spans="2:49" x14ac:dyDescent="0.3">
      <c r="B478" s="6" t="s">
        <v>56</v>
      </c>
      <c r="C478" s="29">
        <v>922</v>
      </c>
      <c r="D478" s="30">
        <v>1065</v>
      </c>
      <c r="G478" s="6"/>
      <c r="H478" s="8"/>
      <c r="I478" s="31" t="s">
        <v>57</v>
      </c>
      <c r="J478" s="8"/>
      <c r="K478" s="7"/>
      <c r="L478" s="28"/>
      <c r="M478" s="10" t="s">
        <v>125</v>
      </c>
      <c r="N478" s="36">
        <v>0</v>
      </c>
      <c r="O478" s="37">
        <v>0</v>
      </c>
      <c r="P478" s="42"/>
      <c r="Q478" s="11"/>
      <c r="R478" s="18"/>
      <c r="S478" s="18">
        <v>33</v>
      </c>
      <c r="T478" s="18" t="s">
        <v>126</v>
      </c>
      <c r="U478" s="18"/>
      <c r="V478" s="11"/>
      <c r="W478" s="28"/>
      <c r="X478" s="134"/>
      <c r="Y478" s="134"/>
      <c r="Z478" s="136"/>
      <c r="AA478" s="134"/>
      <c r="AB478" s="136"/>
      <c r="AC478" s="135"/>
      <c r="AD478" s="135"/>
      <c r="AE478" s="135"/>
      <c r="AF478" s="135"/>
      <c r="AG478" s="136"/>
      <c r="AN478" t="s">
        <v>12</v>
      </c>
    </row>
    <row r="479" spans="2:49" x14ac:dyDescent="0.3">
      <c r="B479" s="36" t="s">
        <v>63</v>
      </c>
      <c r="C479" s="36">
        <v>17</v>
      </c>
      <c r="D479" s="39">
        <v>17</v>
      </c>
      <c r="F479" s="18"/>
      <c r="G479" s="10"/>
      <c r="H479" s="18"/>
      <c r="I479" s="18"/>
      <c r="J479" s="18"/>
      <c r="K479" s="11"/>
      <c r="L479" s="28"/>
      <c r="M479" s="84" t="s">
        <v>128</v>
      </c>
      <c r="N479" s="52">
        <v>0</v>
      </c>
      <c r="O479" s="37">
        <v>0</v>
      </c>
      <c r="P479" s="42"/>
      <c r="Q479" s="40"/>
      <c r="R479" s="28"/>
      <c r="S479" s="28">
        <v>34</v>
      </c>
      <c r="T479" s="28" t="s">
        <v>129</v>
      </c>
      <c r="U479" s="28"/>
      <c r="V479" s="40"/>
      <c r="W479" s="28"/>
      <c r="X479" s="138" t="s">
        <v>63</v>
      </c>
      <c r="Y479" s="138">
        <v>10</v>
      </c>
      <c r="Z479" s="141">
        <f>3+8</f>
        <v>11</v>
      </c>
      <c r="AA479" s="138"/>
      <c r="AB479" s="141"/>
      <c r="AC479" s="28"/>
      <c r="AD479" s="28" t="s">
        <v>140</v>
      </c>
      <c r="AE479" s="28"/>
      <c r="AF479" s="28"/>
      <c r="AG479" s="141"/>
      <c r="AP479" t="s">
        <v>1652</v>
      </c>
    </row>
    <row r="480" spans="2:49" x14ac:dyDescent="0.3">
      <c r="B480" s="36" t="s">
        <v>67</v>
      </c>
      <c r="C480" s="36">
        <v>373</v>
      </c>
      <c r="D480" s="39">
        <v>321</v>
      </c>
      <c r="F480" s="18"/>
      <c r="G480" s="10"/>
      <c r="H480" s="37">
        <v>104</v>
      </c>
      <c r="I480" s="37" t="s">
        <v>68</v>
      </c>
      <c r="J480" s="18"/>
      <c r="K480" s="11"/>
      <c r="L480" s="28"/>
      <c r="M480" s="84" t="s">
        <v>132</v>
      </c>
      <c r="N480" s="42">
        <v>0</v>
      </c>
      <c r="O480" s="37">
        <v>0</v>
      </c>
      <c r="P480" s="42"/>
      <c r="Q480" s="40"/>
      <c r="R480" s="28"/>
      <c r="S480" s="28"/>
      <c r="T480" s="28"/>
      <c r="U480" s="28"/>
      <c r="V480" s="40"/>
      <c r="W480" s="28"/>
      <c r="X480" s="138" t="s">
        <v>78</v>
      </c>
      <c r="Y480" s="138">
        <f>5+2+27</f>
        <v>34</v>
      </c>
      <c r="Z480" s="141">
        <f>6+9</f>
        <v>15</v>
      </c>
      <c r="AA480" s="138"/>
      <c r="AB480" s="141"/>
      <c r="AC480" s="28"/>
      <c r="AD480" s="28">
        <v>19</v>
      </c>
      <c r="AE480" s="28" t="s">
        <v>204</v>
      </c>
      <c r="AF480" s="28"/>
      <c r="AG480" s="141"/>
      <c r="AT480" s="194" t="s">
        <v>951</v>
      </c>
    </row>
    <row r="481" spans="2:47" x14ac:dyDescent="0.3">
      <c r="B481" s="36" t="s">
        <v>72</v>
      </c>
      <c r="C481" s="36">
        <v>0</v>
      </c>
      <c r="D481" s="39">
        <v>0</v>
      </c>
      <c r="F481" s="18"/>
      <c r="G481" s="10"/>
      <c r="H481" s="37">
        <v>6</v>
      </c>
      <c r="I481" s="37" t="s">
        <v>73</v>
      </c>
      <c r="J481" s="18"/>
      <c r="K481" s="11"/>
      <c r="L481" s="28"/>
      <c r="M481" s="84" t="s">
        <v>81</v>
      </c>
      <c r="N481" s="42">
        <v>8</v>
      </c>
      <c r="O481" s="37">
        <v>5</v>
      </c>
      <c r="P481" s="42"/>
      <c r="Q481" s="40"/>
      <c r="R481" s="28"/>
      <c r="S481" s="28"/>
      <c r="T481" s="28"/>
      <c r="U481" s="28"/>
      <c r="V481" s="40"/>
      <c r="W481" s="45"/>
      <c r="X481" s="138" t="s">
        <v>209</v>
      </c>
      <c r="Y481" s="138">
        <v>0</v>
      </c>
      <c r="Z481" s="141">
        <v>0</v>
      </c>
      <c r="AA481" s="138"/>
      <c r="AB481" s="141"/>
      <c r="AC481" s="28"/>
      <c r="AD481" s="28">
        <v>1</v>
      </c>
      <c r="AE481" s="28" t="s">
        <v>1101</v>
      </c>
      <c r="AF481" s="28"/>
      <c r="AG481" s="141"/>
      <c r="AL481" s="134" t="s">
        <v>17</v>
      </c>
      <c r="AM481" s="134" t="s">
        <v>39</v>
      </c>
      <c r="AN481" s="136"/>
      <c r="AO481" s="134" t="s">
        <v>29</v>
      </c>
      <c r="AP481" s="136" t="s">
        <v>30</v>
      </c>
      <c r="AQ481" s="135" t="s">
        <v>40</v>
      </c>
      <c r="AR481" s="135"/>
      <c r="AS481" s="135"/>
      <c r="AT481" s="135"/>
      <c r="AU481" s="136"/>
    </row>
    <row r="482" spans="2:47" x14ac:dyDescent="0.3">
      <c r="B482" s="36" t="s">
        <v>78</v>
      </c>
      <c r="C482" s="36">
        <v>0</v>
      </c>
      <c r="D482" s="39">
        <v>0</v>
      </c>
      <c r="F482" s="18"/>
      <c r="G482" s="10"/>
      <c r="H482" s="37"/>
      <c r="I482" s="37"/>
      <c r="J482" s="18" t="s">
        <v>6</v>
      </c>
      <c r="K482" s="11"/>
      <c r="L482" s="28"/>
      <c r="M482" s="10" t="s">
        <v>138</v>
      </c>
      <c r="N482" s="36">
        <v>0</v>
      </c>
      <c r="O482" s="37">
        <v>0</v>
      </c>
      <c r="P482" s="42"/>
      <c r="Q482" s="11"/>
      <c r="R482" s="18"/>
      <c r="S482" s="18"/>
      <c r="T482" s="18"/>
      <c r="U482" s="18"/>
      <c r="V482" s="11"/>
      <c r="W482" s="28"/>
      <c r="X482" s="138" t="s">
        <v>168</v>
      </c>
      <c r="Y482" s="138">
        <v>0</v>
      </c>
      <c r="Z482" s="141">
        <v>0</v>
      </c>
      <c r="AA482" s="138"/>
      <c r="AB482" s="141"/>
      <c r="AC482" s="28"/>
      <c r="AD482" s="28">
        <f>4+18</f>
        <v>22</v>
      </c>
      <c r="AE482" s="28" t="s">
        <v>213</v>
      </c>
      <c r="AF482" s="28" t="s">
        <v>6</v>
      </c>
      <c r="AG482" s="141"/>
      <c r="AL482" s="138" t="s">
        <v>42</v>
      </c>
      <c r="AM482" s="138" t="s">
        <v>43</v>
      </c>
      <c r="AN482" s="141" t="s">
        <v>44</v>
      </c>
      <c r="AO482" s="138" t="s">
        <v>43</v>
      </c>
      <c r="AP482" s="141" t="s">
        <v>44</v>
      </c>
      <c r="AQ482" s="28"/>
      <c r="AR482" s="28"/>
      <c r="AS482" s="28"/>
      <c r="AT482" s="28"/>
      <c r="AU482" s="141"/>
    </row>
    <row r="483" spans="2:47" x14ac:dyDescent="0.3">
      <c r="B483" s="52" t="s">
        <v>81</v>
      </c>
      <c r="C483" s="36">
        <v>0</v>
      </c>
      <c r="D483" s="39">
        <v>0</v>
      </c>
      <c r="G483" s="42"/>
      <c r="H483" s="28"/>
      <c r="I483" s="28"/>
      <c r="J483" s="28"/>
      <c r="K483" s="40"/>
      <c r="L483" s="28"/>
      <c r="M483" s="84" t="s">
        <v>56</v>
      </c>
      <c r="N483" s="42">
        <v>18</v>
      </c>
      <c r="O483" s="54">
        <v>14</v>
      </c>
      <c r="P483" s="42"/>
      <c r="Q483" s="40"/>
      <c r="R483" s="28"/>
      <c r="S483" s="28"/>
      <c r="T483" s="28"/>
      <c r="U483" s="28"/>
      <c r="V483" s="40"/>
      <c r="W483" s="28"/>
      <c r="X483" s="138" t="s">
        <v>81</v>
      </c>
      <c r="Y483" s="138">
        <v>3</v>
      </c>
      <c r="Z483" s="141">
        <v>5</v>
      </c>
      <c r="AA483" s="138"/>
      <c r="AB483" s="141"/>
      <c r="AC483" s="28"/>
      <c r="AD483" s="43">
        <v>0</v>
      </c>
      <c r="AE483" s="28" t="s">
        <v>1038</v>
      </c>
      <c r="AF483" s="28"/>
      <c r="AG483" s="141" t="s">
        <v>6</v>
      </c>
      <c r="AL483" s="134"/>
      <c r="AM483" s="134"/>
      <c r="AN483" s="136"/>
      <c r="AO483" s="134"/>
      <c r="AP483" s="136"/>
      <c r="AQ483" s="135"/>
      <c r="AR483" s="135"/>
      <c r="AS483" s="135"/>
      <c r="AT483" s="135"/>
      <c r="AU483" s="136"/>
    </row>
    <row r="484" spans="2:47" x14ac:dyDescent="0.3">
      <c r="B484" s="52" t="s">
        <v>115</v>
      </c>
      <c r="C484" s="52">
        <v>0</v>
      </c>
      <c r="D484" s="86">
        <v>0</v>
      </c>
      <c r="G484" s="42"/>
      <c r="H484" s="28"/>
      <c r="I484" s="28"/>
      <c r="J484" s="28"/>
      <c r="K484" s="40"/>
      <c r="L484" s="28"/>
      <c r="M484" s="36" t="s">
        <v>67</v>
      </c>
      <c r="N484" s="10">
        <v>81</v>
      </c>
      <c r="O484" s="18">
        <v>68</v>
      </c>
      <c r="P484" s="42"/>
      <c r="Q484" s="11"/>
      <c r="R484" s="18"/>
      <c r="S484" s="18"/>
      <c r="T484" s="18"/>
      <c r="U484" s="18"/>
      <c r="V484" s="11"/>
      <c r="W484" s="28"/>
      <c r="X484" s="138" t="s">
        <v>72</v>
      </c>
      <c r="Y484" s="138">
        <f>3+10</f>
        <v>13</v>
      </c>
      <c r="Z484" s="141">
        <v>10</v>
      </c>
      <c r="AA484" s="138"/>
      <c r="AB484" s="141"/>
      <c r="AC484" s="28"/>
      <c r="AD484" s="43">
        <v>10</v>
      </c>
      <c r="AE484" s="43" t="s">
        <v>655</v>
      </c>
      <c r="AF484" s="28"/>
      <c r="AG484" s="141"/>
      <c r="AL484" s="138"/>
      <c r="AM484" s="138"/>
      <c r="AN484" s="141"/>
      <c r="AO484" s="138"/>
      <c r="AP484" s="141"/>
      <c r="AQ484" s="28"/>
      <c r="AR484" s="28" t="s">
        <v>91</v>
      </c>
      <c r="AS484" s="28"/>
      <c r="AT484" s="28"/>
      <c r="AU484" s="141"/>
    </row>
    <row r="485" spans="2:47" ht="15" thickBot="1" x14ac:dyDescent="0.35">
      <c r="B485" s="13" t="s">
        <v>84</v>
      </c>
      <c r="C485" s="13">
        <f>SUM(C478:C484)</f>
        <v>1312</v>
      </c>
      <c r="D485" s="26">
        <f>SUM(D478:D484)</f>
        <v>1403</v>
      </c>
      <c r="F485" s="18"/>
      <c r="G485" s="13"/>
      <c r="H485" s="27"/>
      <c r="I485" s="27"/>
      <c r="J485" s="27"/>
      <c r="K485" s="26">
        <f>SUM(H480:H481)</f>
        <v>110</v>
      </c>
      <c r="L485" s="28"/>
      <c r="M485" s="13" t="s">
        <v>84</v>
      </c>
      <c r="N485" s="13">
        <f>SUM(N473:N484)</f>
        <v>278</v>
      </c>
      <c r="O485" s="27">
        <f>SUM(O473:O484)</f>
        <v>199</v>
      </c>
      <c r="P485" s="47"/>
      <c r="Q485" s="26">
        <f>SUM(Q477:Q484)</f>
        <v>0</v>
      </c>
      <c r="R485" s="27"/>
      <c r="S485" s="27"/>
      <c r="T485" s="27"/>
      <c r="U485" s="27"/>
      <c r="V485" s="26">
        <f>SUM(S477:S479)</f>
        <v>87</v>
      </c>
      <c r="W485" s="28"/>
      <c r="X485" s="138" t="s">
        <v>115</v>
      </c>
      <c r="Y485" s="138">
        <v>6</v>
      </c>
      <c r="Z485" s="141">
        <v>11</v>
      </c>
      <c r="AA485" s="138"/>
      <c r="AB485" s="141"/>
      <c r="AC485" s="28"/>
      <c r="AD485" s="43">
        <v>2</v>
      </c>
      <c r="AE485" s="43" t="s">
        <v>244</v>
      </c>
      <c r="AF485" s="28"/>
      <c r="AG485" s="141"/>
      <c r="AL485" s="138" t="s">
        <v>56</v>
      </c>
      <c r="AM485" s="138">
        <v>1411</v>
      </c>
      <c r="AN485" s="141">
        <v>1537</v>
      </c>
      <c r="AO485" s="138"/>
      <c r="AP485" s="141"/>
      <c r="AQ485" s="28"/>
      <c r="AR485" s="28"/>
      <c r="AS485" s="28"/>
      <c r="AT485" s="28"/>
      <c r="AU485" s="141"/>
    </row>
    <row r="486" spans="2:47" x14ac:dyDescent="0.3">
      <c r="B486" s="32" t="s">
        <v>6</v>
      </c>
      <c r="C486" s="43"/>
      <c r="D486" s="54"/>
      <c r="E486" s="33"/>
      <c r="F486" s="35"/>
      <c r="G486" s="33"/>
      <c r="H486" s="34" t="s">
        <v>91</v>
      </c>
      <c r="I486" s="34"/>
      <c r="J486" s="34"/>
      <c r="K486" s="35"/>
      <c r="L486" s="28" t="s">
        <v>6</v>
      </c>
      <c r="M486" s="32"/>
      <c r="N486" s="53"/>
      <c r="O486" s="97"/>
      <c r="P486" s="33"/>
      <c r="Q486" s="7"/>
      <c r="R486" s="6"/>
      <c r="S486" s="8"/>
      <c r="T486" s="31"/>
      <c r="U486" s="8"/>
      <c r="V486" s="7"/>
      <c r="W486" s="28"/>
      <c r="X486" s="138" t="s">
        <v>56</v>
      </c>
      <c r="Y486" s="138">
        <v>9</v>
      </c>
      <c r="Z486" s="141">
        <f>9+3+21</f>
        <v>33</v>
      </c>
      <c r="AA486" s="138"/>
      <c r="AB486" s="141"/>
      <c r="AC486" s="28"/>
      <c r="AD486" s="43">
        <v>5</v>
      </c>
      <c r="AE486" s="43" t="s">
        <v>1112</v>
      </c>
      <c r="AF486" s="28"/>
      <c r="AG486" s="141"/>
      <c r="AL486" s="142" t="s">
        <v>6</v>
      </c>
      <c r="AM486" s="142"/>
      <c r="AN486" s="146"/>
      <c r="AO486" s="142"/>
      <c r="AP486" s="146"/>
      <c r="AQ486" s="143"/>
      <c r="AR486" s="143">
        <v>101</v>
      </c>
      <c r="AS486" s="143" t="s">
        <v>73</v>
      </c>
      <c r="AT486" s="143"/>
      <c r="AU486" s="146">
        <f>SUM(AR486)</f>
        <v>101</v>
      </c>
    </row>
    <row r="487" spans="2:47" ht="15" thickBot="1" x14ac:dyDescent="0.35">
      <c r="B487" s="41" t="s">
        <v>56</v>
      </c>
      <c r="C487" s="43">
        <v>902</v>
      </c>
      <c r="D487">
        <v>956</v>
      </c>
      <c r="E487" s="42"/>
      <c r="F487" s="40"/>
      <c r="G487" s="42"/>
      <c r="H487" s="28"/>
      <c r="I487" s="28"/>
      <c r="J487" s="28"/>
      <c r="K487" s="40"/>
      <c r="L487" s="28"/>
      <c r="M487" s="62"/>
      <c r="N487" s="72"/>
      <c r="O487" s="73"/>
      <c r="P487" s="47"/>
      <c r="Q487" s="49"/>
      <c r="R487" s="47"/>
      <c r="S487" s="48"/>
      <c r="T487" s="48"/>
      <c r="U487" s="48"/>
      <c r="V487" s="49"/>
      <c r="X487" s="138" t="s">
        <v>138</v>
      </c>
      <c r="Y487" s="138">
        <v>0</v>
      </c>
      <c r="Z487" s="141">
        <v>0</v>
      </c>
      <c r="AA487" s="138"/>
      <c r="AB487" s="141"/>
      <c r="AC487" s="28"/>
      <c r="AD487" s="43">
        <v>2</v>
      </c>
      <c r="AE487" s="43" t="s">
        <v>1116</v>
      </c>
      <c r="AF487" s="28"/>
      <c r="AG487" s="141"/>
      <c r="AL487" s="134"/>
      <c r="AM487" s="134"/>
      <c r="AN487" s="136"/>
      <c r="AO487" s="134"/>
      <c r="AP487" s="136"/>
      <c r="AQ487" s="135"/>
      <c r="AR487" s="135"/>
      <c r="AS487" s="135"/>
      <c r="AT487" s="135"/>
      <c r="AU487" s="136"/>
    </row>
    <row r="488" spans="2:47" ht="15" thickBot="1" x14ac:dyDescent="0.35">
      <c r="B488" s="62" t="s">
        <v>6</v>
      </c>
      <c r="C488" s="43"/>
      <c r="D488" s="43"/>
      <c r="E488" s="47"/>
      <c r="F488" s="49"/>
      <c r="G488" s="47"/>
      <c r="H488" s="48">
        <v>82</v>
      </c>
      <c r="I488" s="48" t="s">
        <v>73</v>
      </c>
      <c r="J488" s="48"/>
      <c r="K488" s="49">
        <f>SUM(H488)</f>
        <v>82</v>
      </c>
      <c r="L488" s="28" t="s">
        <v>6</v>
      </c>
      <c r="M488" s="67" t="s">
        <v>63</v>
      </c>
      <c r="N488" s="33">
        <v>2</v>
      </c>
      <c r="O488" s="35">
        <v>3</v>
      </c>
      <c r="R488" s="33"/>
      <c r="S488" s="34"/>
      <c r="T488" s="34"/>
      <c r="U488" s="34"/>
      <c r="V488" s="35"/>
      <c r="W488" s="28"/>
      <c r="X488" s="138" t="s">
        <v>67</v>
      </c>
      <c r="Y488" s="138">
        <f>25+3</f>
        <v>28</v>
      </c>
      <c r="Z488" s="141">
        <f>4+39</f>
        <v>43</v>
      </c>
      <c r="AA488" s="138"/>
      <c r="AB488" s="141"/>
      <c r="AC488" s="28"/>
      <c r="AD488" s="43">
        <v>43</v>
      </c>
      <c r="AE488" s="43" t="s">
        <v>215</v>
      </c>
      <c r="AF488" s="28"/>
      <c r="AG488" s="141"/>
      <c r="AL488" s="138" t="s">
        <v>63</v>
      </c>
      <c r="AM488" s="138">
        <v>17</v>
      </c>
      <c r="AN488" s="141">
        <v>24</v>
      </c>
      <c r="AO488" s="138"/>
      <c r="AP488" s="141"/>
      <c r="AQ488" s="28"/>
      <c r="AR488" s="28" t="s">
        <v>110</v>
      </c>
      <c r="AS488" s="28" t="s">
        <v>111</v>
      </c>
      <c r="AT488" s="28" t="s">
        <v>112</v>
      </c>
      <c r="AU488" s="141"/>
    </row>
    <row r="489" spans="2:47" x14ac:dyDescent="0.3">
      <c r="B489" s="10"/>
      <c r="C489" s="29"/>
      <c r="D489" s="31"/>
      <c r="E489" s="33"/>
      <c r="F489" s="7"/>
      <c r="G489" s="8"/>
      <c r="H489" s="8"/>
      <c r="I489" s="8"/>
      <c r="J489" s="8"/>
      <c r="K489" s="7"/>
      <c r="L489" s="28"/>
      <c r="M489" s="67" t="s">
        <v>716</v>
      </c>
      <c r="N489" s="42">
        <v>0</v>
      </c>
      <c r="O489" s="40">
        <v>0</v>
      </c>
      <c r="R489" s="42"/>
      <c r="S489" s="28"/>
      <c r="T489" s="28"/>
      <c r="U489" s="28"/>
      <c r="V489" s="40"/>
      <c r="W489" s="28"/>
      <c r="X489" s="138" t="s">
        <v>122</v>
      </c>
      <c r="Y489" s="138">
        <v>26</v>
      </c>
      <c r="Z489" s="141">
        <v>0</v>
      </c>
      <c r="AA489" s="138"/>
      <c r="AB489" s="141"/>
      <c r="AC489" s="28"/>
      <c r="AD489" s="43">
        <v>3</v>
      </c>
      <c r="AE489" s="28" t="s">
        <v>618</v>
      </c>
      <c r="AF489" s="28"/>
      <c r="AG489" s="141"/>
      <c r="AL489" s="138" t="s">
        <v>115</v>
      </c>
      <c r="AM489" s="138">
        <v>13</v>
      </c>
      <c r="AN489" s="141">
        <v>19</v>
      </c>
      <c r="AO489" s="138"/>
      <c r="AP489" s="141"/>
      <c r="AQ489" s="28"/>
      <c r="AR489" s="28"/>
      <c r="AS489" s="28"/>
      <c r="AT489" s="28"/>
      <c r="AU489" s="141"/>
    </row>
    <row r="490" spans="2:47" x14ac:dyDescent="0.3">
      <c r="B490" s="36" t="s">
        <v>63</v>
      </c>
      <c r="C490" s="10">
        <v>39</v>
      </c>
      <c r="D490" s="18">
        <v>70</v>
      </c>
      <c r="E490" s="42"/>
      <c r="F490" s="11"/>
      <c r="G490" s="18"/>
      <c r="H490" s="18" t="s">
        <v>110</v>
      </c>
      <c r="I490" s="18" t="s">
        <v>111</v>
      </c>
      <c r="J490" s="18" t="s">
        <v>112</v>
      </c>
      <c r="K490" s="11"/>
      <c r="L490" s="45"/>
      <c r="M490" s="52" t="s">
        <v>56</v>
      </c>
      <c r="N490" s="52">
        <v>2</v>
      </c>
      <c r="O490" s="85">
        <v>5</v>
      </c>
      <c r="P490" s="28"/>
      <c r="Q490" s="28"/>
      <c r="R490" s="42"/>
      <c r="S490" s="28" t="s">
        <v>173</v>
      </c>
      <c r="T490" s="28"/>
      <c r="U490" s="28"/>
      <c r="V490" s="40"/>
      <c r="W490" s="28"/>
      <c r="X490" s="138" t="s">
        <v>227</v>
      </c>
      <c r="Y490" s="138">
        <v>0</v>
      </c>
      <c r="Z490" s="141">
        <v>0</v>
      </c>
      <c r="AA490" s="138"/>
      <c r="AB490" s="141"/>
      <c r="AC490" s="28"/>
      <c r="AD490" s="43">
        <v>1</v>
      </c>
      <c r="AE490" s="28" t="s">
        <v>1117</v>
      </c>
      <c r="AF490" s="28"/>
      <c r="AG490" s="141"/>
      <c r="AL490" s="138" t="s">
        <v>72</v>
      </c>
      <c r="AM490" s="138">
        <v>7</v>
      </c>
      <c r="AN490" s="141">
        <v>6</v>
      </c>
      <c r="AO490" s="138"/>
      <c r="AP490" s="141"/>
      <c r="AQ490" s="28"/>
      <c r="AR490" s="28"/>
      <c r="AS490" s="28"/>
      <c r="AT490" s="28"/>
      <c r="AU490" s="141"/>
    </row>
    <row r="491" spans="2:47" x14ac:dyDescent="0.3">
      <c r="B491" s="10" t="s">
        <v>115</v>
      </c>
      <c r="C491" s="36">
        <v>36</v>
      </c>
      <c r="D491" s="37">
        <v>34</v>
      </c>
      <c r="E491" s="42"/>
      <c r="F491" s="11"/>
      <c r="G491" s="18"/>
      <c r="H491" s="18"/>
      <c r="I491" s="18"/>
      <c r="J491" s="18"/>
      <c r="K491" s="11"/>
      <c r="L491" s="28"/>
      <c r="M491" s="52" t="s">
        <v>67</v>
      </c>
      <c r="N491" s="52">
        <v>9</v>
      </c>
      <c r="O491" s="56">
        <v>8</v>
      </c>
      <c r="R491" s="42"/>
      <c r="S491" s="28">
        <v>0</v>
      </c>
      <c r="T491" s="28" t="s">
        <v>213</v>
      </c>
      <c r="U491" s="28"/>
      <c r="V491" s="40"/>
      <c r="W491" s="28"/>
      <c r="X491" s="138" t="s">
        <v>230</v>
      </c>
      <c r="Y491" s="138">
        <v>4</v>
      </c>
      <c r="Z491" s="141">
        <v>4</v>
      </c>
      <c r="AA491" s="138"/>
      <c r="AB491" s="141"/>
      <c r="AC491" s="28"/>
      <c r="AD491" s="43"/>
      <c r="AE491" s="28"/>
      <c r="AF491" s="28"/>
      <c r="AG491" s="141"/>
      <c r="AL491" s="138" t="s">
        <v>78</v>
      </c>
      <c r="AM491" s="138">
        <v>11</v>
      </c>
      <c r="AN491" s="141">
        <v>0</v>
      </c>
      <c r="AO491" s="138"/>
      <c r="AP491" s="141"/>
      <c r="AQ491" s="28"/>
      <c r="AR491" s="28"/>
      <c r="AS491" s="28"/>
      <c r="AT491" s="28"/>
      <c r="AU491" s="141"/>
    </row>
    <row r="492" spans="2:47" x14ac:dyDescent="0.3">
      <c r="B492" s="52" t="s">
        <v>72</v>
      </c>
      <c r="C492" s="52">
        <v>6</v>
      </c>
      <c r="D492" s="54"/>
      <c r="E492" s="42"/>
      <c r="F492" s="40"/>
      <c r="G492" s="28"/>
      <c r="H492" s="28"/>
      <c r="I492" s="28"/>
      <c r="J492" s="28"/>
      <c r="K492" s="40"/>
      <c r="L492" s="28"/>
      <c r="M492" s="10" t="s">
        <v>78</v>
      </c>
      <c r="N492" s="52">
        <v>1</v>
      </c>
      <c r="O492" s="85">
        <v>1</v>
      </c>
      <c r="P492" s="28"/>
      <c r="Q492" s="28"/>
      <c r="R492" s="42"/>
      <c r="S492" s="28">
        <v>18</v>
      </c>
      <c r="T492" s="28" t="s">
        <v>183</v>
      </c>
      <c r="U492" s="28"/>
      <c r="V492" s="40"/>
      <c r="W492" s="28"/>
      <c r="X492" s="138" t="s">
        <v>125</v>
      </c>
      <c r="Y492" s="138">
        <v>0</v>
      </c>
      <c r="Z492" s="141">
        <v>0</v>
      </c>
      <c r="AA492" s="138"/>
      <c r="AB492" s="141"/>
      <c r="AC492" s="28"/>
      <c r="AD492" s="43"/>
      <c r="AE492" s="28"/>
      <c r="AF492" s="28"/>
      <c r="AG492" s="141"/>
      <c r="AL492" s="138" t="s">
        <v>122</v>
      </c>
      <c r="AM492" s="138">
        <v>13</v>
      </c>
      <c r="AN492" s="141">
        <v>18</v>
      </c>
      <c r="AO492" s="138"/>
      <c r="AP492" s="141"/>
      <c r="AQ492" s="28"/>
      <c r="AR492" s="28">
        <v>35</v>
      </c>
      <c r="AS492" s="28" t="s">
        <v>123</v>
      </c>
      <c r="AT492" s="28" t="s">
        <v>6</v>
      </c>
      <c r="AU492" s="141"/>
    </row>
    <row r="493" spans="2:47" x14ac:dyDescent="0.3">
      <c r="B493" s="36" t="s">
        <v>78</v>
      </c>
      <c r="C493" s="36">
        <v>80</v>
      </c>
      <c r="D493" s="37">
        <v>16</v>
      </c>
      <c r="E493" s="42"/>
      <c r="F493" s="11"/>
      <c r="G493" s="18"/>
      <c r="H493" s="37"/>
      <c r="I493" s="18"/>
      <c r="J493" s="37"/>
      <c r="K493" s="11"/>
      <c r="L493" s="28"/>
      <c r="M493" s="52" t="s">
        <v>115</v>
      </c>
      <c r="N493" s="52">
        <v>0</v>
      </c>
      <c r="O493" s="85">
        <v>0</v>
      </c>
      <c r="P493" s="28"/>
      <c r="Q493" s="28"/>
      <c r="R493" s="42"/>
      <c r="S493" s="28" t="s">
        <v>6</v>
      </c>
      <c r="T493" s="28"/>
      <c r="U493" s="28"/>
      <c r="V493" s="40"/>
      <c r="W493" s="28"/>
      <c r="X493" s="138" t="s">
        <v>132</v>
      </c>
      <c r="Y493" s="138">
        <v>0</v>
      </c>
      <c r="Z493" s="141">
        <v>0</v>
      </c>
      <c r="AA493" s="138" t="s">
        <v>6</v>
      </c>
      <c r="AB493" s="141"/>
      <c r="AC493" s="28"/>
      <c r="AD493" s="43"/>
      <c r="AE493" s="28"/>
      <c r="AF493" s="28"/>
      <c r="AG493" s="141"/>
      <c r="AL493" s="138" t="s">
        <v>125</v>
      </c>
      <c r="AM493" s="138">
        <v>0</v>
      </c>
      <c r="AN493" s="141">
        <v>0</v>
      </c>
      <c r="AO493" s="138"/>
      <c r="AP493" s="141"/>
      <c r="AQ493" s="28"/>
      <c r="AR493" s="28">
        <v>2</v>
      </c>
      <c r="AS493" s="28" t="s">
        <v>126</v>
      </c>
      <c r="AT493" s="28"/>
      <c r="AU493" s="141"/>
    </row>
    <row r="494" spans="2:47" x14ac:dyDescent="0.3">
      <c r="B494" s="10" t="s">
        <v>122</v>
      </c>
      <c r="C494" s="36">
        <v>9</v>
      </c>
      <c r="D494" s="37">
        <v>7</v>
      </c>
      <c r="E494" s="42"/>
      <c r="F494" s="11"/>
      <c r="G494" s="18"/>
      <c r="H494" s="18">
        <v>2</v>
      </c>
      <c r="I494" s="18" t="s">
        <v>123</v>
      </c>
      <c r="J494" s="18"/>
      <c r="K494" s="11"/>
      <c r="L494" s="28"/>
      <c r="M494" s="52" t="s">
        <v>72</v>
      </c>
      <c r="N494" s="52">
        <v>1</v>
      </c>
      <c r="O494" s="85">
        <v>1</v>
      </c>
      <c r="R494" s="42"/>
      <c r="S494" s="28"/>
      <c r="T494" s="28"/>
      <c r="U494" s="28"/>
      <c r="V494" s="40"/>
      <c r="W494" s="28"/>
      <c r="X494" s="138" t="s">
        <v>992</v>
      </c>
      <c r="Y494" s="138">
        <v>0</v>
      </c>
      <c r="Z494" s="141">
        <v>0</v>
      </c>
      <c r="AA494" s="138"/>
      <c r="AB494" s="141"/>
      <c r="AC494" s="28"/>
      <c r="AD494" s="43"/>
      <c r="AE494" s="28"/>
      <c r="AF494" s="28"/>
      <c r="AG494" s="141"/>
      <c r="AL494" s="138" t="s">
        <v>536</v>
      </c>
      <c r="AM494" s="138">
        <v>0</v>
      </c>
      <c r="AN494" s="141">
        <v>0</v>
      </c>
      <c r="AO494" s="138"/>
      <c r="AP494" s="141"/>
      <c r="AQ494" s="28"/>
      <c r="AR494" s="28">
        <v>33</v>
      </c>
      <c r="AS494" s="28" t="s">
        <v>129</v>
      </c>
      <c r="AT494" s="28" t="s">
        <v>6</v>
      </c>
      <c r="AU494" s="141"/>
    </row>
    <row r="495" spans="2:47" ht="15" thickBot="1" x14ac:dyDescent="0.35">
      <c r="B495" s="10" t="s">
        <v>125</v>
      </c>
      <c r="C495" s="36">
        <v>13</v>
      </c>
      <c r="D495" s="37">
        <v>14</v>
      </c>
      <c r="E495" s="42"/>
      <c r="F495" s="11"/>
      <c r="G495" s="18"/>
      <c r="H495" s="18">
        <v>32</v>
      </c>
      <c r="I495" s="18" t="s">
        <v>126</v>
      </c>
      <c r="J495" s="18"/>
      <c r="K495" s="11"/>
      <c r="L495" s="28"/>
      <c r="M495" s="52" t="s">
        <v>84</v>
      </c>
      <c r="N495" s="47">
        <f>SUM(N488:N494)</f>
        <v>15</v>
      </c>
      <c r="O495" s="49">
        <f>SUM(O488:O494)</f>
        <v>18</v>
      </c>
      <c r="P495" s="28"/>
      <c r="Q495" s="28"/>
      <c r="R495" s="47"/>
      <c r="S495" s="48"/>
      <c r="T495" s="48"/>
      <c r="U495" s="48"/>
      <c r="V495" s="49">
        <f>SUM(S492)</f>
        <v>18</v>
      </c>
      <c r="W495" s="28"/>
      <c r="X495" s="138" t="s">
        <v>84</v>
      </c>
      <c r="Y495" s="138">
        <f>SUM(Y479:Y494)</f>
        <v>133</v>
      </c>
      <c r="Z495" s="141">
        <f>SUM(Z479:Z494)</f>
        <v>132</v>
      </c>
      <c r="AA495" s="138"/>
      <c r="AB495" s="141"/>
      <c r="AC495" s="28"/>
      <c r="AD495" s="43"/>
      <c r="AE495" s="28"/>
      <c r="AF495" s="28"/>
      <c r="AG495" s="141">
        <f>SUM(AD480:AD495)</f>
        <v>108</v>
      </c>
      <c r="AL495" s="138" t="s">
        <v>132</v>
      </c>
      <c r="AM495" s="138">
        <v>0</v>
      </c>
      <c r="AN495" s="141">
        <v>0</v>
      </c>
      <c r="AO495" s="138"/>
      <c r="AP495" s="141"/>
      <c r="AQ495" s="28"/>
      <c r="AR495" s="28"/>
      <c r="AS495" s="28"/>
      <c r="AT495" s="28"/>
      <c r="AU495" s="141"/>
    </row>
    <row r="496" spans="2:47" ht="15" thickBot="1" x14ac:dyDescent="0.35">
      <c r="B496" s="84" t="s">
        <v>128</v>
      </c>
      <c r="C496" s="52">
        <v>6</v>
      </c>
      <c r="D496" s="37">
        <v>5</v>
      </c>
      <c r="E496" s="42"/>
      <c r="F496" s="40"/>
      <c r="G496" s="28"/>
      <c r="H496" s="28">
        <v>40</v>
      </c>
      <c r="I496" s="28" t="s">
        <v>129</v>
      </c>
      <c r="J496" s="28"/>
      <c r="K496" s="40"/>
      <c r="M496" s="32" t="s">
        <v>63</v>
      </c>
      <c r="N496" s="123">
        <f>1+5</f>
        <v>6</v>
      </c>
      <c r="O496" s="123">
        <f>12+2+5</f>
        <v>19</v>
      </c>
      <c r="P496" s="33"/>
      <c r="Q496" s="7"/>
      <c r="R496" s="6"/>
      <c r="S496" s="34" t="s">
        <v>140</v>
      </c>
      <c r="T496" s="8"/>
      <c r="U496" s="8"/>
      <c r="V496" s="7"/>
      <c r="W496" s="28"/>
      <c r="X496" s="171" t="s">
        <v>84</v>
      </c>
      <c r="Y496" s="207">
        <f>SUM(Y495+Y477+Y468+Y453)</f>
        <v>1840</v>
      </c>
      <c r="Z496" s="207">
        <f>SUM(Z495+Z477+Z468+Z453)</f>
        <v>1795</v>
      </c>
      <c r="AA496" s="207"/>
      <c r="AB496" s="208"/>
      <c r="AC496" s="170"/>
      <c r="AD496" s="170"/>
      <c r="AE496" s="170"/>
      <c r="AF496" s="170"/>
      <c r="AG496" s="172">
        <f>SUM(AG453:AG495)</f>
        <v>283</v>
      </c>
      <c r="AL496" s="138" t="s">
        <v>81</v>
      </c>
      <c r="AM496" s="138">
        <v>29</v>
      </c>
      <c r="AN496" s="141">
        <v>5</v>
      </c>
      <c r="AO496" s="138"/>
      <c r="AP496" s="141"/>
      <c r="AQ496" s="28"/>
      <c r="AR496" s="28"/>
      <c r="AS496" s="28"/>
      <c r="AT496" s="28"/>
      <c r="AU496" s="141" t="s">
        <v>6</v>
      </c>
    </row>
    <row r="497" spans="1:47" x14ac:dyDescent="0.3">
      <c r="B497" s="84" t="s">
        <v>132</v>
      </c>
      <c r="C497" s="42">
        <v>0</v>
      </c>
      <c r="D497" s="37">
        <v>0</v>
      </c>
      <c r="E497" s="42"/>
      <c r="F497" s="40"/>
      <c r="G497" s="28"/>
      <c r="H497" s="28"/>
      <c r="I497" s="28"/>
      <c r="J497" s="28"/>
      <c r="K497" s="40"/>
      <c r="L497" s="28"/>
      <c r="M497" s="44" t="s">
        <v>78</v>
      </c>
      <c r="N497" s="37">
        <f>2+16+1+3</f>
        <v>22</v>
      </c>
      <c r="O497" s="37">
        <f>8+8+1+6</f>
        <v>23</v>
      </c>
      <c r="P497" s="42"/>
      <c r="Q497" s="11"/>
      <c r="R497" s="10"/>
      <c r="S497" s="37">
        <v>0</v>
      </c>
      <c r="T497" s="37" t="s">
        <v>204</v>
      </c>
      <c r="U497" s="18"/>
      <c r="V497" s="11"/>
      <c r="W497" s="28"/>
      <c r="AL497" s="138" t="s">
        <v>1599</v>
      </c>
      <c r="AM497" s="138">
        <v>0</v>
      </c>
      <c r="AN497" s="141">
        <v>0</v>
      </c>
      <c r="AO497" s="138"/>
      <c r="AP497" s="141"/>
      <c r="AQ497" s="28"/>
      <c r="AR497" s="28"/>
      <c r="AS497" s="28"/>
      <c r="AT497" s="28"/>
      <c r="AU497" s="141"/>
    </row>
    <row r="498" spans="1:47" x14ac:dyDescent="0.3">
      <c r="B498" s="84" t="s">
        <v>81</v>
      </c>
      <c r="C498" s="42">
        <v>29</v>
      </c>
      <c r="D498" s="37">
        <v>26</v>
      </c>
      <c r="E498" s="42"/>
      <c r="F498" s="40"/>
      <c r="G498" s="28"/>
      <c r="H498" s="28"/>
      <c r="I498" s="28"/>
      <c r="J498" s="28"/>
      <c r="K498" s="40"/>
      <c r="L498" s="28"/>
      <c r="M498" s="125" t="s">
        <v>209</v>
      </c>
      <c r="N498" s="54">
        <v>0</v>
      </c>
      <c r="O498" s="54">
        <v>1</v>
      </c>
      <c r="P498" s="42"/>
      <c r="Q498" s="40"/>
      <c r="R498" s="42"/>
      <c r="S498" s="28">
        <v>2</v>
      </c>
      <c r="T498" s="28" t="s">
        <v>210</v>
      </c>
      <c r="U498" s="28" t="s">
        <v>6</v>
      </c>
      <c r="V498" s="40"/>
      <c r="W498" s="28"/>
      <c r="AL498" s="138" t="s">
        <v>56</v>
      </c>
      <c r="AM498" s="138">
        <v>5</v>
      </c>
      <c r="AN498" s="141">
        <v>0</v>
      </c>
      <c r="AO498" s="138"/>
      <c r="AP498" s="141"/>
      <c r="AQ498" s="28"/>
      <c r="AR498" s="28"/>
      <c r="AS498" s="28"/>
      <c r="AT498" s="28"/>
      <c r="AU498" s="141"/>
    </row>
    <row r="499" spans="1:47" x14ac:dyDescent="0.3">
      <c r="B499" s="10" t="s">
        <v>138</v>
      </c>
      <c r="C499" s="36">
        <v>0</v>
      </c>
      <c r="D499" s="37">
        <v>4</v>
      </c>
      <c r="E499" s="42"/>
      <c r="F499" s="11"/>
      <c r="G499" s="18"/>
      <c r="H499" s="18"/>
      <c r="I499" s="18"/>
      <c r="J499" s="18"/>
      <c r="K499" s="11"/>
      <c r="L499" s="28"/>
      <c r="M499" s="44" t="s">
        <v>168</v>
      </c>
      <c r="N499" s="54">
        <v>0</v>
      </c>
      <c r="O499" s="54">
        <v>0</v>
      </c>
      <c r="P499" s="42"/>
      <c r="Q499" s="11"/>
      <c r="R499" s="10"/>
      <c r="S499" s="37">
        <f>37+6</f>
        <v>43</v>
      </c>
      <c r="T499" s="37" t="s">
        <v>213</v>
      </c>
      <c r="U499" s="18" t="s">
        <v>6</v>
      </c>
      <c r="V499" s="11"/>
      <c r="W499" s="28"/>
      <c r="AL499" s="138" t="s">
        <v>67</v>
      </c>
      <c r="AM499" s="138">
        <v>44</v>
      </c>
      <c r="AN499" s="141">
        <v>37</v>
      </c>
      <c r="AO499" s="138"/>
      <c r="AP499" s="141"/>
      <c r="AQ499" s="28"/>
      <c r="AR499" s="28"/>
      <c r="AS499" s="28"/>
      <c r="AT499" s="28"/>
      <c r="AU499" s="141"/>
    </row>
    <row r="500" spans="1:47" x14ac:dyDescent="0.3">
      <c r="B500" s="84" t="s">
        <v>56</v>
      </c>
      <c r="C500" s="42">
        <v>0</v>
      </c>
      <c r="D500" s="54">
        <v>3</v>
      </c>
      <c r="E500" s="42"/>
      <c r="F500" s="40"/>
      <c r="G500" s="28"/>
      <c r="H500" s="28"/>
      <c r="I500" s="28"/>
      <c r="J500" s="28"/>
      <c r="K500" s="40"/>
      <c r="L500" s="28"/>
      <c r="M500" s="125" t="s">
        <v>81</v>
      </c>
      <c r="N500" s="54">
        <v>3</v>
      </c>
      <c r="O500" s="54">
        <v>6</v>
      </c>
      <c r="P500" s="42"/>
      <c r="Q500" s="40"/>
      <c r="R500" s="42"/>
      <c r="S500" s="54">
        <v>10</v>
      </c>
      <c r="T500" s="128" t="s">
        <v>222</v>
      </c>
      <c r="U500" s="28"/>
      <c r="V500" s="40" t="s">
        <v>6</v>
      </c>
      <c r="W500" s="37"/>
      <c r="AL500" s="142" t="s">
        <v>84</v>
      </c>
      <c r="AM500" s="142">
        <v>133</v>
      </c>
      <c r="AN500" s="146">
        <f>SUM(AN488:AN499)</f>
        <v>109</v>
      </c>
      <c r="AO500" s="142"/>
      <c r="AP500" s="146"/>
      <c r="AQ500" s="143"/>
      <c r="AR500" s="143"/>
      <c r="AS500" s="143"/>
      <c r="AT500" s="143"/>
      <c r="AU500" s="146">
        <v>69</v>
      </c>
    </row>
    <row r="501" spans="1:47" x14ac:dyDescent="0.3">
      <c r="B501" s="36" t="s">
        <v>67</v>
      </c>
      <c r="C501" s="10">
        <v>17</v>
      </c>
      <c r="D501" s="18">
        <v>15</v>
      </c>
      <c r="E501" s="42"/>
      <c r="F501" s="11"/>
      <c r="G501" s="18"/>
      <c r="H501" s="18"/>
      <c r="I501" s="18"/>
      <c r="J501" s="18"/>
      <c r="K501" s="11"/>
      <c r="L501" s="28"/>
      <c r="M501" s="125" t="s">
        <v>72</v>
      </c>
      <c r="N501" s="54">
        <f>4+1+9</f>
        <v>14</v>
      </c>
      <c r="O501" s="45">
        <f>5+2+2+8</f>
        <v>17</v>
      </c>
      <c r="P501" s="42"/>
      <c r="Q501" s="40"/>
      <c r="R501" s="42"/>
      <c r="S501" s="54">
        <v>2</v>
      </c>
      <c r="T501" s="54" t="s">
        <v>216</v>
      </c>
      <c r="U501" s="45"/>
      <c r="V501" s="40"/>
      <c r="W501" s="28"/>
      <c r="AL501" s="134"/>
      <c r="AM501" s="134"/>
      <c r="AN501" s="136"/>
      <c r="AO501" s="134"/>
      <c r="AP501" s="136"/>
      <c r="AQ501" s="135"/>
      <c r="AR501" s="135"/>
      <c r="AS501" s="135"/>
      <c r="AT501" s="135"/>
      <c r="AU501" s="136"/>
    </row>
    <row r="502" spans="1:47" ht="15" thickBot="1" x14ac:dyDescent="0.35">
      <c r="A502" s="95"/>
      <c r="B502" s="13" t="s">
        <v>84</v>
      </c>
      <c r="C502" s="13">
        <f>SUM(C490:C501)</f>
        <v>235</v>
      </c>
      <c r="D502" s="27">
        <f>SUM(D490:D501)</f>
        <v>194</v>
      </c>
      <c r="E502" s="47"/>
      <c r="F502" s="26">
        <f>SUM(F494:F501)</f>
        <v>0</v>
      </c>
      <c r="G502" s="27"/>
      <c r="H502" s="27"/>
      <c r="I502" s="27"/>
      <c r="J502" s="27"/>
      <c r="K502" s="26">
        <f>SUM(H494:H496)</f>
        <v>74</v>
      </c>
      <c r="L502" s="28"/>
      <c r="M502" s="125" t="s">
        <v>115</v>
      </c>
      <c r="N502" s="54">
        <f>4+13</f>
        <v>17</v>
      </c>
      <c r="O502" s="45">
        <f>4+3+1</f>
        <v>8</v>
      </c>
      <c r="P502" s="42"/>
      <c r="Q502" s="40"/>
      <c r="R502" s="42"/>
      <c r="S502" s="54">
        <v>0</v>
      </c>
      <c r="T502" s="54" t="s">
        <v>217</v>
      </c>
      <c r="U502" s="28"/>
      <c r="V502" s="40"/>
      <c r="W502" s="28"/>
      <c r="AL502" s="138" t="s">
        <v>56</v>
      </c>
      <c r="AM502" s="138">
        <v>0</v>
      </c>
      <c r="AN502" s="141">
        <v>0</v>
      </c>
      <c r="AO502" s="138"/>
      <c r="AP502" s="141"/>
      <c r="AQ502" s="28"/>
      <c r="AR502" s="28" t="s">
        <v>173</v>
      </c>
      <c r="AS502" s="28"/>
      <c r="AT502" s="28"/>
      <c r="AU502" s="141"/>
    </row>
    <row r="503" spans="1:47" x14ac:dyDescent="0.3">
      <c r="B503" s="32"/>
      <c r="C503" s="53"/>
      <c r="D503" s="97"/>
      <c r="E503" s="33"/>
      <c r="F503" s="7"/>
      <c r="G503" s="6"/>
      <c r="H503" s="8"/>
      <c r="I503" s="31"/>
      <c r="J503" s="8"/>
      <c r="K503" s="7"/>
      <c r="L503" s="28"/>
      <c r="M503" s="125" t="s">
        <v>56</v>
      </c>
      <c r="N503" s="54">
        <f>5+14+7+6+2</f>
        <v>34</v>
      </c>
      <c r="O503" s="45">
        <f>11+22+2</f>
        <v>35</v>
      </c>
      <c r="P503" s="42"/>
      <c r="Q503" s="40"/>
      <c r="R503" s="42"/>
      <c r="S503" s="54">
        <v>1</v>
      </c>
      <c r="T503" s="54" t="s">
        <v>352</v>
      </c>
      <c r="U503" s="28"/>
      <c r="V503" s="40"/>
      <c r="W503" s="28"/>
      <c r="AL503" s="138" t="s">
        <v>67</v>
      </c>
      <c r="AM503" s="138">
        <v>0</v>
      </c>
      <c r="AN503" s="141">
        <v>0</v>
      </c>
      <c r="AO503" s="138"/>
      <c r="AP503" s="141"/>
      <c r="AQ503" s="28"/>
      <c r="AR503" s="28"/>
      <c r="AS503" s="28"/>
      <c r="AT503" s="28"/>
      <c r="AU503" s="141"/>
    </row>
    <row r="504" spans="1:47" ht="15" thickBot="1" x14ac:dyDescent="0.35">
      <c r="B504" s="62"/>
      <c r="C504" s="72"/>
      <c r="D504" s="73"/>
      <c r="E504" s="47"/>
      <c r="F504" s="49"/>
      <c r="G504" s="47"/>
      <c r="H504" s="48"/>
      <c r="I504" s="48"/>
      <c r="J504" s="48"/>
      <c r="K504" s="49"/>
      <c r="L504" s="28"/>
      <c r="M504" s="125" t="s">
        <v>138</v>
      </c>
      <c r="N504" s="54">
        <v>0</v>
      </c>
      <c r="O504" s="45">
        <v>0</v>
      </c>
      <c r="P504" s="42"/>
      <c r="Q504" s="40"/>
      <c r="R504" s="42"/>
      <c r="S504" s="54">
        <v>11</v>
      </c>
      <c r="T504" s="54" t="s">
        <v>221</v>
      </c>
      <c r="U504" s="28"/>
      <c r="V504" s="40"/>
      <c r="W504" s="28"/>
      <c r="AL504" s="138" t="s">
        <v>78</v>
      </c>
      <c r="AM504" s="138">
        <v>0</v>
      </c>
      <c r="AN504" s="141">
        <v>0</v>
      </c>
      <c r="AO504" s="138"/>
      <c r="AP504" s="141"/>
      <c r="AQ504" s="28"/>
      <c r="AR504" s="28">
        <v>0</v>
      </c>
      <c r="AS504" s="28" t="s">
        <v>183</v>
      </c>
      <c r="AT504" s="28"/>
      <c r="AU504" s="141"/>
    </row>
    <row r="505" spans="1:47" x14ac:dyDescent="0.3">
      <c r="B505" s="67" t="s">
        <v>63</v>
      </c>
      <c r="C505" s="33">
        <v>2</v>
      </c>
      <c r="D505" s="35">
        <v>1</v>
      </c>
      <c r="G505" s="33"/>
      <c r="H505" s="34"/>
      <c r="I505" s="34"/>
      <c r="J505" s="34"/>
      <c r="K505" s="35"/>
      <c r="L505" s="28"/>
      <c r="M505" s="125" t="s">
        <v>67</v>
      </c>
      <c r="N505" s="54">
        <f>12+2+3+3</f>
        <v>20</v>
      </c>
      <c r="O505" s="45">
        <f>12+1+22+1</f>
        <v>36</v>
      </c>
      <c r="P505" s="42"/>
      <c r="Q505" s="40"/>
      <c r="R505" s="42"/>
      <c r="S505" s="54">
        <v>4</v>
      </c>
      <c r="T505" s="54" t="s">
        <v>851</v>
      </c>
      <c r="U505" s="28"/>
      <c r="V505" s="40"/>
      <c r="W505" s="28"/>
      <c r="AL505" s="142" t="s">
        <v>84</v>
      </c>
      <c r="AM505" s="142">
        <v>0</v>
      </c>
      <c r="AN505" s="146">
        <v>0</v>
      </c>
      <c r="AO505" s="142"/>
      <c r="AP505" s="146"/>
      <c r="AQ505" s="143"/>
      <c r="AR505" s="143"/>
      <c r="AS505" s="143"/>
      <c r="AT505" s="143"/>
      <c r="AU505" s="146">
        <f>SUM(AR504)</f>
        <v>0</v>
      </c>
    </row>
    <row r="506" spans="1:47" x14ac:dyDescent="0.3">
      <c r="B506" s="67" t="s">
        <v>168</v>
      </c>
      <c r="C506" s="42">
        <v>0</v>
      </c>
      <c r="D506" s="40">
        <v>0</v>
      </c>
      <c r="G506" s="42"/>
      <c r="H506" s="28"/>
      <c r="I506" s="28"/>
      <c r="J506" s="28"/>
      <c r="K506" s="40"/>
      <c r="L506" s="28"/>
      <c r="M506" s="125" t="s">
        <v>122</v>
      </c>
      <c r="N506" s="54">
        <v>8</v>
      </c>
      <c r="O506" s="45">
        <v>16</v>
      </c>
      <c r="P506" s="42"/>
      <c r="Q506" s="40"/>
      <c r="R506" s="42"/>
      <c r="S506" s="54">
        <v>8</v>
      </c>
      <c r="T506" s="54" t="s">
        <v>853</v>
      </c>
      <c r="U506" s="28"/>
      <c r="V506" s="40"/>
      <c r="W506" s="28"/>
      <c r="AA506" t="s">
        <v>4</v>
      </c>
      <c r="AL506" s="134"/>
      <c r="AM506" s="134"/>
      <c r="AN506" s="136"/>
      <c r="AO506" s="134"/>
      <c r="AP506" s="136"/>
      <c r="AQ506" s="135"/>
      <c r="AR506" s="28" t="s">
        <v>140</v>
      </c>
      <c r="AS506" s="135"/>
      <c r="AT506" s="135"/>
      <c r="AU506" s="136"/>
    </row>
    <row r="507" spans="1:47" x14ac:dyDescent="0.3">
      <c r="B507" s="52" t="s">
        <v>56</v>
      </c>
      <c r="C507" s="52">
        <v>0</v>
      </c>
      <c r="D507" s="85">
        <v>0</v>
      </c>
      <c r="E507" s="28"/>
      <c r="F507" s="28"/>
      <c r="G507" s="42"/>
      <c r="H507" s="28" t="s">
        <v>173</v>
      </c>
      <c r="I507" s="28"/>
      <c r="J507" s="28"/>
      <c r="K507" s="40"/>
      <c r="L507" s="28"/>
      <c r="M507" s="125" t="s">
        <v>227</v>
      </c>
      <c r="N507" s="54">
        <v>0</v>
      </c>
      <c r="O507" s="45">
        <v>0</v>
      </c>
      <c r="P507" s="42"/>
      <c r="Q507" s="40"/>
      <c r="R507" s="42"/>
      <c r="S507" s="54">
        <v>2</v>
      </c>
      <c r="T507" s="54" t="s">
        <v>854</v>
      </c>
      <c r="U507" s="28"/>
      <c r="V507" s="40"/>
      <c r="AB507" t="s">
        <v>2</v>
      </c>
      <c r="AL507" s="138" t="s">
        <v>63</v>
      </c>
      <c r="AM507" s="138">
        <v>3</v>
      </c>
      <c r="AN507" s="141">
        <v>14</v>
      </c>
      <c r="AO507" s="138"/>
      <c r="AP507" s="141"/>
      <c r="AQ507" s="28"/>
      <c r="AR507">
        <v>6</v>
      </c>
      <c r="AS507" s="28" t="s">
        <v>235</v>
      </c>
      <c r="AT507" s="28"/>
      <c r="AU507" s="141"/>
    </row>
    <row r="508" spans="1:47" x14ac:dyDescent="0.3">
      <c r="B508" s="52" t="s">
        <v>67</v>
      </c>
      <c r="C508" s="52">
        <v>4</v>
      </c>
      <c r="D508" s="56">
        <v>5</v>
      </c>
      <c r="G508" s="42"/>
      <c r="H508" s="28"/>
      <c r="I508" s="28"/>
      <c r="J508" s="28"/>
      <c r="K508" s="40"/>
      <c r="L508" s="28"/>
      <c r="M508" s="41" t="s">
        <v>230</v>
      </c>
      <c r="N508" s="54">
        <f>9+1+2+7</f>
        <v>19</v>
      </c>
      <c r="O508" s="45">
        <f>9+1+2+7</f>
        <v>19</v>
      </c>
      <c r="P508" s="42"/>
      <c r="Q508" s="40"/>
      <c r="R508" s="42"/>
      <c r="S508" s="54">
        <v>10</v>
      </c>
      <c r="T508" s="54" t="s">
        <v>655</v>
      </c>
      <c r="U508" s="28"/>
      <c r="V508" s="40"/>
      <c r="Z508" t="s">
        <v>12</v>
      </c>
      <c r="AL508" s="138" t="s">
        <v>78</v>
      </c>
      <c r="AM508" s="138">
        <v>34</v>
      </c>
      <c r="AN508" s="141">
        <v>24</v>
      </c>
      <c r="AO508" s="138"/>
      <c r="AP508" s="141"/>
      <c r="AQ508" s="28"/>
      <c r="AR508" s="28">
        <v>1</v>
      </c>
      <c r="AS508" s="28" t="s">
        <v>1658</v>
      </c>
      <c r="AT508" s="28"/>
      <c r="AU508" s="141"/>
    </row>
    <row r="509" spans="1:47" x14ac:dyDescent="0.3">
      <c r="B509" s="10" t="s">
        <v>78</v>
      </c>
      <c r="C509" s="52">
        <v>1</v>
      </c>
      <c r="D509" s="85">
        <v>6</v>
      </c>
      <c r="E509" s="28"/>
      <c r="F509" s="28"/>
      <c r="G509" s="42"/>
      <c r="H509" s="28">
        <v>11</v>
      </c>
      <c r="I509" s="28" t="s">
        <v>183</v>
      </c>
      <c r="J509" s="28"/>
      <c r="K509" s="40"/>
      <c r="L509" s="37"/>
      <c r="M509" s="68" t="s">
        <v>125</v>
      </c>
      <c r="N509" s="54">
        <v>0</v>
      </c>
      <c r="O509" s="45">
        <v>0</v>
      </c>
      <c r="P509" s="42"/>
      <c r="Q509" s="40"/>
      <c r="R509" s="42"/>
      <c r="S509" s="54">
        <v>2</v>
      </c>
      <c r="T509" s="54" t="s">
        <v>774</v>
      </c>
      <c r="U509" s="28"/>
      <c r="V509" s="40"/>
      <c r="AB509" t="s">
        <v>1119</v>
      </c>
      <c r="AL509" s="138" t="s">
        <v>209</v>
      </c>
      <c r="AM509" s="138">
        <v>0</v>
      </c>
      <c r="AN509" s="141">
        <v>0</v>
      </c>
      <c r="AO509" s="138"/>
      <c r="AP509" s="141"/>
      <c r="AQ509" s="28"/>
      <c r="AR509" s="28">
        <v>1</v>
      </c>
      <c r="AS509" s="28" t="s">
        <v>126</v>
      </c>
      <c r="AT509" s="28"/>
      <c r="AU509" s="141"/>
    </row>
    <row r="510" spans="1:47" x14ac:dyDescent="0.3">
      <c r="B510" s="52" t="s">
        <v>115</v>
      </c>
      <c r="C510" s="52">
        <v>0</v>
      </c>
      <c r="D510" s="85">
        <v>1</v>
      </c>
      <c r="E510" s="28"/>
      <c r="F510" s="28"/>
      <c r="G510" s="42"/>
      <c r="H510" s="28" t="s">
        <v>6</v>
      </c>
      <c r="I510" s="28"/>
      <c r="J510" s="28"/>
      <c r="K510" s="40"/>
      <c r="L510" s="28"/>
      <c r="M510" s="68" t="s">
        <v>132</v>
      </c>
      <c r="N510" s="54">
        <v>3</v>
      </c>
      <c r="O510" s="45">
        <v>3</v>
      </c>
      <c r="P510" s="42"/>
      <c r="Q510" s="40"/>
      <c r="R510" s="42"/>
      <c r="S510" s="54">
        <v>0</v>
      </c>
      <c r="T510" s="54" t="s">
        <v>472</v>
      </c>
      <c r="U510" s="28"/>
      <c r="V510" s="40"/>
      <c r="AF510" s="194" t="s">
        <v>951</v>
      </c>
      <c r="AL510" s="138" t="s">
        <v>168</v>
      </c>
      <c r="AM510" s="138">
        <v>0</v>
      </c>
      <c r="AN510" s="141">
        <v>0</v>
      </c>
      <c r="AO510" s="138"/>
      <c r="AP510" s="141"/>
      <c r="AQ510" s="28"/>
      <c r="AR510" s="28">
        <v>1</v>
      </c>
      <c r="AS510" s="28" t="s">
        <v>1659</v>
      </c>
      <c r="AT510" s="28" t="s">
        <v>6</v>
      </c>
      <c r="AU510" s="141"/>
    </row>
    <row r="511" spans="1:47" x14ac:dyDescent="0.3">
      <c r="B511" s="52" t="s">
        <v>72</v>
      </c>
      <c r="C511" s="52">
        <v>2</v>
      </c>
      <c r="D511" s="85">
        <v>2</v>
      </c>
      <c r="G511" s="42"/>
      <c r="H511" s="28"/>
      <c r="I511" s="28"/>
      <c r="J511" s="28"/>
      <c r="K511" s="40"/>
      <c r="L511" s="28"/>
      <c r="M511" s="41" t="s">
        <v>6</v>
      </c>
      <c r="P511" s="42"/>
      <c r="Q511" s="40"/>
      <c r="R511" s="42"/>
      <c r="S511" s="54">
        <v>24</v>
      </c>
      <c r="T511" s="54" t="s">
        <v>215</v>
      </c>
      <c r="U511" s="28"/>
      <c r="V511" s="40"/>
      <c r="X511" s="134" t="s">
        <v>17</v>
      </c>
      <c r="Y511" s="134" t="s">
        <v>39</v>
      </c>
      <c r="Z511" s="136"/>
      <c r="AA511" s="134" t="s">
        <v>29</v>
      </c>
      <c r="AB511" s="136" t="s">
        <v>30</v>
      </c>
      <c r="AC511" s="135" t="s">
        <v>40</v>
      </c>
      <c r="AD511" s="135"/>
      <c r="AE511" s="135"/>
      <c r="AF511" s="135"/>
      <c r="AG511" s="136"/>
      <c r="AL511" s="138" t="s">
        <v>81</v>
      </c>
      <c r="AM511" s="138">
        <v>20</v>
      </c>
      <c r="AN511" s="141">
        <v>22</v>
      </c>
      <c r="AO511" s="138"/>
      <c r="AP511" s="141"/>
      <c r="AQ511" s="28"/>
      <c r="AR511" s="28">
        <v>35</v>
      </c>
      <c r="AS511" s="28" t="s">
        <v>903</v>
      </c>
      <c r="AT511" s="28"/>
      <c r="AU511" s="141" t="s">
        <v>6</v>
      </c>
    </row>
    <row r="512" spans="1:47" ht="15" thickBot="1" x14ac:dyDescent="0.35">
      <c r="B512" s="52" t="s">
        <v>84</v>
      </c>
      <c r="C512" s="47">
        <f>SUM(C505:C511)</f>
        <v>9</v>
      </c>
      <c r="D512" s="49">
        <f>SUM(D505:D511)</f>
        <v>15</v>
      </c>
      <c r="E512" s="28"/>
      <c r="F512" s="28"/>
      <c r="G512" s="47"/>
      <c r="H512" s="48"/>
      <c r="I512" s="48"/>
      <c r="J512" s="48"/>
      <c r="K512" s="49">
        <f>SUM(H509)</f>
        <v>11</v>
      </c>
      <c r="L512" s="28"/>
      <c r="M512" s="46" t="s">
        <v>84</v>
      </c>
      <c r="N512" s="48">
        <f>SUM(N496:N511)</f>
        <v>146</v>
      </c>
      <c r="O512" s="48">
        <f>SUM(O496:O511)</f>
        <v>183</v>
      </c>
      <c r="P512" s="47"/>
      <c r="Q512" s="49"/>
      <c r="R512" s="47"/>
      <c r="S512" s="48">
        <v>0</v>
      </c>
      <c r="T512" s="48" t="s">
        <v>244</v>
      </c>
      <c r="U512" s="48"/>
      <c r="V512" s="49">
        <f>SUM(S497:S512)</f>
        <v>119</v>
      </c>
      <c r="X512" s="138" t="s">
        <v>42</v>
      </c>
      <c r="Y512" s="138" t="s">
        <v>43</v>
      </c>
      <c r="Z512" s="141" t="s">
        <v>44</v>
      </c>
      <c r="AA512" s="138" t="s">
        <v>43</v>
      </c>
      <c r="AB512" s="141" t="s">
        <v>44</v>
      </c>
      <c r="AC512" s="28"/>
      <c r="AD512" s="28"/>
      <c r="AE512" s="28"/>
      <c r="AF512" s="28"/>
      <c r="AG512" s="141"/>
      <c r="AL512" s="138" t="s">
        <v>72</v>
      </c>
      <c r="AM512" s="138">
        <v>22</v>
      </c>
      <c r="AN512" s="141">
        <v>28</v>
      </c>
      <c r="AO512" s="138"/>
      <c r="AP512" s="141"/>
      <c r="AQ512" s="28"/>
      <c r="AR512" s="43">
        <v>1</v>
      </c>
      <c r="AS512" s="28" t="s">
        <v>216</v>
      </c>
      <c r="AT512" s="28"/>
      <c r="AU512" s="141"/>
    </row>
    <row r="513" spans="2:47" ht="15" thickBot="1" x14ac:dyDescent="0.35">
      <c r="B513" s="32" t="s">
        <v>63</v>
      </c>
      <c r="C513" s="123">
        <f>1+2</f>
        <v>3</v>
      </c>
      <c r="D513" s="123">
        <f>1+2</f>
        <v>3</v>
      </c>
      <c r="E513" s="33"/>
      <c r="F513" s="7"/>
      <c r="G513" s="6"/>
      <c r="H513" s="34" t="s">
        <v>140</v>
      </c>
      <c r="I513" s="8"/>
      <c r="J513" s="8"/>
      <c r="K513" s="7"/>
      <c r="L513" s="28"/>
      <c r="M513" s="169" t="s">
        <v>84</v>
      </c>
      <c r="N513" s="170">
        <f>SUM(N512+N495+N485+N470)</f>
        <v>1604</v>
      </c>
      <c r="O513" s="170">
        <f>SUM(O512+O495+O485+O470)</f>
        <v>1705</v>
      </c>
      <c r="P513" s="171"/>
      <c r="Q513" s="172"/>
      <c r="R513" s="170"/>
      <c r="S513" s="170"/>
      <c r="T513" s="170"/>
      <c r="U513" s="170"/>
      <c r="V513" s="172">
        <f>SUM(V469:V512)</f>
        <v>325</v>
      </c>
      <c r="X513" s="138" t="s">
        <v>6</v>
      </c>
      <c r="Y513" s="138"/>
      <c r="Z513" s="141"/>
      <c r="AA513" s="138"/>
      <c r="AB513" s="141"/>
      <c r="AC513" s="28"/>
      <c r="AD513" s="28" t="s">
        <v>91</v>
      </c>
      <c r="AE513" s="28"/>
      <c r="AF513" s="28"/>
      <c r="AG513" s="141"/>
      <c r="AL513" s="138" t="s">
        <v>115</v>
      </c>
      <c r="AM513" s="138">
        <v>8</v>
      </c>
      <c r="AN513" s="141">
        <v>14</v>
      </c>
      <c r="AO513" s="138"/>
      <c r="AP513" s="141"/>
      <c r="AQ513" s="28"/>
      <c r="AR513" s="43">
        <v>8</v>
      </c>
      <c r="AS513" s="28" t="s">
        <v>217</v>
      </c>
      <c r="AT513" s="28"/>
      <c r="AU513" s="141"/>
    </row>
    <row r="514" spans="2:47" x14ac:dyDescent="0.3">
      <c r="B514" s="44" t="s">
        <v>78</v>
      </c>
      <c r="C514" s="37">
        <f>7+2</f>
        <v>9</v>
      </c>
      <c r="D514" s="37">
        <f>12+5+3</f>
        <v>20</v>
      </c>
      <c r="E514" s="42"/>
      <c r="F514" s="11"/>
      <c r="G514" s="10"/>
      <c r="H514" s="37">
        <v>3</v>
      </c>
      <c r="I514" s="37" t="s">
        <v>204</v>
      </c>
      <c r="J514" s="18"/>
      <c r="K514" s="11"/>
      <c r="L514" s="28"/>
      <c r="X514" s="138" t="s">
        <v>56</v>
      </c>
      <c r="Y514" s="138">
        <v>1345</v>
      </c>
      <c r="Z514" s="141">
        <v>1410</v>
      </c>
      <c r="AA514" s="138"/>
      <c r="AB514" s="141"/>
      <c r="AC514" s="28"/>
      <c r="AD514" s="28">
        <v>1</v>
      </c>
      <c r="AE514" s="28" t="s">
        <v>145</v>
      </c>
      <c r="AF514" s="28"/>
      <c r="AG514" s="141"/>
      <c r="AL514" s="138" t="s">
        <v>56</v>
      </c>
      <c r="AM514" s="138">
        <v>18</v>
      </c>
      <c r="AN514" s="141">
        <v>33</v>
      </c>
      <c r="AO514" s="138"/>
      <c r="AP514" s="141"/>
      <c r="AQ514" s="28"/>
      <c r="AR514" s="43">
        <v>0</v>
      </c>
      <c r="AS514" s="28" t="s">
        <v>1640</v>
      </c>
      <c r="AT514" s="28"/>
      <c r="AU514" s="141"/>
    </row>
    <row r="515" spans="2:47" x14ac:dyDescent="0.3">
      <c r="B515" s="125" t="s">
        <v>209</v>
      </c>
      <c r="C515" s="54">
        <v>0</v>
      </c>
      <c r="D515" s="54">
        <v>0</v>
      </c>
      <c r="E515" s="42"/>
      <c r="F515" s="40"/>
      <c r="G515" s="42"/>
      <c r="H515" s="28">
        <v>4</v>
      </c>
      <c r="I515" s="28" t="s">
        <v>210</v>
      </c>
      <c r="J515" s="28"/>
      <c r="K515" s="40"/>
      <c r="L515" s="28"/>
      <c r="X515" s="142" t="s">
        <v>6</v>
      </c>
      <c r="Y515" s="142"/>
      <c r="Z515" s="146"/>
      <c r="AA515" s="142"/>
      <c r="AB515" s="146"/>
      <c r="AC515" s="143"/>
      <c r="AD515" s="143">
        <v>115</v>
      </c>
      <c r="AE515" s="143" t="s">
        <v>73</v>
      </c>
      <c r="AF515" s="143"/>
      <c r="AG515" s="146">
        <f>SUM(AD515)</f>
        <v>115</v>
      </c>
      <c r="AL515" s="138" t="s">
        <v>138</v>
      </c>
      <c r="AM515" s="138">
        <v>0</v>
      </c>
      <c r="AN515" s="141">
        <v>0</v>
      </c>
      <c r="AO515" s="138"/>
      <c r="AP515" s="141"/>
      <c r="AQ515" s="28"/>
      <c r="AR515" s="43">
        <v>11</v>
      </c>
      <c r="AS515" s="28" t="s">
        <v>1294</v>
      </c>
      <c r="AT515" s="28"/>
      <c r="AU515" s="141"/>
    </row>
    <row r="516" spans="2:47" x14ac:dyDescent="0.3">
      <c r="B516" s="44" t="s">
        <v>168</v>
      </c>
      <c r="C516" s="54">
        <v>0</v>
      </c>
      <c r="D516" s="54">
        <v>0</v>
      </c>
      <c r="E516" s="42"/>
      <c r="F516" s="11"/>
      <c r="G516" s="10"/>
      <c r="H516" s="37">
        <v>15</v>
      </c>
      <c r="I516" s="37" t="s">
        <v>213</v>
      </c>
      <c r="J516" s="18"/>
      <c r="K516" s="11"/>
      <c r="X516" s="134" t="s">
        <v>56</v>
      </c>
      <c r="Y516" s="134">
        <v>0</v>
      </c>
      <c r="Z516" s="136">
        <v>0</v>
      </c>
      <c r="AA516" s="134"/>
      <c r="AB516" s="136"/>
      <c r="AC516" s="135"/>
      <c r="AD516" s="135"/>
      <c r="AE516" s="135"/>
      <c r="AF516" s="135"/>
      <c r="AG516" s="136"/>
      <c r="AL516" s="138" t="s">
        <v>67</v>
      </c>
      <c r="AM516" s="138">
        <v>23</v>
      </c>
      <c r="AN516" s="141">
        <v>36</v>
      </c>
      <c r="AO516" s="138"/>
      <c r="AP516" s="141"/>
      <c r="AQ516" s="28"/>
      <c r="AR516" s="43">
        <v>5</v>
      </c>
      <c r="AS516" s="28" t="s">
        <v>472</v>
      </c>
      <c r="AT516" s="28"/>
      <c r="AU516" s="141"/>
    </row>
    <row r="517" spans="2:47" x14ac:dyDescent="0.3">
      <c r="B517" s="125" t="s">
        <v>81</v>
      </c>
      <c r="C517" s="54">
        <v>0</v>
      </c>
      <c r="D517" s="54">
        <v>0</v>
      </c>
      <c r="E517" s="42"/>
      <c r="F517" s="40"/>
      <c r="G517" s="42"/>
      <c r="H517" s="54">
        <v>1</v>
      </c>
      <c r="I517" s="128" t="s">
        <v>525</v>
      </c>
      <c r="J517" s="28"/>
      <c r="K517" s="40" t="s">
        <v>6</v>
      </c>
      <c r="X517" s="138" t="s">
        <v>63</v>
      </c>
      <c r="Y517" s="138">
        <v>51</v>
      </c>
      <c r="Z517" s="141">
        <v>458</v>
      </c>
      <c r="AA517" s="138"/>
      <c r="AB517" s="141"/>
      <c r="AC517" s="28"/>
      <c r="AD517" s="28" t="s">
        <v>110</v>
      </c>
      <c r="AE517" s="28" t="s">
        <v>111</v>
      </c>
      <c r="AF517" s="28" t="s">
        <v>112</v>
      </c>
      <c r="AG517" s="141"/>
      <c r="AL517" s="138" t="s">
        <v>122</v>
      </c>
      <c r="AM517" s="138">
        <v>5</v>
      </c>
      <c r="AN517" s="141">
        <v>1</v>
      </c>
      <c r="AO517" s="138"/>
      <c r="AP517" s="141"/>
      <c r="AQ517" s="28"/>
      <c r="AR517" s="43">
        <v>5</v>
      </c>
      <c r="AS517" s="28" t="s">
        <v>618</v>
      </c>
      <c r="AT517" s="28"/>
      <c r="AU517" s="141"/>
    </row>
    <row r="518" spans="2:47" x14ac:dyDescent="0.3">
      <c r="B518" s="125" t="s">
        <v>72</v>
      </c>
      <c r="C518" s="54">
        <f>25+6+23+6</f>
        <v>60</v>
      </c>
      <c r="D518" s="45">
        <f>6+4+12+4</f>
        <v>26</v>
      </c>
      <c r="E518" s="42"/>
      <c r="F518" s="40"/>
      <c r="G518" s="42"/>
      <c r="H518" s="54">
        <v>6</v>
      </c>
      <c r="I518" s="54" t="s">
        <v>216</v>
      </c>
      <c r="J518" s="45"/>
      <c r="K518" s="40"/>
      <c r="X518" s="138" t="s">
        <v>115</v>
      </c>
      <c r="Y518" s="138">
        <v>37</v>
      </c>
      <c r="Z518" s="141">
        <v>33</v>
      </c>
      <c r="AA518" s="138"/>
      <c r="AB518" s="141"/>
      <c r="AC518" s="28"/>
      <c r="AD518" s="28"/>
      <c r="AE518" s="28"/>
      <c r="AF518" s="28"/>
      <c r="AG518" s="141"/>
      <c r="AL518" s="138" t="s">
        <v>227</v>
      </c>
      <c r="AM518" s="138">
        <v>0</v>
      </c>
      <c r="AN518" s="141">
        <v>0</v>
      </c>
      <c r="AO518" s="138"/>
      <c r="AP518" s="141"/>
      <c r="AQ518" s="28"/>
      <c r="AR518" s="43">
        <v>0</v>
      </c>
      <c r="AS518" s="28" t="s">
        <v>352</v>
      </c>
      <c r="AT518" s="28"/>
      <c r="AU518" s="141"/>
    </row>
    <row r="519" spans="2:47" x14ac:dyDescent="0.3">
      <c r="B519" s="125" t="s">
        <v>115</v>
      </c>
      <c r="C519" s="54">
        <f>3+2</f>
        <v>5</v>
      </c>
      <c r="D519" s="45">
        <v>3</v>
      </c>
      <c r="E519" s="42"/>
      <c r="F519" s="40"/>
      <c r="G519" s="42"/>
      <c r="H519" s="54">
        <v>3</v>
      </c>
      <c r="I519" s="54" t="s">
        <v>217</v>
      </c>
      <c r="J519" s="28"/>
      <c r="K519" s="40"/>
      <c r="X519" s="138" t="s">
        <v>72</v>
      </c>
      <c r="Y519" s="138">
        <v>5</v>
      </c>
      <c r="Z519" s="141">
        <v>11</v>
      </c>
      <c r="AA519" s="138"/>
      <c r="AB519" s="141"/>
      <c r="AC519" s="28"/>
      <c r="AD519" s="28"/>
      <c r="AE519" s="28"/>
      <c r="AF519" s="28"/>
      <c r="AG519" s="141"/>
      <c r="AL519" s="138" t="s">
        <v>230</v>
      </c>
      <c r="AM519" s="138">
        <v>21</v>
      </c>
      <c r="AN519" s="141">
        <v>23</v>
      </c>
      <c r="AO519" s="138"/>
      <c r="AP519" s="141"/>
      <c r="AQ519" s="28"/>
      <c r="AR519" s="28">
        <v>4</v>
      </c>
      <c r="AS519" s="28" t="s">
        <v>655</v>
      </c>
      <c r="AT519" s="28"/>
      <c r="AU519" s="141"/>
    </row>
    <row r="520" spans="2:47" x14ac:dyDescent="0.3">
      <c r="B520" s="125" t="s">
        <v>56</v>
      </c>
      <c r="C520" s="54">
        <v>8</v>
      </c>
      <c r="D520" s="45">
        <f>3+8</f>
        <v>11</v>
      </c>
      <c r="E520" s="42"/>
      <c r="F520" s="40"/>
      <c r="G520" s="42"/>
      <c r="H520" s="54">
        <v>1</v>
      </c>
      <c r="I520" s="54" t="s">
        <v>503</v>
      </c>
      <c r="J520" s="28"/>
      <c r="K520" s="40"/>
      <c r="X520" s="138" t="s">
        <v>78</v>
      </c>
      <c r="Y520" s="138">
        <v>5</v>
      </c>
      <c r="Z520" s="141">
        <v>22</v>
      </c>
      <c r="AA520" s="138"/>
      <c r="AB520" s="141"/>
      <c r="AC520" s="28"/>
      <c r="AD520" s="28"/>
      <c r="AE520" s="28"/>
      <c r="AF520" s="28"/>
      <c r="AG520" s="141"/>
      <c r="AL520" s="138" t="s">
        <v>125</v>
      </c>
      <c r="AM520" s="138">
        <v>0</v>
      </c>
      <c r="AN520" s="141">
        <v>0</v>
      </c>
      <c r="AO520" s="138"/>
      <c r="AP520" s="141"/>
      <c r="AQ520" s="28"/>
      <c r="AR520" s="43">
        <v>2</v>
      </c>
      <c r="AS520" s="28" t="s">
        <v>1676</v>
      </c>
      <c r="AT520" s="28"/>
      <c r="AU520" s="141"/>
    </row>
    <row r="521" spans="2:47" x14ac:dyDescent="0.3">
      <c r="B521" s="125" t="s">
        <v>138</v>
      </c>
      <c r="C521" s="54">
        <v>0</v>
      </c>
      <c r="D521" s="45">
        <v>0</v>
      </c>
      <c r="E521" s="42"/>
      <c r="F521" s="40"/>
      <c r="G521" s="42"/>
      <c r="H521" s="54">
        <v>9</v>
      </c>
      <c r="I521" s="54" t="s">
        <v>221</v>
      </c>
      <c r="J521" s="28"/>
      <c r="K521" s="40"/>
      <c r="X521" s="138" t="s">
        <v>122</v>
      </c>
      <c r="Y521" s="138">
        <v>10</v>
      </c>
      <c r="Z521" s="141">
        <v>17</v>
      </c>
      <c r="AA521" s="138"/>
      <c r="AB521" s="141"/>
      <c r="AC521" s="28"/>
      <c r="AD521" s="28">
        <v>25</v>
      </c>
      <c r="AE521" s="28" t="s">
        <v>123</v>
      </c>
      <c r="AF521" s="28"/>
      <c r="AG521" s="141"/>
      <c r="AL521" s="138" t="s">
        <v>132</v>
      </c>
      <c r="AM521" s="138">
        <v>1</v>
      </c>
      <c r="AN521" s="141">
        <v>0</v>
      </c>
      <c r="AO521" s="138"/>
      <c r="AP521" s="141"/>
      <c r="AQ521" s="28"/>
      <c r="AR521" s="43">
        <v>3</v>
      </c>
      <c r="AS521" s="28" t="s">
        <v>682</v>
      </c>
      <c r="AT521" s="28"/>
      <c r="AU521" s="141"/>
    </row>
    <row r="522" spans="2:47" x14ac:dyDescent="0.3">
      <c r="B522" s="125" t="s">
        <v>67</v>
      </c>
      <c r="C522" s="54">
        <v>1</v>
      </c>
      <c r="D522" s="45">
        <f>1+1</f>
        <v>2</v>
      </c>
      <c r="E522" s="42"/>
      <c r="F522" s="40"/>
      <c r="G522" s="42"/>
      <c r="H522" s="54">
        <v>14</v>
      </c>
      <c r="I522" s="54" t="s">
        <v>222</v>
      </c>
      <c r="J522" s="28"/>
      <c r="K522" s="40"/>
      <c r="X522" s="138" t="s">
        <v>125</v>
      </c>
      <c r="Y522" s="138">
        <v>0</v>
      </c>
      <c r="Z522" s="141">
        <v>0</v>
      </c>
      <c r="AA522" s="138"/>
      <c r="AB522" s="141"/>
      <c r="AC522" s="28"/>
      <c r="AD522" s="28">
        <v>22</v>
      </c>
      <c r="AE522" s="28" t="s">
        <v>126</v>
      </c>
      <c r="AF522" s="28"/>
      <c r="AG522" s="141"/>
      <c r="AL522" s="138" t="s">
        <v>536</v>
      </c>
      <c r="AM522" s="138">
        <v>0</v>
      </c>
      <c r="AN522" s="141">
        <v>0</v>
      </c>
      <c r="AO522" s="138"/>
      <c r="AP522" s="141"/>
      <c r="AQ522" s="28"/>
      <c r="AR522" s="43">
        <v>57</v>
      </c>
      <c r="AS522" s="28" t="s">
        <v>215</v>
      </c>
      <c r="AT522" s="28"/>
      <c r="AU522" s="141"/>
    </row>
    <row r="523" spans="2:47" ht="15" thickBot="1" x14ac:dyDescent="0.35">
      <c r="B523" s="125" t="s">
        <v>122</v>
      </c>
      <c r="C523" s="54">
        <v>0</v>
      </c>
      <c r="D523" s="45">
        <v>0</v>
      </c>
      <c r="E523" s="42"/>
      <c r="F523" s="40"/>
      <c r="G523" s="42"/>
      <c r="H523" s="54">
        <v>1</v>
      </c>
      <c r="I523" s="54" t="s">
        <v>471</v>
      </c>
      <c r="J523" s="28"/>
      <c r="K523" s="40"/>
      <c r="X523" s="138" t="s">
        <v>536</v>
      </c>
      <c r="Y523" s="138">
        <v>7</v>
      </c>
      <c r="Z523" s="141">
        <v>6</v>
      </c>
      <c r="AA523" s="138"/>
      <c r="AB523" s="141"/>
      <c r="AC523" s="28"/>
      <c r="AD523" s="28">
        <v>33</v>
      </c>
      <c r="AE523" s="28" t="s">
        <v>129</v>
      </c>
      <c r="AF523" s="28"/>
      <c r="AG523" s="141"/>
      <c r="AL523" s="138" t="s">
        <v>84</v>
      </c>
      <c r="AM523" s="138">
        <v>155</v>
      </c>
      <c r="AN523" s="141">
        <v>195</v>
      </c>
      <c r="AO523" s="138"/>
      <c r="AP523" s="141"/>
      <c r="AQ523" s="28"/>
      <c r="AR523" s="28">
        <v>0</v>
      </c>
      <c r="AS523" s="28" t="s">
        <v>244</v>
      </c>
      <c r="AT523" s="28"/>
      <c r="AU523" s="141">
        <v>136</v>
      </c>
    </row>
    <row r="524" spans="2:47" ht="16.2" thickBot="1" x14ac:dyDescent="0.35">
      <c r="B524" s="125" t="s">
        <v>227</v>
      </c>
      <c r="C524" s="54">
        <v>0</v>
      </c>
      <c r="D524" s="45">
        <v>0</v>
      </c>
      <c r="E524" s="42"/>
      <c r="F524" s="40"/>
      <c r="G524" s="42"/>
      <c r="H524" s="54">
        <v>8</v>
      </c>
      <c r="I524" s="54" t="s">
        <v>391</v>
      </c>
      <c r="J524" s="28"/>
      <c r="K524" s="40"/>
      <c r="P524" s="1" t="s">
        <v>4</v>
      </c>
      <c r="X524" s="138" t="s">
        <v>132</v>
      </c>
      <c r="Y524" s="138">
        <v>0</v>
      </c>
      <c r="Z524" s="141">
        <v>0</v>
      </c>
      <c r="AA524" s="138"/>
      <c r="AB524" s="141"/>
      <c r="AC524" s="28"/>
      <c r="AD524" s="28"/>
      <c r="AE524" s="28"/>
      <c r="AF524" s="28"/>
      <c r="AG524" s="141"/>
      <c r="AL524" s="171" t="s">
        <v>84</v>
      </c>
      <c r="AM524" s="207">
        <v>1699</v>
      </c>
      <c r="AN524" s="207">
        <v>1841</v>
      </c>
      <c r="AO524" s="207"/>
      <c r="AP524" s="208"/>
      <c r="AQ524" s="170"/>
      <c r="AR524" s="170"/>
      <c r="AS524" s="170"/>
      <c r="AT524" s="170"/>
      <c r="AU524" s="172">
        <v>306</v>
      </c>
    </row>
    <row r="525" spans="2:47" x14ac:dyDescent="0.3">
      <c r="B525" s="41" t="s">
        <v>230</v>
      </c>
      <c r="C525" s="54">
        <f>3+5</f>
        <v>8</v>
      </c>
      <c r="D525" s="45">
        <f>3+5</f>
        <v>8</v>
      </c>
      <c r="E525" s="42"/>
      <c r="F525" s="40"/>
      <c r="G525" s="42"/>
      <c r="H525" s="54">
        <v>1</v>
      </c>
      <c r="I525" s="54" t="s">
        <v>352</v>
      </c>
      <c r="J525" s="28"/>
      <c r="K525" s="40"/>
      <c r="Q525" t="s">
        <v>2</v>
      </c>
      <c r="X525" s="138" t="s">
        <v>81</v>
      </c>
      <c r="Y525" s="138">
        <v>0</v>
      </c>
      <c r="Z525" s="141">
        <v>10</v>
      </c>
      <c r="AA525" s="138"/>
      <c r="AB525" s="141"/>
      <c r="AC525" s="28"/>
      <c r="AD525" s="28"/>
      <c r="AE525" s="28"/>
      <c r="AF525" s="28"/>
      <c r="AG525" s="141"/>
    </row>
    <row r="526" spans="2:47" x14ac:dyDescent="0.3">
      <c r="B526" s="68" t="s">
        <v>125</v>
      </c>
      <c r="C526" s="54">
        <v>0</v>
      </c>
      <c r="D526" s="45">
        <v>1</v>
      </c>
      <c r="E526" s="42"/>
      <c r="F526" s="40"/>
      <c r="G526" s="42"/>
      <c r="H526" s="54">
        <v>1</v>
      </c>
      <c r="I526" s="54" t="s">
        <v>228</v>
      </c>
      <c r="J526" s="28"/>
      <c r="K526" s="40"/>
      <c r="O526" t="s">
        <v>12</v>
      </c>
      <c r="X526" s="138" t="s">
        <v>138</v>
      </c>
      <c r="Y526" s="138">
        <v>0</v>
      </c>
      <c r="Z526" s="141">
        <v>1</v>
      </c>
      <c r="AA526" s="138"/>
      <c r="AB526" s="141"/>
      <c r="AC526" s="28"/>
      <c r="AD526" s="28"/>
      <c r="AE526" s="28"/>
      <c r="AF526" s="28"/>
      <c r="AG526" s="141"/>
    </row>
    <row r="527" spans="2:47" x14ac:dyDescent="0.3">
      <c r="B527" s="68" t="s">
        <v>132</v>
      </c>
      <c r="C527" s="54">
        <f>1+6+6</f>
        <v>13</v>
      </c>
      <c r="D527" s="45">
        <f>1+1</f>
        <v>2</v>
      </c>
      <c r="E527" s="42"/>
      <c r="F527" s="40"/>
      <c r="G527" s="42"/>
      <c r="H527" s="54">
        <v>3</v>
      </c>
      <c r="I527" s="54" t="s">
        <v>237</v>
      </c>
      <c r="J527" s="28"/>
      <c r="K527" s="40"/>
      <c r="Q527" t="s">
        <v>856</v>
      </c>
      <c r="V527" s="5"/>
      <c r="X527" s="138" t="s">
        <v>128</v>
      </c>
      <c r="Y527" s="138">
        <v>3</v>
      </c>
      <c r="Z527" s="141">
        <v>0</v>
      </c>
      <c r="AA527" s="138"/>
      <c r="AB527" s="141"/>
      <c r="AC527" s="28"/>
      <c r="AD527" s="28"/>
      <c r="AE527" s="28"/>
      <c r="AF527" s="28"/>
      <c r="AG527" s="141"/>
    </row>
    <row r="528" spans="2:47" ht="15" thickBot="1" x14ac:dyDescent="0.35">
      <c r="B528" s="41" t="s">
        <v>6</v>
      </c>
      <c r="E528" s="42"/>
      <c r="F528" s="40"/>
      <c r="G528" s="42"/>
      <c r="H528" s="54">
        <v>0</v>
      </c>
      <c r="I528" s="54" t="s">
        <v>472</v>
      </c>
      <c r="J528" s="28"/>
      <c r="K528" s="40"/>
      <c r="U528" s="5" t="s">
        <v>26</v>
      </c>
      <c r="X528" s="138" t="s">
        <v>67</v>
      </c>
      <c r="Y528" s="138">
        <v>39</v>
      </c>
      <c r="Z528" s="141">
        <v>46</v>
      </c>
      <c r="AA528" s="138"/>
      <c r="AB528" s="141"/>
      <c r="AC528" s="28"/>
      <c r="AD528" s="28"/>
      <c r="AE528" s="28"/>
      <c r="AF528" s="28"/>
      <c r="AG528" s="141"/>
    </row>
    <row r="529" spans="2:47" ht="15" thickBot="1" x14ac:dyDescent="0.35">
      <c r="B529" s="46" t="s">
        <v>84</v>
      </c>
      <c r="C529" s="48">
        <f>SUM(C513:C528)</f>
        <v>107</v>
      </c>
      <c r="D529" s="48">
        <f>SUM(D513:D528)</f>
        <v>76</v>
      </c>
      <c r="E529" s="47"/>
      <c r="F529" s="49"/>
      <c r="G529" s="47"/>
      <c r="H529" s="48">
        <v>7</v>
      </c>
      <c r="I529" s="48" t="s">
        <v>244</v>
      </c>
      <c r="J529" s="48"/>
      <c r="K529" s="49">
        <f>SUM(H514:H529)</f>
        <v>77</v>
      </c>
      <c r="M529" s="6" t="s">
        <v>17</v>
      </c>
      <c r="N529" s="6" t="s">
        <v>39</v>
      </c>
      <c r="O529" s="7"/>
      <c r="P529" s="6" t="s">
        <v>29</v>
      </c>
      <c r="Q529" s="7" t="s">
        <v>30</v>
      </c>
      <c r="R529" s="8" t="s">
        <v>40</v>
      </c>
      <c r="S529" s="8"/>
      <c r="T529" s="8"/>
      <c r="U529" s="8"/>
      <c r="V529" s="7"/>
      <c r="X529" s="142" t="s">
        <v>84</v>
      </c>
      <c r="Y529" s="142">
        <f>SUM(Y516:Y528)</f>
        <v>157</v>
      </c>
      <c r="Z529" s="146">
        <f>SUM(Z516:Z528)</f>
        <v>604</v>
      </c>
      <c r="AA529" s="142"/>
      <c r="AB529" s="146">
        <v>0</v>
      </c>
      <c r="AC529" s="143"/>
      <c r="AD529" s="143"/>
      <c r="AE529" s="143"/>
      <c r="AF529" s="143"/>
      <c r="AG529" s="146">
        <f>SUM(AD521:AD523)</f>
        <v>80</v>
      </c>
      <c r="AO529" t="s">
        <v>4</v>
      </c>
    </row>
    <row r="530" spans="2:47" ht="15" thickBot="1" x14ac:dyDescent="0.35">
      <c r="B530" s="147" t="s">
        <v>84</v>
      </c>
      <c r="C530" s="147">
        <f>SUM(+C529+C512+C502+C487+C485)</f>
        <v>2565</v>
      </c>
      <c r="D530" s="148">
        <f>SUM(D529+D512+D502+D487+D485)</f>
        <v>2644</v>
      </c>
      <c r="E530" s="147"/>
      <c r="F530" s="148"/>
      <c r="G530" s="149" t="s">
        <v>247</v>
      </c>
      <c r="H530" s="149"/>
      <c r="I530" s="149"/>
      <c r="J530" s="149"/>
      <c r="K530" s="148">
        <f>SUM(K485:K529)</f>
        <v>354</v>
      </c>
      <c r="M530" s="13" t="s">
        <v>42</v>
      </c>
      <c r="N530" s="13" t="s">
        <v>43</v>
      </c>
      <c r="O530" s="26" t="s">
        <v>44</v>
      </c>
      <c r="P530" s="13" t="s">
        <v>43</v>
      </c>
      <c r="Q530" s="26" t="s">
        <v>44</v>
      </c>
      <c r="R530" s="27"/>
      <c r="S530" s="27"/>
      <c r="T530" s="27"/>
      <c r="U530" s="27"/>
      <c r="V530" s="26"/>
      <c r="X530" s="134"/>
      <c r="Y530" s="134"/>
      <c r="Z530" s="136"/>
      <c r="AA530" s="134"/>
      <c r="AB530" s="136"/>
      <c r="AC530" s="135"/>
      <c r="AD530" s="135"/>
      <c r="AE530" s="135"/>
      <c r="AF530" s="135"/>
      <c r="AG530" s="136"/>
      <c r="AP530" t="s">
        <v>2</v>
      </c>
    </row>
    <row r="531" spans="2:47" ht="15" thickTop="1" x14ac:dyDescent="0.3">
      <c r="M531" s="32" t="s">
        <v>6</v>
      </c>
      <c r="N531" s="43"/>
      <c r="O531" s="54"/>
      <c r="P531" s="33"/>
      <c r="Q531" s="35"/>
      <c r="R531" s="33"/>
      <c r="S531" s="34" t="s">
        <v>91</v>
      </c>
      <c r="T531" s="34"/>
      <c r="U531" s="34"/>
      <c r="V531" s="35"/>
      <c r="W531" s="28"/>
      <c r="X531" s="138"/>
      <c r="Y531" s="138">
        <v>0</v>
      </c>
      <c r="Z531" s="141">
        <v>0</v>
      </c>
      <c r="AA531" s="138"/>
      <c r="AB531" s="141"/>
      <c r="AC531" s="28"/>
      <c r="AD531" s="28"/>
      <c r="AE531" s="28"/>
      <c r="AF531" s="28"/>
      <c r="AG531" s="141"/>
      <c r="AN531" t="s">
        <v>12</v>
      </c>
    </row>
    <row r="532" spans="2:47" x14ac:dyDescent="0.3">
      <c r="M532" s="41" t="s">
        <v>56</v>
      </c>
      <c r="N532" s="43">
        <v>1359</v>
      </c>
      <c r="O532" s="54">
        <v>1361</v>
      </c>
      <c r="P532" s="42"/>
      <c r="Q532" s="40"/>
      <c r="R532" s="42"/>
      <c r="S532" s="28"/>
      <c r="T532" s="28"/>
      <c r="U532" s="28"/>
      <c r="V532" s="40"/>
      <c r="W532" s="28"/>
      <c r="X532" s="138"/>
      <c r="Y532" s="138">
        <v>0</v>
      </c>
      <c r="Z532" s="141">
        <v>0</v>
      </c>
      <c r="AA532" s="138"/>
      <c r="AB532" s="141"/>
      <c r="AC532" s="28"/>
      <c r="AD532" s="28"/>
      <c r="AE532" s="28"/>
      <c r="AF532" s="28"/>
      <c r="AG532" s="141"/>
      <c r="AP532" t="s">
        <v>1694</v>
      </c>
    </row>
    <row r="533" spans="2:47" ht="15" thickBot="1" x14ac:dyDescent="0.35">
      <c r="M533" s="62" t="s">
        <v>6</v>
      </c>
      <c r="N533" s="43"/>
      <c r="O533" s="43"/>
      <c r="P533" s="47"/>
      <c r="Q533" s="49"/>
      <c r="R533" s="47"/>
      <c r="S533" s="48">
        <v>92</v>
      </c>
      <c r="T533" s="48" t="s">
        <v>73</v>
      </c>
      <c r="U533" s="48"/>
      <c r="V533" s="49">
        <f>SUM(S533)</f>
        <v>92</v>
      </c>
      <c r="W533" s="28"/>
      <c r="X533" s="138"/>
      <c r="Y533" s="138">
        <v>0</v>
      </c>
      <c r="Z533" s="141">
        <v>0</v>
      </c>
      <c r="AA533" s="138"/>
      <c r="AB533" s="141"/>
      <c r="AC533" s="28"/>
      <c r="AD533" s="28" t="s">
        <v>173</v>
      </c>
      <c r="AE533" s="28"/>
      <c r="AF533" s="28"/>
      <c r="AG533" s="141"/>
      <c r="AT533" s="194" t="s">
        <v>951</v>
      </c>
    </row>
    <row r="534" spans="2:47" ht="15.6" x14ac:dyDescent="0.3">
      <c r="E534" s="1" t="s">
        <v>4</v>
      </c>
      <c r="M534" s="10"/>
      <c r="N534" s="29"/>
      <c r="O534" s="31"/>
      <c r="P534" s="33"/>
      <c r="Q534" s="7"/>
      <c r="R534" s="8"/>
      <c r="S534" s="8"/>
      <c r="T534" s="8"/>
      <c r="U534" s="8"/>
      <c r="V534" s="7"/>
      <c r="W534" s="28"/>
      <c r="X534" s="138"/>
      <c r="Y534" s="138">
        <v>0</v>
      </c>
      <c r="Z534" s="141">
        <v>0</v>
      </c>
      <c r="AA534" s="138"/>
      <c r="AB534" s="141"/>
      <c r="AC534" s="28"/>
      <c r="AD534" s="28"/>
      <c r="AE534" s="28"/>
      <c r="AF534" s="28"/>
      <c r="AG534" s="141"/>
      <c r="AL534" s="134" t="s">
        <v>17</v>
      </c>
      <c r="AM534" s="134" t="s">
        <v>39</v>
      </c>
      <c r="AN534" s="136"/>
      <c r="AO534" s="134" t="s">
        <v>29</v>
      </c>
      <c r="AP534" s="136" t="s">
        <v>30</v>
      </c>
      <c r="AQ534" s="135" t="s">
        <v>40</v>
      </c>
      <c r="AR534" s="135"/>
      <c r="AS534" s="135"/>
      <c r="AT534" s="135"/>
      <c r="AU534" s="136"/>
    </row>
    <row r="535" spans="2:47" x14ac:dyDescent="0.3">
      <c r="F535" t="s">
        <v>2</v>
      </c>
      <c r="M535" s="36" t="s">
        <v>63</v>
      </c>
      <c r="N535" s="10">
        <v>19</v>
      </c>
      <c r="O535" s="18">
        <v>27</v>
      </c>
      <c r="P535" s="42"/>
      <c r="Q535" s="11"/>
      <c r="R535" s="18"/>
      <c r="S535" s="18" t="s">
        <v>110</v>
      </c>
      <c r="T535" s="18" t="s">
        <v>111</v>
      </c>
      <c r="U535" s="18" t="s">
        <v>112</v>
      </c>
      <c r="V535" s="11"/>
      <c r="W535" s="28"/>
      <c r="X535" s="138"/>
      <c r="Y535" s="138">
        <v>0</v>
      </c>
      <c r="Z535" s="141">
        <v>0</v>
      </c>
      <c r="AA535" s="138"/>
      <c r="AB535" s="141"/>
      <c r="AC535" s="28"/>
      <c r="AD535" s="28">
        <v>0</v>
      </c>
      <c r="AE535" s="28" t="s">
        <v>183</v>
      </c>
      <c r="AF535" s="28"/>
      <c r="AG535" s="141"/>
      <c r="AL535" s="138" t="s">
        <v>42</v>
      </c>
      <c r="AM535" s="138" t="s">
        <v>43</v>
      </c>
      <c r="AN535" s="141" t="s">
        <v>44</v>
      </c>
      <c r="AO535" s="138" t="s">
        <v>43</v>
      </c>
      <c r="AP535" s="141" t="s">
        <v>44</v>
      </c>
      <c r="AQ535" s="28"/>
      <c r="AR535" s="28"/>
      <c r="AS535" s="28"/>
      <c r="AT535" s="28"/>
      <c r="AU535" s="141"/>
    </row>
    <row r="536" spans="2:47" x14ac:dyDescent="0.3">
      <c r="D536" t="s">
        <v>12</v>
      </c>
      <c r="L536" t="s">
        <v>6</v>
      </c>
      <c r="M536" s="10" t="s">
        <v>115</v>
      </c>
      <c r="N536" s="36">
        <v>38</v>
      </c>
      <c r="O536" s="37">
        <v>60</v>
      </c>
      <c r="P536" s="42"/>
      <c r="Q536" s="11"/>
      <c r="R536" s="18"/>
      <c r="S536" s="18"/>
      <c r="T536" s="18"/>
      <c r="U536" s="18"/>
      <c r="V536" s="11"/>
      <c r="W536" s="28"/>
      <c r="X536" s="134"/>
      <c r="Y536" s="134"/>
      <c r="Z536" s="136"/>
      <c r="AA536" s="135"/>
      <c r="AB536" s="135"/>
      <c r="AC536" s="134"/>
      <c r="AD536" s="135"/>
      <c r="AE536" s="135"/>
      <c r="AF536" s="135"/>
      <c r="AG536" s="136"/>
      <c r="AL536" s="134"/>
      <c r="AM536" s="134"/>
      <c r="AN536" s="136"/>
      <c r="AO536" s="134"/>
      <c r="AP536" s="136"/>
      <c r="AQ536" s="135"/>
      <c r="AR536" s="135"/>
      <c r="AS536" s="135"/>
      <c r="AT536" s="135"/>
      <c r="AU536" s="136"/>
    </row>
    <row r="537" spans="2:47" x14ac:dyDescent="0.3">
      <c r="F537" t="s">
        <v>527</v>
      </c>
      <c r="K537" s="5"/>
      <c r="M537" s="52" t="s">
        <v>72</v>
      </c>
      <c r="N537" s="52">
        <v>0</v>
      </c>
      <c r="O537" s="54">
        <v>0</v>
      </c>
      <c r="P537" s="42"/>
      <c r="Q537" s="40"/>
      <c r="R537" s="28"/>
      <c r="S537" s="28"/>
      <c r="T537" s="28"/>
      <c r="U537" s="28"/>
      <c r="V537" s="40"/>
      <c r="W537" s="28"/>
      <c r="X537" s="138"/>
      <c r="Y537" s="138"/>
      <c r="Z537" s="141"/>
      <c r="AA537" s="28"/>
      <c r="AB537" s="28"/>
      <c r="AC537" s="138"/>
      <c r="AD537" s="28" t="s">
        <v>140</v>
      </c>
      <c r="AE537" s="28"/>
      <c r="AF537" s="28"/>
      <c r="AG537" s="141"/>
      <c r="AL537" s="138"/>
      <c r="AM537" s="138"/>
      <c r="AN537" s="141"/>
      <c r="AO537" s="138"/>
      <c r="AP537" s="141"/>
      <c r="AQ537" s="28"/>
      <c r="AR537" s="28" t="s">
        <v>91</v>
      </c>
      <c r="AS537" s="28"/>
      <c r="AT537" s="28"/>
      <c r="AU537" s="141"/>
    </row>
    <row r="538" spans="2:47" ht="15" thickBot="1" x14ac:dyDescent="0.35">
      <c r="J538" s="5" t="s">
        <v>26</v>
      </c>
      <c r="M538" s="36" t="s">
        <v>78</v>
      </c>
      <c r="N538" s="36">
        <v>38</v>
      </c>
      <c r="O538" s="37">
        <v>67</v>
      </c>
      <c r="P538" s="42"/>
      <c r="Q538" s="11"/>
      <c r="R538" s="18"/>
      <c r="S538" s="37"/>
      <c r="T538" s="18"/>
      <c r="U538" s="37"/>
      <c r="V538" s="11"/>
      <c r="W538" s="28"/>
      <c r="X538" s="138"/>
      <c r="Y538" s="138"/>
      <c r="Z538" s="141"/>
      <c r="AA538" s="28"/>
      <c r="AB538" s="28"/>
      <c r="AC538" s="138"/>
      <c r="AD538" s="28"/>
      <c r="AE538" s="28"/>
      <c r="AF538" s="28"/>
      <c r="AG538" s="141"/>
      <c r="AL538" s="138" t="s">
        <v>56</v>
      </c>
      <c r="AM538" s="138">
        <v>938</v>
      </c>
      <c r="AN538" s="141">
        <v>989</v>
      </c>
      <c r="AO538" s="138"/>
      <c r="AP538" s="141"/>
      <c r="AQ538" s="28"/>
      <c r="AR538" s="28"/>
      <c r="AS538" s="28"/>
      <c r="AT538" s="28"/>
      <c r="AU538" s="141"/>
    </row>
    <row r="539" spans="2:47" x14ac:dyDescent="0.3">
      <c r="B539" s="6" t="s">
        <v>17</v>
      </c>
      <c r="C539" s="6" t="s">
        <v>39</v>
      </c>
      <c r="D539" s="7"/>
      <c r="E539" s="6" t="s">
        <v>29</v>
      </c>
      <c r="F539" s="7" t="s">
        <v>30</v>
      </c>
      <c r="G539" s="8" t="s">
        <v>40</v>
      </c>
      <c r="H539" s="8"/>
      <c r="I539" s="8"/>
      <c r="J539" s="8"/>
      <c r="K539" s="7"/>
      <c r="M539" s="10" t="s">
        <v>122</v>
      </c>
      <c r="N539" s="36">
        <v>16</v>
      </c>
      <c r="O539" s="37">
        <v>23</v>
      </c>
      <c r="P539" s="42"/>
      <c r="Q539" s="11"/>
      <c r="R539" s="18"/>
      <c r="S539" s="18">
        <v>27</v>
      </c>
      <c r="T539" s="18" t="s">
        <v>123</v>
      </c>
      <c r="U539" s="18"/>
      <c r="V539" s="11"/>
      <c r="W539" s="28" t="s">
        <v>6</v>
      </c>
      <c r="X539" s="138"/>
      <c r="Y539" s="138"/>
      <c r="Z539" s="141"/>
      <c r="AA539" s="28"/>
      <c r="AB539" s="28"/>
      <c r="AC539" s="138"/>
      <c r="AD539" s="28">
        <v>1</v>
      </c>
      <c r="AE539" s="28" t="s">
        <v>773</v>
      </c>
      <c r="AF539" s="28"/>
      <c r="AG539" s="141"/>
      <c r="AL539" s="142" t="s">
        <v>6</v>
      </c>
      <c r="AM539" s="142"/>
      <c r="AN539" s="146"/>
      <c r="AO539" s="142"/>
      <c r="AP539" s="146"/>
      <c r="AQ539" s="143"/>
      <c r="AR539" s="143">
        <v>67</v>
      </c>
      <c r="AS539" s="143" t="s">
        <v>1292</v>
      </c>
      <c r="AT539" s="143"/>
      <c r="AU539" s="146">
        <f>SUM(AR539)</f>
        <v>67</v>
      </c>
    </row>
    <row r="540" spans="2:47" ht="15" thickBot="1" x14ac:dyDescent="0.35">
      <c r="B540" s="13" t="s">
        <v>42</v>
      </c>
      <c r="C540" s="10" t="s">
        <v>43</v>
      </c>
      <c r="D540" s="11" t="s">
        <v>44</v>
      </c>
      <c r="E540" s="13" t="s">
        <v>43</v>
      </c>
      <c r="F540" s="26" t="s">
        <v>44</v>
      </c>
      <c r="G540" s="27"/>
      <c r="H540" s="27"/>
      <c r="I540" s="27"/>
      <c r="J540" s="27"/>
      <c r="K540" s="26"/>
      <c r="M540" s="10" t="s">
        <v>125</v>
      </c>
      <c r="N540" s="36">
        <v>0</v>
      </c>
      <c r="O540" s="37">
        <v>0</v>
      </c>
      <c r="P540" s="42"/>
      <c r="Q540" s="11"/>
      <c r="R540" s="18"/>
      <c r="S540" s="18">
        <v>32</v>
      </c>
      <c r="T540" s="18" t="s">
        <v>126</v>
      </c>
      <c r="U540" s="18"/>
      <c r="V540" s="11"/>
      <c r="W540" s="28"/>
      <c r="X540" s="138" t="s">
        <v>63</v>
      </c>
      <c r="Y540" s="138">
        <f>2+2</f>
        <v>4</v>
      </c>
      <c r="Z540" s="141">
        <f>3+2+10</f>
        <v>15</v>
      </c>
      <c r="AA540" s="28"/>
      <c r="AB540" s="28"/>
      <c r="AC540" s="138"/>
      <c r="AD540">
        <v>1</v>
      </c>
      <c r="AE540" s="28" t="s">
        <v>1126</v>
      </c>
      <c r="AF540" s="28"/>
      <c r="AG540" s="141"/>
      <c r="AL540" s="134"/>
      <c r="AM540" s="134"/>
      <c r="AN540" s="136"/>
      <c r="AO540" s="134"/>
      <c r="AP540" s="136"/>
      <c r="AQ540" s="135"/>
      <c r="AR540" s="135"/>
      <c r="AS540" s="135"/>
      <c r="AT540" s="135"/>
      <c r="AU540" s="136"/>
    </row>
    <row r="541" spans="2:47" x14ac:dyDescent="0.3">
      <c r="B541" s="6" t="s">
        <v>56</v>
      </c>
      <c r="C541" s="29">
        <v>767</v>
      </c>
      <c r="D541" s="30">
        <v>703</v>
      </c>
      <c r="G541" s="6"/>
      <c r="H541" s="8"/>
      <c r="I541" s="31" t="s">
        <v>57</v>
      </c>
      <c r="J541" s="8"/>
      <c r="K541" s="7"/>
      <c r="L541" s="28"/>
      <c r="M541" s="84" t="s">
        <v>128</v>
      </c>
      <c r="N541" s="52">
        <v>1</v>
      </c>
      <c r="O541" s="37">
        <v>2</v>
      </c>
      <c r="P541" s="42"/>
      <c r="Q541" s="40"/>
      <c r="R541" s="28"/>
      <c r="S541" s="28">
        <v>40</v>
      </c>
      <c r="T541" s="28" t="s">
        <v>129</v>
      </c>
      <c r="U541" s="28"/>
      <c r="V541" s="40"/>
      <c r="W541" s="28"/>
      <c r="X541" s="138" t="s">
        <v>78</v>
      </c>
      <c r="Y541" s="138">
        <f>1+5</f>
        <v>6</v>
      </c>
      <c r="Z541" s="141">
        <v>8</v>
      </c>
      <c r="AA541" s="28"/>
      <c r="AB541" s="28"/>
      <c r="AC541" s="138"/>
      <c r="AD541" s="28">
        <v>21</v>
      </c>
      <c r="AE541" s="28" t="s">
        <v>204</v>
      </c>
      <c r="AF541" s="28"/>
      <c r="AG541" s="141"/>
      <c r="AL541" s="138" t="s">
        <v>63</v>
      </c>
      <c r="AM541" s="138">
        <v>25</v>
      </c>
      <c r="AN541" s="141">
        <v>32</v>
      </c>
      <c r="AO541" s="138"/>
      <c r="AP541" s="141"/>
      <c r="AQ541" s="28"/>
      <c r="AR541" s="28" t="s">
        <v>110</v>
      </c>
      <c r="AS541" s="28" t="s">
        <v>111</v>
      </c>
      <c r="AT541" s="28" t="s">
        <v>112</v>
      </c>
      <c r="AU541" s="141"/>
    </row>
    <row r="542" spans="2:47" x14ac:dyDescent="0.3">
      <c r="B542" s="36" t="s">
        <v>63</v>
      </c>
      <c r="C542" s="36">
        <v>0</v>
      </c>
      <c r="D542" s="39">
        <v>0</v>
      </c>
      <c r="F542" s="18"/>
      <c r="G542" s="10"/>
      <c r="H542" s="18"/>
      <c r="I542" s="18"/>
      <c r="J542" s="18"/>
      <c r="K542" s="11"/>
      <c r="L542" s="28"/>
      <c r="M542" s="84" t="s">
        <v>132</v>
      </c>
      <c r="N542" s="42">
        <v>0</v>
      </c>
      <c r="O542" s="37">
        <v>0</v>
      </c>
      <c r="P542" s="42"/>
      <c r="Q542" s="40"/>
      <c r="R542" s="28"/>
      <c r="S542" s="28"/>
      <c r="T542" s="28"/>
      <c r="U542" s="28"/>
      <c r="V542" s="40"/>
      <c r="W542" s="28"/>
      <c r="X542" s="138" t="s">
        <v>209</v>
      </c>
      <c r="Y542" s="138">
        <v>0</v>
      </c>
      <c r="Z542" s="141">
        <v>0</v>
      </c>
      <c r="AA542" s="28"/>
      <c r="AB542" s="28"/>
      <c r="AC542" s="138"/>
      <c r="AD542" s="28">
        <v>1</v>
      </c>
      <c r="AE542" s="28" t="s">
        <v>1101</v>
      </c>
      <c r="AF542" s="28"/>
      <c r="AG542" s="141"/>
      <c r="AL542" s="138" t="s">
        <v>115</v>
      </c>
      <c r="AM542" s="138">
        <v>9</v>
      </c>
      <c r="AN542" s="141">
        <v>15</v>
      </c>
      <c r="AO542" s="138"/>
      <c r="AP542" s="141"/>
      <c r="AQ542" s="28"/>
      <c r="AR542" s="28"/>
      <c r="AS542" s="28"/>
      <c r="AT542" s="28"/>
      <c r="AU542" s="141"/>
    </row>
    <row r="543" spans="2:47" x14ac:dyDescent="0.3">
      <c r="B543" s="36" t="s">
        <v>67</v>
      </c>
      <c r="C543" s="36">
        <v>316</v>
      </c>
      <c r="D543" s="39">
        <v>305</v>
      </c>
      <c r="F543" s="18"/>
      <c r="G543" s="10"/>
      <c r="H543" s="37">
        <v>107</v>
      </c>
      <c r="I543" s="37" t="s">
        <v>68</v>
      </c>
      <c r="J543" s="18"/>
      <c r="K543" s="11"/>
      <c r="L543" s="28"/>
      <c r="M543" s="84" t="s">
        <v>81</v>
      </c>
      <c r="N543" s="42">
        <v>25</v>
      </c>
      <c r="O543" s="37">
        <v>35</v>
      </c>
      <c r="P543" s="42"/>
      <c r="Q543" s="40"/>
      <c r="R543" s="28"/>
      <c r="S543" s="28"/>
      <c r="T543" s="28"/>
      <c r="U543" s="28"/>
      <c r="V543" s="40"/>
      <c r="W543" s="45"/>
      <c r="X543" s="138" t="s">
        <v>168</v>
      </c>
      <c r="Y543" s="138">
        <v>1</v>
      </c>
      <c r="Z543" s="141">
        <v>2</v>
      </c>
      <c r="AA543" s="28"/>
      <c r="AB543" s="28"/>
      <c r="AC543" s="138"/>
      <c r="AD543" s="28">
        <f>4+1+3+1+2</f>
        <v>11</v>
      </c>
      <c r="AE543" s="28" t="s">
        <v>213</v>
      </c>
      <c r="AF543" s="28" t="s">
        <v>6</v>
      </c>
      <c r="AG543" s="141"/>
      <c r="AL543" s="138" t="s">
        <v>72</v>
      </c>
      <c r="AM543" s="138">
        <v>2</v>
      </c>
      <c r="AN543" s="141">
        <v>0</v>
      </c>
      <c r="AO543" s="138"/>
      <c r="AP543" s="141"/>
      <c r="AQ543" s="28"/>
      <c r="AR543" s="28"/>
      <c r="AS543" s="28"/>
      <c r="AT543" s="28"/>
      <c r="AU543" s="141"/>
    </row>
    <row r="544" spans="2:47" x14ac:dyDescent="0.3">
      <c r="B544" s="36" t="s">
        <v>72</v>
      </c>
      <c r="C544" s="36">
        <v>0</v>
      </c>
      <c r="D544" s="39">
        <v>0</v>
      </c>
      <c r="F544" s="18"/>
      <c r="G544" s="10"/>
      <c r="H544" s="37">
        <v>2</v>
      </c>
      <c r="I544" s="37" t="s">
        <v>73</v>
      </c>
      <c r="J544" s="18"/>
      <c r="K544" s="11"/>
      <c r="L544" s="28"/>
      <c r="M544" s="10" t="s">
        <v>138</v>
      </c>
      <c r="N544" s="36">
        <v>0</v>
      </c>
      <c r="O544" s="37">
        <v>0</v>
      </c>
      <c r="P544" s="42"/>
      <c r="Q544" s="11"/>
      <c r="R544" s="18"/>
      <c r="S544" s="18"/>
      <c r="T544" s="18"/>
      <c r="U544" s="18"/>
      <c r="V544" s="11"/>
      <c r="W544" s="28"/>
      <c r="X544" s="138" t="s">
        <v>81</v>
      </c>
      <c r="Y544" s="138">
        <v>0</v>
      </c>
      <c r="Z544" s="141">
        <v>3</v>
      </c>
      <c r="AA544" s="28"/>
      <c r="AB544" s="28"/>
      <c r="AC544" s="138"/>
      <c r="AD544" s="43">
        <v>2</v>
      </c>
      <c r="AE544" s="28" t="s">
        <v>1038</v>
      </c>
      <c r="AF544" s="28"/>
      <c r="AG544" s="141" t="s">
        <v>6</v>
      </c>
      <c r="AL544" s="138" t="s">
        <v>78</v>
      </c>
      <c r="AM544" s="138">
        <v>5</v>
      </c>
      <c r="AN544" s="141">
        <v>4</v>
      </c>
      <c r="AO544" s="138"/>
      <c r="AP544" s="141"/>
      <c r="AQ544" s="28"/>
      <c r="AR544" s="28"/>
      <c r="AS544" s="28"/>
      <c r="AT544" s="28"/>
      <c r="AU544" s="141"/>
    </row>
    <row r="545" spans="2:47" x14ac:dyDescent="0.3">
      <c r="B545" s="36" t="s">
        <v>78</v>
      </c>
      <c r="C545" s="36">
        <v>0</v>
      </c>
      <c r="D545" s="39">
        <v>0</v>
      </c>
      <c r="F545" s="18"/>
      <c r="G545" s="10"/>
      <c r="H545" s="37"/>
      <c r="I545" s="37"/>
      <c r="J545" s="18" t="s">
        <v>6</v>
      </c>
      <c r="K545" s="11"/>
      <c r="L545" s="28"/>
      <c r="M545" s="84" t="s">
        <v>56</v>
      </c>
      <c r="N545" s="42">
        <v>6</v>
      </c>
      <c r="O545" s="54">
        <v>5</v>
      </c>
      <c r="P545" s="42"/>
      <c r="Q545" s="40"/>
      <c r="R545" s="28"/>
      <c r="S545" s="28"/>
      <c r="T545" s="28"/>
      <c r="U545" s="28"/>
      <c r="V545" s="40"/>
      <c r="W545" s="28"/>
      <c r="X545" s="138" t="s">
        <v>72</v>
      </c>
      <c r="Y545" s="138">
        <f>9+1+5</f>
        <v>15</v>
      </c>
      <c r="Z545" s="141">
        <f>9+2+11+6</f>
        <v>28</v>
      </c>
      <c r="AA545" s="28"/>
      <c r="AB545" s="28"/>
      <c r="AC545" s="138"/>
      <c r="AD545" s="43">
        <v>13</v>
      </c>
      <c r="AE545" s="43" t="s">
        <v>655</v>
      </c>
      <c r="AF545" s="28"/>
      <c r="AG545" s="141"/>
      <c r="AL545" s="138" t="s">
        <v>122</v>
      </c>
      <c r="AM545" s="138">
        <v>5</v>
      </c>
      <c r="AN545" s="141">
        <v>9</v>
      </c>
      <c r="AO545" s="138"/>
      <c r="AP545" s="141"/>
      <c r="AQ545" s="28"/>
      <c r="AR545" s="28">
        <v>27</v>
      </c>
      <c r="AS545" s="28" t="s">
        <v>123</v>
      </c>
      <c r="AT545" s="28" t="s">
        <v>6</v>
      </c>
      <c r="AU545" s="141"/>
    </row>
    <row r="546" spans="2:47" x14ac:dyDescent="0.3">
      <c r="B546" s="52" t="s">
        <v>81</v>
      </c>
      <c r="C546" s="36">
        <v>0</v>
      </c>
      <c r="D546" s="39">
        <v>0</v>
      </c>
      <c r="G546" s="42"/>
      <c r="H546" s="28"/>
      <c r="I546" s="28"/>
      <c r="J546" s="28"/>
      <c r="K546" s="40"/>
      <c r="L546" s="28"/>
      <c r="M546" s="36" t="s">
        <v>67</v>
      </c>
      <c r="N546" s="10">
        <v>52</v>
      </c>
      <c r="O546" s="18">
        <v>46</v>
      </c>
      <c r="P546" s="42"/>
      <c r="Q546" s="11"/>
      <c r="R546" s="18"/>
      <c r="S546" s="18"/>
      <c r="T546" s="18"/>
      <c r="U546" s="18"/>
      <c r="V546" s="11"/>
      <c r="W546" s="28"/>
      <c r="X546" s="138" t="s">
        <v>115</v>
      </c>
      <c r="Y546" s="138">
        <v>2</v>
      </c>
      <c r="Z546" s="141">
        <v>1</v>
      </c>
      <c r="AA546" s="28"/>
      <c r="AB546" s="28"/>
      <c r="AC546" s="138"/>
      <c r="AD546" s="43"/>
      <c r="AE546" s="43" t="s">
        <v>244</v>
      </c>
      <c r="AF546" s="28"/>
      <c r="AG546" s="141"/>
      <c r="AL546" s="138" t="s">
        <v>81</v>
      </c>
      <c r="AM546" s="138">
        <v>4</v>
      </c>
      <c r="AN546" s="141">
        <v>7</v>
      </c>
      <c r="AO546" s="138"/>
      <c r="AP546" s="141"/>
      <c r="AQ546" s="28"/>
      <c r="AR546" s="28">
        <v>0</v>
      </c>
      <c r="AS546" s="28" t="s">
        <v>126</v>
      </c>
      <c r="AT546" s="28"/>
      <c r="AU546" s="141"/>
    </row>
    <row r="547" spans="2:47" ht="15" thickBot="1" x14ac:dyDescent="0.35">
      <c r="B547" s="52" t="s">
        <v>115</v>
      </c>
      <c r="C547" s="52">
        <v>0</v>
      </c>
      <c r="D547" s="86">
        <v>0</v>
      </c>
      <c r="G547" s="42"/>
      <c r="H547" s="28"/>
      <c r="I547" s="28"/>
      <c r="J547" s="28"/>
      <c r="K547" s="40"/>
      <c r="L547" s="28"/>
      <c r="M547" s="13" t="s">
        <v>84</v>
      </c>
      <c r="N547" s="13">
        <f>SUM(N535:N546)</f>
        <v>195</v>
      </c>
      <c r="O547" s="27">
        <f>SUM(O535:O546)</f>
        <v>265</v>
      </c>
      <c r="P547" s="47"/>
      <c r="Q547" s="26">
        <f>SUM(Q539:Q546)</f>
        <v>0</v>
      </c>
      <c r="R547" s="27"/>
      <c r="S547" s="27"/>
      <c r="T547" s="27"/>
      <c r="U547" s="27"/>
      <c r="V547" s="26">
        <f>SUM(S539:S541)</f>
        <v>99</v>
      </c>
      <c r="W547" s="28"/>
      <c r="X547" s="138" t="s">
        <v>56</v>
      </c>
      <c r="Y547" s="138">
        <f>6+4+1+2</f>
        <v>13</v>
      </c>
      <c r="Z547" s="141">
        <f>9+5+2+5</f>
        <v>21</v>
      </c>
      <c r="AA547" s="28"/>
      <c r="AB547" s="28"/>
      <c r="AC547" s="138"/>
      <c r="AD547" s="43">
        <v>1</v>
      </c>
      <c r="AE547" s="43" t="s">
        <v>1112</v>
      </c>
      <c r="AF547" s="28"/>
      <c r="AG547" s="141"/>
      <c r="AL547" s="138" t="s">
        <v>1696</v>
      </c>
      <c r="AM547" s="138">
        <v>0</v>
      </c>
      <c r="AN547" s="141">
        <v>0</v>
      </c>
      <c r="AO547" s="138"/>
      <c r="AP547" s="141"/>
      <c r="AQ547" s="28"/>
      <c r="AR547" s="28">
        <v>29</v>
      </c>
      <c r="AS547" s="28" t="s">
        <v>129</v>
      </c>
      <c r="AT547" s="28" t="s">
        <v>6</v>
      </c>
      <c r="AU547" s="141"/>
    </row>
    <row r="548" spans="2:47" ht="15" thickBot="1" x14ac:dyDescent="0.35">
      <c r="B548" s="13" t="s">
        <v>84</v>
      </c>
      <c r="C548" s="13">
        <f>SUM(C541:C547)</f>
        <v>1083</v>
      </c>
      <c r="D548" s="26">
        <f>SUM(D541:D547)</f>
        <v>1008</v>
      </c>
      <c r="F548" s="18"/>
      <c r="G548" s="13"/>
      <c r="H548" s="27"/>
      <c r="I548" s="27"/>
      <c r="J548" s="27"/>
      <c r="K548" s="26">
        <f>SUM(H543:H544)</f>
        <v>109</v>
      </c>
      <c r="L548" s="28"/>
      <c r="M548" s="32"/>
      <c r="N548" s="53"/>
      <c r="O548" s="97"/>
      <c r="P548" s="33"/>
      <c r="Q548" s="7"/>
      <c r="R548" s="6"/>
      <c r="S548" s="8"/>
      <c r="T548" s="31"/>
      <c r="U548" s="8"/>
      <c r="V548" s="7"/>
      <c r="W548" s="28"/>
      <c r="X548" s="138" t="s">
        <v>138</v>
      </c>
      <c r="Y548" s="138">
        <v>0</v>
      </c>
      <c r="Z548" s="141">
        <v>2</v>
      </c>
      <c r="AA548" s="28"/>
      <c r="AB548" s="28"/>
      <c r="AC548" s="138"/>
      <c r="AD548" s="43">
        <v>5</v>
      </c>
      <c r="AE548" s="43" t="s">
        <v>1116</v>
      </c>
      <c r="AF548" s="28"/>
      <c r="AG548" s="141"/>
      <c r="AL548" s="138" t="s">
        <v>56</v>
      </c>
      <c r="AM548" s="138">
        <v>0</v>
      </c>
      <c r="AN548" s="141">
        <v>0</v>
      </c>
      <c r="AO548" s="138"/>
      <c r="AP548" s="141"/>
      <c r="AQ548" s="28"/>
      <c r="AR548" s="28"/>
      <c r="AS548" s="28"/>
      <c r="AT548" s="28"/>
      <c r="AU548" s="141"/>
    </row>
    <row r="549" spans="2:47" ht="15" thickBot="1" x14ac:dyDescent="0.35">
      <c r="B549" s="32" t="s">
        <v>6</v>
      </c>
      <c r="C549" s="43"/>
      <c r="D549" s="54"/>
      <c r="E549" s="33"/>
      <c r="F549" s="35"/>
      <c r="G549" s="33"/>
      <c r="H549" s="34" t="s">
        <v>91</v>
      </c>
      <c r="I549" s="34"/>
      <c r="J549" s="34"/>
      <c r="K549" s="35"/>
      <c r="L549" s="28" t="s">
        <v>6</v>
      </c>
      <c r="M549" s="62"/>
      <c r="N549" s="72"/>
      <c r="O549" s="73"/>
      <c r="P549" s="47"/>
      <c r="Q549" s="49"/>
      <c r="R549" s="47"/>
      <c r="S549" s="48"/>
      <c r="T549" s="48"/>
      <c r="U549" s="48"/>
      <c r="V549" s="49"/>
      <c r="X549" s="138" t="s">
        <v>67</v>
      </c>
      <c r="Y549" s="138">
        <f>5+7</f>
        <v>12</v>
      </c>
      <c r="Z549" s="141">
        <f>8+8</f>
        <v>16</v>
      </c>
      <c r="AA549" s="28"/>
      <c r="AB549" s="28"/>
      <c r="AC549" s="138"/>
      <c r="AD549" s="43">
        <f>2+17</f>
        <v>19</v>
      </c>
      <c r="AE549" s="43" t="s">
        <v>215</v>
      </c>
      <c r="AF549" s="28"/>
      <c r="AG549" s="141"/>
      <c r="AL549" s="138" t="s">
        <v>67</v>
      </c>
      <c r="AM549" s="138">
        <v>22</v>
      </c>
      <c r="AN549" s="141">
        <v>36</v>
      </c>
      <c r="AO549" s="138"/>
      <c r="AP549" s="141"/>
      <c r="AQ549" s="28"/>
      <c r="AR549" s="28"/>
      <c r="AS549" s="28"/>
      <c r="AT549" s="28"/>
      <c r="AU549" s="141" t="s">
        <v>6</v>
      </c>
    </row>
    <row r="550" spans="2:47" x14ac:dyDescent="0.3">
      <c r="B550" s="41" t="s">
        <v>56</v>
      </c>
      <c r="C550" s="43">
        <v>940</v>
      </c>
      <c r="D550" s="54">
        <v>956</v>
      </c>
      <c r="E550" s="42"/>
      <c r="F550" s="40"/>
      <c r="G550" s="42"/>
      <c r="H550" s="28"/>
      <c r="I550" s="28"/>
      <c r="J550" s="28"/>
      <c r="K550" s="40"/>
      <c r="L550" s="28"/>
      <c r="M550" s="67" t="s">
        <v>63</v>
      </c>
      <c r="N550" s="33">
        <v>5</v>
      </c>
      <c r="O550" s="35">
        <v>5</v>
      </c>
      <c r="R550" s="33"/>
      <c r="S550" s="34"/>
      <c r="T550" s="34"/>
      <c r="U550" s="34"/>
      <c r="V550" s="35"/>
      <c r="W550" s="28"/>
      <c r="X550" s="138" t="s">
        <v>122</v>
      </c>
      <c r="Y550" s="138">
        <f>8+2</f>
        <v>10</v>
      </c>
      <c r="Z550" s="141">
        <v>8</v>
      </c>
      <c r="AA550" s="28"/>
      <c r="AB550" s="28"/>
      <c r="AC550" s="138"/>
      <c r="AD550" s="43">
        <v>1</v>
      </c>
      <c r="AE550" s="28" t="s">
        <v>618</v>
      </c>
      <c r="AF550" s="28"/>
      <c r="AG550" s="141"/>
      <c r="AL550" s="138" t="s">
        <v>125</v>
      </c>
      <c r="AM550" s="138">
        <v>0</v>
      </c>
      <c r="AN550" s="141">
        <v>0</v>
      </c>
      <c r="AO550" s="138"/>
      <c r="AP550" s="141"/>
      <c r="AQ550" s="28"/>
      <c r="AR550" s="28"/>
      <c r="AS550" s="28"/>
      <c r="AT550" s="28"/>
      <c r="AU550" s="141"/>
    </row>
    <row r="551" spans="2:47" ht="15" thickBot="1" x14ac:dyDescent="0.35">
      <c r="B551" s="62" t="s">
        <v>6</v>
      </c>
      <c r="C551" s="43"/>
      <c r="D551" s="43"/>
      <c r="E551" s="47"/>
      <c r="F551" s="49"/>
      <c r="G551" s="47"/>
      <c r="H551" s="48">
        <v>84</v>
      </c>
      <c r="I551" s="48" t="s">
        <v>73</v>
      </c>
      <c r="J551" s="48"/>
      <c r="K551" s="49">
        <f>SUM(H551)</f>
        <v>84</v>
      </c>
      <c r="L551" s="28" t="s">
        <v>6</v>
      </c>
      <c r="M551" s="67" t="s">
        <v>716</v>
      </c>
      <c r="N551" s="42">
        <v>0</v>
      </c>
      <c r="O551" s="40">
        <v>0</v>
      </c>
      <c r="R551" s="42"/>
      <c r="S551" s="28"/>
      <c r="T551" s="28"/>
      <c r="U551" s="28"/>
      <c r="V551" s="40"/>
      <c r="W551" s="28"/>
      <c r="X551" s="138" t="s">
        <v>227</v>
      </c>
      <c r="Y551" s="138">
        <v>0</v>
      </c>
      <c r="Z551" s="141">
        <v>0</v>
      </c>
      <c r="AA551" s="28"/>
      <c r="AB551" s="28"/>
      <c r="AC551" s="138"/>
      <c r="AD551" s="43">
        <v>2</v>
      </c>
      <c r="AE551" s="28" t="s">
        <v>1117</v>
      </c>
      <c r="AF551" s="28"/>
      <c r="AG551" s="141"/>
      <c r="AL551" s="138" t="s">
        <v>536</v>
      </c>
      <c r="AM551" s="138">
        <v>0</v>
      </c>
      <c r="AN551" s="141">
        <v>0</v>
      </c>
      <c r="AO551" s="138"/>
      <c r="AP551" s="141"/>
      <c r="AQ551" s="28"/>
      <c r="AR551" s="28"/>
      <c r="AS551" s="28"/>
      <c r="AT551" s="28"/>
      <c r="AU551" s="141"/>
    </row>
    <row r="552" spans="2:47" x14ac:dyDescent="0.3">
      <c r="B552" s="10"/>
      <c r="C552" s="29"/>
      <c r="D552" s="31"/>
      <c r="E552" s="33"/>
      <c r="F552" s="7"/>
      <c r="G552" s="8"/>
      <c r="H552" s="8"/>
      <c r="I552" s="8"/>
      <c r="J552" s="8"/>
      <c r="K552" s="7"/>
      <c r="L552" s="28"/>
      <c r="M552" s="52" t="s">
        <v>56</v>
      </c>
      <c r="N552" s="52">
        <v>5</v>
      </c>
      <c r="O552" s="85">
        <v>5</v>
      </c>
      <c r="P552" s="28"/>
      <c r="Q552" s="28"/>
      <c r="R552" s="42"/>
      <c r="S552" s="28" t="s">
        <v>173</v>
      </c>
      <c r="T552" s="28"/>
      <c r="U552" s="28"/>
      <c r="V552" s="40"/>
      <c r="W552" s="28"/>
      <c r="X552" s="138" t="s">
        <v>230</v>
      </c>
      <c r="Y552" s="138">
        <v>2</v>
      </c>
      <c r="Z552" s="141">
        <v>2</v>
      </c>
      <c r="AA552" s="28"/>
      <c r="AB552" s="28"/>
      <c r="AC552" s="138"/>
      <c r="AD552" s="43">
        <v>2</v>
      </c>
      <c r="AE552" s="43" t="s">
        <v>1142</v>
      </c>
      <c r="AF552" s="28"/>
      <c r="AG552" s="141"/>
      <c r="AL552" s="138" t="s">
        <v>132</v>
      </c>
      <c r="AM552" s="138">
        <v>0</v>
      </c>
      <c r="AN552" s="141">
        <v>0</v>
      </c>
      <c r="AO552" s="138"/>
      <c r="AP552" s="141"/>
      <c r="AQ552" s="28"/>
      <c r="AR552" s="28"/>
      <c r="AS552" s="28"/>
      <c r="AT552" s="28"/>
      <c r="AU552" s="141"/>
    </row>
    <row r="553" spans="2:47" x14ac:dyDescent="0.3">
      <c r="B553" s="36" t="s">
        <v>63</v>
      </c>
      <c r="C553" s="10">
        <v>21</v>
      </c>
      <c r="D553" s="18">
        <v>22</v>
      </c>
      <c r="E553" s="42"/>
      <c r="F553" s="11"/>
      <c r="G553" s="18"/>
      <c r="H553" s="18" t="s">
        <v>110</v>
      </c>
      <c r="I553" s="18" t="s">
        <v>111</v>
      </c>
      <c r="J553" s="18" t="s">
        <v>112</v>
      </c>
      <c r="K553" s="11"/>
      <c r="L553" s="45"/>
      <c r="M553" s="52" t="s">
        <v>67</v>
      </c>
      <c r="N553" s="52">
        <v>7</v>
      </c>
      <c r="O553" s="56">
        <v>7</v>
      </c>
      <c r="R553" s="42"/>
      <c r="S553" s="28">
        <v>0</v>
      </c>
      <c r="T553" s="28" t="s">
        <v>213</v>
      </c>
      <c r="U553" s="28"/>
      <c r="V553" s="40"/>
      <c r="W553" s="28"/>
      <c r="X553" s="138" t="s">
        <v>125</v>
      </c>
      <c r="Y553" s="138">
        <v>0</v>
      </c>
      <c r="Z553" s="141">
        <v>0</v>
      </c>
      <c r="AA553" s="28"/>
      <c r="AB553" s="28"/>
      <c r="AC553" s="138"/>
      <c r="AD553" s="43">
        <v>1</v>
      </c>
      <c r="AE553" s="43" t="s">
        <v>1143</v>
      </c>
      <c r="AF553" s="28"/>
      <c r="AG553" s="141"/>
      <c r="AL553" s="142" t="s">
        <v>84</v>
      </c>
      <c r="AM553" s="142">
        <f>SUM(AM541:AM552)</f>
        <v>72</v>
      </c>
      <c r="AN553" s="146">
        <f>SUM(AN541:AN552)</f>
        <v>103</v>
      </c>
      <c r="AO553" s="142"/>
      <c r="AP553" s="146"/>
      <c r="AQ553" s="143"/>
      <c r="AR553" s="143"/>
      <c r="AS553" s="143"/>
      <c r="AT553" s="143"/>
      <c r="AU553" s="146">
        <v>56</v>
      </c>
    </row>
    <row r="554" spans="2:47" x14ac:dyDescent="0.3">
      <c r="B554" s="10" t="s">
        <v>115</v>
      </c>
      <c r="C554" s="36">
        <v>38</v>
      </c>
      <c r="D554" s="37">
        <v>39</v>
      </c>
      <c r="E554" s="42"/>
      <c r="F554" s="11"/>
      <c r="G554" s="18"/>
      <c r="H554" s="18"/>
      <c r="I554" s="18"/>
      <c r="J554" s="18"/>
      <c r="K554" s="11"/>
      <c r="L554" s="28"/>
      <c r="M554" s="10" t="s">
        <v>78</v>
      </c>
      <c r="N554" s="52">
        <v>1</v>
      </c>
      <c r="O554" s="85">
        <v>1</v>
      </c>
      <c r="P554" s="28"/>
      <c r="Q554" s="28"/>
      <c r="R554" s="42"/>
      <c r="S554" s="28">
        <v>16</v>
      </c>
      <c r="T554" s="28" t="s">
        <v>183</v>
      </c>
      <c r="U554" s="28"/>
      <c r="V554" s="40"/>
      <c r="W554" s="28"/>
      <c r="X554" s="138" t="s">
        <v>132</v>
      </c>
      <c r="Y554" s="138">
        <v>4</v>
      </c>
      <c r="Z554" s="141">
        <v>8</v>
      </c>
      <c r="AA554" s="28" t="s">
        <v>6</v>
      </c>
      <c r="AB554" s="28"/>
      <c r="AC554" s="138"/>
      <c r="AD554" s="43">
        <f>1+4</f>
        <v>5</v>
      </c>
      <c r="AE554" s="43" t="s">
        <v>1144</v>
      </c>
      <c r="AF554" s="28"/>
      <c r="AG554" s="141"/>
      <c r="AL554" s="134"/>
      <c r="AM554" s="134"/>
      <c r="AN554" s="136"/>
      <c r="AO554" s="134"/>
      <c r="AP554" s="136"/>
      <c r="AQ554" s="135"/>
      <c r="AR554" s="135"/>
      <c r="AS554" s="135"/>
      <c r="AT554" s="135"/>
      <c r="AU554" s="136"/>
    </row>
    <row r="555" spans="2:47" x14ac:dyDescent="0.3">
      <c r="B555" s="52" t="s">
        <v>72</v>
      </c>
      <c r="C555" s="52">
        <v>0</v>
      </c>
      <c r="D555" s="54">
        <v>0</v>
      </c>
      <c r="E555" s="42"/>
      <c r="F555" s="40"/>
      <c r="G555" s="28"/>
      <c r="H555" s="28"/>
      <c r="I555" s="28"/>
      <c r="J555" s="28"/>
      <c r="K555" s="40"/>
      <c r="L555" s="28"/>
      <c r="M555" s="52" t="s">
        <v>115</v>
      </c>
      <c r="N555" s="52">
        <v>0</v>
      </c>
      <c r="O555" s="85">
        <v>0</v>
      </c>
      <c r="P555" s="28"/>
      <c r="Q555" s="28"/>
      <c r="R555" s="42"/>
      <c r="S555" s="28" t="s">
        <v>6</v>
      </c>
      <c r="T555" s="28"/>
      <c r="U555" s="28"/>
      <c r="V555" s="40"/>
      <c r="W555" s="28"/>
      <c r="X555" s="138" t="s">
        <v>992</v>
      </c>
      <c r="Y555" s="138">
        <v>0</v>
      </c>
      <c r="Z555" s="141">
        <v>0</v>
      </c>
      <c r="AA555" s="28"/>
      <c r="AB555" s="28"/>
      <c r="AC555" s="138"/>
      <c r="AD555" s="43">
        <v>1</v>
      </c>
      <c r="AE555" s="28" t="s">
        <v>1145</v>
      </c>
      <c r="AF555" s="28"/>
      <c r="AG555" s="141"/>
      <c r="AL555" s="138" t="s">
        <v>56</v>
      </c>
      <c r="AM555" s="138">
        <v>0</v>
      </c>
      <c r="AN555" s="141">
        <v>0</v>
      </c>
      <c r="AO555" s="138"/>
      <c r="AP555" s="141"/>
      <c r="AQ555" s="28"/>
      <c r="AR555" s="28" t="s">
        <v>173</v>
      </c>
      <c r="AS555" s="28"/>
      <c r="AT555" s="28"/>
      <c r="AU555" s="141"/>
    </row>
    <row r="556" spans="2:47" x14ac:dyDescent="0.3">
      <c r="B556" s="36" t="s">
        <v>78</v>
      </c>
      <c r="C556" s="36">
        <v>18</v>
      </c>
      <c r="D556" s="37">
        <v>22</v>
      </c>
      <c r="E556" s="42"/>
      <c r="F556" s="11"/>
      <c r="G556" s="18"/>
      <c r="H556" s="37"/>
      <c r="I556" s="18"/>
      <c r="J556" s="37"/>
      <c r="K556" s="11"/>
      <c r="L556" s="28"/>
      <c r="M556" s="52" t="s">
        <v>72</v>
      </c>
      <c r="N556" s="52">
        <v>0</v>
      </c>
      <c r="O556" s="85">
        <v>0</v>
      </c>
      <c r="R556" s="42"/>
      <c r="S556" s="28"/>
      <c r="T556" s="28"/>
      <c r="U556" s="28"/>
      <c r="V556" s="40"/>
      <c r="W556" s="28"/>
      <c r="X556" s="142" t="s">
        <v>84</v>
      </c>
      <c r="Y556" s="142">
        <f>SUM(Y540:Y555)</f>
        <v>69</v>
      </c>
      <c r="Z556" s="146">
        <f>SUM(Z540:Z555)</f>
        <v>114</v>
      </c>
      <c r="AA556" s="143"/>
      <c r="AB556" s="143"/>
      <c r="AC556" s="142"/>
      <c r="AD556" s="224">
        <v>2</v>
      </c>
      <c r="AE556" s="143" t="s">
        <v>352</v>
      </c>
      <c r="AF556" s="143"/>
      <c r="AG556" s="146">
        <f>SUM(AD541:AD556)</f>
        <v>87</v>
      </c>
      <c r="AL556" s="138" t="s">
        <v>67</v>
      </c>
      <c r="AM556" s="138">
        <v>0</v>
      </c>
      <c r="AN556" s="141">
        <v>0</v>
      </c>
      <c r="AO556" s="138"/>
      <c r="AP556" s="141"/>
      <c r="AQ556" s="28"/>
      <c r="AR556" s="28"/>
      <c r="AS556" s="28"/>
      <c r="AT556" s="28"/>
      <c r="AU556" s="141"/>
    </row>
    <row r="557" spans="2:47" ht="15" thickBot="1" x14ac:dyDescent="0.35">
      <c r="B557" s="10" t="s">
        <v>122</v>
      </c>
      <c r="C557" s="36">
        <v>15</v>
      </c>
      <c r="D557" s="37">
        <v>25</v>
      </c>
      <c r="E557" s="42"/>
      <c r="F557" s="11"/>
      <c r="G557" s="18"/>
      <c r="H557" s="18">
        <v>31</v>
      </c>
      <c r="I557" s="18" t="s">
        <v>123</v>
      </c>
      <c r="J557" s="18"/>
      <c r="K557" s="11"/>
      <c r="L557" s="28"/>
      <c r="M557" s="52" t="s">
        <v>84</v>
      </c>
      <c r="N557" s="47">
        <f>SUM(N550:N556)</f>
        <v>18</v>
      </c>
      <c r="O557" s="49">
        <f>SUM(O550:O556)</f>
        <v>18</v>
      </c>
      <c r="P557" s="28"/>
      <c r="Q557" s="28"/>
      <c r="R557" s="47"/>
      <c r="S557" s="48"/>
      <c r="T557" s="48"/>
      <c r="U557" s="48"/>
      <c r="V557" s="49">
        <f>SUM(S554)</f>
        <v>16</v>
      </c>
      <c r="W557" s="28"/>
      <c r="X557" s="47" t="s">
        <v>84</v>
      </c>
      <c r="Y557" s="142">
        <f>SUM(Y556+Y538+Y529+Y514)</f>
        <v>1571</v>
      </c>
      <c r="Z557" s="142">
        <f>SUM(Z556+Z538+Z529+Z514)</f>
        <v>2128</v>
      </c>
      <c r="AA557" s="142"/>
      <c r="AB557" s="146"/>
      <c r="AC557" s="48"/>
      <c r="AD557" s="48"/>
      <c r="AE557" s="48"/>
      <c r="AF557" s="48"/>
      <c r="AG557" s="49">
        <f>SUM(AG514:AG556)</f>
        <v>282</v>
      </c>
      <c r="AL557" s="138" t="s">
        <v>78</v>
      </c>
      <c r="AM557" s="138">
        <v>0</v>
      </c>
      <c r="AN557" s="141">
        <v>0</v>
      </c>
      <c r="AO557" s="138"/>
      <c r="AP557" s="141"/>
      <c r="AQ557" s="28"/>
      <c r="AR557" s="28">
        <v>0</v>
      </c>
      <c r="AS557" s="28" t="s">
        <v>183</v>
      </c>
      <c r="AT557" s="28"/>
      <c r="AU557" s="141"/>
    </row>
    <row r="558" spans="2:47" x14ac:dyDescent="0.3">
      <c r="B558" s="10" t="s">
        <v>125</v>
      </c>
      <c r="C558" s="36">
        <v>9</v>
      </c>
      <c r="D558" s="37">
        <v>9</v>
      </c>
      <c r="E558" s="42"/>
      <c r="F558" s="11"/>
      <c r="G558" s="18"/>
      <c r="H558" s="18">
        <v>8</v>
      </c>
      <c r="I558" s="18" t="s">
        <v>126</v>
      </c>
      <c r="J558" s="18"/>
      <c r="K558" s="11"/>
      <c r="L558" s="28"/>
      <c r="M558" s="32" t="s">
        <v>63</v>
      </c>
      <c r="N558" s="123">
        <f>5+1+1</f>
        <v>7</v>
      </c>
      <c r="O558" s="123">
        <f>14+1+2</f>
        <v>17</v>
      </c>
      <c r="P558" s="33"/>
      <c r="Q558" s="7"/>
      <c r="R558" s="6"/>
      <c r="S558" s="34" t="s">
        <v>140</v>
      </c>
      <c r="T558" s="8"/>
      <c r="U558" s="8"/>
      <c r="V558" s="7"/>
      <c r="W558" s="28"/>
      <c r="AL558" s="142" t="s">
        <v>84</v>
      </c>
      <c r="AM558" s="142">
        <v>0</v>
      </c>
      <c r="AN558" s="146">
        <v>0</v>
      </c>
      <c r="AO558" s="142"/>
      <c r="AP558" s="146"/>
      <c r="AQ558" s="143"/>
      <c r="AR558" s="143"/>
      <c r="AS558" s="143"/>
      <c r="AT558" s="143"/>
      <c r="AU558" s="146">
        <f>SUM(AR557)</f>
        <v>0</v>
      </c>
    </row>
    <row r="559" spans="2:47" x14ac:dyDescent="0.3">
      <c r="B559" s="84" t="s">
        <v>128</v>
      </c>
      <c r="C559" s="52">
        <v>0</v>
      </c>
      <c r="D559" s="37">
        <v>0</v>
      </c>
      <c r="E559" s="42"/>
      <c r="F559" s="40"/>
      <c r="G559" s="28"/>
      <c r="H559" s="28">
        <v>27</v>
      </c>
      <c r="I559" s="28" t="s">
        <v>129</v>
      </c>
      <c r="J559" s="28"/>
      <c r="K559" s="40"/>
      <c r="M559" s="44" t="s">
        <v>78</v>
      </c>
      <c r="N559" s="37">
        <f>1+7+17</f>
        <v>25</v>
      </c>
      <c r="O559" s="37">
        <f>5+9+12</f>
        <v>26</v>
      </c>
      <c r="P559" s="42"/>
      <c r="Q559" s="11"/>
      <c r="R559" s="10"/>
      <c r="S559" s="37">
        <v>26</v>
      </c>
      <c r="T559" s="37" t="s">
        <v>215</v>
      </c>
      <c r="U559" s="18"/>
      <c r="V559" s="11"/>
      <c r="W559" s="28"/>
      <c r="AL559" s="134" t="s">
        <v>63</v>
      </c>
      <c r="AM559" s="134">
        <v>35</v>
      </c>
      <c r="AN559" s="136">
        <v>42</v>
      </c>
      <c r="AO559" s="134"/>
      <c r="AP559" s="136"/>
      <c r="AQ559" s="135"/>
      <c r="AR559" s="28" t="s">
        <v>140</v>
      </c>
      <c r="AS559" s="135"/>
      <c r="AT559" s="135"/>
      <c r="AU559" s="136"/>
    </row>
    <row r="560" spans="2:47" x14ac:dyDescent="0.3">
      <c r="B560" s="84" t="s">
        <v>132</v>
      </c>
      <c r="C560" s="42">
        <v>0</v>
      </c>
      <c r="D560" s="37">
        <v>0</v>
      </c>
      <c r="E560" s="42"/>
      <c r="F560" s="40"/>
      <c r="G560" s="28"/>
      <c r="H560" s="28"/>
      <c r="I560" s="28"/>
      <c r="J560" s="28"/>
      <c r="K560" s="40"/>
      <c r="L560" s="28"/>
      <c r="M560" s="125" t="s">
        <v>209</v>
      </c>
      <c r="N560" s="54">
        <v>0</v>
      </c>
      <c r="O560" s="54">
        <v>0</v>
      </c>
      <c r="P560" s="42"/>
      <c r="Q560" s="40"/>
      <c r="R560" s="42"/>
      <c r="S560" s="28">
        <v>5</v>
      </c>
      <c r="T560" s="28" t="s">
        <v>210</v>
      </c>
      <c r="U560" s="28"/>
      <c r="V560" s="96"/>
      <c r="W560" s="28"/>
      <c r="AL560" s="138" t="s">
        <v>56</v>
      </c>
      <c r="AM560" s="138">
        <v>26</v>
      </c>
      <c r="AN560" s="141">
        <v>28</v>
      </c>
      <c r="AO560" s="138"/>
      <c r="AP560" s="141"/>
      <c r="AQ560" s="28"/>
      <c r="AR560" t="s">
        <v>347</v>
      </c>
      <c r="AS560" s="28"/>
      <c r="AT560" s="28"/>
      <c r="AU560" s="141"/>
    </row>
    <row r="561" spans="1:47" x14ac:dyDescent="0.3">
      <c r="B561" s="84" t="s">
        <v>81</v>
      </c>
      <c r="C561" s="42">
        <v>8</v>
      </c>
      <c r="D561" s="37">
        <v>10</v>
      </c>
      <c r="E561" s="42"/>
      <c r="F561" s="40"/>
      <c r="G561" s="28"/>
      <c r="H561" s="28"/>
      <c r="I561" s="28"/>
      <c r="J561" s="28"/>
      <c r="K561" s="40"/>
      <c r="L561" s="28"/>
      <c r="M561" s="44" t="s">
        <v>168</v>
      </c>
      <c r="N561" s="54">
        <v>1</v>
      </c>
      <c r="O561" s="54">
        <v>1</v>
      </c>
      <c r="P561" s="42"/>
      <c r="Q561" s="11"/>
      <c r="R561" s="10"/>
      <c r="S561" s="37">
        <f>2+9+3+1+1+2+1+1</f>
        <v>20</v>
      </c>
      <c r="T561" s="37" t="s">
        <v>213</v>
      </c>
      <c r="U561" s="18" t="s">
        <v>6</v>
      </c>
      <c r="V561" s="11"/>
      <c r="W561" s="28"/>
      <c r="AL561" s="138" t="s">
        <v>78</v>
      </c>
      <c r="AM561" s="138">
        <v>17</v>
      </c>
      <c r="AN561" s="141">
        <v>31</v>
      </c>
      <c r="AO561" s="138"/>
      <c r="AP561" s="141"/>
      <c r="AQ561" s="28"/>
      <c r="AR561" s="28" t="s">
        <v>1697</v>
      </c>
      <c r="AS561" s="28"/>
      <c r="AT561" s="28"/>
      <c r="AU561" s="141"/>
    </row>
    <row r="562" spans="1:47" x14ac:dyDescent="0.3">
      <c r="B562" s="10" t="s">
        <v>138</v>
      </c>
      <c r="C562" s="36">
        <v>10</v>
      </c>
      <c r="D562" s="37">
        <v>10</v>
      </c>
      <c r="E562" s="42"/>
      <c r="F562" s="11"/>
      <c r="G562" s="18"/>
      <c r="H562" s="18"/>
      <c r="I562" s="18"/>
      <c r="J562" s="18"/>
      <c r="K562" s="11"/>
      <c r="L562" s="28"/>
      <c r="M562" s="125" t="s">
        <v>81</v>
      </c>
      <c r="N562" s="54">
        <v>0</v>
      </c>
      <c r="O562" s="54">
        <v>0</v>
      </c>
      <c r="P562" s="42"/>
      <c r="Q562" s="40"/>
      <c r="R562" s="42"/>
      <c r="S562" s="54">
        <f>5+4+6+2+12+2+6+9</f>
        <v>46</v>
      </c>
      <c r="T562" s="128" t="s">
        <v>222</v>
      </c>
      <c r="U562" s="28"/>
      <c r="V562" s="40" t="s">
        <v>6</v>
      </c>
      <c r="W562" s="37"/>
      <c r="AL562" s="138" t="s">
        <v>72</v>
      </c>
      <c r="AM562" s="138">
        <v>7</v>
      </c>
      <c r="AN562" s="141">
        <v>10</v>
      </c>
      <c r="AO562" s="138"/>
      <c r="AP562" s="141"/>
      <c r="AQ562" s="28"/>
      <c r="AR562" s="43" t="s">
        <v>1698</v>
      </c>
      <c r="AS562" s="43"/>
      <c r="AT562" s="28"/>
      <c r="AU562" s="141"/>
    </row>
    <row r="563" spans="1:47" x14ac:dyDescent="0.3">
      <c r="B563" s="84" t="s">
        <v>56</v>
      </c>
      <c r="C563" s="42">
        <v>4</v>
      </c>
      <c r="D563" s="54">
        <v>5</v>
      </c>
      <c r="E563" s="42"/>
      <c r="F563" s="40"/>
      <c r="G563" s="28"/>
      <c r="H563" s="28"/>
      <c r="I563" s="28"/>
      <c r="J563" s="28"/>
      <c r="K563" s="40"/>
      <c r="L563" s="28"/>
      <c r="M563" s="125" t="s">
        <v>72</v>
      </c>
      <c r="N563" s="54">
        <f>3+6</f>
        <v>9</v>
      </c>
      <c r="O563" s="45">
        <f>3+8+2</f>
        <v>13</v>
      </c>
      <c r="P563" s="42"/>
      <c r="Q563" s="40"/>
      <c r="R563" s="42"/>
      <c r="S563" s="54">
        <v>6</v>
      </c>
      <c r="T563" s="54" t="s">
        <v>216</v>
      </c>
      <c r="U563" s="45"/>
      <c r="V563" s="40"/>
      <c r="W563" s="28"/>
      <c r="AL563" s="138" t="s">
        <v>168</v>
      </c>
      <c r="AM563" s="138">
        <v>0</v>
      </c>
      <c r="AN563" s="141">
        <v>0</v>
      </c>
      <c r="AO563" s="138"/>
      <c r="AP563" s="141"/>
      <c r="AQ563" s="28"/>
      <c r="AR563" s="43" t="s">
        <v>1699</v>
      </c>
      <c r="AS563" s="28"/>
      <c r="AT563" s="28"/>
      <c r="AU563" s="141"/>
    </row>
    <row r="564" spans="1:47" x14ac:dyDescent="0.3">
      <c r="B564" s="36" t="s">
        <v>67</v>
      </c>
      <c r="C564" s="10">
        <v>8</v>
      </c>
      <c r="D564" s="18">
        <v>11</v>
      </c>
      <c r="E564" s="42"/>
      <c r="F564" s="11"/>
      <c r="G564" s="18"/>
      <c r="H564" s="18"/>
      <c r="I564" s="18"/>
      <c r="J564" s="18"/>
      <c r="K564" s="11"/>
      <c r="L564" s="28"/>
      <c r="M564" s="125" t="s">
        <v>115</v>
      </c>
      <c r="N564" s="54">
        <f>3+1</f>
        <v>4</v>
      </c>
      <c r="O564" s="45">
        <f>3+1+7</f>
        <v>11</v>
      </c>
      <c r="P564" s="42"/>
      <c r="Q564" s="40"/>
      <c r="R564" s="42"/>
      <c r="S564" s="54">
        <v>5</v>
      </c>
      <c r="T564" s="54" t="s">
        <v>870</v>
      </c>
      <c r="U564" s="28"/>
      <c r="V564" s="40"/>
      <c r="W564" s="28"/>
      <c r="AL564" s="138" t="s">
        <v>81</v>
      </c>
      <c r="AM564" s="138">
        <v>19</v>
      </c>
      <c r="AN564" s="141">
        <v>22</v>
      </c>
      <c r="AO564" s="138"/>
      <c r="AP564" s="141"/>
      <c r="AQ564" s="28"/>
      <c r="AR564" s="43" t="s">
        <v>1700</v>
      </c>
      <c r="AS564" s="28"/>
      <c r="AT564" s="28"/>
      <c r="AU564" s="141"/>
    </row>
    <row r="565" spans="1:47" ht="15" thickBot="1" x14ac:dyDescent="0.35">
      <c r="A565" s="95"/>
      <c r="B565" s="13" t="s">
        <v>84</v>
      </c>
      <c r="C565" s="13">
        <f>SUM(C553:C564)</f>
        <v>131</v>
      </c>
      <c r="D565" s="27">
        <f>SUM(D553:D564)</f>
        <v>153</v>
      </c>
      <c r="E565" s="47"/>
      <c r="F565" s="26">
        <f>SUM(F557:F564)</f>
        <v>0</v>
      </c>
      <c r="G565" s="27"/>
      <c r="H565" s="27"/>
      <c r="I565" s="27"/>
      <c r="J565" s="27"/>
      <c r="K565" s="26">
        <f>SUM(H557:H559)</f>
        <v>66</v>
      </c>
      <c r="L565" s="28"/>
      <c r="M565" s="125" t="s">
        <v>56</v>
      </c>
      <c r="N565" s="54">
        <f>4+1+14+12</f>
        <v>31</v>
      </c>
      <c r="O565" s="45">
        <f>4+1+17+17+2</f>
        <v>41</v>
      </c>
      <c r="P565" s="42"/>
      <c r="Q565" s="40"/>
      <c r="R565" s="42"/>
      <c r="S565" s="54">
        <v>1</v>
      </c>
      <c r="T565" s="54" t="s">
        <v>352</v>
      </c>
      <c r="U565" s="28"/>
      <c r="V565" s="40"/>
      <c r="W565" s="28"/>
      <c r="AL565" s="138" t="s">
        <v>115</v>
      </c>
      <c r="AM565" s="138">
        <v>23</v>
      </c>
      <c r="AN565" s="141">
        <v>31</v>
      </c>
      <c r="AO565" s="138"/>
      <c r="AP565" s="141"/>
      <c r="AQ565" s="28"/>
      <c r="AR565" s="43" t="s">
        <v>1701</v>
      </c>
      <c r="AS565" s="28"/>
      <c r="AT565" s="28"/>
      <c r="AU565" s="141"/>
    </row>
    <row r="566" spans="1:47" x14ac:dyDescent="0.3">
      <c r="B566" s="32"/>
      <c r="C566" s="53"/>
      <c r="D566" s="97"/>
      <c r="E566" s="33"/>
      <c r="F566" s="7"/>
      <c r="G566" s="6"/>
      <c r="H566" s="8"/>
      <c r="I566" s="31"/>
      <c r="J566" s="8"/>
      <c r="K566" s="7"/>
      <c r="L566" s="28"/>
      <c r="M566" s="125" t="s">
        <v>138</v>
      </c>
      <c r="N566" s="54">
        <v>0</v>
      </c>
      <c r="O566" s="45">
        <v>1</v>
      </c>
      <c r="P566" s="42"/>
      <c r="Q566" s="40"/>
      <c r="R566" s="42"/>
      <c r="S566" s="54">
        <v>15</v>
      </c>
      <c r="T566" s="54" t="s">
        <v>221</v>
      </c>
      <c r="U566" s="28"/>
      <c r="V566" s="40"/>
      <c r="W566" s="28"/>
      <c r="AL566" s="138" t="s">
        <v>67</v>
      </c>
      <c r="AM566" s="138">
        <v>45</v>
      </c>
      <c r="AN566" s="141">
        <v>66</v>
      </c>
      <c r="AO566" s="138"/>
      <c r="AP566" s="141"/>
      <c r="AQ566" s="28"/>
      <c r="AR566" s="43" t="s">
        <v>1702</v>
      </c>
      <c r="AS566" s="28"/>
      <c r="AT566" s="28"/>
      <c r="AU566" s="141"/>
    </row>
    <row r="567" spans="1:47" ht="15" thickBot="1" x14ac:dyDescent="0.35">
      <c r="B567" s="62"/>
      <c r="C567" s="72"/>
      <c r="D567" s="73"/>
      <c r="E567" s="47"/>
      <c r="F567" s="49"/>
      <c r="G567" s="47"/>
      <c r="H567" s="48"/>
      <c r="I567" s="48"/>
      <c r="J567" s="48"/>
      <c r="K567" s="49"/>
      <c r="L567" s="28"/>
      <c r="M567" s="125" t="s">
        <v>67</v>
      </c>
      <c r="N567" s="54">
        <f>10+1+14</f>
        <v>25</v>
      </c>
      <c r="O567" s="45">
        <f>10+2+14</f>
        <v>26</v>
      </c>
      <c r="P567" s="42"/>
      <c r="Q567" s="40"/>
      <c r="R567" s="42"/>
      <c r="S567" s="54">
        <v>1</v>
      </c>
      <c r="T567" s="54" t="s">
        <v>851</v>
      </c>
      <c r="U567" s="28"/>
      <c r="V567" s="40"/>
      <c r="W567" s="28"/>
      <c r="AL567" s="138" t="s">
        <v>122</v>
      </c>
      <c r="AM567" s="138">
        <v>5</v>
      </c>
      <c r="AN567" s="141">
        <v>9</v>
      </c>
      <c r="AO567" s="138"/>
      <c r="AP567" s="141"/>
      <c r="AQ567" s="28"/>
      <c r="AR567" s="43" t="s">
        <v>309</v>
      </c>
      <c r="AS567" s="28"/>
      <c r="AT567" s="28"/>
      <c r="AU567" s="141"/>
    </row>
    <row r="568" spans="1:47" x14ac:dyDescent="0.3">
      <c r="B568" s="67" t="s">
        <v>63</v>
      </c>
      <c r="C568" s="33">
        <v>1</v>
      </c>
      <c r="D568" s="35">
        <v>1</v>
      </c>
      <c r="G568" s="33"/>
      <c r="H568" s="34"/>
      <c r="I568" s="34"/>
      <c r="J568" s="34"/>
      <c r="K568" s="35"/>
      <c r="L568" s="28"/>
      <c r="M568" s="125" t="s">
        <v>122</v>
      </c>
      <c r="N568" s="54">
        <v>0</v>
      </c>
      <c r="O568" s="45">
        <v>0</v>
      </c>
      <c r="P568" s="42"/>
      <c r="Q568" s="40"/>
      <c r="R568" s="42"/>
      <c r="S568" s="54">
        <v>3</v>
      </c>
      <c r="T568" s="54" t="s">
        <v>853</v>
      </c>
      <c r="U568" s="28"/>
      <c r="V568" s="40"/>
      <c r="W568" s="28"/>
      <c r="AL568" s="138" t="s">
        <v>138</v>
      </c>
      <c r="AM568" s="138">
        <v>0</v>
      </c>
      <c r="AN568" s="141">
        <v>0</v>
      </c>
      <c r="AO568" s="138"/>
      <c r="AP568" s="141"/>
      <c r="AQ568" s="28"/>
      <c r="AR568" s="43" t="s">
        <v>1056</v>
      </c>
      <c r="AS568" s="28"/>
      <c r="AT568" s="28"/>
      <c r="AU568" s="141"/>
    </row>
    <row r="569" spans="1:47" x14ac:dyDescent="0.3">
      <c r="B569" s="67" t="s">
        <v>536</v>
      </c>
      <c r="C569" s="42">
        <v>4</v>
      </c>
      <c r="D569" s="40">
        <v>4</v>
      </c>
      <c r="G569" s="42"/>
      <c r="H569" s="28"/>
      <c r="I569" s="28"/>
      <c r="J569" s="28"/>
      <c r="K569" s="40"/>
      <c r="L569" s="28"/>
      <c r="M569" s="125" t="s">
        <v>227</v>
      </c>
      <c r="N569" s="54">
        <v>0</v>
      </c>
      <c r="O569" s="45">
        <v>0</v>
      </c>
      <c r="P569" s="42"/>
      <c r="Q569" s="40"/>
      <c r="R569" s="42"/>
      <c r="S569" s="54">
        <v>1</v>
      </c>
      <c r="T569" s="54" t="s">
        <v>877</v>
      </c>
      <c r="U569" s="28"/>
      <c r="V569" s="40"/>
      <c r="AL569" s="138" t="s">
        <v>132</v>
      </c>
      <c r="AM569" s="138">
        <v>0</v>
      </c>
      <c r="AN569" s="141">
        <v>0</v>
      </c>
      <c r="AO569" s="138"/>
      <c r="AP569" s="141"/>
      <c r="AQ569" s="28"/>
      <c r="AR569" s="43" t="s">
        <v>1703</v>
      </c>
      <c r="AS569" s="28"/>
      <c r="AT569" s="28"/>
      <c r="AU569" s="141"/>
    </row>
    <row r="570" spans="1:47" x14ac:dyDescent="0.3">
      <c r="B570" s="52" t="s">
        <v>56</v>
      </c>
      <c r="C570" s="52">
        <v>1</v>
      </c>
      <c r="D570" s="85">
        <v>1</v>
      </c>
      <c r="E570" s="28"/>
      <c r="F570" s="28"/>
      <c r="G570" s="42"/>
      <c r="H570" s="28" t="s">
        <v>173</v>
      </c>
      <c r="I570" s="28"/>
      <c r="J570" s="28"/>
      <c r="K570" s="40"/>
      <c r="L570" s="28"/>
      <c r="M570" s="41" t="s">
        <v>230</v>
      </c>
      <c r="N570" s="54">
        <f>4+7+4+1+2+3</f>
        <v>21</v>
      </c>
      <c r="O570" s="45">
        <f>4+7+5+2+3</f>
        <v>21</v>
      </c>
      <c r="P570" s="42"/>
      <c r="Q570" s="40"/>
      <c r="R570" s="42"/>
      <c r="S570" s="54">
        <v>8</v>
      </c>
      <c r="T570" s="54" t="s">
        <v>655</v>
      </c>
      <c r="U570" s="28"/>
      <c r="V570" s="40"/>
      <c r="AA570" t="s">
        <v>4</v>
      </c>
      <c r="AL570" s="138" t="s">
        <v>536</v>
      </c>
      <c r="AM570" s="138">
        <v>0</v>
      </c>
      <c r="AN570" s="141">
        <v>0</v>
      </c>
      <c r="AO570" s="138"/>
      <c r="AP570" s="141"/>
      <c r="AQ570" s="28"/>
      <c r="AR570" s="43" t="s">
        <v>1705</v>
      </c>
      <c r="AS570" s="28"/>
      <c r="AT570" s="28"/>
      <c r="AU570" s="141"/>
    </row>
    <row r="571" spans="1:47" x14ac:dyDescent="0.3">
      <c r="B571" s="52" t="s">
        <v>67</v>
      </c>
      <c r="C571" s="52">
        <v>0</v>
      </c>
      <c r="D571" s="56">
        <v>1</v>
      </c>
      <c r="G571" s="42"/>
      <c r="H571" s="28"/>
      <c r="I571" s="28"/>
      <c r="J571" s="28"/>
      <c r="K571" s="40"/>
      <c r="L571" s="28"/>
      <c r="M571" s="68" t="s">
        <v>125</v>
      </c>
      <c r="N571" s="54">
        <v>0</v>
      </c>
      <c r="O571" s="45">
        <v>0</v>
      </c>
      <c r="P571" s="42"/>
      <c r="Q571" s="40"/>
      <c r="R571" s="42"/>
      <c r="S571" s="54">
        <v>1</v>
      </c>
      <c r="T571" s="54" t="s">
        <v>774</v>
      </c>
      <c r="U571" s="28"/>
      <c r="V571" s="40"/>
      <c r="AB571" t="s">
        <v>2</v>
      </c>
      <c r="AL571" s="138" t="s">
        <v>227</v>
      </c>
      <c r="AM571" s="138">
        <v>0</v>
      </c>
      <c r="AN571" s="141">
        <v>0</v>
      </c>
      <c r="AO571" s="138"/>
      <c r="AP571" s="141"/>
      <c r="AQ571" s="28"/>
      <c r="AR571" s="43" t="s">
        <v>1707</v>
      </c>
      <c r="AS571" s="28"/>
      <c r="AT571" s="28"/>
      <c r="AU571" s="141"/>
    </row>
    <row r="572" spans="1:47" x14ac:dyDescent="0.3">
      <c r="B572" s="10" t="s">
        <v>78</v>
      </c>
      <c r="C572" s="52">
        <v>0</v>
      </c>
      <c r="D572" s="85">
        <v>0</v>
      </c>
      <c r="E572" s="28"/>
      <c r="F572" s="28"/>
      <c r="G572" s="42"/>
      <c r="H572" s="28">
        <v>5</v>
      </c>
      <c r="I572" s="28" t="s">
        <v>183</v>
      </c>
      <c r="J572" s="28"/>
      <c r="K572" s="40"/>
      <c r="L572" s="37"/>
      <c r="M572" s="68" t="s">
        <v>132</v>
      </c>
      <c r="N572" s="54">
        <f>1+11</f>
        <v>12</v>
      </c>
      <c r="O572" s="45">
        <f>1+5</f>
        <v>6</v>
      </c>
      <c r="P572" s="42"/>
      <c r="Q572" s="40"/>
      <c r="R572" s="42"/>
      <c r="S572" s="54">
        <v>1</v>
      </c>
      <c r="T572" s="54" t="s">
        <v>878</v>
      </c>
      <c r="U572" s="28"/>
      <c r="V572" s="40"/>
      <c r="Z572" t="s">
        <v>12</v>
      </c>
      <c r="AL572" s="138" t="s">
        <v>230</v>
      </c>
      <c r="AM572" s="138">
        <v>10</v>
      </c>
      <c r="AN572" s="141">
        <v>11</v>
      </c>
      <c r="AO572" s="138"/>
      <c r="AP572" s="141"/>
      <c r="AQ572" s="28"/>
      <c r="AR572" s="43" t="s">
        <v>1125</v>
      </c>
      <c r="AS572" s="28"/>
      <c r="AT572" s="28"/>
      <c r="AU572" s="141"/>
    </row>
    <row r="573" spans="1:47" x14ac:dyDescent="0.3">
      <c r="B573" s="52" t="s">
        <v>115</v>
      </c>
      <c r="C573" s="52">
        <v>0</v>
      </c>
      <c r="D573" s="85">
        <v>0</v>
      </c>
      <c r="E573" s="28"/>
      <c r="F573" s="28"/>
      <c r="G573" s="42"/>
      <c r="H573" s="28" t="s">
        <v>6</v>
      </c>
      <c r="I573" s="28"/>
      <c r="J573" s="28"/>
      <c r="K573" s="40"/>
      <c r="L573" s="28"/>
      <c r="M573" s="41" t="s">
        <v>6</v>
      </c>
      <c r="P573" s="42"/>
      <c r="Q573" s="40"/>
      <c r="R573" s="42"/>
      <c r="S573" s="54">
        <v>1</v>
      </c>
      <c r="T573" s="54" t="s">
        <v>879</v>
      </c>
      <c r="U573" s="28"/>
      <c r="V573" s="40"/>
      <c r="AB573" t="s">
        <v>1146</v>
      </c>
      <c r="AL573" s="138" t="s">
        <v>125</v>
      </c>
      <c r="AM573" s="138">
        <v>0</v>
      </c>
      <c r="AN573" s="141">
        <v>0</v>
      </c>
      <c r="AO573" s="138"/>
      <c r="AP573" s="141"/>
      <c r="AQ573" s="28"/>
      <c r="AR573" s="43" t="s">
        <v>1708</v>
      </c>
      <c r="AS573" s="28"/>
      <c r="AT573" s="28"/>
      <c r="AU573" s="141"/>
    </row>
    <row r="574" spans="1:47" ht="15" thickBot="1" x14ac:dyDescent="0.35">
      <c r="B574" s="52" t="s">
        <v>72</v>
      </c>
      <c r="C574" s="52">
        <v>0</v>
      </c>
      <c r="D574" s="85">
        <v>0</v>
      </c>
      <c r="G574" s="42"/>
      <c r="H574" s="28"/>
      <c r="I574" s="28"/>
      <c r="J574" s="28"/>
      <c r="K574" s="40"/>
      <c r="L574" s="28"/>
      <c r="M574" s="46" t="s">
        <v>84</v>
      </c>
      <c r="N574" s="48">
        <f>SUM(N558:N573)</f>
        <v>135</v>
      </c>
      <c r="O574" s="48">
        <f>SUM(O558:O573)</f>
        <v>163</v>
      </c>
      <c r="P574" s="47"/>
      <c r="Q574" s="49"/>
      <c r="R574" s="47"/>
      <c r="S574" s="48">
        <v>1</v>
      </c>
      <c r="T574" s="48" t="s">
        <v>880</v>
      </c>
      <c r="U574" s="48"/>
      <c r="V574" s="49">
        <f>SUM(S559:S574)</f>
        <v>141</v>
      </c>
      <c r="AF574" s="194" t="s">
        <v>951</v>
      </c>
      <c r="AL574" s="138" t="s">
        <v>132</v>
      </c>
      <c r="AM574" s="138">
        <v>0</v>
      </c>
      <c r="AN574" s="141">
        <v>0</v>
      </c>
      <c r="AO574" s="138"/>
      <c r="AP574" s="141"/>
      <c r="AQ574" s="28"/>
      <c r="AR574" s="43"/>
      <c r="AS574" s="43"/>
      <c r="AT574" s="28"/>
      <c r="AU574" s="141"/>
    </row>
    <row r="575" spans="1:47" ht="15" thickBot="1" x14ac:dyDescent="0.35">
      <c r="B575" s="52" t="s">
        <v>84</v>
      </c>
      <c r="C575" s="47">
        <f>SUM(C568:C574)</f>
        <v>6</v>
      </c>
      <c r="D575" s="49">
        <f>SUM(D568:D574)</f>
        <v>7</v>
      </c>
      <c r="E575" s="28"/>
      <c r="F575" s="28"/>
      <c r="G575" s="47"/>
      <c r="H575" s="48"/>
      <c r="I575" s="48"/>
      <c r="J575" s="48"/>
      <c r="K575" s="49">
        <f>SUM(H572)</f>
        <v>5</v>
      </c>
      <c r="L575" s="28"/>
      <c r="M575" s="169" t="s">
        <v>84</v>
      </c>
      <c r="N575" s="170">
        <f>SUM(N574+N557+N547+N532)</f>
        <v>1707</v>
      </c>
      <c r="O575" s="170">
        <f>SUM(O574+O557+O547+O532)</f>
        <v>1807</v>
      </c>
      <c r="P575" s="171"/>
      <c r="Q575" s="172"/>
      <c r="R575" s="170"/>
      <c r="S575" s="170"/>
      <c r="T575" s="170"/>
      <c r="U575" s="170"/>
      <c r="V575" s="172">
        <f>SUM(V531:V574)</f>
        <v>348</v>
      </c>
      <c r="X575" s="134" t="s">
        <v>17</v>
      </c>
      <c r="Y575" s="134" t="s">
        <v>39</v>
      </c>
      <c r="Z575" s="136"/>
      <c r="AA575" s="134" t="s">
        <v>29</v>
      </c>
      <c r="AB575" s="136" t="s">
        <v>30</v>
      </c>
      <c r="AC575" s="135" t="s">
        <v>40</v>
      </c>
      <c r="AD575" s="135"/>
      <c r="AE575" s="135"/>
      <c r="AF575" s="135"/>
      <c r="AG575" s="136"/>
      <c r="AL575" s="138" t="s">
        <v>536</v>
      </c>
      <c r="AM575" s="138">
        <v>0</v>
      </c>
      <c r="AN575" s="141">
        <v>0</v>
      </c>
      <c r="AO575" s="138"/>
      <c r="AP575" s="141"/>
      <c r="AQ575" s="28"/>
      <c r="AR575" s="43"/>
      <c r="AS575" s="28"/>
      <c r="AT575" s="28"/>
      <c r="AU575" s="141"/>
    </row>
    <row r="576" spans="1:47" ht="15" thickBot="1" x14ac:dyDescent="0.35">
      <c r="B576" s="32" t="s">
        <v>63</v>
      </c>
      <c r="C576" s="123">
        <v>4</v>
      </c>
      <c r="D576" s="123">
        <v>8</v>
      </c>
      <c r="E576" s="33"/>
      <c r="F576" s="7"/>
      <c r="G576" s="6"/>
      <c r="H576" s="34" t="s">
        <v>140</v>
      </c>
      <c r="I576" s="8"/>
      <c r="J576" s="8"/>
      <c r="K576" s="7"/>
      <c r="L576" s="28"/>
      <c r="X576" s="138" t="s">
        <v>42</v>
      </c>
      <c r="Y576" s="138" t="s">
        <v>43</v>
      </c>
      <c r="Z576" s="141" t="s">
        <v>44</v>
      </c>
      <c r="AA576" s="138" t="s">
        <v>43</v>
      </c>
      <c r="AB576" s="141" t="s">
        <v>44</v>
      </c>
      <c r="AC576" s="28"/>
      <c r="AD576" s="28"/>
      <c r="AE576" s="28"/>
      <c r="AF576" s="28"/>
      <c r="AG576" s="141"/>
      <c r="AL576" s="138" t="s">
        <v>84</v>
      </c>
      <c r="AM576" s="138">
        <f>SUM(AM555:AM575)</f>
        <v>187</v>
      </c>
      <c r="AN576" s="141">
        <f>SUM(AN555:AN575)</f>
        <v>250</v>
      </c>
      <c r="AO576" s="138"/>
      <c r="AP576" s="141"/>
      <c r="AQ576" s="28"/>
      <c r="AR576" s="28"/>
      <c r="AS576" s="28"/>
      <c r="AT576" s="28"/>
      <c r="AU576" s="141">
        <v>141</v>
      </c>
    </row>
    <row r="577" spans="2:47" ht="15" thickBot="1" x14ac:dyDescent="0.35">
      <c r="B577" s="44" t="s">
        <v>78</v>
      </c>
      <c r="C577" s="37">
        <v>12</v>
      </c>
      <c r="D577" s="37">
        <v>10</v>
      </c>
      <c r="E577" s="42"/>
      <c r="F577" s="11"/>
      <c r="G577" s="10"/>
      <c r="H577" s="37">
        <f>4+4+4+7</f>
        <v>19</v>
      </c>
      <c r="I577" s="37" t="s">
        <v>204</v>
      </c>
      <c r="J577" s="18"/>
      <c r="K577" s="11"/>
      <c r="L577" s="28"/>
      <c r="X577" s="138" t="s">
        <v>6</v>
      </c>
      <c r="Y577" s="138"/>
      <c r="Z577" s="141"/>
      <c r="AA577" s="138"/>
      <c r="AB577" s="141"/>
      <c r="AC577" s="28"/>
      <c r="AD577" s="28" t="s">
        <v>91</v>
      </c>
      <c r="AE577" s="28"/>
      <c r="AF577" s="28"/>
      <c r="AG577" s="141"/>
      <c r="AL577" s="171" t="s">
        <v>84</v>
      </c>
      <c r="AM577" s="207">
        <v>1197</v>
      </c>
      <c r="AN577" s="207">
        <v>1342</v>
      </c>
      <c r="AO577" s="207"/>
      <c r="AP577" s="208"/>
      <c r="AQ577" s="170"/>
      <c r="AR577" s="170"/>
      <c r="AS577" s="170"/>
      <c r="AT577" s="170"/>
      <c r="AU577" s="172">
        <v>264</v>
      </c>
    </row>
    <row r="578" spans="2:47" x14ac:dyDescent="0.3">
      <c r="B578" s="125" t="s">
        <v>209</v>
      </c>
      <c r="C578" s="54">
        <v>0</v>
      </c>
      <c r="D578" s="54">
        <v>0</v>
      </c>
      <c r="E578" s="42"/>
      <c r="F578" s="40"/>
      <c r="G578" s="42"/>
      <c r="H578" s="28">
        <v>5</v>
      </c>
      <c r="I578" s="28" t="s">
        <v>210</v>
      </c>
      <c r="J578" s="28"/>
      <c r="K578" s="40"/>
      <c r="L578" s="28"/>
      <c r="X578" s="138" t="s">
        <v>56</v>
      </c>
      <c r="Y578" s="138">
        <v>1024</v>
      </c>
      <c r="Z578" s="141">
        <v>1090</v>
      </c>
      <c r="AA578" s="138"/>
      <c r="AB578" s="141"/>
      <c r="AC578" s="28"/>
      <c r="AD578" s="28"/>
      <c r="AE578" s="28" t="s">
        <v>145</v>
      </c>
      <c r="AF578" s="28"/>
      <c r="AG578" s="141"/>
      <c r="AN578" s="43"/>
    </row>
    <row r="579" spans="2:47" x14ac:dyDescent="0.3">
      <c r="B579" s="44" t="s">
        <v>168</v>
      </c>
      <c r="C579" s="54">
        <v>0</v>
      </c>
      <c r="D579" s="54">
        <v>0</v>
      </c>
      <c r="E579" s="42"/>
      <c r="F579" s="11"/>
      <c r="G579" s="10"/>
      <c r="H579" s="37">
        <f>3+12+1+6+10+1</f>
        <v>33</v>
      </c>
      <c r="I579" s="37" t="s">
        <v>213</v>
      </c>
      <c r="J579" s="18"/>
      <c r="K579" s="11"/>
      <c r="X579" s="142" t="s">
        <v>6</v>
      </c>
      <c r="Y579" s="142"/>
      <c r="Z579" s="146"/>
      <c r="AA579" s="142"/>
      <c r="AB579" s="146"/>
      <c r="AC579" s="143"/>
      <c r="AD579" s="143">
        <v>85</v>
      </c>
      <c r="AE579" s="143" t="s">
        <v>73</v>
      </c>
      <c r="AF579" s="143"/>
      <c r="AG579" s="146">
        <f>SUM(AD579)</f>
        <v>85</v>
      </c>
    </row>
    <row r="580" spans="2:47" x14ac:dyDescent="0.3">
      <c r="B580" s="125" t="s">
        <v>81</v>
      </c>
      <c r="C580" s="54">
        <v>0</v>
      </c>
      <c r="D580" s="54">
        <v>2</v>
      </c>
      <c r="E580" s="42"/>
      <c r="F580" s="40"/>
      <c r="G580" s="42"/>
      <c r="H580" s="54">
        <v>2</v>
      </c>
      <c r="I580" s="128" t="s">
        <v>235</v>
      </c>
      <c r="J580" s="28"/>
      <c r="K580" s="40" t="s">
        <v>6</v>
      </c>
      <c r="X580" s="134" t="s">
        <v>56</v>
      </c>
      <c r="Y580" s="134"/>
      <c r="Z580" s="136"/>
      <c r="AA580" s="134"/>
      <c r="AB580" s="136"/>
      <c r="AC580" s="135"/>
      <c r="AD580" s="135"/>
      <c r="AE580" s="135"/>
      <c r="AF580" s="135"/>
      <c r="AG580" s="136"/>
      <c r="AK580" s="28"/>
    </row>
    <row r="581" spans="2:47" x14ac:dyDescent="0.3">
      <c r="B581" s="125" t="s">
        <v>72</v>
      </c>
      <c r="C581" s="54">
        <f>10+2+12</f>
        <v>24</v>
      </c>
      <c r="D581" s="45">
        <f>24+5+11+3</f>
        <v>43</v>
      </c>
      <c r="E581" s="42"/>
      <c r="F581" s="40"/>
      <c r="G581" s="42"/>
      <c r="H581" s="54">
        <v>9</v>
      </c>
      <c r="I581" s="54" t="s">
        <v>216</v>
      </c>
      <c r="J581" s="45"/>
      <c r="K581" s="40"/>
      <c r="X581" s="138" t="s">
        <v>63</v>
      </c>
      <c r="Y581" s="138">
        <v>81</v>
      </c>
      <c r="Z581" s="141">
        <v>98</v>
      </c>
      <c r="AA581" s="138"/>
      <c r="AB581" s="141"/>
      <c r="AC581" s="28"/>
      <c r="AD581" s="28" t="s">
        <v>110</v>
      </c>
      <c r="AE581" s="28" t="s">
        <v>111</v>
      </c>
      <c r="AF581" s="28" t="s">
        <v>112</v>
      </c>
      <c r="AG581" s="141"/>
      <c r="AK581" s="28"/>
    </row>
    <row r="582" spans="2:47" x14ac:dyDescent="0.3">
      <c r="B582" s="125" t="s">
        <v>115</v>
      </c>
      <c r="C582" s="54">
        <v>6</v>
      </c>
      <c r="D582" s="45">
        <v>13</v>
      </c>
      <c r="E582" s="42"/>
      <c r="F582" s="40"/>
      <c r="G582" s="42"/>
      <c r="H582" s="54">
        <v>5</v>
      </c>
      <c r="I582" s="54" t="s">
        <v>217</v>
      </c>
      <c r="J582" s="28"/>
      <c r="K582" s="40"/>
      <c r="X582" s="138" t="s">
        <v>115</v>
      </c>
      <c r="Y582" s="138">
        <v>25</v>
      </c>
      <c r="Z582" s="141">
        <v>18</v>
      </c>
      <c r="AA582" s="138"/>
      <c r="AB582" s="141"/>
      <c r="AC582" s="28"/>
      <c r="AD582" s="28"/>
      <c r="AE582" s="28"/>
      <c r="AF582" s="28"/>
      <c r="AG582" s="141"/>
      <c r="AK582" s="28"/>
      <c r="AO582" t="s">
        <v>4</v>
      </c>
    </row>
    <row r="583" spans="2:47" x14ac:dyDescent="0.3">
      <c r="B583" s="125" t="s">
        <v>56</v>
      </c>
      <c r="C583" s="54">
        <v>9</v>
      </c>
      <c r="D583" s="45">
        <v>14</v>
      </c>
      <c r="E583" s="42"/>
      <c r="F583" s="40"/>
      <c r="G583" s="42"/>
      <c r="H583" s="54">
        <v>1</v>
      </c>
      <c r="I583" s="54" t="s">
        <v>552</v>
      </c>
      <c r="J583" s="28"/>
      <c r="K583" s="40"/>
      <c r="X583" s="138" t="s">
        <v>72</v>
      </c>
      <c r="Y583" s="138">
        <v>47</v>
      </c>
      <c r="Z583" s="141">
        <v>68</v>
      </c>
      <c r="AA583" s="138"/>
      <c r="AB583" s="141"/>
      <c r="AC583" s="28"/>
      <c r="AD583" s="28"/>
      <c r="AE583" s="28"/>
      <c r="AF583" s="28"/>
      <c r="AG583" s="141"/>
      <c r="AK583" s="28"/>
      <c r="AP583" t="s">
        <v>2</v>
      </c>
    </row>
    <row r="584" spans="2:47" x14ac:dyDescent="0.3">
      <c r="B584" s="125" t="s">
        <v>138</v>
      </c>
      <c r="C584" s="54">
        <v>0</v>
      </c>
      <c r="D584" s="45">
        <v>0</v>
      </c>
      <c r="E584" s="42"/>
      <c r="F584" s="40"/>
      <c r="G584" s="42"/>
      <c r="H584" s="54">
        <v>16</v>
      </c>
      <c r="I584" s="54" t="s">
        <v>221</v>
      </c>
      <c r="J584" s="28"/>
      <c r="K584" s="40"/>
      <c r="X584" s="138" t="s">
        <v>78</v>
      </c>
      <c r="Y584" s="138">
        <v>37</v>
      </c>
      <c r="Z584" s="141">
        <v>37</v>
      </c>
      <c r="AA584" s="138"/>
      <c r="AB584" s="141"/>
      <c r="AC584" s="28"/>
      <c r="AD584" s="28"/>
      <c r="AE584" s="28"/>
      <c r="AF584" s="28"/>
      <c r="AG584" s="141"/>
      <c r="AK584" s="28"/>
      <c r="AN584" t="s">
        <v>12</v>
      </c>
    </row>
    <row r="585" spans="2:47" x14ac:dyDescent="0.3">
      <c r="B585" s="125" t="s">
        <v>67</v>
      </c>
      <c r="C585" s="54">
        <v>12</v>
      </c>
      <c r="D585" s="45">
        <v>15</v>
      </c>
      <c r="E585" s="42"/>
      <c r="F585" s="40"/>
      <c r="G585" s="42"/>
      <c r="H585" s="54">
        <v>1</v>
      </c>
      <c r="I585" s="54" t="s">
        <v>553</v>
      </c>
      <c r="J585" s="28"/>
      <c r="K585" s="40"/>
      <c r="X585" s="138" t="s">
        <v>122</v>
      </c>
      <c r="Y585" s="138">
        <v>31</v>
      </c>
      <c r="Z585" s="141">
        <v>27</v>
      </c>
      <c r="AA585" s="138"/>
      <c r="AB585" s="141"/>
      <c r="AC585" s="28"/>
      <c r="AD585" s="28">
        <v>40</v>
      </c>
      <c r="AE585" s="28" t="s">
        <v>123</v>
      </c>
      <c r="AF585" s="28"/>
      <c r="AG585" s="141"/>
      <c r="AK585" s="28"/>
      <c r="AP585" t="s">
        <v>1833</v>
      </c>
    </row>
    <row r="586" spans="2:47" x14ac:dyDescent="0.3">
      <c r="B586" s="125" t="s">
        <v>122</v>
      </c>
      <c r="C586" s="54">
        <v>1</v>
      </c>
      <c r="D586" s="45">
        <v>3</v>
      </c>
      <c r="E586" s="42"/>
      <c r="F586" s="40"/>
      <c r="G586" s="42"/>
      <c r="H586" s="54">
        <v>1</v>
      </c>
      <c r="I586" s="54" t="s">
        <v>471</v>
      </c>
      <c r="J586" s="28"/>
      <c r="K586" s="40"/>
      <c r="X586" s="138" t="s">
        <v>125</v>
      </c>
      <c r="Y586" s="138">
        <v>8</v>
      </c>
      <c r="Z586" s="141">
        <v>2</v>
      </c>
      <c r="AA586" s="138"/>
      <c r="AB586" s="141"/>
      <c r="AC586" s="28"/>
      <c r="AD586" s="28">
        <v>67</v>
      </c>
      <c r="AE586" s="28" t="s">
        <v>126</v>
      </c>
      <c r="AF586" s="28"/>
      <c r="AG586" s="141"/>
      <c r="AK586" s="28"/>
      <c r="AT586" s="194" t="s">
        <v>951</v>
      </c>
    </row>
    <row r="587" spans="2:47" x14ac:dyDescent="0.3">
      <c r="B587" s="125" t="s">
        <v>227</v>
      </c>
      <c r="C587" s="54">
        <v>0</v>
      </c>
      <c r="D587" s="45">
        <v>0</v>
      </c>
      <c r="E587" s="42"/>
      <c r="F587" s="40"/>
      <c r="G587" s="42"/>
      <c r="H587" s="54">
        <v>2</v>
      </c>
      <c r="I587" s="54" t="s">
        <v>391</v>
      </c>
      <c r="J587" s="28"/>
      <c r="K587" s="40"/>
      <c r="X587" s="138" t="s">
        <v>536</v>
      </c>
      <c r="Y587" s="138">
        <v>29</v>
      </c>
      <c r="Z587" s="141">
        <v>20</v>
      </c>
      <c r="AA587" s="138"/>
      <c r="AB587" s="141"/>
      <c r="AC587" s="28"/>
      <c r="AD587" s="28">
        <v>48</v>
      </c>
      <c r="AE587" s="28" t="s">
        <v>129</v>
      </c>
      <c r="AF587" s="28"/>
      <c r="AG587" s="141"/>
      <c r="AK587" s="28"/>
      <c r="AL587" s="134" t="s">
        <v>17</v>
      </c>
      <c r="AM587" s="134" t="s">
        <v>39</v>
      </c>
      <c r="AN587" s="136"/>
      <c r="AO587" s="134" t="s">
        <v>29</v>
      </c>
      <c r="AP587" s="136" t="s">
        <v>30</v>
      </c>
      <c r="AQ587" s="135" t="s">
        <v>40</v>
      </c>
      <c r="AR587" s="135"/>
      <c r="AS587" s="135"/>
      <c r="AT587" s="135"/>
      <c r="AU587" s="136"/>
    </row>
    <row r="588" spans="2:47" x14ac:dyDescent="0.3">
      <c r="B588" s="41" t="s">
        <v>230</v>
      </c>
      <c r="C588" s="54">
        <v>9</v>
      </c>
      <c r="D588" s="45">
        <f>3+2+4</f>
        <v>9</v>
      </c>
      <c r="E588" s="42"/>
      <c r="F588" s="40"/>
      <c r="G588" s="42"/>
      <c r="H588" s="54">
        <v>0</v>
      </c>
      <c r="I588" s="54" t="s">
        <v>352</v>
      </c>
      <c r="J588" s="28"/>
      <c r="K588" s="40"/>
      <c r="X588" s="138" t="s">
        <v>128</v>
      </c>
      <c r="Y588" s="138">
        <v>3</v>
      </c>
      <c r="Z588" s="141">
        <v>2</v>
      </c>
      <c r="AA588" s="138"/>
      <c r="AB588" s="141"/>
      <c r="AC588" s="28"/>
      <c r="AD588" s="28"/>
      <c r="AE588" s="28"/>
      <c r="AF588" s="28"/>
      <c r="AG588" s="141"/>
      <c r="AK588" s="28"/>
      <c r="AL588" s="138" t="s">
        <v>42</v>
      </c>
      <c r="AM588" s="138" t="s">
        <v>43</v>
      </c>
      <c r="AN588" s="141" t="s">
        <v>44</v>
      </c>
      <c r="AO588" s="138" t="s">
        <v>43</v>
      </c>
      <c r="AP588" s="141" t="s">
        <v>44</v>
      </c>
      <c r="AQ588" s="28"/>
      <c r="AR588" s="28"/>
      <c r="AS588" s="28"/>
      <c r="AT588" s="28"/>
      <c r="AU588" s="141"/>
    </row>
    <row r="589" spans="2:47" ht="15.6" x14ac:dyDescent="0.3">
      <c r="B589" s="68" t="s">
        <v>125</v>
      </c>
      <c r="C589" s="54">
        <v>0</v>
      </c>
      <c r="D589" s="45">
        <v>0</v>
      </c>
      <c r="E589" s="42"/>
      <c r="F589" s="40"/>
      <c r="G589" s="42"/>
      <c r="H589" s="54">
        <v>4</v>
      </c>
      <c r="I589" s="54" t="s">
        <v>228</v>
      </c>
      <c r="J589" s="28"/>
      <c r="K589" s="40"/>
      <c r="P589" s="1" t="s">
        <v>4</v>
      </c>
      <c r="X589" s="138" t="s">
        <v>81</v>
      </c>
      <c r="Y589" s="138">
        <v>2</v>
      </c>
      <c r="Z589" s="141">
        <v>9</v>
      </c>
      <c r="AA589" s="138"/>
      <c r="AB589" s="141"/>
      <c r="AC589" s="28"/>
      <c r="AD589" s="28"/>
      <c r="AE589" s="28"/>
      <c r="AF589" s="28"/>
      <c r="AG589" s="141"/>
      <c r="AK589" s="28"/>
      <c r="AL589" s="134"/>
      <c r="AM589" s="134"/>
      <c r="AN589" s="136"/>
      <c r="AO589" s="134"/>
      <c r="AP589" s="136"/>
      <c r="AQ589" s="135"/>
      <c r="AR589" s="135"/>
      <c r="AS589" s="135"/>
      <c r="AT589" s="135"/>
      <c r="AU589" s="136"/>
    </row>
    <row r="590" spans="2:47" x14ac:dyDescent="0.3">
      <c r="B590" s="68" t="s">
        <v>132</v>
      </c>
      <c r="C590" s="54">
        <v>7</v>
      </c>
      <c r="D590" s="45">
        <v>10</v>
      </c>
      <c r="E590" s="42"/>
      <c r="F590" s="40"/>
      <c r="G590" s="42"/>
      <c r="H590" s="54">
        <v>1</v>
      </c>
      <c r="I590" s="54" t="s">
        <v>554</v>
      </c>
      <c r="J590" s="28"/>
      <c r="K590" s="40"/>
      <c r="Q590" t="s">
        <v>2</v>
      </c>
      <c r="X590" s="138" t="s">
        <v>138</v>
      </c>
      <c r="Y590" s="138">
        <v>0</v>
      </c>
      <c r="Z590" s="141">
        <v>9</v>
      </c>
      <c r="AA590" s="138"/>
      <c r="AB590" s="141"/>
      <c r="AC590" s="28"/>
      <c r="AD590" s="28"/>
      <c r="AE590" s="28"/>
      <c r="AF590" s="28"/>
      <c r="AG590" s="141"/>
      <c r="AK590" s="28"/>
      <c r="AL590" s="138"/>
      <c r="AM590" s="138"/>
      <c r="AN590" s="141"/>
      <c r="AO590" s="138"/>
      <c r="AP590" s="141"/>
      <c r="AQ590" s="28"/>
      <c r="AR590" s="28" t="s">
        <v>91</v>
      </c>
      <c r="AS590" s="28"/>
      <c r="AT590" s="28"/>
      <c r="AU590" s="141"/>
    </row>
    <row r="591" spans="2:47" x14ac:dyDescent="0.3">
      <c r="B591" s="41" t="s">
        <v>6</v>
      </c>
      <c r="E591" s="42"/>
      <c r="F591" s="40"/>
      <c r="G591" s="42"/>
      <c r="H591" s="54">
        <v>3</v>
      </c>
      <c r="I591" s="54" t="s">
        <v>555</v>
      </c>
      <c r="J591" s="28"/>
      <c r="K591" s="40"/>
      <c r="O591" t="s">
        <v>12</v>
      </c>
      <c r="X591" s="138" t="s">
        <v>230</v>
      </c>
      <c r="Y591" s="138">
        <v>0</v>
      </c>
      <c r="Z591" s="141">
        <v>0</v>
      </c>
      <c r="AA591" s="138"/>
      <c r="AB591" s="141"/>
      <c r="AC591" s="28"/>
      <c r="AD591" s="28"/>
      <c r="AE591" s="28"/>
      <c r="AF591" s="28"/>
      <c r="AG591" s="141"/>
      <c r="AK591" s="28"/>
      <c r="AL591" s="138" t="s">
        <v>56</v>
      </c>
      <c r="AM591" s="138">
        <v>1358</v>
      </c>
      <c r="AN591" s="141">
        <v>1341</v>
      </c>
      <c r="AO591" s="138">
        <v>0</v>
      </c>
      <c r="AP591" s="141">
        <v>0</v>
      </c>
      <c r="AQ591" s="28"/>
      <c r="AR591" s="28"/>
      <c r="AS591" s="28"/>
      <c r="AT591" s="28"/>
      <c r="AU591" s="141"/>
    </row>
    <row r="592" spans="2:47" ht="15" thickBot="1" x14ac:dyDescent="0.35">
      <c r="B592" s="46" t="s">
        <v>84</v>
      </c>
      <c r="C592" s="48">
        <f>SUM(C576:C591)</f>
        <v>84</v>
      </c>
      <c r="D592" s="48">
        <f>SUM(D576:D591)</f>
        <v>127</v>
      </c>
      <c r="E592" s="47"/>
      <c r="F592" s="49"/>
      <c r="G592" s="47"/>
      <c r="H592" s="48">
        <v>2</v>
      </c>
      <c r="I592" s="48" t="s">
        <v>244</v>
      </c>
      <c r="J592" s="48"/>
      <c r="K592" s="49">
        <f>SUM(H577:H592)</f>
        <v>104</v>
      </c>
      <c r="Q592" t="s">
        <v>881</v>
      </c>
      <c r="V592" s="5"/>
      <c r="X592" s="138" t="s">
        <v>67</v>
      </c>
      <c r="Y592" s="138">
        <v>121</v>
      </c>
      <c r="Z592" s="141">
        <v>146</v>
      </c>
      <c r="AA592" s="138"/>
      <c r="AB592" s="141"/>
      <c r="AC592" s="28"/>
      <c r="AD592" s="28"/>
      <c r="AE592" s="28"/>
      <c r="AF592" s="28"/>
      <c r="AG592" s="141"/>
      <c r="AK592" s="28"/>
      <c r="AL592" s="142" t="s">
        <v>6</v>
      </c>
      <c r="AM592" s="142"/>
      <c r="AN592" s="146"/>
      <c r="AO592" s="142"/>
      <c r="AP592" s="146"/>
      <c r="AQ592" s="143"/>
      <c r="AR592" s="143">
        <v>93</v>
      </c>
      <c r="AS592" s="143" t="s">
        <v>1292</v>
      </c>
      <c r="AT592" s="143"/>
      <c r="AU592" s="146">
        <f>SUM(AR592)</f>
        <v>93</v>
      </c>
    </row>
    <row r="593" spans="2:47" ht="15" thickBot="1" x14ac:dyDescent="0.35">
      <c r="B593" s="147" t="s">
        <v>84</v>
      </c>
      <c r="C593" s="147">
        <f>SUM(+C592+C575+C565+C550+C548)</f>
        <v>2244</v>
      </c>
      <c r="D593" s="148">
        <f>SUM(D592+D575+D565+D550+D548)</f>
        <v>2251</v>
      </c>
      <c r="E593" s="147"/>
      <c r="F593" s="148"/>
      <c r="G593" s="149" t="s">
        <v>247</v>
      </c>
      <c r="H593" s="149"/>
      <c r="I593" s="149"/>
      <c r="J593" s="149"/>
      <c r="K593" s="148">
        <f>SUM(K548:K592)</f>
        <v>368</v>
      </c>
      <c r="U593" s="5" t="s">
        <v>26</v>
      </c>
      <c r="X593" s="142" t="s">
        <v>84</v>
      </c>
      <c r="Y593" s="142">
        <f>SUM(Y580:Y592)</f>
        <v>384</v>
      </c>
      <c r="Z593" s="146">
        <f>SUM(Z580:Z592)</f>
        <v>436</v>
      </c>
      <c r="AA593" s="142"/>
      <c r="AB593" s="146">
        <v>0</v>
      </c>
      <c r="AC593" s="143"/>
      <c r="AD593" s="143"/>
      <c r="AE593" s="143"/>
      <c r="AF593" s="143"/>
      <c r="AG593" s="146">
        <f>SUM(AD585:AD587)</f>
        <v>155</v>
      </c>
      <c r="AK593" s="43"/>
      <c r="AL593" s="134"/>
      <c r="AM593" s="134"/>
      <c r="AN593" s="136"/>
      <c r="AO593" s="134"/>
      <c r="AP593" s="136"/>
      <c r="AQ593" s="135"/>
      <c r="AR593" s="135"/>
      <c r="AS593" s="135"/>
      <c r="AT593" s="135"/>
      <c r="AU593" s="136"/>
    </row>
    <row r="594" spans="2:47" ht="15" thickTop="1" x14ac:dyDescent="0.3">
      <c r="M594" s="6" t="s">
        <v>17</v>
      </c>
      <c r="N594" s="6" t="s">
        <v>39</v>
      </c>
      <c r="O594" s="7"/>
      <c r="P594" s="6" t="s">
        <v>29</v>
      </c>
      <c r="Q594" s="7" t="s">
        <v>30</v>
      </c>
      <c r="R594" s="8" t="s">
        <v>40</v>
      </c>
      <c r="S594" s="8"/>
      <c r="T594" s="8"/>
      <c r="U594" s="8"/>
      <c r="V594" s="7"/>
      <c r="X594" s="134"/>
      <c r="Y594" s="134"/>
      <c r="Z594" s="136"/>
      <c r="AA594" s="134"/>
      <c r="AB594" s="136"/>
      <c r="AC594" s="135"/>
      <c r="AD594" s="135"/>
      <c r="AE594" s="135"/>
      <c r="AF594" s="135"/>
      <c r="AG594" s="136"/>
      <c r="AK594" s="28"/>
      <c r="AL594" s="138" t="s">
        <v>63</v>
      </c>
      <c r="AM594" s="138">
        <v>63</v>
      </c>
      <c r="AN594" s="141">
        <v>92</v>
      </c>
      <c r="AO594" s="138">
        <v>0</v>
      </c>
      <c r="AP594" s="141">
        <v>0</v>
      </c>
      <c r="AQ594" s="28"/>
      <c r="AR594" s="28" t="s">
        <v>110</v>
      </c>
      <c r="AS594" s="28" t="s">
        <v>111</v>
      </c>
      <c r="AT594" s="28" t="s">
        <v>112</v>
      </c>
      <c r="AU594" s="141"/>
    </row>
    <row r="595" spans="2:47" ht="15" thickBot="1" x14ac:dyDescent="0.35">
      <c r="M595" s="13" t="s">
        <v>42</v>
      </c>
      <c r="N595" s="13" t="s">
        <v>43</v>
      </c>
      <c r="O595" s="26" t="s">
        <v>44</v>
      </c>
      <c r="P595" s="13" t="s">
        <v>43</v>
      </c>
      <c r="Q595" s="26" t="s">
        <v>44</v>
      </c>
      <c r="R595" s="27"/>
      <c r="S595" s="27"/>
      <c r="T595" s="27"/>
      <c r="U595" s="27"/>
      <c r="V595" s="26"/>
      <c r="X595" s="138" t="s">
        <v>63</v>
      </c>
      <c r="Y595" s="138">
        <v>0</v>
      </c>
      <c r="Z595" s="141">
        <v>0</v>
      </c>
      <c r="AA595" s="138"/>
      <c r="AB595" s="141"/>
      <c r="AC595" s="28"/>
      <c r="AD595" s="28"/>
      <c r="AE595" s="28"/>
      <c r="AF595" s="28"/>
      <c r="AG595" s="141"/>
      <c r="AK595" s="28"/>
      <c r="AL595" s="138" t="s">
        <v>115</v>
      </c>
      <c r="AM595" s="138">
        <v>26</v>
      </c>
      <c r="AN595" s="141">
        <v>29</v>
      </c>
      <c r="AO595" s="138">
        <v>0</v>
      </c>
      <c r="AP595" s="141">
        <v>0</v>
      </c>
      <c r="AQ595" s="43"/>
      <c r="AR595" s="28"/>
      <c r="AS595" s="28"/>
      <c r="AT595" s="28"/>
      <c r="AU595" s="141"/>
    </row>
    <row r="596" spans="2:47" x14ac:dyDescent="0.3">
      <c r="M596" s="32" t="s">
        <v>6</v>
      </c>
      <c r="N596" s="43"/>
      <c r="O596" s="54"/>
      <c r="P596" s="33"/>
      <c r="Q596" s="35"/>
      <c r="R596" s="33"/>
      <c r="S596" s="34" t="s">
        <v>91</v>
      </c>
      <c r="T596" s="34"/>
      <c r="U596" s="34"/>
      <c r="V596" s="35"/>
      <c r="W596" s="28"/>
      <c r="X596" s="138" t="s">
        <v>536</v>
      </c>
      <c r="Y596" s="138">
        <v>0</v>
      </c>
      <c r="Z596" s="141">
        <v>0</v>
      </c>
      <c r="AA596" s="138"/>
      <c r="AB596" s="141"/>
      <c r="AC596" s="28"/>
      <c r="AD596" s="28"/>
      <c r="AE596" s="28"/>
      <c r="AF596" s="28"/>
      <c r="AG596" s="141"/>
      <c r="AK596" s="28"/>
      <c r="AL596" s="138" t="s">
        <v>72</v>
      </c>
      <c r="AM596" s="138">
        <v>10</v>
      </c>
      <c r="AN596" s="141">
        <v>10</v>
      </c>
      <c r="AO596" s="138">
        <v>0</v>
      </c>
      <c r="AP596" s="141">
        <v>0</v>
      </c>
      <c r="AQ596" s="28"/>
      <c r="AR596" s="43"/>
      <c r="AS596" s="28"/>
      <c r="AT596" s="28"/>
      <c r="AU596" s="141"/>
    </row>
    <row r="597" spans="2:47" ht="15.6" x14ac:dyDescent="0.3">
      <c r="E597" s="1" t="s">
        <v>4</v>
      </c>
      <c r="M597" s="41" t="s">
        <v>56</v>
      </c>
      <c r="N597" s="43">
        <v>1309</v>
      </c>
      <c r="O597" s="54">
        <v>1296</v>
      </c>
      <c r="P597" s="42"/>
      <c r="Q597" s="40"/>
      <c r="R597" s="42"/>
      <c r="S597" s="28"/>
      <c r="T597" s="28"/>
      <c r="U597" s="28"/>
      <c r="V597" s="40"/>
      <c r="W597" s="28"/>
      <c r="X597" s="138" t="s">
        <v>56</v>
      </c>
      <c r="Y597" s="138">
        <v>0</v>
      </c>
      <c r="Z597" s="141">
        <v>0</v>
      </c>
      <c r="AA597" s="138"/>
      <c r="AB597" s="141"/>
      <c r="AC597" s="28"/>
      <c r="AD597" s="28" t="s">
        <v>173</v>
      </c>
      <c r="AE597" s="28"/>
      <c r="AF597" s="28"/>
      <c r="AG597" s="141"/>
      <c r="AK597" s="28"/>
      <c r="AL597" s="138" t="s">
        <v>78</v>
      </c>
      <c r="AM597" s="138">
        <v>50</v>
      </c>
      <c r="AN597" s="141">
        <v>26</v>
      </c>
      <c r="AO597" s="138">
        <v>0</v>
      </c>
      <c r="AP597" s="141">
        <v>0</v>
      </c>
      <c r="AQ597" s="28"/>
      <c r="AR597" s="28"/>
      <c r="AS597" s="28"/>
      <c r="AT597" s="28"/>
      <c r="AU597" s="141"/>
    </row>
    <row r="598" spans="2:47" ht="15" thickBot="1" x14ac:dyDescent="0.35">
      <c r="F598" t="s">
        <v>2</v>
      </c>
      <c r="M598" s="62" t="s">
        <v>6</v>
      </c>
      <c r="N598" s="43"/>
      <c r="O598" s="43"/>
      <c r="P598" s="47"/>
      <c r="Q598" s="49"/>
      <c r="R598" s="47"/>
      <c r="S598" s="48">
        <f>176/2</f>
        <v>88</v>
      </c>
      <c r="T598" s="48" t="s">
        <v>73</v>
      </c>
      <c r="U598" s="48"/>
      <c r="V598" s="49">
        <f>SUM(S598)</f>
        <v>88</v>
      </c>
      <c r="W598" s="28"/>
      <c r="X598" s="138" t="s">
        <v>67</v>
      </c>
      <c r="Y598" s="138">
        <v>0</v>
      </c>
      <c r="Z598" s="141">
        <v>9</v>
      </c>
      <c r="AA598" s="138"/>
      <c r="AB598" s="141"/>
      <c r="AC598" s="28"/>
      <c r="AD598" s="28"/>
      <c r="AE598" s="28"/>
      <c r="AF598" s="28"/>
      <c r="AG598" s="141"/>
      <c r="AK598" s="28"/>
      <c r="AL598" s="138" t="s">
        <v>122</v>
      </c>
      <c r="AM598" s="138">
        <v>25</v>
      </c>
      <c r="AN598" s="141">
        <v>40</v>
      </c>
      <c r="AO598" s="138">
        <v>0</v>
      </c>
      <c r="AP598" s="141">
        <v>0</v>
      </c>
      <c r="AQ598" s="28"/>
      <c r="AR598" s="28">
        <v>35</v>
      </c>
      <c r="AS598" s="28" t="s">
        <v>123</v>
      </c>
      <c r="AT598" s="28" t="s">
        <v>6</v>
      </c>
      <c r="AU598" s="141"/>
    </row>
    <row r="599" spans="2:47" x14ac:dyDescent="0.3">
      <c r="D599" t="s">
        <v>12</v>
      </c>
      <c r="L599" t="s">
        <v>6</v>
      </c>
      <c r="M599" s="10"/>
      <c r="N599" s="29"/>
      <c r="O599" s="31"/>
      <c r="P599" s="33"/>
      <c r="Q599" s="7"/>
      <c r="R599" s="8"/>
      <c r="S599" s="8"/>
      <c r="T599" s="8"/>
      <c r="U599" s="8"/>
      <c r="V599" s="7"/>
      <c r="W599" s="28"/>
      <c r="X599" s="138" t="s">
        <v>78</v>
      </c>
      <c r="Y599" s="138">
        <v>0</v>
      </c>
      <c r="Z599" s="141">
        <v>0</v>
      </c>
      <c r="AA599" s="138"/>
      <c r="AB599" s="141"/>
      <c r="AC599" s="28"/>
      <c r="AD599" s="28">
        <v>2</v>
      </c>
      <c r="AE599" s="28" t="s">
        <v>183</v>
      </c>
      <c r="AF599" s="28"/>
      <c r="AG599" s="141"/>
      <c r="AK599" s="28"/>
      <c r="AL599" s="138" t="s">
        <v>81</v>
      </c>
      <c r="AM599" s="138">
        <v>4</v>
      </c>
      <c r="AN599" s="141">
        <v>3</v>
      </c>
      <c r="AO599" s="138">
        <v>0</v>
      </c>
      <c r="AP599" s="141">
        <v>0</v>
      </c>
      <c r="AQ599" s="28"/>
      <c r="AR599" s="28">
        <v>25</v>
      </c>
      <c r="AS599" s="28" t="s">
        <v>126</v>
      </c>
      <c r="AT599" s="28"/>
      <c r="AU599" s="141"/>
    </row>
    <row r="600" spans="2:47" x14ac:dyDescent="0.3">
      <c r="F600" t="s">
        <v>556</v>
      </c>
      <c r="K600" s="5"/>
      <c r="M600" s="36" t="s">
        <v>63</v>
      </c>
      <c r="N600" s="10">
        <v>119</v>
      </c>
      <c r="O600" s="18">
        <v>128</v>
      </c>
      <c r="P600" s="42"/>
      <c r="Q600" s="11"/>
      <c r="R600" s="18"/>
      <c r="S600" s="18" t="s">
        <v>110</v>
      </c>
      <c r="T600" s="18" t="s">
        <v>111</v>
      </c>
      <c r="U600" s="18" t="s">
        <v>112</v>
      </c>
      <c r="V600" s="11"/>
      <c r="W600" s="28"/>
      <c r="X600" s="138" t="s">
        <v>115</v>
      </c>
      <c r="Y600" s="138">
        <v>0</v>
      </c>
      <c r="Z600" s="141">
        <v>0</v>
      </c>
      <c r="AA600" s="138"/>
      <c r="AB600" s="141"/>
      <c r="AC600" s="28"/>
      <c r="AD600" s="28" t="s">
        <v>6</v>
      </c>
      <c r="AE600" s="28"/>
      <c r="AF600" s="28"/>
      <c r="AG600" s="141"/>
      <c r="AK600" s="28"/>
      <c r="AL600" s="138" t="s">
        <v>1696</v>
      </c>
      <c r="AM600" s="138">
        <v>0</v>
      </c>
      <c r="AN600" s="141">
        <v>0</v>
      </c>
      <c r="AO600" s="138">
        <v>0</v>
      </c>
      <c r="AP600" s="141">
        <v>0</v>
      </c>
      <c r="AQ600" s="28"/>
      <c r="AR600" s="28">
        <v>37</v>
      </c>
      <c r="AS600" s="28" t="s">
        <v>129</v>
      </c>
      <c r="AT600" s="28" t="s">
        <v>6</v>
      </c>
      <c r="AU600" s="141"/>
    </row>
    <row r="601" spans="2:47" ht="15" thickBot="1" x14ac:dyDescent="0.35">
      <c r="J601" s="5" t="s">
        <v>26</v>
      </c>
      <c r="M601" s="10" t="s">
        <v>115</v>
      </c>
      <c r="N601" s="36">
        <v>62</v>
      </c>
      <c r="O601" s="37">
        <v>66</v>
      </c>
      <c r="P601" s="42"/>
      <c r="Q601" s="11"/>
      <c r="R601" s="18"/>
      <c r="S601" s="18"/>
      <c r="T601" s="18"/>
      <c r="U601" s="18"/>
      <c r="V601" s="11"/>
      <c r="W601" s="28"/>
      <c r="X601" s="138" t="s">
        <v>72</v>
      </c>
      <c r="Y601" s="138">
        <v>0</v>
      </c>
      <c r="Z601" s="141">
        <v>0</v>
      </c>
      <c r="AA601" s="138"/>
      <c r="AB601" s="141"/>
      <c r="AC601" s="28"/>
      <c r="AD601" s="28"/>
      <c r="AE601" s="28"/>
      <c r="AF601" s="28"/>
      <c r="AG601" s="141"/>
      <c r="AK601" s="43"/>
      <c r="AL601" s="138" t="s">
        <v>56</v>
      </c>
      <c r="AM601" s="138">
        <v>0</v>
      </c>
      <c r="AN601" s="141">
        <v>8</v>
      </c>
      <c r="AO601" s="138">
        <v>0</v>
      </c>
      <c r="AP601" s="141">
        <v>0</v>
      </c>
      <c r="AQ601" s="28"/>
      <c r="AR601" s="28"/>
      <c r="AS601" s="28"/>
      <c r="AT601" s="28"/>
      <c r="AU601" s="141"/>
    </row>
    <row r="602" spans="2:47" x14ac:dyDescent="0.3">
      <c r="B602" s="6" t="s">
        <v>17</v>
      </c>
      <c r="C602" s="6" t="s">
        <v>39</v>
      </c>
      <c r="D602" s="7"/>
      <c r="E602" s="6" t="s">
        <v>29</v>
      </c>
      <c r="F602" s="7" t="s">
        <v>30</v>
      </c>
      <c r="G602" s="8" t="s">
        <v>40</v>
      </c>
      <c r="H602" s="8"/>
      <c r="I602" s="8"/>
      <c r="J602" s="8"/>
      <c r="K602" s="7"/>
      <c r="M602" s="52" t="s">
        <v>72</v>
      </c>
      <c r="N602" s="52">
        <v>14</v>
      </c>
      <c r="O602" s="54">
        <v>8</v>
      </c>
      <c r="P602" s="42"/>
      <c r="Q602" s="40"/>
      <c r="R602" s="28"/>
      <c r="S602" s="28"/>
      <c r="T602" s="28"/>
      <c r="U602" s="28"/>
      <c r="V602" s="40"/>
      <c r="W602" s="28"/>
      <c r="X602" s="142" t="s">
        <v>84</v>
      </c>
      <c r="Y602" s="142">
        <f>SUM(Y595:Y601)</f>
        <v>0</v>
      </c>
      <c r="Z602" s="146">
        <f>SUM(Z595:Z601)</f>
        <v>9</v>
      </c>
      <c r="AA602" s="142"/>
      <c r="AB602" s="146"/>
      <c r="AC602" s="143"/>
      <c r="AD602" s="143"/>
      <c r="AE602" s="143"/>
      <c r="AF602" s="143"/>
      <c r="AG602" s="146">
        <f>SUM(AD599)</f>
        <v>2</v>
      </c>
      <c r="AK602" s="28"/>
      <c r="AL602" s="138" t="s">
        <v>67</v>
      </c>
      <c r="AM602" s="138">
        <v>55</v>
      </c>
      <c r="AN602" s="141">
        <v>41</v>
      </c>
      <c r="AO602" s="138">
        <v>0</v>
      </c>
      <c r="AP602" s="141">
        <v>0</v>
      </c>
      <c r="AQ602" s="28"/>
      <c r="AR602" s="28"/>
      <c r="AS602" s="28"/>
      <c r="AT602" s="28"/>
      <c r="AU602" s="141" t="s">
        <v>6</v>
      </c>
    </row>
    <row r="603" spans="2:47" ht="15" thickBot="1" x14ac:dyDescent="0.35">
      <c r="B603" s="13" t="s">
        <v>42</v>
      </c>
      <c r="C603" s="10" t="s">
        <v>43</v>
      </c>
      <c r="D603" s="11" t="s">
        <v>44</v>
      </c>
      <c r="E603" s="13" t="s">
        <v>43</v>
      </c>
      <c r="F603" s="26" t="s">
        <v>44</v>
      </c>
      <c r="G603" s="27"/>
      <c r="H603" s="27"/>
      <c r="I603" s="27"/>
      <c r="J603" s="27"/>
      <c r="K603" s="26"/>
      <c r="M603" s="36" t="s">
        <v>78</v>
      </c>
      <c r="N603" s="36">
        <f>53+4</f>
        <v>57</v>
      </c>
      <c r="O603" s="37">
        <v>29</v>
      </c>
      <c r="P603" s="42"/>
      <c r="Q603" s="11"/>
      <c r="R603" s="18"/>
      <c r="S603" s="37"/>
      <c r="T603" s="18"/>
      <c r="U603" s="37"/>
      <c r="V603" s="11"/>
      <c r="W603" s="28"/>
      <c r="X603" s="134"/>
      <c r="Y603" s="134"/>
      <c r="Z603" s="136"/>
      <c r="AA603" s="134"/>
      <c r="AB603" s="136"/>
      <c r="AC603" s="135"/>
      <c r="AD603" s="28" t="s">
        <v>140</v>
      </c>
      <c r="AE603" s="135"/>
      <c r="AF603" s="135"/>
      <c r="AG603" s="136"/>
      <c r="AK603" s="43"/>
      <c r="AL603" s="138" t="s">
        <v>125</v>
      </c>
      <c r="AM603" s="138">
        <v>0</v>
      </c>
      <c r="AN603" s="141">
        <v>0</v>
      </c>
      <c r="AO603" s="138">
        <v>0</v>
      </c>
      <c r="AP603" s="141">
        <v>0</v>
      </c>
      <c r="AQ603" s="28"/>
      <c r="AR603" s="28"/>
      <c r="AS603" s="28"/>
      <c r="AT603" s="28"/>
      <c r="AU603" s="141"/>
    </row>
    <row r="604" spans="2:47" x14ac:dyDescent="0.3">
      <c r="B604" s="6" t="s">
        <v>56</v>
      </c>
      <c r="C604" s="29">
        <v>572</v>
      </c>
      <c r="D604" s="30">
        <v>640</v>
      </c>
      <c r="G604" s="6"/>
      <c r="H604" s="8"/>
      <c r="I604" s="31" t="s">
        <v>57</v>
      </c>
      <c r="J604" s="8"/>
      <c r="K604" s="7"/>
      <c r="L604" s="28"/>
      <c r="M604" s="10" t="s">
        <v>122</v>
      </c>
      <c r="N604" s="36">
        <v>36</v>
      </c>
      <c r="O604" s="37">
        <v>37</v>
      </c>
      <c r="P604" s="42"/>
      <c r="Q604" s="11"/>
      <c r="R604" s="18"/>
      <c r="S604" s="18">
        <v>34</v>
      </c>
      <c r="T604" s="18" t="s">
        <v>123</v>
      </c>
      <c r="U604" s="18"/>
      <c r="V604" s="11"/>
      <c r="W604" s="28" t="s">
        <v>6</v>
      </c>
      <c r="X604" s="138" t="s">
        <v>63</v>
      </c>
      <c r="Y604" s="138">
        <f>10+2+2</f>
        <v>14</v>
      </c>
      <c r="Z604" s="141">
        <f>12+3+2</f>
        <v>17</v>
      </c>
      <c r="AA604" s="138"/>
      <c r="AB604" s="141"/>
      <c r="AC604" s="28"/>
      <c r="AD604">
        <v>18</v>
      </c>
      <c r="AE604" s="28" t="s">
        <v>1159</v>
      </c>
      <c r="AF604" s="28">
        <v>25</v>
      </c>
      <c r="AG604" s="141" t="s">
        <v>1067</v>
      </c>
      <c r="AK604" s="43"/>
      <c r="AL604" s="138" t="s">
        <v>536</v>
      </c>
      <c r="AM604" s="138">
        <v>0</v>
      </c>
      <c r="AN604" s="141">
        <v>0</v>
      </c>
      <c r="AO604" s="138">
        <v>0</v>
      </c>
      <c r="AP604" s="141">
        <v>0</v>
      </c>
      <c r="AQ604" s="28"/>
      <c r="AR604" s="28"/>
      <c r="AS604" s="28"/>
      <c r="AT604" s="28"/>
      <c r="AU604" s="141"/>
    </row>
    <row r="605" spans="2:47" x14ac:dyDescent="0.3">
      <c r="B605" s="36" t="s">
        <v>63</v>
      </c>
      <c r="C605" s="36">
        <v>0</v>
      </c>
      <c r="D605" s="39">
        <v>0</v>
      </c>
      <c r="F605" s="18"/>
      <c r="G605" s="10"/>
      <c r="H605" s="18"/>
      <c r="I605" s="18"/>
      <c r="J605" s="18"/>
      <c r="K605" s="11"/>
      <c r="L605" s="28"/>
      <c r="M605" s="10" t="s">
        <v>125</v>
      </c>
      <c r="N605" s="36">
        <v>2</v>
      </c>
      <c r="O605" s="37">
        <v>8</v>
      </c>
      <c r="P605" s="42"/>
      <c r="Q605" s="11"/>
      <c r="R605" s="18"/>
      <c r="S605" s="18">
        <v>57</v>
      </c>
      <c r="T605" s="18" t="s">
        <v>126</v>
      </c>
      <c r="U605" s="18"/>
      <c r="V605" s="11"/>
      <c r="W605" s="28"/>
      <c r="X605" s="138" t="s">
        <v>78</v>
      </c>
      <c r="Y605" s="138">
        <f>3+2+4</f>
        <v>9</v>
      </c>
      <c r="Z605" s="141">
        <f>5+3+2</f>
        <v>10</v>
      </c>
      <c r="AA605" s="138"/>
      <c r="AB605" s="141"/>
      <c r="AC605" s="28"/>
      <c r="AD605" s="28">
        <v>26</v>
      </c>
      <c r="AE605" s="28" t="s">
        <v>204</v>
      </c>
      <c r="AF605" s="28">
        <v>12</v>
      </c>
      <c r="AG605" s="141" t="s">
        <v>1161</v>
      </c>
      <c r="AK605" s="43"/>
      <c r="AL605" s="138" t="s">
        <v>132</v>
      </c>
      <c r="AM605" s="138">
        <v>0</v>
      </c>
      <c r="AN605" s="141">
        <v>0</v>
      </c>
      <c r="AO605" s="138">
        <v>0</v>
      </c>
      <c r="AP605" s="141">
        <v>0</v>
      </c>
      <c r="AQ605" s="28"/>
      <c r="AR605" s="28"/>
      <c r="AS605" s="28"/>
      <c r="AT605" s="28"/>
      <c r="AU605" s="141"/>
    </row>
    <row r="606" spans="2:47" x14ac:dyDescent="0.3">
      <c r="B606" s="36" t="s">
        <v>67</v>
      </c>
      <c r="C606" s="36">
        <v>110</v>
      </c>
      <c r="D606" s="39">
        <v>138</v>
      </c>
      <c r="F606" s="18"/>
      <c r="G606" s="10"/>
      <c r="H606" s="37">
        <v>10</v>
      </c>
      <c r="I606" s="37" t="s">
        <v>68</v>
      </c>
      <c r="J606" s="18"/>
      <c r="K606" s="11"/>
      <c r="L606" s="28"/>
      <c r="M606" s="84" t="s">
        <v>128</v>
      </c>
      <c r="N606" s="52">
        <v>3</v>
      </c>
      <c r="O606" s="37">
        <v>0</v>
      </c>
      <c r="P606" s="42"/>
      <c r="Q606" s="40"/>
      <c r="R606" s="28"/>
      <c r="S606" s="28">
        <v>15</v>
      </c>
      <c r="T606" s="28" t="s">
        <v>129</v>
      </c>
      <c r="U606" s="28"/>
      <c r="V606" s="40"/>
      <c r="W606" s="28"/>
      <c r="X606" s="138" t="s">
        <v>209</v>
      </c>
      <c r="Y606" s="138">
        <v>0</v>
      </c>
      <c r="Z606" s="141">
        <v>0</v>
      </c>
      <c r="AA606" s="138"/>
      <c r="AB606" s="141"/>
      <c r="AC606" s="28"/>
      <c r="AD606" s="28">
        <v>2</v>
      </c>
      <c r="AE606" s="28" t="s">
        <v>1164</v>
      </c>
      <c r="AF606" s="28"/>
      <c r="AG606" s="141"/>
      <c r="AK606" s="43"/>
      <c r="AL606" s="142" t="s">
        <v>84</v>
      </c>
      <c r="AM606" s="142">
        <f>SUM(AM594:AM605)</f>
        <v>233</v>
      </c>
      <c r="AN606" s="146">
        <f>SUM(AN594:AN605)</f>
        <v>249</v>
      </c>
      <c r="AO606" s="142">
        <v>0</v>
      </c>
      <c r="AP606" s="146">
        <v>0</v>
      </c>
      <c r="AQ606" s="143"/>
      <c r="AR606" s="143"/>
      <c r="AS606" s="143"/>
      <c r="AT606" s="143"/>
      <c r="AU606" s="146">
        <v>97</v>
      </c>
    </row>
    <row r="607" spans="2:47" x14ac:dyDescent="0.3">
      <c r="B607" s="36" t="s">
        <v>72</v>
      </c>
      <c r="C607" s="36">
        <v>0</v>
      </c>
      <c r="D607" s="39">
        <v>0</v>
      </c>
      <c r="F607" s="18"/>
      <c r="G607" s="10"/>
      <c r="H607" s="37">
        <v>69</v>
      </c>
      <c r="I607" s="37" t="s">
        <v>73</v>
      </c>
      <c r="J607" s="18"/>
      <c r="K607" s="11"/>
      <c r="L607" s="28"/>
      <c r="M607" s="84" t="s">
        <v>132</v>
      </c>
      <c r="N607" s="42">
        <v>0</v>
      </c>
      <c r="O607" s="37">
        <v>0</v>
      </c>
      <c r="P607" s="42"/>
      <c r="Q607" s="40"/>
      <c r="R607" s="28"/>
      <c r="S607" s="28"/>
      <c r="T607" s="28"/>
      <c r="U607" s="28"/>
      <c r="V607" s="40"/>
      <c r="W607" s="28"/>
      <c r="X607" s="138" t="s">
        <v>168</v>
      </c>
      <c r="Y607" s="138">
        <v>0</v>
      </c>
      <c r="Z607" s="141">
        <v>0</v>
      </c>
      <c r="AA607" s="138"/>
      <c r="AB607" s="141"/>
      <c r="AC607" s="28"/>
      <c r="AD607" s="28">
        <v>46</v>
      </c>
      <c r="AE607" s="28" t="s">
        <v>213</v>
      </c>
      <c r="AF607" s="28" t="s">
        <v>6</v>
      </c>
      <c r="AG607" s="141"/>
      <c r="AK607" s="28"/>
      <c r="AL607" s="134"/>
      <c r="AM607" s="134"/>
      <c r="AN607" s="136"/>
      <c r="AO607" s="134"/>
      <c r="AP607" s="136"/>
      <c r="AQ607" s="135"/>
      <c r="AR607" s="135"/>
      <c r="AS607" s="135"/>
      <c r="AT607" s="135"/>
      <c r="AU607" s="136"/>
    </row>
    <row r="608" spans="2:47" x14ac:dyDescent="0.3">
      <c r="B608" s="36" t="s">
        <v>78</v>
      </c>
      <c r="C608" s="36">
        <v>0</v>
      </c>
      <c r="D608" s="39">
        <v>0</v>
      </c>
      <c r="F608" s="18"/>
      <c r="G608" s="10"/>
      <c r="H608" s="37"/>
      <c r="I608" s="37"/>
      <c r="J608" s="18" t="s">
        <v>6</v>
      </c>
      <c r="K608" s="11"/>
      <c r="L608" s="28"/>
      <c r="M608" s="84" t="s">
        <v>81</v>
      </c>
      <c r="N608" s="42">
        <v>19</v>
      </c>
      <c r="O608" s="37">
        <v>0</v>
      </c>
      <c r="P608" s="42"/>
      <c r="Q608" s="40"/>
      <c r="R608" s="28"/>
      <c r="S608" s="28"/>
      <c r="T608" s="28"/>
      <c r="U608" s="28"/>
      <c r="V608" s="40"/>
      <c r="W608" s="45"/>
      <c r="X608" s="138" t="s">
        <v>81</v>
      </c>
      <c r="Y608" s="138">
        <v>5</v>
      </c>
      <c r="Z608" s="141">
        <f>7+9+3</f>
        <v>19</v>
      </c>
      <c r="AA608" s="138"/>
      <c r="AB608" s="141"/>
      <c r="AC608" s="28"/>
      <c r="AD608" s="43">
        <v>3</v>
      </c>
      <c r="AE608" s="28" t="s">
        <v>1038</v>
      </c>
      <c r="AF608" s="28"/>
      <c r="AG608" s="141" t="s">
        <v>6</v>
      </c>
      <c r="AK608" s="28"/>
      <c r="AL608" s="138" t="s">
        <v>56</v>
      </c>
      <c r="AM608" s="138">
        <v>0</v>
      </c>
      <c r="AN608" s="141">
        <v>0</v>
      </c>
      <c r="AO608" s="138">
        <v>0</v>
      </c>
      <c r="AP608" s="141">
        <v>0</v>
      </c>
      <c r="AQ608" s="28"/>
      <c r="AR608" s="28" t="s">
        <v>173</v>
      </c>
      <c r="AS608" s="28"/>
      <c r="AT608" s="28"/>
      <c r="AU608" s="141"/>
    </row>
    <row r="609" spans="2:47" x14ac:dyDescent="0.3">
      <c r="B609" s="52" t="s">
        <v>81</v>
      </c>
      <c r="C609" s="36">
        <v>0</v>
      </c>
      <c r="D609" s="39">
        <v>0</v>
      </c>
      <c r="G609" s="42"/>
      <c r="H609" s="28"/>
      <c r="I609" s="28"/>
      <c r="J609" s="28"/>
      <c r="K609" s="40"/>
      <c r="L609" s="28"/>
      <c r="M609" s="10" t="s">
        <v>138</v>
      </c>
      <c r="N609" s="36">
        <v>4</v>
      </c>
      <c r="O609" s="37">
        <v>0</v>
      </c>
      <c r="P609" s="42"/>
      <c r="Q609" s="11"/>
      <c r="R609" s="18"/>
      <c r="S609" s="18"/>
      <c r="T609" s="18"/>
      <c r="U609" s="18"/>
      <c r="V609" s="11"/>
      <c r="W609" s="28"/>
      <c r="X609" s="138" t="s">
        <v>72</v>
      </c>
      <c r="Y609" s="138">
        <f>13+14+25+3+30</f>
        <v>85</v>
      </c>
      <c r="Z609" s="141">
        <f>25+51+4+7+1+41</f>
        <v>129</v>
      </c>
      <c r="AA609" s="138"/>
      <c r="AB609" s="141"/>
      <c r="AC609" s="28"/>
      <c r="AD609" s="43">
        <f>28+27</f>
        <v>55</v>
      </c>
      <c r="AE609" s="43" t="s">
        <v>655</v>
      </c>
      <c r="AF609" s="28"/>
      <c r="AG609" s="141"/>
      <c r="AK609" s="28"/>
      <c r="AL609" s="138" t="s">
        <v>67</v>
      </c>
      <c r="AM609" s="138">
        <v>0</v>
      </c>
      <c r="AN609" s="141">
        <v>0</v>
      </c>
      <c r="AO609" s="138">
        <v>0</v>
      </c>
      <c r="AP609" s="141">
        <v>0</v>
      </c>
      <c r="AQ609" s="28"/>
      <c r="AR609" s="28"/>
      <c r="AS609" s="28"/>
      <c r="AT609" s="28"/>
      <c r="AU609" s="141"/>
    </row>
    <row r="610" spans="2:47" x14ac:dyDescent="0.3">
      <c r="B610" s="52" t="s">
        <v>115</v>
      </c>
      <c r="C610" s="52">
        <v>0</v>
      </c>
      <c r="D610" s="86">
        <v>0</v>
      </c>
      <c r="G610" s="42"/>
      <c r="H610" s="28"/>
      <c r="I610" s="28"/>
      <c r="J610" s="28"/>
      <c r="K610" s="40"/>
      <c r="L610" s="28"/>
      <c r="M610" s="84" t="s">
        <v>56</v>
      </c>
      <c r="N610" s="42">
        <v>0</v>
      </c>
      <c r="O610" s="54">
        <v>0</v>
      </c>
      <c r="P610" s="42"/>
      <c r="Q610" s="40"/>
      <c r="R610" s="28"/>
      <c r="S610" s="28"/>
      <c r="T610" s="28"/>
      <c r="U610" s="28"/>
      <c r="V610" s="40"/>
      <c r="W610" s="28"/>
      <c r="X610" s="138" t="s">
        <v>115</v>
      </c>
      <c r="Y610" s="138">
        <f>10+2</f>
        <v>12</v>
      </c>
      <c r="Z610" s="141">
        <f>10+7+9</f>
        <v>26</v>
      </c>
      <c r="AA610" s="138"/>
      <c r="AB610" s="141"/>
      <c r="AC610" s="28"/>
      <c r="AD610" s="43">
        <v>1</v>
      </c>
      <c r="AE610" s="43" t="s">
        <v>244</v>
      </c>
      <c r="AF610" s="28"/>
      <c r="AG610" s="141"/>
      <c r="AK610" s="28"/>
      <c r="AL610" s="138" t="s">
        <v>78</v>
      </c>
      <c r="AM610" s="138">
        <v>0</v>
      </c>
      <c r="AN610" s="141">
        <v>0</v>
      </c>
      <c r="AO610" s="138">
        <v>0</v>
      </c>
      <c r="AP610" s="141">
        <v>0</v>
      </c>
      <c r="AQ610" s="28"/>
      <c r="AR610" s="28">
        <v>0</v>
      </c>
      <c r="AS610" s="28" t="s">
        <v>183</v>
      </c>
      <c r="AT610" s="28"/>
      <c r="AU610" s="141"/>
    </row>
    <row r="611" spans="2:47" ht="15" thickBot="1" x14ac:dyDescent="0.35">
      <c r="B611" s="13" t="s">
        <v>84</v>
      </c>
      <c r="C611" s="13">
        <f>SUM(C604:C610)</f>
        <v>682</v>
      </c>
      <c r="D611" s="26">
        <f>SUM(D604:D610)</f>
        <v>778</v>
      </c>
      <c r="F611" s="18"/>
      <c r="G611" s="13"/>
      <c r="H611" s="27"/>
      <c r="I611" s="27"/>
      <c r="J611" s="27"/>
      <c r="K611" s="26">
        <f>SUM(H606:H607)</f>
        <v>79</v>
      </c>
      <c r="L611" s="28"/>
      <c r="M611" s="36" t="s">
        <v>67</v>
      </c>
      <c r="N611" s="10">
        <v>46</v>
      </c>
      <c r="O611" s="18">
        <v>44</v>
      </c>
      <c r="P611" s="42"/>
      <c r="Q611" s="11"/>
      <c r="R611" s="18"/>
      <c r="S611" s="18"/>
      <c r="T611" s="18"/>
      <c r="U611" s="18"/>
      <c r="V611" s="11"/>
      <c r="W611" s="28"/>
      <c r="X611" s="138" t="s">
        <v>56</v>
      </c>
      <c r="Y611" s="138">
        <f>4+1</f>
        <v>5</v>
      </c>
      <c r="Z611" s="141">
        <f>1+1</f>
        <v>2</v>
      </c>
      <c r="AA611" s="138"/>
      <c r="AB611" s="141"/>
      <c r="AC611" s="28"/>
      <c r="AD611" s="43">
        <v>5</v>
      </c>
      <c r="AE611" s="43" t="s">
        <v>1112</v>
      </c>
      <c r="AF611" s="28"/>
      <c r="AG611" s="141"/>
      <c r="AK611" s="28"/>
      <c r="AL611" s="142" t="s">
        <v>84</v>
      </c>
      <c r="AM611" s="142">
        <v>0</v>
      </c>
      <c r="AN611" s="146">
        <v>0</v>
      </c>
      <c r="AO611" s="142">
        <v>0</v>
      </c>
      <c r="AP611" s="146">
        <v>0</v>
      </c>
      <c r="AQ611" s="143"/>
      <c r="AR611" s="143"/>
      <c r="AS611" s="143"/>
      <c r="AT611" s="143"/>
      <c r="AU611" s="146">
        <f>SUM(AR610)</f>
        <v>0</v>
      </c>
    </row>
    <row r="612" spans="2:47" ht="15" thickBot="1" x14ac:dyDescent="0.35">
      <c r="B612" s="32" t="s">
        <v>6</v>
      </c>
      <c r="C612" s="43"/>
      <c r="D612" s="54"/>
      <c r="E612" s="33"/>
      <c r="F612" s="35"/>
      <c r="G612" s="33"/>
      <c r="H612" s="34" t="s">
        <v>91</v>
      </c>
      <c r="I612" s="34"/>
      <c r="J612" s="34"/>
      <c r="K612" s="35"/>
      <c r="L612" s="28" t="s">
        <v>6</v>
      </c>
      <c r="M612" s="13" t="s">
        <v>84</v>
      </c>
      <c r="N612" s="13">
        <f>SUM(N600:N611)</f>
        <v>362</v>
      </c>
      <c r="O612" s="27">
        <f>SUM(O600:O611)</f>
        <v>320</v>
      </c>
      <c r="P612" s="47"/>
      <c r="Q612" s="26">
        <f>SUM(Q604:Q611)</f>
        <v>0</v>
      </c>
      <c r="R612" s="27"/>
      <c r="S612" s="27"/>
      <c r="T612" s="27"/>
      <c r="U612" s="27"/>
      <c r="V612" s="26">
        <f>SUM(S604:S606)</f>
        <v>106</v>
      </c>
      <c r="W612" s="28"/>
      <c r="X612" s="138" t="s">
        <v>138</v>
      </c>
      <c r="Y612" s="138">
        <v>0</v>
      </c>
      <c r="Z612" s="141">
        <v>0</v>
      </c>
      <c r="AA612" s="138"/>
      <c r="AB612" s="141"/>
      <c r="AC612" s="28"/>
      <c r="AD612" s="43">
        <v>2</v>
      </c>
      <c r="AE612" s="43" t="s">
        <v>1116</v>
      </c>
      <c r="AF612" s="28"/>
      <c r="AG612" s="141"/>
      <c r="AK612" s="28"/>
      <c r="AL612" s="134" t="s">
        <v>63</v>
      </c>
      <c r="AM612" s="134">
        <v>45</v>
      </c>
      <c r="AN612" s="136">
        <v>49</v>
      </c>
      <c r="AO612" s="134">
        <v>0</v>
      </c>
      <c r="AP612" s="136">
        <v>0</v>
      </c>
      <c r="AQ612" s="135"/>
      <c r="AR612" s="28" t="s">
        <v>140</v>
      </c>
      <c r="AS612" s="135"/>
      <c r="AT612" s="135"/>
      <c r="AU612" s="136"/>
    </row>
    <row r="613" spans="2:47" x14ac:dyDescent="0.3">
      <c r="B613" s="41" t="s">
        <v>56</v>
      </c>
      <c r="C613" s="43">
        <v>1036</v>
      </c>
      <c r="D613" s="54">
        <v>1074</v>
      </c>
      <c r="E613" s="42"/>
      <c r="F613" s="40"/>
      <c r="G613" s="42"/>
      <c r="H613" s="28"/>
      <c r="I613" s="28"/>
      <c r="J613" s="28"/>
      <c r="K613" s="40"/>
      <c r="L613" s="28"/>
      <c r="M613" s="32"/>
      <c r="N613" s="53"/>
      <c r="O613" s="97"/>
      <c r="P613" s="33"/>
      <c r="Q613" s="7"/>
      <c r="R613" s="6"/>
      <c r="S613" s="8"/>
      <c r="T613" s="31"/>
      <c r="U613" s="8"/>
      <c r="V613" s="7"/>
      <c r="W613" s="28"/>
      <c r="X613" s="138" t="s">
        <v>67</v>
      </c>
      <c r="Y613" s="138">
        <f>48+5+2+131</f>
        <v>186</v>
      </c>
      <c r="Z613" s="141">
        <f>56+36+4+207</f>
        <v>303</v>
      </c>
      <c r="AA613" s="138"/>
      <c r="AB613" s="141"/>
      <c r="AC613" s="28" t="s">
        <v>6</v>
      </c>
      <c r="AD613" s="43">
        <f>60+55</f>
        <v>115</v>
      </c>
      <c r="AE613" s="43" t="s">
        <v>215</v>
      </c>
      <c r="AF613" s="28"/>
      <c r="AG613" s="141"/>
      <c r="AK613" s="28"/>
      <c r="AL613" s="138" t="s">
        <v>56</v>
      </c>
      <c r="AM613" s="138">
        <v>23</v>
      </c>
      <c r="AN613" s="141">
        <v>24</v>
      </c>
      <c r="AO613" s="138">
        <v>0</v>
      </c>
      <c r="AP613" s="141">
        <v>0</v>
      </c>
      <c r="AQ613" s="28"/>
      <c r="AS613" s="28" t="s">
        <v>1839</v>
      </c>
      <c r="AT613" s="28"/>
      <c r="AU613" s="141"/>
    </row>
    <row r="614" spans="2:47" ht="15" thickBot="1" x14ac:dyDescent="0.35">
      <c r="B614" s="62" t="s">
        <v>6</v>
      </c>
      <c r="C614" s="43"/>
      <c r="D614" s="43"/>
      <c r="E614" s="47"/>
      <c r="F614" s="49"/>
      <c r="G614" s="47"/>
      <c r="H614" s="48">
        <v>89</v>
      </c>
      <c r="I614" s="48" t="s">
        <v>73</v>
      </c>
      <c r="J614" s="48"/>
      <c r="K614" s="49">
        <f>SUM(H614)</f>
        <v>89</v>
      </c>
      <c r="L614" s="28" t="s">
        <v>6</v>
      </c>
      <c r="M614" s="62"/>
      <c r="N614" s="72"/>
      <c r="O614" s="73"/>
      <c r="P614" s="47"/>
      <c r="Q614" s="49"/>
      <c r="R614" s="47"/>
      <c r="S614" s="48"/>
      <c r="T614" s="48"/>
      <c r="U614" s="48"/>
      <c r="V614" s="49"/>
      <c r="X614" s="138" t="s">
        <v>122</v>
      </c>
      <c r="Y614" s="138">
        <v>0</v>
      </c>
      <c r="Z614" s="141">
        <v>0</v>
      </c>
      <c r="AA614" s="138"/>
      <c r="AB614" s="141"/>
      <c r="AC614" s="28"/>
      <c r="AD614" s="43">
        <v>11</v>
      </c>
      <c r="AE614" s="28" t="s">
        <v>618</v>
      </c>
      <c r="AF614" s="28"/>
      <c r="AG614" s="141"/>
      <c r="AK614" s="28"/>
      <c r="AL614" s="138" t="s">
        <v>78</v>
      </c>
      <c r="AM614" s="138">
        <v>19</v>
      </c>
      <c r="AN614" s="141">
        <v>34</v>
      </c>
      <c r="AO614" s="138">
        <v>0</v>
      </c>
      <c r="AP614" s="141">
        <v>0</v>
      </c>
      <c r="AQ614" s="28"/>
      <c r="AR614" s="28"/>
      <c r="AS614" s="28" t="s">
        <v>1840</v>
      </c>
      <c r="AT614" s="28"/>
      <c r="AU614" s="141"/>
    </row>
    <row r="615" spans="2:47" x14ac:dyDescent="0.3">
      <c r="B615" s="10"/>
      <c r="C615" s="29"/>
      <c r="D615" s="31"/>
      <c r="E615" s="33"/>
      <c r="F615" s="7"/>
      <c r="G615" s="8"/>
      <c r="H615" s="8"/>
      <c r="I615" s="8"/>
      <c r="J615" s="8"/>
      <c r="K615" s="7"/>
      <c r="L615" s="28"/>
      <c r="M615" s="67" t="s">
        <v>63</v>
      </c>
      <c r="N615" s="33">
        <v>2</v>
      </c>
      <c r="O615" s="35">
        <v>2</v>
      </c>
      <c r="R615" s="33"/>
      <c r="S615" s="34"/>
      <c r="T615" s="34"/>
      <c r="U615" s="34"/>
      <c r="V615" s="35"/>
      <c r="W615" s="28"/>
      <c r="X615" s="138" t="s">
        <v>227</v>
      </c>
      <c r="Y615" s="138">
        <v>0</v>
      </c>
      <c r="Z615" s="141">
        <v>0</v>
      </c>
      <c r="AA615" s="138"/>
      <c r="AB615" s="141"/>
      <c r="AC615" s="28"/>
      <c r="AD615" s="43">
        <f>27+5</f>
        <v>32</v>
      </c>
      <c r="AE615" s="28" t="s">
        <v>1117</v>
      </c>
      <c r="AF615" s="28"/>
      <c r="AG615" s="141"/>
      <c r="AK615" s="28"/>
      <c r="AL615" s="138" t="s">
        <v>72</v>
      </c>
      <c r="AM615" s="138">
        <v>29</v>
      </c>
      <c r="AN615" s="141">
        <v>25</v>
      </c>
      <c r="AO615" s="138">
        <v>0</v>
      </c>
      <c r="AP615" s="141">
        <v>0</v>
      </c>
      <c r="AQ615" s="28"/>
      <c r="AR615" s="43"/>
      <c r="AS615" s="43" t="s">
        <v>1841</v>
      </c>
      <c r="AT615" s="28"/>
      <c r="AU615" s="141"/>
    </row>
    <row r="616" spans="2:47" x14ac:dyDescent="0.3">
      <c r="B616" s="36" t="s">
        <v>63</v>
      </c>
      <c r="C616" s="10">
        <v>64</v>
      </c>
      <c r="D616" s="18">
        <f>64+8</f>
        <v>72</v>
      </c>
      <c r="E616" s="42"/>
      <c r="F616" s="11"/>
      <c r="G616" s="18"/>
      <c r="H616" s="18" t="s">
        <v>110</v>
      </c>
      <c r="I616" s="18" t="s">
        <v>111</v>
      </c>
      <c r="J616" s="18" t="s">
        <v>112</v>
      </c>
      <c r="K616" s="11"/>
      <c r="L616" s="45"/>
      <c r="M616" s="67" t="s">
        <v>716</v>
      </c>
      <c r="N616" s="42">
        <v>0</v>
      </c>
      <c r="O616" s="40">
        <v>0</v>
      </c>
      <c r="R616" s="42"/>
      <c r="S616" s="28"/>
      <c r="T616" s="28"/>
      <c r="U616" s="28"/>
      <c r="V616" s="40"/>
      <c r="W616" s="28"/>
      <c r="X616" s="138" t="s">
        <v>230</v>
      </c>
      <c r="Y616" s="138">
        <v>20</v>
      </c>
      <c r="Z616" s="141">
        <v>47</v>
      </c>
      <c r="AA616" s="138"/>
      <c r="AB616" s="141"/>
      <c r="AC616" s="28"/>
      <c r="AD616" s="43">
        <v>8</v>
      </c>
      <c r="AE616" s="43" t="s">
        <v>878</v>
      </c>
      <c r="AF616" s="28"/>
      <c r="AG616" s="141"/>
      <c r="AK616" s="28"/>
      <c r="AL616" s="138" t="s">
        <v>168</v>
      </c>
      <c r="AM616" s="138">
        <v>0</v>
      </c>
      <c r="AN616" s="141">
        <v>0</v>
      </c>
      <c r="AO616" s="138">
        <v>0</v>
      </c>
      <c r="AP616" s="141">
        <v>0</v>
      </c>
      <c r="AQ616" s="28"/>
      <c r="AR616" s="43"/>
      <c r="AS616" s="43" t="s">
        <v>1843</v>
      </c>
      <c r="AT616" s="28"/>
      <c r="AU616" s="141"/>
    </row>
    <row r="617" spans="2:47" x14ac:dyDescent="0.3">
      <c r="B617" s="10" t="s">
        <v>115</v>
      </c>
      <c r="C617" s="36">
        <v>51</v>
      </c>
      <c r="D617" s="37">
        <v>28</v>
      </c>
      <c r="E617" s="42"/>
      <c r="F617" s="11"/>
      <c r="G617" s="18"/>
      <c r="H617" s="18"/>
      <c r="I617" s="18"/>
      <c r="J617" s="18"/>
      <c r="K617" s="11"/>
      <c r="L617" s="28"/>
      <c r="M617" s="52" t="s">
        <v>56</v>
      </c>
      <c r="N617" s="52">
        <v>4</v>
      </c>
      <c r="O617" s="85">
        <v>3</v>
      </c>
      <c r="P617" s="28"/>
      <c r="Q617" s="28"/>
      <c r="R617" s="42"/>
      <c r="S617" s="28" t="s">
        <v>173</v>
      </c>
      <c r="T617" s="28"/>
      <c r="U617" s="28"/>
      <c r="V617" s="40"/>
      <c r="W617" s="28"/>
      <c r="X617" s="138" t="s">
        <v>125</v>
      </c>
      <c r="Y617" s="138">
        <v>0</v>
      </c>
      <c r="Z617" s="141">
        <v>0</v>
      </c>
      <c r="AA617" s="138"/>
      <c r="AB617" s="141"/>
      <c r="AC617" s="28"/>
      <c r="AD617" s="43">
        <f>36/2</f>
        <v>18</v>
      </c>
      <c r="AE617" s="43" t="s">
        <v>217</v>
      </c>
      <c r="AF617" s="28"/>
      <c r="AG617" s="141"/>
      <c r="AK617" s="28"/>
      <c r="AL617" s="138" t="s">
        <v>81</v>
      </c>
      <c r="AM617" s="138">
        <v>13</v>
      </c>
      <c r="AN617" s="141">
        <v>19</v>
      </c>
      <c r="AO617" s="138">
        <v>0</v>
      </c>
      <c r="AP617" s="141">
        <v>0</v>
      </c>
      <c r="AQ617" s="28"/>
      <c r="AR617" s="43"/>
      <c r="AS617" s="43" t="s">
        <v>1600</v>
      </c>
      <c r="AT617" s="28"/>
      <c r="AU617" s="141"/>
    </row>
    <row r="618" spans="2:47" x14ac:dyDescent="0.3">
      <c r="B618" s="52" t="s">
        <v>72</v>
      </c>
      <c r="C618" s="52">
        <v>5</v>
      </c>
      <c r="D618" s="54">
        <v>12</v>
      </c>
      <c r="E618" s="42"/>
      <c r="F618" s="40"/>
      <c r="G618" s="28"/>
      <c r="H618" s="28"/>
      <c r="I618" s="28"/>
      <c r="J618" s="28"/>
      <c r="K618" s="40"/>
      <c r="L618" s="28"/>
      <c r="M618" s="52" t="s">
        <v>67</v>
      </c>
      <c r="N618" s="52">
        <v>3</v>
      </c>
      <c r="O618" s="56">
        <v>6</v>
      </c>
      <c r="R618" s="42"/>
      <c r="S618" s="28"/>
      <c r="T618" s="28" t="s">
        <v>213</v>
      </c>
      <c r="U618" s="28"/>
      <c r="V618" s="40"/>
      <c r="W618" s="28"/>
      <c r="X618" s="138" t="s">
        <v>132</v>
      </c>
      <c r="Y618" s="138">
        <v>0</v>
      </c>
      <c r="Z618" s="141">
        <v>1</v>
      </c>
      <c r="AA618" s="138" t="s">
        <v>6</v>
      </c>
      <c r="AB618" s="141"/>
      <c r="AC618" s="28"/>
      <c r="AD618" s="43">
        <v>2</v>
      </c>
      <c r="AE618" s="228" t="s">
        <v>1204</v>
      </c>
      <c r="AF618" s="28"/>
      <c r="AG618" s="141"/>
      <c r="AK618" s="28"/>
      <c r="AL618" s="138" t="s">
        <v>115</v>
      </c>
      <c r="AM618" s="138">
        <v>19</v>
      </c>
      <c r="AN618" s="141">
        <v>15</v>
      </c>
      <c r="AO618" s="138">
        <v>0</v>
      </c>
      <c r="AP618" s="141">
        <v>0</v>
      </c>
      <c r="AQ618" s="28"/>
      <c r="AR618" s="43"/>
      <c r="AS618" s="43" t="s">
        <v>1847</v>
      </c>
      <c r="AT618" s="28"/>
      <c r="AU618" s="141"/>
    </row>
    <row r="619" spans="2:47" x14ac:dyDescent="0.3">
      <c r="B619" s="36" t="s">
        <v>78</v>
      </c>
      <c r="C619" s="36">
        <v>54</v>
      </c>
      <c r="D619" s="37">
        <v>63</v>
      </c>
      <c r="E619" s="42"/>
      <c r="F619" s="11"/>
      <c r="G619" s="18"/>
      <c r="H619" s="37"/>
      <c r="I619" s="18"/>
      <c r="J619" s="37"/>
      <c r="K619" s="11"/>
      <c r="L619" s="28"/>
      <c r="M619" s="10" t="s">
        <v>78</v>
      </c>
      <c r="N619" s="52">
        <v>0</v>
      </c>
      <c r="O619" s="85">
        <v>0</v>
      </c>
      <c r="P619" s="28"/>
      <c r="Q619" s="28"/>
      <c r="R619" s="42"/>
      <c r="S619" s="28">
        <v>11</v>
      </c>
      <c r="T619" s="28" t="s">
        <v>183</v>
      </c>
      <c r="U619" s="28"/>
      <c r="V619" s="40"/>
      <c r="W619" s="28"/>
      <c r="X619" s="138" t="s">
        <v>992</v>
      </c>
      <c r="Y619" s="138">
        <v>0</v>
      </c>
      <c r="Z619" s="141">
        <v>0</v>
      </c>
      <c r="AA619" s="138"/>
      <c r="AB619" s="141"/>
      <c r="AC619" s="28"/>
      <c r="AD619" s="43">
        <v>6</v>
      </c>
      <c r="AE619" s="28" t="s">
        <v>1205</v>
      </c>
      <c r="AF619" s="28"/>
      <c r="AG619" s="141"/>
      <c r="AK619" s="28"/>
      <c r="AL619" s="138" t="s">
        <v>67</v>
      </c>
      <c r="AM619" s="138">
        <v>32</v>
      </c>
      <c r="AN619" s="141">
        <v>35</v>
      </c>
      <c r="AO619" s="138">
        <v>0</v>
      </c>
      <c r="AP619" s="141">
        <v>0</v>
      </c>
      <c r="AQ619" s="28"/>
      <c r="AR619" s="43"/>
      <c r="AS619" s="43" t="s">
        <v>1851</v>
      </c>
      <c r="AT619" s="28"/>
      <c r="AU619" s="141"/>
    </row>
    <row r="620" spans="2:47" ht="15" thickBot="1" x14ac:dyDescent="0.35">
      <c r="B620" s="10" t="s">
        <v>122</v>
      </c>
      <c r="C620" s="36">
        <v>74</v>
      </c>
      <c r="D620" s="37">
        <v>65</v>
      </c>
      <c r="E620" s="42"/>
      <c r="F620" s="11"/>
      <c r="G620" s="18"/>
      <c r="H620" s="18">
        <v>33</v>
      </c>
      <c r="I620" s="18" t="s">
        <v>123</v>
      </c>
      <c r="J620" s="18"/>
      <c r="K620" s="11"/>
      <c r="L620" s="28"/>
      <c r="M620" s="52" t="s">
        <v>115</v>
      </c>
      <c r="N620" s="52">
        <v>0</v>
      </c>
      <c r="O620" s="85">
        <v>0</v>
      </c>
      <c r="P620" s="28"/>
      <c r="Q620" s="28"/>
      <c r="R620" s="42"/>
      <c r="S620" s="28" t="s">
        <v>6</v>
      </c>
      <c r="T620" s="28"/>
      <c r="U620" s="28"/>
      <c r="V620" s="40"/>
      <c r="W620" s="28"/>
      <c r="X620" s="138" t="s">
        <v>84</v>
      </c>
      <c r="Y620" s="138">
        <f>SUM(Y604:Y619)</f>
        <v>336</v>
      </c>
      <c r="Z620" s="141">
        <f>SUM(Z604:Z619)</f>
        <v>554</v>
      </c>
      <c r="AA620" s="138"/>
      <c r="AB620" s="141"/>
      <c r="AC620" s="28"/>
      <c r="AD620" s="43">
        <v>6</v>
      </c>
      <c r="AE620" s="43" t="s">
        <v>1206</v>
      </c>
      <c r="AF620" s="28"/>
      <c r="AG620" s="141">
        <f>SUM(AD605:AD620)</f>
        <v>338</v>
      </c>
      <c r="AK620" s="28"/>
      <c r="AL620" s="138" t="s">
        <v>122</v>
      </c>
      <c r="AM620" s="138">
        <v>13</v>
      </c>
      <c r="AN620" s="141">
        <v>4</v>
      </c>
      <c r="AO620" s="138">
        <v>0</v>
      </c>
      <c r="AP620" s="141">
        <v>0</v>
      </c>
      <c r="AQ620" s="28"/>
      <c r="AR620" s="43"/>
      <c r="AS620" s="43" t="s">
        <v>803</v>
      </c>
      <c r="AT620" s="28"/>
      <c r="AU620" s="141"/>
    </row>
    <row r="621" spans="2:47" ht="15" thickBot="1" x14ac:dyDescent="0.35">
      <c r="B621" s="10" t="s">
        <v>125</v>
      </c>
      <c r="C621" s="36">
        <v>4</v>
      </c>
      <c r="D621" s="37">
        <v>6</v>
      </c>
      <c r="E621" s="42"/>
      <c r="F621" s="11"/>
      <c r="G621" s="18"/>
      <c r="H621" s="18">
        <v>35</v>
      </c>
      <c r="I621" s="18" t="s">
        <v>126</v>
      </c>
      <c r="J621" s="18"/>
      <c r="K621" s="11"/>
      <c r="L621" s="28"/>
      <c r="M621" s="52" t="s">
        <v>72</v>
      </c>
      <c r="N621" s="52">
        <v>0</v>
      </c>
      <c r="O621" s="85">
        <v>0</v>
      </c>
      <c r="R621" s="42"/>
      <c r="S621" s="28"/>
      <c r="T621" s="28"/>
      <c r="U621" s="28"/>
      <c r="V621" s="40"/>
      <c r="W621" s="28"/>
      <c r="X621" s="171" t="s">
        <v>84</v>
      </c>
      <c r="Y621" s="207">
        <f>SUM(Y620+Y602+Y593+Y578)</f>
        <v>1744</v>
      </c>
      <c r="Z621" s="207">
        <f>SUM(Z620+Z602+Z593+Z578)</f>
        <v>2089</v>
      </c>
      <c r="AA621" s="207"/>
      <c r="AB621" s="208"/>
      <c r="AC621" s="170"/>
      <c r="AD621" s="170"/>
      <c r="AE621" s="170"/>
      <c r="AF621" s="170"/>
      <c r="AG621" s="172">
        <f>SUM(AG578:AG620)</f>
        <v>580</v>
      </c>
      <c r="AK621" s="28"/>
      <c r="AL621" s="138" t="s">
        <v>138</v>
      </c>
      <c r="AM621" s="138">
        <v>0</v>
      </c>
      <c r="AN621" s="141">
        <v>0</v>
      </c>
      <c r="AO621" s="138">
        <v>0</v>
      </c>
      <c r="AP621" s="141">
        <v>0</v>
      </c>
      <c r="AQ621" s="28"/>
      <c r="AR621" s="43"/>
      <c r="AS621" s="43" t="s">
        <v>1004</v>
      </c>
      <c r="AT621" s="28"/>
      <c r="AU621" s="141"/>
    </row>
    <row r="622" spans="2:47" ht="15" thickBot="1" x14ac:dyDescent="0.35">
      <c r="B622" s="84" t="s">
        <v>128</v>
      </c>
      <c r="C622" s="52">
        <v>0</v>
      </c>
      <c r="D622" s="37">
        <v>0</v>
      </c>
      <c r="E622" s="42"/>
      <c r="F622" s="40"/>
      <c r="G622" s="28"/>
      <c r="H622" s="28">
        <v>37</v>
      </c>
      <c r="I622" s="28" t="s">
        <v>129</v>
      </c>
      <c r="J622" s="28"/>
      <c r="K622" s="40"/>
      <c r="M622" s="52" t="s">
        <v>84</v>
      </c>
      <c r="N622" s="47">
        <f>SUM(N615:N621)</f>
        <v>9</v>
      </c>
      <c r="O622" s="49">
        <f>SUM(O615:O621)</f>
        <v>11</v>
      </c>
      <c r="P622" s="28"/>
      <c r="Q622" s="28"/>
      <c r="R622" s="47"/>
      <c r="S622" s="48"/>
      <c r="T622" s="48"/>
      <c r="U622" s="48"/>
      <c r="V622" s="49">
        <f>SUM(S619)</f>
        <v>11</v>
      </c>
      <c r="W622" s="28"/>
      <c r="AK622" s="28"/>
      <c r="AL622" s="138" t="s">
        <v>132</v>
      </c>
      <c r="AM622" s="138">
        <v>0</v>
      </c>
      <c r="AN622" s="141">
        <v>4</v>
      </c>
      <c r="AO622" s="138">
        <v>0</v>
      </c>
      <c r="AP622" s="141">
        <v>0</v>
      </c>
      <c r="AQ622" s="28"/>
      <c r="AR622" s="43"/>
      <c r="AS622" s="43" t="s">
        <v>1855</v>
      </c>
      <c r="AT622" s="28"/>
      <c r="AU622" s="141"/>
    </row>
    <row r="623" spans="2:47" x14ac:dyDescent="0.3">
      <c r="B623" s="84" t="s">
        <v>132</v>
      </c>
      <c r="C623" s="42">
        <v>0</v>
      </c>
      <c r="D623" s="37">
        <v>0</v>
      </c>
      <c r="E623" s="42"/>
      <c r="F623" s="40"/>
      <c r="G623" s="28"/>
      <c r="H623" s="28"/>
      <c r="I623" s="28"/>
      <c r="J623" s="28"/>
      <c r="K623" s="40"/>
      <c r="L623" s="28"/>
      <c r="M623" s="32" t="s">
        <v>63</v>
      </c>
      <c r="N623" s="123">
        <f>4+7+2+1+1+7</f>
        <v>22</v>
      </c>
      <c r="O623" s="123">
        <f>2+2+2+1+11</f>
        <v>18</v>
      </c>
      <c r="P623" s="33"/>
      <c r="Q623" s="7"/>
      <c r="R623" s="6"/>
      <c r="S623" s="34" t="s">
        <v>140</v>
      </c>
      <c r="T623" s="8"/>
      <c r="U623" s="8"/>
      <c r="V623" s="7"/>
      <c r="W623" s="28"/>
      <c r="AK623" s="28"/>
      <c r="AL623" s="138" t="s">
        <v>536</v>
      </c>
      <c r="AM623" s="138">
        <v>0</v>
      </c>
      <c r="AN623" s="141">
        <v>0</v>
      </c>
      <c r="AO623" s="138">
        <v>0</v>
      </c>
      <c r="AP623" s="141">
        <v>0</v>
      </c>
      <c r="AQ623" s="28"/>
      <c r="AR623" s="43"/>
      <c r="AS623" s="43" t="s">
        <v>320</v>
      </c>
      <c r="AT623" s="28"/>
      <c r="AU623" s="141"/>
    </row>
    <row r="624" spans="2:47" x14ac:dyDescent="0.3">
      <c r="B624" s="84" t="s">
        <v>81</v>
      </c>
      <c r="C624" s="42">
        <v>4</v>
      </c>
      <c r="D624" s="37">
        <v>5</v>
      </c>
      <c r="E624" s="42"/>
      <c r="F624" s="40"/>
      <c r="G624" s="28"/>
      <c r="H624" s="28"/>
      <c r="I624" s="28"/>
      <c r="J624" s="28"/>
      <c r="K624" s="40"/>
      <c r="L624" s="28"/>
      <c r="M624" s="44" t="s">
        <v>78</v>
      </c>
      <c r="N624" s="37">
        <f>6+30+18+3+11</f>
        <v>68</v>
      </c>
      <c r="O624" s="37">
        <f>10+14+22+12</f>
        <v>58</v>
      </c>
      <c r="P624" s="42"/>
      <c r="Q624" s="11"/>
      <c r="R624" s="10"/>
      <c r="S624" s="37">
        <f>2+12+13+16</f>
        <v>43</v>
      </c>
      <c r="T624" s="37" t="s">
        <v>215</v>
      </c>
      <c r="U624" s="18"/>
      <c r="V624" s="11"/>
      <c r="W624" s="28"/>
      <c r="AG624">
        <f>38/2</f>
        <v>19</v>
      </c>
      <c r="AK624" s="28"/>
      <c r="AL624" s="138" t="s">
        <v>227</v>
      </c>
      <c r="AM624" s="138">
        <v>0</v>
      </c>
      <c r="AN624" s="141">
        <v>0</v>
      </c>
      <c r="AO624" s="138">
        <v>0</v>
      </c>
      <c r="AP624" s="141">
        <v>0</v>
      </c>
      <c r="AQ624" s="28"/>
      <c r="AR624" s="43"/>
      <c r="AS624" s="43" t="s">
        <v>1488</v>
      </c>
      <c r="AT624" s="28"/>
      <c r="AU624" s="141"/>
    </row>
    <row r="625" spans="1:47" x14ac:dyDescent="0.3">
      <c r="B625" s="10" t="s">
        <v>138</v>
      </c>
      <c r="C625" s="36">
        <v>9</v>
      </c>
      <c r="D625" s="37">
        <v>9</v>
      </c>
      <c r="E625" s="42"/>
      <c r="F625" s="11"/>
      <c r="G625" s="18"/>
      <c r="H625" s="18"/>
      <c r="I625" s="18"/>
      <c r="J625" s="18"/>
      <c r="K625" s="11"/>
      <c r="L625" s="28"/>
      <c r="M625" s="125" t="s">
        <v>209</v>
      </c>
      <c r="N625" s="54">
        <v>0</v>
      </c>
      <c r="O625" s="54">
        <v>0</v>
      </c>
      <c r="P625" s="42"/>
      <c r="Q625" s="40"/>
      <c r="R625" s="42"/>
      <c r="S625" s="28">
        <v>6</v>
      </c>
      <c r="T625" s="28" t="s">
        <v>210</v>
      </c>
      <c r="U625" s="28"/>
      <c r="V625" s="96"/>
      <c r="W625" s="28"/>
      <c r="AK625" s="28"/>
      <c r="AL625" s="138" t="s">
        <v>230</v>
      </c>
      <c r="AM625" s="138">
        <v>8</v>
      </c>
      <c r="AN625" s="141">
        <v>10</v>
      </c>
      <c r="AO625" s="138">
        <v>0</v>
      </c>
      <c r="AP625" s="141">
        <v>0</v>
      </c>
      <c r="AQ625" s="28"/>
      <c r="AR625" s="43"/>
      <c r="AS625" s="43" t="s">
        <v>447</v>
      </c>
      <c r="AT625" s="28"/>
      <c r="AU625" s="141"/>
    </row>
    <row r="626" spans="1:47" x14ac:dyDescent="0.3">
      <c r="B626" s="84" t="s">
        <v>56</v>
      </c>
      <c r="C626" s="42">
        <v>0</v>
      </c>
      <c r="D626" s="54">
        <v>6</v>
      </c>
      <c r="E626" s="42"/>
      <c r="F626" s="40"/>
      <c r="G626" s="28"/>
      <c r="H626" s="28"/>
      <c r="I626" s="28"/>
      <c r="J626" s="28"/>
      <c r="K626" s="40"/>
      <c r="L626" s="28"/>
      <c r="M626" s="44" t="s">
        <v>168</v>
      </c>
      <c r="N626" s="54">
        <v>1</v>
      </c>
      <c r="O626" s="54">
        <v>1</v>
      </c>
      <c r="P626" s="42"/>
      <c r="Q626" s="11"/>
      <c r="R626" s="10"/>
      <c r="S626" s="37">
        <f>2+3+5+4+5+9+10</f>
        <v>38</v>
      </c>
      <c r="T626" s="37" t="s">
        <v>213</v>
      </c>
      <c r="U626" s="18" t="s">
        <v>6</v>
      </c>
      <c r="V626" s="11"/>
      <c r="W626" s="28"/>
      <c r="AK626" s="28"/>
      <c r="AL626" s="138" t="s">
        <v>125</v>
      </c>
      <c r="AM626" s="138">
        <v>0</v>
      </c>
      <c r="AN626" s="141">
        <v>0</v>
      </c>
      <c r="AO626" s="138">
        <v>0</v>
      </c>
      <c r="AP626" s="141">
        <v>0</v>
      </c>
      <c r="AQ626" s="28"/>
      <c r="AR626" s="43"/>
      <c r="AS626" s="43" t="s">
        <v>1056</v>
      </c>
      <c r="AT626" s="28"/>
      <c r="AU626" s="141"/>
    </row>
    <row r="627" spans="1:47" x14ac:dyDescent="0.3">
      <c r="B627" s="36" t="s">
        <v>67</v>
      </c>
      <c r="C627" s="10">
        <v>31</v>
      </c>
      <c r="D627" s="18">
        <v>51</v>
      </c>
      <c r="E627" s="42"/>
      <c r="F627" s="11"/>
      <c r="G627" s="18"/>
      <c r="H627" s="18"/>
      <c r="I627" s="18"/>
      <c r="J627" s="18"/>
      <c r="K627" s="11"/>
      <c r="L627" s="28"/>
      <c r="M627" s="125" t="s">
        <v>81</v>
      </c>
      <c r="N627" s="54">
        <v>2</v>
      </c>
      <c r="O627" s="54">
        <f>1+1</f>
        <v>2</v>
      </c>
      <c r="P627" s="42"/>
      <c r="Q627" s="40"/>
      <c r="R627" s="42"/>
      <c r="S627" s="54">
        <f>4+4+4+4+7+2</f>
        <v>25</v>
      </c>
      <c r="T627" s="128" t="s">
        <v>222</v>
      </c>
      <c r="U627" s="28"/>
      <c r="V627" s="40" t="s">
        <v>6</v>
      </c>
      <c r="W627" s="37"/>
      <c r="AK627" s="28"/>
      <c r="AL627" s="138" t="s">
        <v>536</v>
      </c>
      <c r="AM627" s="138">
        <v>0</v>
      </c>
      <c r="AN627" s="141">
        <v>0</v>
      </c>
      <c r="AO627" s="138">
        <v>0</v>
      </c>
      <c r="AP627" s="141">
        <v>0</v>
      </c>
      <c r="AQ627" s="28"/>
      <c r="AR627" s="43"/>
      <c r="AS627" s="43" t="s">
        <v>254</v>
      </c>
      <c r="AT627" s="28"/>
      <c r="AU627" s="141"/>
    </row>
    <row r="628" spans="1:47" ht="16.2" thickBot="1" x14ac:dyDescent="0.35">
      <c r="A628" s="95"/>
      <c r="B628" s="13" t="s">
        <v>84</v>
      </c>
      <c r="C628" s="13">
        <f>SUM(C616:C627)</f>
        <v>296</v>
      </c>
      <c r="D628" s="27">
        <f>SUM(D616:D627)</f>
        <v>317</v>
      </c>
      <c r="E628" s="47"/>
      <c r="F628" s="26">
        <f>SUM(F620:F627)</f>
        <v>0</v>
      </c>
      <c r="G628" s="27"/>
      <c r="H628" s="27"/>
      <c r="I628" s="27"/>
      <c r="J628" s="27"/>
      <c r="K628" s="26">
        <f>SUM(H620:H622)</f>
        <v>105</v>
      </c>
      <c r="L628" s="28"/>
      <c r="M628" s="125" t="s">
        <v>72</v>
      </c>
      <c r="N628" s="54">
        <f>8+3+2+1+1+1+27</f>
        <v>43</v>
      </c>
      <c r="O628" s="45">
        <f>8+3+1+4+26</f>
        <v>42</v>
      </c>
      <c r="P628" s="42"/>
      <c r="Q628" s="40"/>
      <c r="R628" s="42"/>
      <c r="S628" s="54">
        <v>1</v>
      </c>
      <c r="T628" s="54" t="s">
        <v>216</v>
      </c>
      <c r="U628" s="45"/>
      <c r="V628" s="40"/>
      <c r="W628" s="28"/>
      <c r="AK628" s="267"/>
      <c r="AL628" s="138"/>
      <c r="AM628" s="138"/>
      <c r="AN628" s="141"/>
      <c r="AO628" s="138"/>
      <c r="AP628" s="141"/>
      <c r="AQ628" s="28"/>
      <c r="AR628" s="43"/>
      <c r="AS628" s="28"/>
      <c r="AT628" s="28"/>
      <c r="AU628" s="141"/>
    </row>
    <row r="629" spans="1:47" ht="15" thickBot="1" x14ac:dyDescent="0.35">
      <c r="B629" s="32"/>
      <c r="C629" s="53"/>
      <c r="D629" s="97"/>
      <c r="E629" s="33"/>
      <c r="F629" s="7"/>
      <c r="G629" s="6"/>
      <c r="H629" s="8"/>
      <c r="I629" s="31"/>
      <c r="J629" s="8"/>
      <c r="K629" s="7"/>
      <c r="L629" s="28"/>
      <c r="M629" s="125" t="s">
        <v>115</v>
      </c>
      <c r="N629" s="54">
        <f>3+23+1</f>
        <v>27</v>
      </c>
      <c r="O629" s="45">
        <f>3+17+1+11</f>
        <v>32</v>
      </c>
      <c r="P629" s="42"/>
      <c r="Q629" s="40"/>
      <c r="R629" s="42"/>
      <c r="S629" s="54">
        <v>1</v>
      </c>
      <c r="T629" s="54" t="s">
        <v>898</v>
      </c>
      <c r="U629" s="28"/>
      <c r="V629" s="40"/>
      <c r="W629" s="28"/>
      <c r="AK629" s="28"/>
      <c r="AL629" s="138" t="s">
        <v>84</v>
      </c>
      <c r="AM629" s="138">
        <f>SUM(AM608:AM628)</f>
        <v>201</v>
      </c>
      <c r="AN629" s="141">
        <f>SUM(AN608:AN628)</f>
        <v>219</v>
      </c>
      <c r="AO629" s="138">
        <v>0</v>
      </c>
      <c r="AP629" s="141">
        <v>0</v>
      </c>
      <c r="AQ629" s="28"/>
      <c r="AR629" s="28"/>
      <c r="AS629" s="28"/>
      <c r="AT629" s="28"/>
      <c r="AU629" s="141">
        <v>163</v>
      </c>
    </row>
    <row r="630" spans="1:47" ht="15" thickBot="1" x14ac:dyDescent="0.35">
      <c r="B630" s="62"/>
      <c r="C630" s="72"/>
      <c r="D630" s="73"/>
      <c r="E630" s="47"/>
      <c r="F630" s="49"/>
      <c r="G630" s="47"/>
      <c r="H630" s="48"/>
      <c r="I630" s="48"/>
      <c r="J630" s="48"/>
      <c r="K630" s="49"/>
      <c r="L630" s="28"/>
      <c r="M630" s="125" t="s">
        <v>56</v>
      </c>
      <c r="N630" s="54">
        <f>10+20+3+6+3+2+8</f>
        <v>52</v>
      </c>
      <c r="O630" s="45">
        <f>10+22+6+7+34</f>
        <v>79</v>
      </c>
      <c r="P630" s="42"/>
      <c r="Q630" s="40"/>
      <c r="R630" s="42"/>
      <c r="S630" s="54">
        <v>1</v>
      </c>
      <c r="T630" s="54" t="s">
        <v>638</v>
      </c>
      <c r="U630" s="28"/>
      <c r="V630" s="40"/>
      <c r="W630" s="28"/>
      <c r="AK630" s="28"/>
      <c r="AL630" s="171" t="s">
        <v>84</v>
      </c>
      <c r="AM630" s="207">
        <v>1792</v>
      </c>
      <c r="AN630" s="207">
        <v>1809</v>
      </c>
      <c r="AO630" s="207">
        <v>0</v>
      </c>
      <c r="AP630" s="208">
        <v>0</v>
      </c>
      <c r="AQ630" s="170"/>
      <c r="AR630" s="170"/>
      <c r="AS630" s="170"/>
      <c r="AT630" s="170"/>
      <c r="AU630" s="172">
        <v>353</v>
      </c>
    </row>
    <row r="631" spans="1:47" x14ac:dyDescent="0.3">
      <c r="B631" s="67" t="s">
        <v>63</v>
      </c>
      <c r="C631" s="33">
        <v>0</v>
      </c>
      <c r="D631" s="35">
        <v>0</v>
      </c>
      <c r="G631" s="33"/>
      <c r="H631" s="34"/>
      <c r="I631" s="34"/>
      <c r="J631" s="34"/>
      <c r="K631" s="35"/>
      <c r="L631" s="28"/>
      <c r="M631" s="125" t="s">
        <v>138</v>
      </c>
      <c r="N631" s="54">
        <v>0</v>
      </c>
      <c r="O631" s="45">
        <v>1</v>
      </c>
      <c r="P631" s="42"/>
      <c r="Q631" s="40"/>
      <c r="R631" s="42"/>
      <c r="S631" s="54">
        <f>13+2+3+3+7</f>
        <v>28</v>
      </c>
      <c r="T631" s="54" t="s">
        <v>221</v>
      </c>
      <c r="U631" s="28"/>
      <c r="V631" s="40"/>
      <c r="W631" s="28"/>
      <c r="AK631" s="28"/>
    </row>
    <row r="632" spans="1:47" x14ac:dyDescent="0.3">
      <c r="B632" s="67" t="s">
        <v>536</v>
      </c>
      <c r="C632" s="42">
        <v>0</v>
      </c>
      <c r="D632" s="40">
        <v>0</v>
      </c>
      <c r="G632" s="42"/>
      <c r="H632" s="28"/>
      <c r="I632" s="28"/>
      <c r="J632" s="28"/>
      <c r="K632" s="40"/>
      <c r="L632" s="28"/>
      <c r="M632" s="125" t="s">
        <v>67</v>
      </c>
      <c r="N632" s="54">
        <f>7+3+2+15</f>
        <v>27</v>
      </c>
      <c r="O632" s="45">
        <f>2+13+2+1+4+2+16</f>
        <v>40</v>
      </c>
      <c r="P632" s="42"/>
      <c r="Q632" s="40"/>
      <c r="R632" s="42"/>
      <c r="S632" s="54">
        <v>9</v>
      </c>
      <c r="T632" s="54" t="s">
        <v>903</v>
      </c>
      <c r="U632" s="28"/>
      <c r="V632" s="40"/>
      <c r="W632" s="28"/>
      <c r="AK632" s="28"/>
    </row>
    <row r="633" spans="1:47" x14ac:dyDescent="0.3">
      <c r="B633" s="52" t="s">
        <v>56</v>
      </c>
      <c r="C633" s="52">
        <v>0</v>
      </c>
      <c r="D633" s="85">
        <v>0</v>
      </c>
      <c r="E633" s="28"/>
      <c r="F633" s="28"/>
      <c r="G633" s="42"/>
      <c r="H633" s="28" t="s">
        <v>173</v>
      </c>
      <c r="I633" s="28"/>
      <c r="J633" s="28"/>
      <c r="K633" s="40"/>
      <c r="L633" s="28"/>
      <c r="M633" s="125" t="s">
        <v>122</v>
      </c>
      <c r="N633" s="54">
        <v>5</v>
      </c>
      <c r="O633" s="45">
        <f>1+5+10</f>
        <v>16</v>
      </c>
      <c r="P633" s="42"/>
      <c r="Q633" s="40"/>
      <c r="R633" s="42"/>
      <c r="S633" s="54">
        <v>1</v>
      </c>
      <c r="T633" s="54" t="s">
        <v>853</v>
      </c>
      <c r="U633" s="28"/>
      <c r="V633" s="40"/>
      <c r="W633" s="28"/>
      <c r="AA633" t="s">
        <v>4</v>
      </c>
      <c r="AK633" s="28"/>
    </row>
    <row r="634" spans="1:47" x14ac:dyDescent="0.3">
      <c r="B634" s="52" t="s">
        <v>67</v>
      </c>
      <c r="C634" s="52">
        <v>1</v>
      </c>
      <c r="D634" s="56">
        <v>6</v>
      </c>
      <c r="G634" s="42"/>
      <c r="H634" s="28"/>
      <c r="I634" s="28"/>
      <c r="J634" s="28"/>
      <c r="K634" s="40"/>
      <c r="L634" s="28"/>
      <c r="M634" s="125" t="s">
        <v>227</v>
      </c>
      <c r="N634" s="54">
        <v>0</v>
      </c>
      <c r="O634" s="45">
        <v>0</v>
      </c>
      <c r="P634" s="42"/>
      <c r="Q634" s="40"/>
      <c r="R634" s="42"/>
      <c r="S634" s="54">
        <v>1</v>
      </c>
      <c r="T634" s="54" t="s">
        <v>877</v>
      </c>
      <c r="U634" s="28"/>
      <c r="V634" s="40"/>
      <c r="AB634" t="s">
        <v>2</v>
      </c>
      <c r="AK634" s="28"/>
    </row>
    <row r="635" spans="1:47" x14ac:dyDescent="0.3">
      <c r="B635" s="10" t="s">
        <v>78</v>
      </c>
      <c r="C635" s="52">
        <v>0</v>
      </c>
      <c r="D635" s="85">
        <v>0</v>
      </c>
      <c r="E635" s="28"/>
      <c r="F635" s="28"/>
      <c r="G635" s="42"/>
      <c r="H635" s="28">
        <v>2</v>
      </c>
      <c r="I635" s="28" t="s">
        <v>183</v>
      </c>
      <c r="J635" s="28"/>
      <c r="K635" s="40"/>
      <c r="L635" s="37"/>
      <c r="M635" s="41" t="s">
        <v>230</v>
      </c>
      <c r="N635" s="54">
        <f>2+5+2+3+3</f>
        <v>15</v>
      </c>
      <c r="O635" s="45">
        <f>8+10+4+3</f>
        <v>25</v>
      </c>
      <c r="P635" s="42"/>
      <c r="Q635" s="40"/>
      <c r="R635" s="42"/>
      <c r="S635" s="54">
        <v>7</v>
      </c>
      <c r="T635" s="54" t="s">
        <v>655</v>
      </c>
      <c r="U635" s="28"/>
      <c r="V635" s="40"/>
      <c r="Z635" t="s">
        <v>12</v>
      </c>
      <c r="AK635" s="28"/>
    </row>
    <row r="636" spans="1:47" x14ac:dyDescent="0.3">
      <c r="B636" s="52" t="s">
        <v>115</v>
      </c>
      <c r="C636" s="52">
        <v>0</v>
      </c>
      <c r="D636" s="85">
        <v>0</v>
      </c>
      <c r="E636" s="28"/>
      <c r="F636" s="28"/>
      <c r="G636" s="42"/>
      <c r="H636" s="28" t="s">
        <v>6</v>
      </c>
      <c r="I636" s="28"/>
      <c r="J636" s="28"/>
      <c r="K636" s="40"/>
      <c r="L636" s="28"/>
      <c r="M636" s="68" t="s">
        <v>125</v>
      </c>
      <c r="N636" s="54">
        <v>0</v>
      </c>
      <c r="O636" s="45">
        <v>0</v>
      </c>
      <c r="P636" s="42"/>
      <c r="Q636" s="40"/>
      <c r="R636" s="42"/>
      <c r="S636" s="54">
        <v>1</v>
      </c>
      <c r="T636" s="54" t="s">
        <v>904</v>
      </c>
      <c r="U636" s="28"/>
      <c r="V636" s="40"/>
      <c r="AB636" t="s">
        <v>1209</v>
      </c>
      <c r="AK636" s="43"/>
    </row>
    <row r="637" spans="1:47" x14ac:dyDescent="0.3">
      <c r="B637" s="52" t="s">
        <v>72</v>
      </c>
      <c r="C637" s="52">
        <v>0</v>
      </c>
      <c r="D637" s="85">
        <v>0</v>
      </c>
      <c r="G637" s="42"/>
      <c r="H637" s="28"/>
      <c r="I637" s="28"/>
      <c r="J637" s="28"/>
      <c r="K637" s="40"/>
      <c r="L637" s="28"/>
      <c r="M637" s="68" t="s">
        <v>132</v>
      </c>
      <c r="N637" s="54">
        <f>3+1</f>
        <v>4</v>
      </c>
      <c r="O637" s="45">
        <f>2+1</f>
        <v>3</v>
      </c>
      <c r="P637" s="42"/>
      <c r="Q637" s="40"/>
      <c r="R637" s="42"/>
      <c r="S637" s="54">
        <v>4</v>
      </c>
      <c r="T637" s="54" t="s">
        <v>905</v>
      </c>
      <c r="U637" s="28"/>
      <c r="V637" s="40"/>
      <c r="AF637" s="194" t="s">
        <v>951</v>
      </c>
      <c r="AK637" s="43"/>
    </row>
    <row r="638" spans="1:47" ht="15" thickBot="1" x14ac:dyDescent="0.35">
      <c r="B638" s="52" t="s">
        <v>84</v>
      </c>
      <c r="C638" s="47">
        <f>SUM(C631:C637)</f>
        <v>1</v>
      </c>
      <c r="D638" s="49">
        <f>SUM(D631:D637)</f>
        <v>6</v>
      </c>
      <c r="E638" s="28"/>
      <c r="F638" s="28"/>
      <c r="G638" s="47"/>
      <c r="H638" s="48"/>
      <c r="I638" s="48"/>
      <c r="J638" s="48"/>
      <c r="K638" s="49">
        <f>SUM(H635)</f>
        <v>2</v>
      </c>
      <c r="L638" s="28"/>
      <c r="M638" s="41" t="s">
        <v>6</v>
      </c>
      <c r="P638" s="42"/>
      <c r="Q638" s="40"/>
      <c r="R638" s="42"/>
      <c r="S638" s="54">
        <v>1</v>
      </c>
      <c r="T638" s="54" t="s">
        <v>906</v>
      </c>
      <c r="U638" s="28"/>
      <c r="V638" s="40"/>
      <c r="X638" s="134" t="s">
        <v>17</v>
      </c>
      <c r="Y638" s="134" t="s">
        <v>39</v>
      </c>
      <c r="Z638" s="136"/>
      <c r="AA638" s="134" t="s">
        <v>29</v>
      </c>
      <c r="AB638" s="136" t="s">
        <v>30</v>
      </c>
      <c r="AC638" s="135" t="s">
        <v>40</v>
      </c>
      <c r="AD638" s="135"/>
      <c r="AE638" s="135"/>
      <c r="AF638" s="135"/>
      <c r="AG638" s="136"/>
      <c r="AK638" s="43"/>
    </row>
    <row r="639" spans="1:47" ht="15" thickBot="1" x14ac:dyDescent="0.35">
      <c r="B639" s="32" t="s">
        <v>63</v>
      </c>
      <c r="C639" s="123">
        <f>7+2+1+1</f>
        <v>11</v>
      </c>
      <c r="D639" s="123">
        <f>8+2+1</f>
        <v>11</v>
      </c>
      <c r="E639" s="33"/>
      <c r="F639" s="7"/>
      <c r="G639" s="6"/>
      <c r="H639" s="34" t="s">
        <v>140</v>
      </c>
      <c r="I639" s="8"/>
      <c r="J639" s="8"/>
      <c r="K639" s="7"/>
      <c r="L639" s="28"/>
      <c r="M639" s="46" t="s">
        <v>84</v>
      </c>
      <c r="N639" s="48">
        <f>SUM(N623:N638)</f>
        <v>266</v>
      </c>
      <c r="O639" s="48">
        <f>SUM(O623:O638)</f>
        <v>317</v>
      </c>
      <c r="P639" s="47"/>
      <c r="Q639" s="49"/>
      <c r="R639" s="47"/>
      <c r="S639" s="48"/>
      <c r="T639" s="48" t="s">
        <v>6</v>
      </c>
      <c r="U639" s="48"/>
      <c r="V639" s="49">
        <f>SUM(S624:S639)</f>
        <v>167</v>
      </c>
      <c r="X639" s="138" t="s">
        <v>42</v>
      </c>
      <c r="Y639" s="138" t="s">
        <v>43</v>
      </c>
      <c r="Z639" s="141" t="s">
        <v>44</v>
      </c>
      <c r="AA639" s="138" t="s">
        <v>43</v>
      </c>
      <c r="AB639" s="141" t="s">
        <v>44</v>
      </c>
      <c r="AC639" s="28"/>
      <c r="AD639" s="28"/>
      <c r="AE639" s="28"/>
      <c r="AF639" s="28"/>
      <c r="AG639" s="141"/>
      <c r="AK639" s="28"/>
    </row>
    <row r="640" spans="1:47" ht="15" thickBot="1" x14ac:dyDescent="0.35">
      <c r="B640" s="44" t="s">
        <v>78</v>
      </c>
      <c r="C640" s="37">
        <f>17+1+1</f>
        <v>19</v>
      </c>
      <c r="D640" s="37">
        <f>37+1+2</f>
        <v>40</v>
      </c>
      <c r="E640" s="42"/>
      <c r="F640" s="11"/>
      <c r="G640" s="10"/>
      <c r="H640" s="37">
        <v>33</v>
      </c>
      <c r="I640" s="37" t="s">
        <v>204</v>
      </c>
      <c r="J640" s="18"/>
      <c r="K640" s="11"/>
      <c r="L640" s="28"/>
      <c r="M640" s="169" t="s">
        <v>84</v>
      </c>
      <c r="N640" s="170">
        <f>SUM(N639+N622+N612+N597)</f>
        <v>1946</v>
      </c>
      <c r="O640" s="170">
        <f>SUM(O639+O622+O612+O597)</f>
        <v>1944</v>
      </c>
      <c r="P640" s="171"/>
      <c r="Q640" s="172"/>
      <c r="R640" s="170"/>
      <c r="S640" s="170"/>
      <c r="T640" s="170"/>
      <c r="U640" s="170"/>
      <c r="V640" s="172">
        <f>SUM(V596:V639)</f>
        <v>372</v>
      </c>
      <c r="X640" s="138" t="s">
        <v>6</v>
      </c>
      <c r="Y640" s="138"/>
      <c r="Z640" s="141"/>
      <c r="AA640" s="138"/>
      <c r="AB640" s="141"/>
      <c r="AC640" s="28"/>
      <c r="AD640" s="28" t="s">
        <v>91</v>
      </c>
      <c r="AE640" s="28"/>
      <c r="AF640" s="28"/>
      <c r="AG640" s="141"/>
      <c r="AK640" s="28"/>
    </row>
    <row r="641" spans="2:47" x14ac:dyDescent="0.3">
      <c r="B641" s="125" t="s">
        <v>209</v>
      </c>
      <c r="C641" s="54">
        <v>0</v>
      </c>
      <c r="D641" s="54">
        <v>0</v>
      </c>
      <c r="E641" s="42"/>
      <c r="F641" s="40"/>
      <c r="G641" s="42"/>
      <c r="H641" s="28">
        <v>5</v>
      </c>
      <c r="I641" s="28" t="s">
        <v>210</v>
      </c>
      <c r="J641" s="28"/>
      <c r="K641" s="40"/>
      <c r="L641" s="28"/>
      <c r="X641" s="138" t="s">
        <v>56</v>
      </c>
      <c r="Y641" s="138">
        <v>1059</v>
      </c>
      <c r="Z641" s="141">
        <v>1059</v>
      </c>
      <c r="AA641" s="138"/>
      <c r="AB641" s="141"/>
      <c r="AC641" s="28"/>
      <c r="AD641" s="28"/>
      <c r="AE641" s="28" t="s">
        <v>145</v>
      </c>
      <c r="AF641" s="28"/>
      <c r="AG641" s="141"/>
      <c r="AK641" s="28"/>
    </row>
    <row r="642" spans="2:47" x14ac:dyDescent="0.3">
      <c r="B642" s="44" t="s">
        <v>168</v>
      </c>
      <c r="C642" s="54">
        <v>0</v>
      </c>
      <c r="D642" s="54">
        <v>0</v>
      </c>
      <c r="E642" s="42"/>
      <c r="F642" s="11"/>
      <c r="G642" s="10"/>
      <c r="H642" s="37">
        <v>21</v>
      </c>
      <c r="I642" s="37" t="s">
        <v>213</v>
      </c>
      <c r="J642" s="18"/>
      <c r="K642" s="11"/>
      <c r="X642" s="142" t="s">
        <v>6</v>
      </c>
      <c r="Y642" s="142"/>
      <c r="Z642" s="146"/>
      <c r="AA642" s="142"/>
      <c r="AB642" s="146"/>
      <c r="AC642" s="143"/>
      <c r="AD642" s="143">
        <v>92</v>
      </c>
      <c r="AE642" s="143" t="s">
        <v>73</v>
      </c>
      <c r="AF642" s="143"/>
      <c r="AG642" s="146">
        <f>SUM(AD642)</f>
        <v>92</v>
      </c>
      <c r="AK642" s="28"/>
    </row>
    <row r="643" spans="2:47" x14ac:dyDescent="0.3">
      <c r="B643" s="125" t="s">
        <v>81</v>
      </c>
      <c r="C643" s="54">
        <v>5</v>
      </c>
      <c r="D643" s="54">
        <v>3</v>
      </c>
      <c r="E643" s="42"/>
      <c r="F643" s="40"/>
      <c r="G643" s="42"/>
      <c r="H643" s="54">
        <v>4</v>
      </c>
      <c r="I643" s="128" t="s">
        <v>222</v>
      </c>
      <c r="J643" s="28"/>
      <c r="K643" s="40" t="s">
        <v>6</v>
      </c>
      <c r="X643" s="134" t="s">
        <v>56</v>
      </c>
      <c r="Y643" s="134">
        <v>3</v>
      </c>
      <c r="Z643" s="136">
        <v>3</v>
      </c>
      <c r="AA643" s="134"/>
      <c r="AB643" s="136"/>
      <c r="AC643" s="135"/>
      <c r="AD643" s="135"/>
      <c r="AE643" s="135"/>
      <c r="AF643" s="135"/>
      <c r="AG643" s="136"/>
      <c r="AK643" s="28"/>
    </row>
    <row r="644" spans="2:47" x14ac:dyDescent="0.3">
      <c r="B644" s="125" t="s">
        <v>72</v>
      </c>
      <c r="C644" s="54">
        <f>37+5+8+30</f>
        <v>80</v>
      </c>
      <c r="D644" s="45">
        <f>9+5+2+10+1+39</f>
        <v>66</v>
      </c>
      <c r="E644" s="42"/>
      <c r="F644" s="40"/>
      <c r="G644" s="42"/>
      <c r="H644" s="54">
        <v>10</v>
      </c>
      <c r="I644" s="54" t="s">
        <v>216</v>
      </c>
      <c r="J644" s="45"/>
      <c r="K644" s="40"/>
      <c r="X644" s="138" t="s">
        <v>63</v>
      </c>
      <c r="Y644" s="138">
        <v>46</v>
      </c>
      <c r="Z644" s="141">
        <v>33</v>
      </c>
      <c r="AA644" s="138"/>
      <c r="AB644" s="141"/>
      <c r="AC644" s="28"/>
      <c r="AD644" s="28" t="s">
        <v>110</v>
      </c>
      <c r="AE644" s="28" t="s">
        <v>111</v>
      </c>
      <c r="AF644" s="28" t="s">
        <v>112</v>
      </c>
      <c r="AG644" s="141"/>
      <c r="AK644" s="28"/>
    </row>
    <row r="645" spans="2:47" x14ac:dyDescent="0.3">
      <c r="B645" s="125" t="s">
        <v>115</v>
      </c>
      <c r="C645" s="54">
        <v>2</v>
      </c>
      <c r="D645" s="45">
        <f>2+9</f>
        <v>11</v>
      </c>
      <c r="E645" s="42"/>
      <c r="F645" s="40"/>
      <c r="G645" s="42"/>
      <c r="H645" s="54">
        <v>14</v>
      </c>
      <c r="I645" s="54" t="s">
        <v>217</v>
      </c>
      <c r="J645" s="28"/>
      <c r="K645" s="40"/>
      <c r="X645" s="138" t="s">
        <v>115</v>
      </c>
      <c r="Y645" s="138">
        <v>54</v>
      </c>
      <c r="Z645" s="141">
        <v>49</v>
      </c>
      <c r="AA645" s="138"/>
      <c r="AB645" s="141"/>
      <c r="AC645" s="28"/>
      <c r="AD645" s="28"/>
      <c r="AE645" s="28"/>
      <c r="AF645" s="28"/>
      <c r="AG645" s="141"/>
      <c r="AK645" s="28"/>
    </row>
    <row r="646" spans="2:47" x14ac:dyDescent="0.3">
      <c r="B646" s="125" t="s">
        <v>56</v>
      </c>
      <c r="C646" s="54">
        <f>3+3+5</f>
        <v>11</v>
      </c>
      <c r="D646" s="45">
        <f>4+3+9</f>
        <v>16</v>
      </c>
      <c r="E646" s="42"/>
      <c r="F646" s="40"/>
      <c r="G646" s="42"/>
      <c r="H646" s="54">
        <v>1</v>
      </c>
      <c r="I646" s="54" t="s">
        <v>472</v>
      </c>
      <c r="J646" s="28"/>
      <c r="K646" s="40"/>
      <c r="X646" s="138" t="s">
        <v>72</v>
      </c>
      <c r="Y646" s="138">
        <v>74</v>
      </c>
      <c r="Z646" s="141">
        <v>54</v>
      </c>
      <c r="AA646" s="138"/>
      <c r="AB646" s="141"/>
      <c r="AC646" s="28"/>
      <c r="AD646" s="28"/>
      <c r="AE646" s="28"/>
      <c r="AF646" s="28"/>
      <c r="AG646" s="141"/>
      <c r="AK646" s="28"/>
    </row>
    <row r="647" spans="2:47" x14ac:dyDescent="0.3">
      <c r="B647" s="125" t="s">
        <v>138</v>
      </c>
      <c r="C647" s="54">
        <v>0</v>
      </c>
      <c r="D647" s="45">
        <v>0</v>
      </c>
      <c r="E647" s="42"/>
      <c r="F647" s="40"/>
      <c r="G647" s="42"/>
      <c r="H647" s="54">
        <v>20</v>
      </c>
      <c r="I647" s="54" t="s">
        <v>221</v>
      </c>
      <c r="J647" s="28"/>
      <c r="K647" s="40"/>
      <c r="X647" s="138" t="s">
        <v>78</v>
      </c>
      <c r="Y647" s="138">
        <v>23</v>
      </c>
      <c r="Z647" s="141">
        <v>17</v>
      </c>
      <c r="AA647" s="138"/>
      <c r="AB647" s="141"/>
      <c r="AC647" s="28"/>
      <c r="AD647" s="28"/>
      <c r="AE647" s="28"/>
      <c r="AF647" s="28"/>
      <c r="AG647" s="141"/>
    </row>
    <row r="648" spans="2:47" x14ac:dyDescent="0.3">
      <c r="B648" s="125" t="s">
        <v>67</v>
      </c>
      <c r="C648" s="54">
        <f>6+12+2</f>
        <v>20</v>
      </c>
      <c r="D648" s="45">
        <f>16+14+4</f>
        <v>34</v>
      </c>
      <c r="E648" s="42"/>
      <c r="F648" s="40"/>
      <c r="G648" s="42"/>
      <c r="H648" s="54">
        <v>0</v>
      </c>
      <c r="I648" s="54" t="s">
        <v>553</v>
      </c>
      <c r="J648" s="28"/>
      <c r="K648" s="40"/>
      <c r="X648" s="138" t="s">
        <v>122</v>
      </c>
      <c r="Y648" s="138">
        <v>46</v>
      </c>
      <c r="Z648" s="141">
        <v>29</v>
      </c>
      <c r="AA648" s="138"/>
      <c r="AB648" s="141"/>
      <c r="AC648" s="28"/>
      <c r="AD648" s="28">
        <v>24</v>
      </c>
      <c r="AE648" s="28" t="s">
        <v>123</v>
      </c>
      <c r="AF648" s="28"/>
      <c r="AG648" s="141"/>
    </row>
    <row r="649" spans="2:47" x14ac:dyDescent="0.3">
      <c r="B649" s="125" t="s">
        <v>122</v>
      </c>
      <c r="C649" s="54">
        <v>0</v>
      </c>
      <c r="D649" s="45">
        <v>9</v>
      </c>
      <c r="E649" s="42"/>
      <c r="F649" s="40"/>
      <c r="G649" s="42"/>
      <c r="H649" s="54">
        <v>2</v>
      </c>
      <c r="I649" s="54" t="s">
        <v>471</v>
      </c>
      <c r="J649" s="28"/>
      <c r="K649" s="40"/>
      <c r="X649" s="138" t="s">
        <v>125</v>
      </c>
      <c r="Y649" s="138">
        <v>0</v>
      </c>
      <c r="Z649" s="141">
        <v>0</v>
      </c>
      <c r="AA649" s="138"/>
      <c r="AB649" s="141"/>
      <c r="AC649" s="28"/>
      <c r="AD649" s="28">
        <v>95</v>
      </c>
      <c r="AE649" s="28" t="s">
        <v>126</v>
      </c>
      <c r="AF649" s="28"/>
      <c r="AG649" s="141"/>
    </row>
    <row r="650" spans="2:47" x14ac:dyDescent="0.3">
      <c r="B650" s="125" t="s">
        <v>227</v>
      </c>
      <c r="C650" s="54">
        <v>0</v>
      </c>
      <c r="D650" s="45">
        <v>0</v>
      </c>
      <c r="E650" s="42"/>
      <c r="F650" s="40"/>
      <c r="G650" s="42"/>
      <c r="H650" s="54">
        <v>10</v>
      </c>
      <c r="I650" s="54" t="s">
        <v>391</v>
      </c>
      <c r="J650" s="28"/>
      <c r="K650" s="40"/>
      <c r="X650" s="138" t="s">
        <v>536</v>
      </c>
      <c r="Y650" s="138">
        <v>13</v>
      </c>
      <c r="Z650" s="141">
        <v>19</v>
      </c>
      <c r="AA650" s="138"/>
      <c r="AB650" s="141"/>
      <c r="AC650" s="28"/>
      <c r="AD650" s="28">
        <v>41</v>
      </c>
      <c r="AE650" s="28" t="s">
        <v>129</v>
      </c>
      <c r="AF650" s="28"/>
      <c r="AG650" s="141"/>
    </row>
    <row r="651" spans="2:47" x14ac:dyDescent="0.3">
      <c r="B651" s="41" t="s">
        <v>230</v>
      </c>
      <c r="C651" s="54">
        <f>20+9+8</f>
        <v>37</v>
      </c>
      <c r="D651" s="45">
        <f>8+9+20</f>
        <v>37</v>
      </c>
      <c r="E651" s="42"/>
      <c r="F651" s="40"/>
      <c r="G651" s="42"/>
      <c r="H651" s="54">
        <v>1</v>
      </c>
      <c r="I651" s="54" t="s">
        <v>352</v>
      </c>
      <c r="J651" s="28"/>
      <c r="K651" s="40"/>
      <c r="X651" s="138" t="s">
        <v>128</v>
      </c>
      <c r="Y651" s="138">
        <v>0</v>
      </c>
      <c r="Z651" s="141">
        <v>3</v>
      </c>
      <c r="AA651" s="138"/>
      <c r="AB651" s="141"/>
      <c r="AC651" s="28"/>
      <c r="AD651" s="28"/>
      <c r="AE651" s="28"/>
      <c r="AF651" s="28"/>
      <c r="AG651" s="141"/>
    </row>
    <row r="652" spans="2:47" ht="15.6" x14ac:dyDescent="0.3">
      <c r="B652" s="68" t="s">
        <v>125</v>
      </c>
      <c r="C652" s="54">
        <v>0</v>
      </c>
      <c r="D652" s="45">
        <v>0</v>
      </c>
      <c r="E652" s="42"/>
      <c r="F652" s="40"/>
      <c r="G652" s="42"/>
      <c r="H652" s="54">
        <v>3</v>
      </c>
      <c r="I652" s="54" t="s">
        <v>351</v>
      </c>
      <c r="J652" s="28"/>
      <c r="K652" s="40"/>
      <c r="P652" s="1" t="s">
        <v>4</v>
      </c>
      <c r="X652" s="138" t="s">
        <v>81</v>
      </c>
      <c r="Y652" s="138">
        <v>0</v>
      </c>
      <c r="Z652" s="141">
        <v>9</v>
      </c>
      <c r="AA652" s="138"/>
      <c r="AB652" s="141"/>
      <c r="AC652" s="28"/>
      <c r="AD652" s="28"/>
      <c r="AE652" s="28"/>
      <c r="AF652" s="28"/>
      <c r="AG652" s="141"/>
    </row>
    <row r="653" spans="2:47" x14ac:dyDescent="0.3">
      <c r="B653" s="68" t="s">
        <v>132</v>
      </c>
      <c r="C653" s="54">
        <v>0</v>
      </c>
      <c r="D653" s="45">
        <v>0</v>
      </c>
      <c r="E653" s="42"/>
      <c r="F653" s="40"/>
      <c r="G653" s="42"/>
      <c r="H653" s="54">
        <v>17</v>
      </c>
      <c r="I653" s="54" t="s">
        <v>237</v>
      </c>
      <c r="J653" s="28"/>
      <c r="K653" s="40"/>
      <c r="Q653" t="s">
        <v>2</v>
      </c>
      <c r="X653" s="138" t="s">
        <v>138</v>
      </c>
      <c r="Y653" s="138">
        <v>0</v>
      </c>
      <c r="Z653" s="141">
        <v>0</v>
      </c>
      <c r="AA653" s="138"/>
      <c r="AB653" s="141"/>
      <c r="AC653" s="28"/>
      <c r="AD653" s="28"/>
      <c r="AE653" s="28"/>
      <c r="AF653" s="28"/>
      <c r="AG653" s="141"/>
      <c r="AT653" s="28"/>
      <c r="AU653" s="28"/>
    </row>
    <row r="654" spans="2:47" x14ac:dyDescent="0.3">
      <c r="B654" s="41" t="s">
        <v>6</v>
      </c>
      <c r="E654" s="42"/>
      <c r="F654" s="40"/>
      <c r="G654" s="42"/>
      <c r="H654" s="54">
        <v>5</v>
      </c>
      <c r="I654" s="54" t="s">
        <v>555</v>
      </c>
      <c r="J654" s="28"/>
      <c r="K654" s="40"/>
      <c r="O654" t="s">
        <v>12</v>
      </c>
      <c r="X654" s="138" t="s">
        <v>230</v>
      </c>
      <c r="Y654" s="138">
        <v>0</v>
      </c>
      <c r="Z654" s="141">
        <v>0</v>
      </c>
      <c r="AA654" s="138"/>
      <c r="AB654" s="141"/>
      <c r="AC654" s="28"/>
      <c r="AD654" s="28"/>
      <c r="AE654" s="28"/>
      <c r="AF654" s="28"/>
      <c r="AG654" s="141"/>
      <c r="AT654" s="28"/>
      <c r="AU654" s="28"/>
    </row>
    <row r="655" spans="2:47" ht="15" thickBot="1" x14ac:dyDescent="0.35">
      <c r="B655" s="46" t="s">
        <v>84</v>
      </c>
      <c r="C655" s="48">
        <f>SUM(C639:C654)</f>
        <v>185</v>
      </c>
      <c r="D655" s="48">
        <f>SUM(D639:D654)</f>
        <v>227</v>
      </c>
      <c r="E655" s="47"/>
      <c r="F655" s="49"/>
      <c r="G655" s="47"/>
      <c r="H655" s="48">
        <v>0</v>
      </c>
      <c r="I655" s="48" t="s">
        <v>244</v>
      </c>
      <c r="J655" s="48"/>
      <c r="K655" s="49">
        <f>SUM(H640:H655)</f>
        <v>146</v>
      </c>
      <c r="Q655" t="s">
        <v>907</v>
      </c>
      <c r="V655" s="5"/>
      <c r="X655" s="138" t="s">
        <v>67</v>
      </c>
      <c r="Y655" s="138">
        <v>205</v>
      </c>
      <c r="Z655" s="141">
        <v>230</v>
      </c>
      <c r="AA655" s="138"/>
      <c r="AB655" s="141"/>
      <c r="AC655" s="28"/>
      <c r="AD655" s="28"/>
      <c r="AE655" s="28"/>
      <c r="AF655" s="28"/>
      <c r="AG655" s="141"/>
      <c r="AT655" s="28"/>
      <c r="AU655" s="28"/>
    </row>
    <row r="656" spans="2:47" ht="15" thickBot="1" x14ac:dyDescent="0.35">
      <c r="B656" s="147" t="s">
        <v>84</v>
      </c>
      <c r="C656" s="147">
        <f>SUM(+C655+C638+C628+C613+C611)</f>
        <v>2200</v>
      </c>
      <c r="D656" s="148">
        <f>SUM(D655+D638+D628+D613+D611)</f>
        <v>2402</v>
      </c>
      <c r="E656" s="147"/>
      <c r="F656" s="148"/>
      <c r="G656" s="149" t="s">
        <v>247</v>
      </c>
      <c r="H656" s="149"/>
      <c r="I656" s="149"/>
      <c r="J656" s="149"/>
      <c r="K656" s="148">
        <f>SUM(K611:K655)</f>
        <v>421</v>
      </c>
      <c r="U656" s="5" t="s">
        <v>26</v>
      </c>
      <c r="X656" s="142" t="s">
        <v>84</v>
      </c>
      <c r="Y656" s="142">
        <f>SUM(Y643:Y655)</f>
        <v>464</v>
      </c>
      <c r="Z656" s="146">
        <f>SUM(Z643:Z655)</f>
        <v>446</v>
      </c>
      <c r="AA656" s="142"/>
      <c r="AB656" s="146">
        <v>0</v>
      </c>
      <c r="AC656" s="143"/>
      <c r="AD656" s="143"/>
      <c r="AE656" s="143"/>
      <c r="AF656" s="143"/>
      <c r="AG656" s="146">
        <f>SUM(AD648:AD650)</f>
        <v>160</v>
      </c>
      <c r="AT656" s="28"/>
      <c r="AU656" s="28"/>
    </row>
    <row r="657" spans="2:47" ht="15" thickTop="1" x14ac:dyDescent="0.3">
      <c r="M657" s="6" t="s">
        <v>17</v>
      </c>
      <c r="N657" s="6" t="s">
        <v>39</v>
      </c>
      <c r="O657" s="7"/>
      <c r="P657" s="6" t="s">
        <v>29</v>
      </c>
      <c r="Q657" s="7" t="s">
        <v>30</v>
      </c>
      <c r="R657" s="8" t="s">
        <v>40</v>
      </c>
      <c r="S657" s="8"/>
      <c r="T657" s="8"/>
      <c r="U657" s="8"/>
      <c r="V657" s="7"/>
      <c r="X657" s="134"/>
      <c r="Y657" s="134"/>
      <c r="Z657" s="136"/>
      <c r="AA657" s="134"/>
      <c r="AB657" s="136"/>
      <c r="AC657" s="135"/>
      <c r="AD657" s="135"/>
      <c r="AE657" s="135"/>
      <c r="AF657" s="135"/>
      <c r="AG657" s="136"/>
      <c r="AT657" s="28"/>
      <c r="AU657" s="28"/>
    </row>
    <row r="658" spans="2:47" ht="15" thickBot="1" x14ac:dyDescent="0.35">
      <c r="M658" s="13" t="s">
        <v>42</v>
      </c>
      <c r="N658" s="13" t="s">
        <v>43</v>
      </c>
      <c r="O658" s="26" t="s">
        <v>44</v>
      </c>
      <c r="P658" s="13" t="s">
        <v>43</v>
      </c>
      <c r="Q658" s="26" t="s">
        <v>44</v>
      </c>
      <c r="R658" s="27"/>
      <c r="S658" s="27"/>
      <c r="T658" s="27"/>
      <c r="U658" s="27"/>
      <c r="V658" s="26"/>
      <c r="X658" s="138" t="s">
        <v>63</v>
      </c>
      <c r="Y658" s="138">
        <v>0</v>
      </c>
      <c r="Z658" s="141">
        <v>0</v>
      </c>
      <c r="AA658" s="138"/>
      <c r="AB658" s="141"/>
      <c r="AC658" s="28"/>
      <c r="AD658" s="28"/>
      <c r="AE658" s="28"/>
      <c r="AF658" s="28"/>
      <c r="AG658" s="141"/>
      <c r="AT658" s="28"/>
      <c r="AU658" s="28"/>
    </row>
    <row r="659" spans="2:47" x14ac:dyDescent="0.3">
      <c r="M659" s="32" t="s">
        <v>6</v>
      </c>
      <c r="N659" s="43"/>
      <c r="O659" s="54"/>
      <c r="P659" s="33"/>
      <c r="Q659" s="35"/>
      <c r="R659" s="33"/>
      <c r="S659" s="34" t="s">
        <v>91</v>
      </c>
      <c r="T659" s="34"/>
      <c r="U659" s="34"/>
      <c r="V659" s="35"/>
      <c r="W659" s="28"/>
      <c r="X659" s="138" t="s">
        <v>536</v>
      </c>
      <c r="Y659" s="138">
        <v>0</v>
      </c>
      <c r="Z659" s="141">
        <v>0</v>
      </c>
      <c r="AA659" s="138"/>
      <c r="AB659" s="141"/>
      <c r="AC659" s="28"/>
      <c r="AD659" s="28"/>
      <c r="AE659" s="28"/>
      <c r="AF659" s="28"/>
      <c r="AG659" s="141"/>
      <c r="AT659" s="28"/>
      <c r="AU659" s="28"/>
    </row>
    <row r="660" spans="2:47" x14ac:dyDescent="0.3">
      <c r="M660" s="41" t="s">
        <v>56</v>
      </c>
      <c r="N660" s="43">
        <v>1226</v>
      </c>
      <c r="O660" s="54">
        <v>1198</v>
      </c>
      <c r="P660" s="42"/>
      <c r="Q660" s="40"/>
      <c r="R660" s="42"/>
      <c r="S660" s="28"/>
      <c r="T660" s="28"/>
      <c r="U660" s="28"/>
      <c r="V660" s="40"/>
      <c r="W660" s="28"/>
      <c r="X660" s="138" t="s">
        <v>56</v>
      </c>
      <c r="Y660" s="138">
        <v>0</v>
      </c>
      <c r="Z660" s="141">
        <v>0</v>
      </c>
      <c r="AA660" s="138"/>
      <c r="AB660" s="141"/>
      <c r="AC660" s="28"/>
      <c r="AD660" s="28" t="s">
        <v>173</v>
      </c>
      <c r="AE660" s="28"/>
      <c r="AF660" s="28"/>
      <c r="AG660" s="141"/>
      <c r="AT660" s="28"/>
      <c r="AU660" s="28"/>
    </row>
    <row r="661" spans="2:47" ht="16.2" thickBot="1" x14ac:dyDescent="0.35">
      <c r="E661" s="1" t="s">
        <v>4</v>
      </c>
      <c r="M661" s="62" t="s">
        <v>6</v>
      </c>
      <c r="N661" s="43"/>
      <c r="O661" s="43"/>
      <c r="P661" s="47"/>
      <c r="Q661" s="49"/>
      <c r="R661" s="47"/>
      <c r="S661" s="48">
        <v>91</v>
      </c>
      <c r="T661" s="48" t="s">
        <v>73</v>
      </c>
      <c r="U661" s="48"/>
      <c r="V661" s="49">
        <f>SUM(S661)</f>
        <v>91</v>
      </c>
      <c r="W661" s="28"/>
      <c r="X661" s="138" t="s">
        <v>67</v>
      </c>
      <c r="Y661" s="138">
        <v>0</v>
      </c>
      <c r="Z661" s="141">
        <v>8</v>
      </c>
      <c r="AA661" s="138"/>
      <c r="AB661" s="141"/>
      <c r="AC661" s="28"/>
      <c r="AD661" s="28"/>
      <c r="AE661" s="28"/>
      <c r="AF661" s="28"/>
      <c r="AG661" s="141"/>
      <c r="AT661" s="43"/>
      <c r="AU661" s="43"/>
    </row>
    <row r="662" spans="2:47" x14ac:dyDescent="0.3">
      <c r="F662" t="s">
        <v>2</v>
      </c>
      <c r="M662" s="10"/>
      <c r="N662" s="29"/>
      <c r="O662" s="31"/>
      <c r="P662" s="33"/>
      <c r="Q662" s="7"/>
      <c r="R662" s="8"/>
      <c r="S662" s="8"/>
      <c r="T662" s="8"/>
      <c r="U662" s="8"/>
      <c r="V662" s="7"/>
      <c r="W662" s="28"/>
      <c r="X662" s="138" t="s">
        <v>78</v>
      </c>
      <c r="Y662" s="138">
        <v>0</v>
      </c>
      <c r="Z662" s="141">
        <v>0</v>
      </c>
      <c r="AA662" s="138"/>
      <c r="AB662" s="141"/>
      <c r="AC662" s="28"/>
      <c r="AD662" s="28">
        <v>3</v>
      </c>
      <c r="AE662" s="28" t="s">
        <v>183</v>
      </c>
      <c r="AF662" s="28"/>
      <c r="AG662" s="141"/>
      <c r="AT662" s="28"/>
      <c r="AU662" s="28"/>
    </row>
    <row r="663" spans="2:47" x14ac:dyDescent="0.3">
      <c r="D663" t="s">
        <v>12</v>
      </c>
      <c r="L663" t="s">
        <v>6</v>
      </c>
      <c r="M663" s="36" t="s">
        <v>63</v>
      </c>
      <c r="N663" s="10">
        <v>33</v>
      </c>
      <c r="O663" s="18">
        <v>35</v>
      </c>
      <c r="P663" s="42"/>
      <c r="Q663" s="11"/>
      <c r="R663" s="18"/>
      <c r="S663" s="18" t="s">
        <v>110</v>
      </c>
      <c r="T663" s="18" t="s">
        <v>111</v>
      </c>
      <c r="U663" s="18" t="s">
        <v>112</v>
      </c>
      <c r="V663" s="11"/>
      <c r="W663" s="28"/>
      <c r="X663" s="138" t="s">
        <v>115</v>
      </c>
      <c r="Y663" s="138">
        <v>0</v>
      </c>
      <c r="Z663" s="141">
        <v>0</v>
      </c>
      <c r="AA663" s="138"/>
      <c r="AB663" s="141"/>
      <c r="AC663" s="28"/>
      <c r="AD663" s="28" t="s">
        <v>6</v>
      </c>
      <c r="AE663" s="28"/>
      <c r="AF663" s="28"/>
      <c r="AG663" s="141"/>
      <c r="AT663" s="43"/>
      <c r="AU663" s="43"/>
    </row>
    <row r="664" spans="2:47" x14ac:dyDescent="0.3">
      <c r="F664" t="s">
        <v>590</v>
      </c>
      <c r="K664" s="5"/>
      <c r="M664" s="10" t="s">
        <v>115</v>
      </c>
      <c r="N664" s="36">
        <v>52</v>
      </c>
      <c r="O664" s="37">
        <v>34</v>
      </c>
      <c r="P664" s="42"/>
      <c r="Q664" s="11"/>
      <c r="R664" s="18"/>
      <c r="S664" s="18"/>
      <c r="T664" s="18"/>
      <c r="U664" s="18"/>
      <c r="V664" s="11"/>
      <c r="W664" s="28"/>
      <c r="X664" s="138" t="s">
        <v>72</v>
      </c>
      <c r="Y664" s="138">
        <v>0</v>
      </c>
      <c r="Z664" s="141">
        <v>0</v>
      </c>
      <c r="AA664" s="138"/>
      <c r="AB664" s="141"/>
      <c r="AC664" s="28"/>
      <c r="AD664" s="28"/>
      <c r="AE664" s="28"/>
      <c r="AF664" s="28"/>
      <c r="AG664" s="141"/>
      <c r="AT664" s="43"/>
      <c r="AU664" s="43"/>
    </row>
    <row r="665" spans="2:47" ht="15" thickBot="1" x14ac:dyDescent="0.35">
      <c r="J665" s="5" t="s">
        <v>26</v>
      </c>
      <c r="M665" s="52" t="s">
        <v>72</v>
      </c>
      <c r="N665" s="52">
        <v>14</v>
      </c>
      <c r="O665" s="54">
        <v>7</v>
      </c>
      <c r="P665" s="42"/>
      <c r="Q665" s="40"/>
      <c r="R665" s="28"/>
      <c r="S665" s="28"/>
      <c r="T665" s="28"/>
      <c r="U665" s="28"/>
      <c r="V665" s="40"/>
      <c r="W665" s="28"/>
      <c r="X665" s="142" t="s">
        <v>84</v>
      </c>
      <c r="Y665" s="142">
        <f>SUM(Y658:Y664)</f>
        <v>0</v>
      </c>
      <c r="Z665" s="146">
        <f>SUM(Z658:Z664)</f>
        <v>8</v>
      </c>
      <c r="AA665" s="142"/>
      <c r="AB665" s="146"/>
      <c r="AC665" s="143"/>
      <c r="AD665" s="143"/>
      <c r="AE665" s="143"/>
      <c r="AF665" s="143"/>
      <c r="AG665" s="146">
        <f>SUM(AD662)</f>
        <v>3</v>
      </c>
      <c r="AN665" t="s">
        <v>4</v>
      </c>
      <c r="AU665" s="43"/>
    </row>
    <row r="666" spans="2:47" x14ac:dyDescent="0.3">
      <c r="B666" s="6" t="s">
        <v>17</v>
      </c>
      <c r="C666" s="6" t="s">
        <v>39</v>
      </c>
      <c r="D666" s="7"/>
      <c r="E666" s="6" t="s">
        <v>29</v>
      </c>
      <c r="F666" s="7" t="s">
        <v>30</v>
      </c>
      <c r="G666" s="8" t="s">
        <v>40</v>
      </c>
      <c r="H666" s="8"/>
      <c r="I666" s="8"/>
      <c r="J666" s="8"/>
      <c r="K666" s="7"/>
      <c r="M666" s="36" t="s">
        <v>78</v>
      </c>
      <c r="N666" s="36">
        <v>30</v>
      </c>
      <c r="O666" s="37">
        <v>46</v>
      </c>
      <c r="P666" s="42"/>
      <c r="Q666" s="11"/>
      <c r="R666" s="18"/>
      <c r="S666" s="37"/>
      <c r="T666" s="18"/>
      <c r="U666" s="37"/>
      <c r="V666" s="11"/>
      <c r="W666" s="28"/>
      <c r="X666" s="134"/>
      <c r="Y666" s="134"/>
      <c r="Z666" s="136"/>
      <c r="AA666" s="134"/>
      <c r="AB666" s="136"/>
      <c r="AC666" s="135"/>
      <c r="AD666" s="135"/>
      <c r="AE666" s="135"/>
      <c r="AF666" s="135"/>
      <c r="AG666" s="136"/>
      <c r="AO666" t="s">
        <v>2</v>
      </c>
      <c r="AU666" s="43"/>
    </row>
    <row r="667" spans="2:47" ht="15" thickBot="1" x14ac:dyDescent="0.35">
      <c r="B667" s="13" t="s">
        <v>42</v>
      </c>
      <c r="C667" s="10" t="s">
        <v>43</v>
      </c>
      <c r="D667" s="11" t="s">
        <v>44</v>
      </c>
      <c r="E667" s="13" t="s">
        <v>43</v>
      </c>
      <c r="F667" s="26" t="s">
        <v>44</v>
      </c>
      <c r="G667" s="27"/>
      <c r="H667" s="27"/>
      <c r="I667" s="27"/>
      <c r="J667" s="27"/>
      <c r="K667" s="26"/>
      <c r="M667" s="10" t="s">
        <v>122</v>
      </c>
      <c r="N667" s="36">
        <v>52</v>
      </c>
      <c r="O667" s="37">
        <v>37</v>
      </c>
      <c r="P667" s="42"/>
      <c r="Q667" s="11"/>
      <c r="R667" s="18"/>
      <c r="S667" s="18">
        <v>42</v>
      </c>
      <c r="T667" s="18" t="s">
        <v>123</v>
      </c>
      <c r="U667" s="18"/>
      <c r="V667" s="11"/>
      <c r="W667" s="28" t="s">
        <v>6</v>
      </c>
      <c r="X667" s="138" t="s">
        <v>63</v>
      </c>
      <c r="Y667" s="138">
        <f>1+4</f>
        <v>5</v>
      </c>
      <c r="Z667" s="141">
        <f>3+6</f>
        <v>9</v>
      </c>
      <c r="AA667" s="138"/>
      <c r="AB667" s="141"/>
      <c r="AC667" s="28"/>
      <c r="AD667" s="28" t="s">
        <v>140</v>
      </c>
      <c r="AE667" s="28"/>
      <c r="AF667" s="28"/>
      <c r="AG667" s="141"/>
      <c r="AM667" t="s">
        <v>12</v>
      </c>
      <c r="AU667" s="28"/>
    </row>
    <row r="668" spans="2:47" x14ac:dyDescent="0.3">
      <c r="B668" s="6" t="s">
        <v>56</v>
      </c>
      <c r="C668" s="29">
        <v>524</v>
      </c>
      <c r="D668" s="30">
        <v>514</v>
      </c>
      <c r="G668" s="6"/>
      <c r="H668" s="8"/>
      <c r="I668" s="31" t="s">
        <v>57</v>
      </c>
      <c r="J668" s="8"/>
      <c r="K668" s="7"/>
      <c r="L668" s="28"/>
      <c r="M668" s="10" t="s">
        <v>125</v>
      </c>
      <c r="N668" s="36">
        <v>0</v>
      </c>
      <c r="O668" s="37">
        <v>0</v>
      </c>
      <c r="P668" s="42"/>
      <c r="Q668" s="11"/>
      <c r="R668" s="18"/>
      <c r="S668" s="18">
        <v>12</v>
      </c>
      <c r="T668" s="18" t="s">
        <v>126</v>
      </c>
      <c r="U668" s="18"/>
      <c r="V668" s="11"/>
      <c r="W668" s="28"/>
      <c r="X668" s="138" t="s">
        <v>78</v>
      </c>
      <c r="Y668" s="138">
        <f>15+1+3+4+15+2</f>
        <v>40</v>
      </c>
      <c r="Z668" s="141">
        <f>6+3+1+7</f>
        <v>17</v>
      </c>
      <c r="AA668" s="138"/>
      <c r="AB668" s="141"/>
      <c r="AC668" s="28"/>
      <c r="AD668" s="28">
        <v>11</v>
      </c>
      <c r="AE668" s="28" t="s">
        <v>1159</v>
      </c>
      <c r="AF668" s="28">
        <v>1</v>
      </c>
      <c r="AG668" s="141" t="s">
        <v>1219</v>
      </c>
      <c r="AO668" t="s">
        <v>1745</v>
      </c>
      <c r="AU668" s="28"/>
    </row>
    <row r="669" spans="2:47" x14ac:dyDescent="0.3">
      <c r="B669" s="36" t="s">
        <v>63</v>
      </c>
      <c r="C669" s="36">
        <v>17</v>
      </c>
      <c r="D669" s="39">
        <v>0</v>
      </c>
      <c r="F669" s="18"/>
      <c r="G669" s="10"/>
      <c r="H669" s="18"/>
      <c r="I669" s="18"/>
      <c r="J669" s="18"/>
      <c r="K669" s="11"/>
      <c r="L669" s="28"/>
      <c r="M669" s="84" t="s">
        <v>128</v>
      </c>
      <c r="N669" s="52">
        <v>0</v>
      </c>
      <c r="O669" s="37">
        <v>0</v>
      </c>
      <c r="P669" s="42"/>
      <c r="Q669" s="40"/>
      <c r="R669" s="28"/>
      <c r="S669" s="28">
        <v>34</v>
      </c>
      <c r="T669" s="28" t="s">
        <v>129</v>
      </c>
      <c r="U669" s="28"/>
      <c r="V669" s="40"/>
      <c r="W669" s="28"/>
      <c r="X669" s="138" t="s">
        <v>209</v>
      </c>
      <c r="Y669" s="138">
        <v>0</v>
      </c>
      <c r="Z669" s="141">
        <v>0</v>
      </c>
      <c r="AA669" s="138"/>
      <c r="AB669" s="141"/>
      <c r="AC669" s="28"/>
      <c r="AD669" s="28">
        <v>2</v>
      </c>
      <c r="AE669" s="28" t="s">
        <v>204</v>
      </c>
      <c r="AF669" s="28">
        <v>4</v>
      </c>
      <c r="AG669" s="141" t="s">
        <v>1221</v>
      </c>
      <c r="AS669" s="194" t="s">
        <v>951</v>
      </c>
      <c r="AU669" s="28"/>
    </row>
    <row r="670" spans="2:47" x14ac:dyDescent="0.3">
      <c r="B670" s="36" t="s">
        <v>67</v>
      </c>
      <c r="C670" s="36">
        <v>245</v>
      </c>
      <c r="D670" s="39">
        <v>232</v>
      </c>
      <c r="F670" s="18"/>
      <c r="G670" s="10"/>
      <c r="H670" s="37">
        <v>43</v>
      </c>
      <c r="I670" s="37" t="s">
        <v>68</v>
      </c>
      <c r="J670" s="18"/>
      <c r="K670" s="11"/>
      <c r="L670" s="28"/>
      <c r="M670" s="84" t="s">
        <v>132</v>
      </c>
      <c r="N670" s="42">
        <v>0</v>
      </c>
      <c r="O670" s="37">
        <v>0</v>
      </c>
      <c r="P670" s="42"/>
      <c r="Q670" s="40"/>
      <c r="R670" s="28"/>
      <c r="S670" s="28"/>
      <c r="T670" s="28"/>
      <c r="U670" s="28"/>
      <c r="V670" s="40"/>
      <c r="W670" s="28"/>
      <c r="X670" s="138" t="s">
        <v>168</v>
      </c>
      <c r="Y670" s="138">
        <v>0</v>
      </c>
      <c r="Z670" s="141">
        <v>0</v>
      </c>
      <c r="AA670" s="138"/>
      <c r="AB670" s="141"/>
      <c r="AC670" s="28"/>
      <c r="AD670" s="28">
        <v>15</v>
      </c>
      <c r="AE670" s="28" t="s">
        <v>1225</v>
      </c>
      <c r="AF670" s="28">
        <v>1</v>
      </c>
      <c r="AG670" s="141" t="s">
        <v>471</v>
      </c>
      <c r="AK670" s="134" t="s">
        <v>17</v>
      </c>
      <c r="AL670" s="134" t="s">
        <v>39</v>
      </c>
      <c r="AM670" s="136"/>
      <c r="AN670" s="134" t="s">
        <v>29</v>
      </c>
      <c r="AO670" s="136" t="s">
        <v>30</v>
      </c>
      <c r="AP670" s="135" t="s">
        <v>40</v>
      </c>
      <c r="AQ670" s="135"/>
      <c r="AR670" s="135"/>
      <c r="AS670" s="135"/>
      <c r="AT670" s="136"/>
      <c r="AU670" s="28"/>
    </row>
    <row r="671" spans="2:47" x14ac:dyDescent="0.3">
      <c r="B671" s="36" t="s">
        <v>72</v>
      </c>
      <c r="C671" s="36">
        <v>0</v>
      </c>
      <c r="D671" s="39">
        <v>0</v>
      </c>
      <c r="F671" s="18"/>
      <c r="G671" s="10"/>
      <c r="H671" s="37">
        <v>52</v>
      </c>
      <c r="I671" s="37" t="s">
        <v>73</v>
      </c>
      <c r="J671" s="18"/>
      <c r="K671" s="11"/>
      <c r="L671" s="28"/>
      <c r="M671" s="84" t="s">
        <v>81</v>
      </c>
      <c r="N671" s="42">
        <v>0</v>
      </c>
      <c r="O671" s="37">
        <v>0</v>
      </c>
      <c r="P671" s="42"/>
      <c r="Q671" s="40"/>
      <c r="R671" s="28"/>
      <c r="S671" s="28"/>
      <c r="T671" s="28"/>
      <c r="U671" s="28"/>
      <c r="V671" s="40"/>
      <c r="W671" s="45"/>
      <c r="X671" s="138" t="s">
        <v>81</v>
      </c>
      <c r="Y671" s="138">
        <v>0</v>
      </c>
      <c r="Z671" s="141">
        <v>0</v>
      </c>
      <c r="AA671" s="138"/>
      <c r="AB671" s="141"/>
      <c r="AC671" s="28"/>
      <c r="AD671" s="43">
        <f>24+13+2</f>
        <v>39</v>
      </c>
      <c r="AE671" s="28" t="s">
        <v>213</v>
      </c>
      <c r="AF671" s="28">
        <v>1</v>
      </c>
      <c r="AG671" s="141" t="s">
        <v>1229</v>
      </c>
      <c r="AK671" s="138" t="s">
        <v>42</v>
      </c>
      <c r="AL671" s="138" t="s">
        <v>43</v>
      </c>
      <c r="AM671" s="141" t="s">
        <v>44</v>
      </c>
      <c r="AN671" s="138" t="s">
        <v>43</v>
      </c>
      <c r="AO671" s="141" t="s">
        <v>44</v>
      </c>
      <c r="AP671" s="28"/>
      <c r="AQ671" s="28"/>
      <c r="AR671" s="28"/>
      <c r="AS671" s="28"/>
      <c r="AT671" s="141"/>
      <c r="AU671" s="28"/>
    </row>
    <row r="672" spans="2:47" x14ac:dyDescent="0.3">
      <c r="B672" s="36" t="s">
        <v>78</v>
      </c>
      <c r="C672" s="36">
        <v>19</v>
      </c>
      <c r="D672" s="39">
        <v>0</v>
      </c>
      <c r="F672" s="18"/>
      <c r="G672" s="10"/>
      <c r="H672" s="37"/>
      <c r="I672" s="37"/>
      <c r="J672" s="18" t="s">
        <v>6</v>
      </c>
      <c r="K672" s="11"/>
      <c r="L672" s="28"/>
      <c r="M672" s="10" t="s">
        <v>138</v>
      </c>
      <c r="N672" s="36">
        <v>0</v>
      </c>
      <c r="O672" s="37">
        <v>0</v>
      </c>
      <c r="P672" s="42"/>
      <c r="Q672" s="11"/>
      <c r="R672" s="18"/>
      <c r="S672" s="18"/>
      <c r="T672" s="18"/>
      <c r="U672" s="18"/>
      <c r="V672" s="11"/>
      <c r="W672" s="28"/>
      <c r="X672" s="138" t="s">
        <v>72</v>
      </c>
      <c r="Y672" s="138">
        <f>11+2+1</f>
        <v>14</v>
      </c>
      <c r="Z672" s="141">
        <f>19+4+1</f>
        <v>24</v>
      </c>
      <c r="AA672" s="138"/>
      <c r="AB672" s="141"/>
      <c r="AC672" s="28"/>
      <c r="AD672" s="43">
        <v>12</v>
      </c>
      <c r="AE672" s="28" t="s">
        <v>1038</v>
      </c>
      <c r="AF672" s="43">
        <v>1</v>
      </c>
      <c r="AG672" s="141" t="s">
        <v>1233</v>
      </c>
      <c r="AK672" s="134"/>
      <c r="AL672" s="134"/>
      <c r="AM672" s="136"/>
      <c r="AN672" s="134"/>
      <c r="AO672" s="136"/>
      <c r="AP672" s="135"/>
      <c r="AQ672" s="135" t="s">
        <v>91</v>
      </c>
      <c r="AR672" s="135"/>
      <c r="AS672" s="135"/>
      <c r="AT672" s="136"/>
      <c r="AU672" s="28"/>
    </row>
    <row r="673" spans="2:47" x14ac:dyDescent="0.3">
      <c r="B673" s="52" t="s">
        <v>81</v>
      </c>
      <c r="C673" s="36">
        <v>0</v>
      </c>
      <c r="D673" s="39">
        <v>0</v>
      </c>
      <c r="G673" s="42"/>
      <c r="H673" s="28"/>
      <c r="I673" s="28"/>
      <c r="J673" s="28"/>
      <c r="K673" s="40"/>
      <c r="L673" s="28"/>
      <c r="M673" s="84" t="s">
        <v>56</v>
      </c>
      <c r="N673" s="42">
        <v>0</v>
      </c>
      <c r="O673" s="54">
        <v>0</v>
      </c>
      <c r="P673" s="42"/>
      <c r="Q673" s="40"/>
      <c r="R673" s="28"/>
      <c r="S673" s="28"/>
      <c r="T673" s="28"/>
      <c r="U673" s="28"/>
      <c r="V673" s="40"/>
      <c r="W673" s="28"/>
      <c r="X673" s="138" t="s">
        <v>115</v>
      </c>
      <c r="Y673" s="138">
        <v>1</v>
      </c>
      <c r="Z673" s="141">
        <v>2</v>
      </c>
      <c r="AA673" s="138"/>
      <c r="AB673" s="141"/>
      <c r="AC673" s="28"/>
      <c r="AD673" s="43">
        <v>8</v>
      </c>
      <c r="AE673" s="43" t="s">
        <v>655</v>
      </c>
      <c r="AF673" s="43">
        <v>1</v>
      </c>
      <c r="AG673" s="141" t="s">
        <v>1238</v>
      </c>
      <c r="AK673" s="138"/>
      <c r="AL673" s="138"/>
      <c r="AM673" s="141"/>
      <c r="AN673" s="138"/>
      <c r="AO673" s="141"/>
      <c r="AP673" s="28"/>
      <c r="AQ673" s="28">
        <v>18</v>
      </c>
      <c r="AR673" s="28" t="s">
        <v>1026</v>
      </c>
      <c r="AS673" s="28"/>
      <c r="AT673" s="141"/>
      <c r="AU673" s="28"/>
    </row>
    <row r="674" spans="2:47" x14ac:dyDescent="0.3">
      <c r="B674" s="52" t="s">
        <v>115</v>
      </c>
      <c r="C674" s="52">
        <v>0</v>
      </c>
      <c r="D674" s="86">
        <v>0</v>
      </c>
      <c r="G674" s="42"/>
      <c r="H674" s="28"/>
      <c r="I674" s="28"/>
      <c r="J674" s="28"/>
      <c r="K674" s="40"/>
      <c r="L674" s="28"/>
      <c r="M674" s="36" t="s">
        <v>67</v>
      </c>
      <c r="N674" s="10">
        <v>21</v>
      </c>
      <c r="O674" s="18">
        <v>22</v>
      </c>
      <c r="P674" s="42"/>
      <c r="Q674" s="11"/>
      <c r="R674" s="18"/>
      <c r="S674" s="18"/>
      <c r="T674" s="18"/>
      <c r="U674" s="18"/>
      <c r="V674" s="11"/>
      <c r="W674" s="28"/>
      <c r="X674" s="138" t="s">
        <v>56</v>
      </c>
      <c r="Y674" s="138">
        <f>4+5</f>
        <v>9</v>
      </c>
      <c r="Z674" s="141">
        <f>1+1+9</f>
        <v>11</v>
      </c>
      <c r="AA674" s="138"/>
      <c r="AB674" s="141"/>
      <c r="AC674" s="28"/>
      <c r="AD674" s="43">
        <v>3</v>
      </c>
      <c r="AE674" s="43" t="s">
        <v>244</v>
      </c>
      <c r="AF674" s="43">
        <v>1</v>
      </c>
      <c r="AG674" s="141" t="s">
        <v>1241</v>
      </c>
      <c r="AK674" s="138" t="s">
        <v>56</v>
      </c>
      <c r="AL674" s="138">
        <v>1178</v>
      </c>
      <c r="AM674" s="141">
        <v>1395</v>
      </c>
      <c r="AN674" s="138">
        <v>0</v>
      </c>
      <c r="AO674" s="141">
        <v>0</v>
      </c>
      <c r="AP674" s="28"/>
      <c r="AQ674" s="43">
        <v>68</v>
      </c>
      <c r="AR674" s="28" t="s">
        <v>1292</v>
      </c>
      <c r="AS674" s="43"/>
      <c r="AT674" s="141"/>
      <c r="AU674" s="28"/>
    </row>
    <row r="675" spans="2:47" ht="15" thickBot="1" x14ac:dyDescent="0.35">
      <c r="B675" s="13" t="s">
        <v>84</v>
      </c>
      <c r="C675" s="13">
        <f>SUM(C668:C674)</f>
        <v>805</v>
      </c>
      <c r="D675" s="26">
        <f>SUM(D668:D674)</f>
        <v>746</v>
      </c>
      <c r="F675" s="18"/>
      <c r="G675" s="13"/>
      <c r="H675" s="27"/>
      <c r="I675" s="27"/>
      <c r="J675" s="27"/>
      <c r="K675" s="26">
        <f>SUM(H670:H671)</f>
        <v>95</v>
      </c>
      <c r="L675" s="28"/>
      <c r="M675" s="13" t="s">
        <v>84</v>
      </c>
      <c r="N675" s="13">
        <f>SUM(N663:N674)</f>
        <v>202</v>
      </c>
      <c r="O675" s="27">
        <f>SUM(O663:O674)</f>
        <v>181</v>
      </c>
      <c r="P675" s="47"/>
      <c r="Q675" s="26">
        <f>SUM(Q667:Q674)</f>
        <v>0</v>
      </c>
      <c r="R675" s="27"/>
      <c r="S675" s="27"/>
      <c r="T675" s="27"/>
      <c r="U675" s="27"/>
      <c r="V675" s="26">
        <f>SUM(S667:S669)</f>
        <v>88</v>
      </c>
      <c r="W675" s="28"/>
      <c r="X675" s="138" t="s">
        <v>138</v>
      </c>
      <c r="Y675" s="138">
        <v>1</v>
      </c>
      <c r="Z675" s="141">
        <v>1</v>
      </c>
      <c r="AA675" s="138"/>
      <c r="AB675" s="141"/>
      <c r="AC675" s="28"/>
      <c r="AD675" s="43">
        <v>1</v>
      </c>
      <c r="AE675" s="43" t="s">
        <v>1112</v>
      </c>
      <c r="AF675" s="28"/>
      <c r="AG675" s="141"/>
      <c r="AK675" s="142" t="s">
        <v>6</v>
      </c>
      <c r="AL675" s="142"/>
      <c r="AM675" s="146"/>
      <c r="AN675" s="142"/>
      <c r="AO675" s="146"/>
      <c r="AP675" s="143"/>
      <c r="AQ675" s="143">
        <v>1</v>
      </c>
      <c r="AR675" s="143" t="s">
        <v>1747</v>
      </c>
      <c r="AS675" s="143"/>
      <c r="AT675" s="146">
        <v>87</v>
      </c>
      <c r="AU675" s="28"/>
    </row>
    <row r="676" spans="2:47" x14ac:dyDescent="0.3">
      <c r="B676" s="32" t="s">
        <v>6</v>
      </c>
      <c r="C676" s="43"/>
      <c r="D676" s="54"/>
      <c r="E676" s="33"/>
      <c r="F676" s="35"/>
      <c r="G676" s="33"/>
      <c r="H676" s="34" t="s">
        <v>91</v>
      </c>
      <c r="I676" s="34"/>
      <c r="J676" s="34"/>
      <c r="K676" s="35"/>
      <c r="L676" s="28" t="s">
        <v>6</v>
      </c>
      <c r="M676" s="32"/>
      <c r="N676" s="53"/>
      <c r="O676" s="97"/>
      <c r="P676" s="33"/>
      <c r="Q676" s="7"/>
      <c r="R676" s="6"/>
      <c r="S676" s="8"/>
      <c r="T676" s="31"/>
      <c r="U676" s="8"/>
      <c r="V676" s="7"/>
      <c r="W676" s="28"/>
      <c r="X676" s="138" t="s">
        <v>67</v>
      </c>
      <c r="Y676" s="138">
        <f>3+17+7</f>
        <v>27</v>
      </c>
      <c r="Z676" s="141">
        <f>10+31+9</f>
        <v>50</v>
      </c>
      <c r="AA676" s="138"/>
      <c r="AB676" s="141"/>
      <c r="AC676" s="28"/>
      <c r="AD676" s="43">
        <v>4</v>
      </c>
      <c r="AE676" s="43" t="s">
        <v>1116</v>
      </c>
      <c r="AF676" s="28"/>
      <c r="AG676" s="141"/>
      <c r="AK676" s="134"/>
      <c r="AL676" s="134"/>
      <c r="AM676" s="136"/>
      <c r="AN676" s="134"/>
      <c r="AO676" s="136"/>
      <c r="AP676" s="135"/>
      <c r="AQ676" s="135"/>
      <c r="AR676" s="135"/>
      <c r="AS676" s="135"/>
      <c r="AT676" s="136"/>
      <c r="AU676" s="28"/>
    </row>
    <row r="677" spans="2:47" ht="15" thickBot="1" x14ac:dyDescent="0.35">
      <c r="B677" s="41" t="s">
        <v>56</v>
      </c>
      <c r="C677" s="43">
        <v>938</v>
      </c>
      <c r="D677" s="54">
        <v>933</v>
      </c>
      <c r="E677" s="42"/>
      <c r="F677" s="40"/>
      <c r="G677" s="42"/>
      <c r="H677" s="28"/>
      <c r="I677" s="28"/>
      <c r="J677" s="28"/>
      <c r="K677" s="40"/>
      <c r="L677" s="28"/>
      <c r="M677" s="62"/>
      <c r="N677" s="72"/>
      <c r="O677" s="73"/>
      <c r="P677" s="47"/>
      <c r="Q677" s="49"/>
      <c r="R677" s="47"/>
      <c r="S677" s="48"/>
      <c r="T677" s="48"/>
      <c r="U677" s="48"/>
      <c r="V677" s="49"/>
      <c r="X677" s="138" t="s">
        <v>122</v>
      </c>
      <c r="Y677" s="138">
        <v>2</v>
      </c>
      <c r="Z677" s="141">
        <v>3</v>
      </c>
      <c r="AA677" s="138"/>
      <c r="AB677" s="141"/>
      <c r="AC677" s="28"/>
      <c r="AD677" s="43">
        <v>2</v>
      </c>
      <c r="AE677" s="43" t="s">
        <v>216</v>
      </c>
      <c r="AF677" s="28"/>
      <c r="AG677" s="141"/>
      <c r="AK677" s="138" t="s">
        <v>72</v>
      </c>
      <c r="AL677" s="138">
        <v>13</v>
      </c>
      <c r="AM677" s="141">
        <v>4</v>
      </c>
      <c r="AN677" s="138">
        <v>0</v>
      </c>
      <c r="AO677" s="141">
        <v>0</v>
      </c>
      <c r="AP677" s="28"/>
      <c r="AQ677" s="28" t="s">
        <v>110</v>
      </c>
      <c r="AR677" s="28" t="s">
        <v>111</v>
      </c>
      <c r="AS677" s="28" t="s">
        <v>112</v>
      </c>
      <c r="AT677" s="141"/>
      <c r="AU677" s="28"/>
    </row>
    <row r="678" spans="2:47" ht="15" thickBot="1" x14ac:dyDescent="0.35">
      <c r="B678" s="62" t="s">
        <v>6</v>
      </c>
      <c r="C678" s="43"/>
      <c r="D678" s="43"/>
      <c r="E678" s="47"/>
      <c r="F678" s="49"/>
      <c r="G678" s="47"/>
      <c r="H678" s="48">
        <v>82</v>
      </c>
      <c r="I678" s="48" t="s">
        <v>73</v>
      </c>
      <c r="J678" s="48"/>
      <c r="K678" s="49">
        <f>SUM(H678)</f>
        <v>82</v>
      </c>
      <c r="L678" s="28" t="s">
        <v>6</v>
      </c>
      <c r="M678" s="67" t="s">
        <v>63</v>
      </c>
      <c r="N678" s="33">
        <v>1</v>
      </c>
      <c r="O678" s="35">
        <v>1</v>
      </c>
      <c r="R678" s="33"/>
      <c r="S678" s="34"/>
      <c r="T678" s="34"/>
      <c r="U678" s="34"/>
      <c r="V678" s="35"/>
      <c r="W678" s="28"/>
      <c r="X678" s="138" t="s">
        <v>227</v>
      </c>
      <c r="Y678" s="138">
        <v>0</v>
      </c>
      <c r="Z678" s="141">
        <v>0</v>
      </c>
      <c r="AA678" s="138"/>
      <c r="AB678" s="141"/>
      <c r="AC678" s="28"/>
      <c r="AD678" s="43">
        <v>3</v>
      </c>
      <c r="AE678" s="28" t="s">
        <v>228</v>
      </c>
      <c r="AF678" s="28"/>
      <c r="AG678" s="141"/>
      <c r="AK678" s="138" t="s">
        <v>78</v>
      </c>
      <c r="AL678" s="138">
        <v>16</v>
      </c>
      <c r="AM678" s="141">
        <v>15</v>
      </c>
      <c r="AN678" s="138">
        <v>0</v>
      </c>
      <c r="AO678" s="141">
        <v>0</v>
      </c>
      <c r="AP678" s="43"/>
      <c r="AQ678" s="28"/>
      <c r="AR678" s="28"/>
      <c r="AS678" s="28"/>
      <c r="AT678" s="141"/>
      <c r="AU678" s="28"/>
    </row>
    <row r="679" spans="2:47" x14ac:dyDescent="0.3">
      <c r="B679" s="10"/>
      <c r="C679" s="29"/>
      <c r="D679" s="31"/>
      <c r="E679" s="33"/>
      <c r="F679" s="7"/>
      <c r="G679" s="8"/>
      <c r="H679" s="8"/>
      <c r="I679" s="8"/>
      <c r="J679" s="8"/>
      <c r="K679" s="7"/>
      <c r="L679" s="28"/>
      <c r="M679" s="67" t="s">
        <v>716</v>
      </c>
      <c r="N679" s="42">
        <v>0</v>
      </c>
      <c r="O679" s="40">
        <v>0</v>
      </c>
      <c r="R679" s="42"/>
      <c r="S679" s="28"/>
      <c r="T679" s="28"/>
      <c r="U679" s="28"/>
      <c r="V679" s="40"/>
      <c r="W679" s="28"/>
      <c r="X679" s="138" t="s">
        <v>230</v>
      </c>
      <c r="Y679" s="138">
        <f>6+4+3+1</f>
        <v>14</v>
      </c>
      <c r="Z679" s="141">
        <v>21</v>
      </c>
      <c r="AA679" s="138"/>
      <c r="AB679" s="141"/>
      <c r="AC679" s="28"/>
      <c r="AD679" s="43">
        <v>2</v>
      </c>
      <c r="AE679" s="28" t="s">
        <v>1117</v>
      </c>
      <c r="AF679" s="28"/>
      <c r="AG679" s="141"/>
      <c r="AK679" s="138" t="s">
        <v>67</v>
      </c>
      <c r="AL679" s="138">
        <v>49</v>
      </c>
      <c r="AM679" s="141">
        <v>51</v>
      </c>
      <c r="AN679" s="138">
        <v>0</v>
      </c>
      <c r="AO679" s="141">
        <v>0</v>
      </c>
      <c r="AP679" s="28"/>
      <c r="AQ679" s="43"/>
      <c r="AR679" s="28"/>
      <c r="AS679" s="28"/>
      <c r="AT679" s="141"/>
      <c r="AU679" s="28"/>
    </row>
    <row r="680" spans="2:47" x14ac:dyDescent="0.3">
      <c r="B680" s="36" t="s">
        <v>63</v>
      </c>
      <c r="C680" s="10">
        <v>65</v>
      </c>
      <c r="D680" s="18">
        <v>59</v>
      </c>
      <c r="E680" s="42"/>
      <c r="F680" s="11"/>
      <c r="G680" s="18"/>
      <c r="H680" s="18" t="s">
        <v>110</v>
      </c>
      <c r="I680" s="18" t="s">
        <v>111</v>
      </c>
      <c r="J680" s="18" t="s">
        <v>112</v>
      </c>
      <c r="K680" s="11"/>
      <c r="L680" s="45"/>
      <c r="M680" s="52" t="s">
        <v>56</v>
      </c>
      <c r="N680" s="52">
        <v>6</v>
      </c>
      <c r="O680" s="85">
        <v>6</v>
      </c>
      <c r="P680" s="28"/>
      <c r="Q680" s="28"/>
      <c r="R680" s="42"/>
      <c r="S680" s="28" t="s">
        <v>173</v>
      </c>
      <c r="T680" s="28"/>
      <c r="U680" s="28"/>
      <c r="V680" s="40"/>
      <c r="W680" s="28"/>
      <c r="X680" s="138" t="s">
        <v>125</v>
      </c>
      <c r="Y680" s="138">
        <v>0</v>
      </c>
      <c r="Z680" s="141">
        <v>0</v>
      </c>
      <c r="AA680" s="138"/>
      <c r="AB680" s="141"/>
      <c r="AC680" s="28"/>
      <c r="AD680" s="43">
        <v>1</v>
      </c>
      <c r="AE680" s="43" t="s">
        <v>878</v>
      </c>
      <c r="AF680" s="28"/>
      <c r="AG680" s="141"/>
      <c r="AK680" s="138" t="s">
        <v>1354</v>
      </c>
      <c r="AL680" s="138">
        <v>4</v>
      </c>
      <c r="AM680" s="141">
        <v>0</v>
      </c>
      <c r="AN680" s="138">
        <v>0</v>
      </c>
      <c r="AO680" s="141">
        <v>0</v>
      </c>
      <c r="AP680" s="28"/>
      <c r="AQ680" s="28"/>
      <c r="AR680" s="28"/>
      <c r="AS680" s="28"/>
      <c r="AT680" s="141"/>
      <c r="AU680" s="28"/>
    </row>
    <row r="681" spans="2:47" x14ac:dyDescent="0.3">
      <c r="B681" s="10" t="s">
        <v>115</v>
      </c>
      <c r="C681" s="36">
        <v>65</v>
      </c>
      <c r="D681" s="37">
        <v>42</v>
      </c>
      <c r="E681" s="42"/>
      <c r="F681" s="11"/>
      <c r="G681" s="18"/>
      <c r="H681" s="18"/>
      <c r="I681" s="18"/>
      <c r="J681" s="18"/>
      <c r="K681" s="11"/>
      <c r="L681" s="28"/>
      <c r="M681" s="52" t="s">
        <v>67</v>
      </c>
      <c r="N681" s="52">
        <v>3</v>
      </c>
      <c r="O681" s="56">
        <v>4</v>
      </c>
      <c r="R681" s="42"/>
      <c r="S681" s="28"/>
      <c r="T681" s="28" t="s">
        <v>213</v>
      </c>
      <c r="U681" s="28"/>
      <c r="V681" s="40"/>
      <c r="W681" s="28"/>
      <c r="X681" s="138" t="s">
        <v>132</v>
      </c>
      <c r="Y681" s="138">
        <v>0</v>
      </c>
      <c r="Z681" s="141">
        <v>0</v>
      </c>
      <c r="AA681" s="138" t="s">
        <v>6</v>
      </c>
      <c r="AB681" s="141"/>
      <c r="AC681" s="28"/>
      <c r="AD681" s="43">
        <f>34+15</f>
        <v>49</v>
      </c>
      <c r="AE681" s="43" t="s">
        <v>967</v>
      </c>
      <c r="AF681" s="28"/>
      <c r="AG681" s="141"/>
      <c r="AK681" s="138" t="s">
        <v>536</v>
      </c>
      <c r="AL681" s="138">
        <v>0</v>
      </c>
      <c r="AM681" s="141">
        <v>4</v>
      </c>
      <c r="AN681" s="138">
        <v>0</v>
      </c>
      <c r="AO681" s="141">
        <v>0</v>
      </c>
      <c r="AP681" s="28"/>
      <c r="AQ681" s="43">
        <v>28</v>
      </c>
      <c r="AR681" s="28" t="s">
        <v>123</v>
      </c>
      <c r="AS681" s="28" t="s">
        <v>6</v>
      </c>
      <c r="AT681" s="141"/>
      <c r="AU681" s="28"/>
    </row>
    <row r="682" spans="2:47" x14ac:dyDescent="0.3">
      <c r="B682" s="52" t="s">
        <v>72</v>
      </c>
      <c r="C682" s="52">
        <v>0</v>
      </c>
      <c r="D682" s="54">
        <v>3</v>
      </c>
      <c r="E682" s="42"/>
      <c r="F682" s="40"/>
      <c r="G682" s="28"/>
      <c r="H682" s="28"/>
      <c r="I682" s="28"/>
      <c r="J682" s="28"/>
      <c r="K682" s="40"/>
      <c r="L682" s="28"/>
      <c r="M682" s="10" t="s">
        <v>78</v>
      </c>
      <c r="N682" s="52">
        <v>0</v>
      </c>
      <c r="O682" s="85">
        <v>0</v>
      </c>
      <c r="P682" s="28"/>
      <c r="Q682" s="28"/>
      <c r="R682" s="42"/>
      <c r="S682" s="28">
        <v>9</v>
      </c>
      <c r="T682" s="28" t="s">
        <v>183</v>
      </c>
      <c r="U682" s="28"/>
      <c r="V682" s="40"/>
      <c r="W682" s="28"/>
      <c r="X682" s="138" t="s">
        <v>992</v>
      </c>
      <c r="Y682" s="138">
        <v>0</v>
      </c>
      <c r="Z682" s="141">
        <v>0</v>
      </c>
      <c r="AA682" s="138"/>
      <c r="AB682" s="141"/>
      <c r="AC682" s="28"/>
      <c r="AD682" s="43">
        <v>4</v>
      </c>
      <c r="AE682" s="228" t="s">
        <v>1204</v>
      </c>
      <c r="AF682" s="28"/>
      <c r="AG682" s="141"/>
      <c r="AK682" s="138" t="s">
        <v>128</v>
      </c>
      <c r="AL682" s="138">
        <v>1</v>
      </c>
      <c r="AM682" s="141">
        <v>0</v>
      </c>
      <c r="AN682" s="138">
        <v>0</v>
      </c>
      <c r="AO682" s="141">
        <v>0</v>
      </c>
      <c r="AP682" s="28"/>
      <c r="AQ682" s="43">
        <v>14</v>
      </c>
      <c r="AR682" s="28" t="s">
        <v>126</v>
      </c>
      <c r="AS682" s="28"/>
      <c r="AT682" s="141"/>
      <c r="AU682" s="28"/>
    </row>
    <row r="683" spans="2:47" ht="15" thickBot="1" x14ac:dyDescent="0.35">
      <c r="B683" s="36" t="s">
        <v>78</v>
      </c>
      <c r="C683" s="36">
        <v>50</v>
      </c>
      <c r="D683" s="37">
        <v>57</v>
      </c>
      <c r="E683" s="42"/>
      <c r="F683" s="11"/>
      <c r="G683" s="18"/>
      <c r="H683" s="37"/>
      <c r="I683" s="18"/>
      <c r="J683" s="37"/>
      <c r="K683" s="11"/>
      <c r="L683" s="28"/>
      <c r="M683" s="52" t="s">
        <v>115</v>
      </c>
      <c r="N683" s="52">
        <v>0</v>
      </c>
      <c r="O683" s="85">
        <v>0</v>
      </c>
      <c r="P683" s="28"/>
      <c r="Q683" s="28"/>
      <c r="R683" s="42"/>
      <c r="S683" s="28" t="s">
        <v>6</v>
      </c>
      <c r="T683" s="28"/>
      <c r="U683" s="28"/>
      <c r="V683" s="40"/>
      <c r="W683" s="28"/>
      <c r="X683" s="138" t="s">
        <v>84</v>
      </c>
      <c r="Y683" s="138">
        <f>SUM(Y667:Y682)</f>
        <v>113</v>
      </c>
      <c r="Z683" s="141">
        <f>SUM(Z667:Z682)</f>
        <v>138</v>
      </c>
      <c r="AA683" s="138"/>
      <c r="AB683" s="141"/>
      <c r="AC683" s="28"/>
      <c r="AD683" s="43">
        <v>2</v>
      </c>
      <c r="AE683" s="28" t="s">
        <v>1261</v>
      </c>
      <c r="AF683" s="28"/>
      <c r="AG683" s="141">
        <f>SUM(AD668:AD683)+10</f>
        <v>168</v>
      </c>
      <c r="AK683" s="138" t="s">
        <v>115</v>
      </c>
      <c r="AL683" s="138">
        <v>21</v>
      </c>
      <c r="AM683" s="141">
        <v>18</v>
      </c>
      <c r="AN683" s="138">
        <v>0</v>
      </c>
      <c r="AO683" s="141">
        <v>0</v>
      </c>
      <c r="AP683" s="28"/>
      <c r="AQ683" s="43">
        <v>34</v>
      </c>
      <c r="AR683" s="28" t="s">
        <v>129</v>
      </c>
      <c r="AS683" s="28" t="s">
        <v>6</v>
      </c>
      <c r="AT683" s="141"/>
      <c r="AU683" s="28"/>
    </row>
    <row r="684" spans="2:47" ht="15" thickBot="1" x14ac:dyDescent="0.35">
      <c r="B684" s="10" t="s">
        <v>122</v>
      </c>
      <c r="C684" s="36">
        <v>21</v>
      </c>
      <c r="D684" s="37">
        <v>17</v>
      </c>
      <c r="E684" s="42"/>
      <c r="F684" s="11"/>
      <c r="G684" s="18"/>
      <c r="H684" s="18">
        <v>12</v>
      </c>
      <c r="I684" s="18" t="s">
        <v>123</v>
      </c>
      <c r="J684" s="18"/>
      <c r="K684" s="11"/>
      <c r="L684" s="28"/>
      <c r="M684" s="52" t="s">
        <v>72</v>
      </c>
      <c r="N684" s="52">
        <v>0</v>
      </c>
      <c r="O684" s="85">
        <v>0</v>
      </c>
      <c r="R684" s="42"/>
      <c r="S684" s="28"/>
      <c r="T684" s="28"/>
      <c r="U684" s="28"/>
      <c r="V684" s="40"/>
      <c r="W684" s="28"/>
      <c r="X684" s="171" t="s">
        <v>84</v>
      </c>
      <c r="Y684" s="207">
        <f>SUM(Y683+Y665+Y656+Y641)</f>
        <v>1636</v>
      </c>
      <c r="Z684" s="207">
        <f>SUM(Z683+Z665+Z656+Z641)</f>
        <v>1651</v>
      </c>
      <c r="AA684" s="207"/>
      <c r="AB684" s="231"/>
      <c r="AC684" s="171"/>
      <c r="AD684" s="170"/>
      <c r="AE684" s="232"/>
      <c r="AF684" s="170"/>
      <c r="AG684" s="172">
        <f>SUM(AG641:AG683)</f>
        <v>423</v>
      </c>
      <c r="AK684" s="138" t="s">
        <v>716</v>
      </c>
      <c r="AL684" s="138">
        <v>0</v>
      </c>
      <c r="AM684" s="141">
        <v>1</v>
      </c>
      <c r="AN684" s="138">
        <v>0</v>
      </c>
      <c r="AO684" s="141">
        <v>0</v>
      </c>
      <c r="AP684" s="28"/>
      <c r="AQ684" s="28"/>
      <c r="AR684" s="28"/>
      <c r="AS684" s="28"/>
      <c r="AT684" s="141"/>
      <c r="AU684" s="28"/>
    </row>
    <row r="685" spans="2:47" ht="15" thickBot="1" x14ac:dyDescent="0.35">
      <c r="B685" s="10" t="s">
        <v>125</v>
      </c>
      <c r="C685" s="36">
        <v>0</v>
      </c>
      <c r="D685" s="37">
        <v>1</v>
      </c>
      <c r="E685" s="42"/>
      <c r="F685" s="11"/>
      <c r="G685" s="18"/>
      <c r="H685" s="18">
        <v>28</v>
      </c>
      <c r="I685" s="18" t="s">
        <v>126</v>
      </c>
      <c r="J685" s="18"/>
      <c r="K685" s="11"/>
      <c r="L685" s="28"/>
      <c r="M685" s="52" t="s">
        <v>84</v>
      </c>
      <c r="N685" s="47">
        <f>SUM(N678:N684)</f>
        <v>10</v>
      </c>
      <c r="O685" s="49">
        <f>SUM(O678:O684)</f>
        <v>11</v>
      </c>
      <c r="P685" s="28"/>
      <c r="Q685" s="28"/>
      <c r="R685" s="47"/>
      <c r="S685" s="48"/>
      <c r="T685" s="48"/>
      <c r="U685" s="48"/>
      <c r="V685" s="49">
        <f>SUM(S682)</f>
        <v>9</v>
      </c>
      <c r="W685" s="28"/>
      <c r="AK685" s="138" t="s">
        <v>1599</v>
      </c>
      <c r="AL685" s="138">
        <v>0</v>
      </c>
      <c r="AM685" s="141">
        <v>0</v>
      </c>
      <c r="AN685" s="138">
        <v>0</v>
      </c>
      <c r="AO685" s="141">
        <v>0</v>
      </c>
      <c r="AP685" s="28"/>
      <c r="AQ685" s="28"/>
      <c r="AR685" s="28"/>
      <c r="AS685" s="28"/>
      <c r="AT685" s="141" t="s">
        <v>6</v>
      </c>
      <c r="AU685" s="28"/>
    </row>
    <row r="686" spans="2:47" x14ac:dyDescent="0.3">
      <c r="B686" s="84" t="s">
        <v>128</v>
      </c>
      <c r="C686" s="52">
        <v>0</v>
      </c>
      <c r="D686" s="37">
        <v>0</v>
      </c>
      <c r="E686" s="42"/>
      <c r="F686" s="40"/>
      <c r="G686" s="28"/>
      <c r="H686" s="28">
        <v>37</v>
      </c>
      <c r="I686" s="28" t="s">
        <v>129</v>
      </c>
      <c r="J686" s="28"/>
      <c r="K686" s="40"/>
      <c r="M686" s="32" t="s">
        <v>63</v>
      </c>
      <c r="N686" s="123">
        <f>2+2+3+2+4+11</f>
        <v>24</v>
      </c>
      <c r="O686" s="123">
        <f>2+2+3+2+15</f>
        <v>24</v>
      </c>
      <c r="P686" s="33"/>
      <c r="Q686" s="7"/>
      <c r="R686" s="6"/>
      <c r="S686" s="34" t="s">
        <v>140</v>
      </c>
      <c r="T686" s="8"/>
      <c r="U686" s="8"/>
      <c r="V686" s="7"/>
      <c r="W686" s="28"/>
      <c r="AK686" s="138" t="s">
        <v>122</v>
      </c>
      <c r="AL686" s="138">
        <v>18</v>
      </c>
      <c r="AM686" s="141">
        <v>5</v>
      </c>
      <c r="AN686" s="138">
        <v>0</v>
      </c>
      <c r="AO686" s="141">
        <v>0</v>
      </c>
      <c r="AP686" s="28"/>
      <c r="AQ686" s="28"/>
      <c r="AR686" s="28"/>
      <c r="AS686" s="28"/>
      <c r="AT686" s="141"/>
      <c r="AU686" s="28"/>
    </row>
    <row r="687" spans="2:47" x14ac:dyDescent="0.3">
      <c r="B687" s="84" t="s">
        <v>132</v>
      </c>
      <c r="C687" s="42">
        <v>0</v>
      </c>
      <c r="D687" s="37">
        <v>0</v>
      </c>
      <c r="E687" s="42"/>
      <c r="F687" s="40"/>
      <c r="G687" s="28"/>
      <c r="H687" s="28"/>
      <c r="I687" s="28"/>
      <c r="J687" s="28"/>
      <c r="K687" s="40"/>
      <c r="L687" s="28"/>
      <c r="M687" s="44" t="s">
        <v>78</v>
      </c>
      <c r="N687" s="37">
        <f>2+5+44</f>
        <v>51</v>
      </c>
      <c r="O687" s="37">
        <f>4+9+32</f>
        <v>45</v>
      </c>
      <c r="P687" s="42"/>
      <c r="Q687" s="11"/>
      <c r="R687" s="10"/>
      <c r="S687" s="37">
        <v>60</v>
      </c>
      <c r="T687" s="37" t="s">
        <v>215</v>
      </c>
      <c r="U687" s="18"/>
      <c r="V687" s="11"/>
      <c r="W687" s="28"/>
      <c r="AK687" s="138" t="s">
        <v>230</v>
      </c>
      <c r="AL687" s="138">
        <v>2</v>
      </c>
      <c r="AM687" s="141">
        <v>0</v>
      </c>
      <c r="AN687" s="138">
        <v>0</v>
      </c>
      <c r="AO687" s="141">
        <v>0</v>
      </c>
      <c r="AP687" s="28"/>
      <c r="AQ687" s="28"/>
      <c r="AR687" s="28"/>
      <c r="AS687" s="28"/>
      <c r="AT687" s="141"/>
      <c r="AU687" s="28"/>
    </row>
    <row r="688" spans="2:47" x14ac:dyDescent="0.3">
      <c r="B688" s="84" t="s">
        <v>81</v>
      </c>
      <c r="C688" s="42">
        <v>7</v>
      </c>
      <c r="D688" s="37">
        <v>7</v>
      </c>
      <c r="E688" s="42"/>
      <c r="F688" s="40"/>
      <c r="G688" s="28"/>
      <c r="H688" s="28"/>
      <c r="I688" s="28"/>
      <c r="J688" s="28"/>
      <c r="K688" s="40"/>
      <c r="L688" s="28"/>
      <c r="M688" s="125" t="s">
        <v>209</v>
      </c>
      <c r="N688" s="54">
        <v>0</v>
      </c>
      <c r="O688" s="54">
        <v>0</v>
      </c>
      <c r="P688" s="42"/>
      <c r="Q688" s="40"/>
      <c r="R688" s="42"/>
      <c r="S688" s="28">
        <v>0</v>
      </c>
      <c r="T688" s="28" t="s">
        <v>210</v>
      </c>
      <c r="U688" s="28"/>
      <c r="V688" s="96"/>
      <c r="W688" s="28"/>
      <c r="AK688" s="138" t="s">
        <v>63</v>
      </c>
      <c r="AL688" s="138">
        <v>33</v>
      </c>
      <c r="AM688" s="141">
        <v>35</v>
      </c>
      <c r="AN688" s="138">
        <v>0</v>
      </c>
      <c r="AO688" s="141">
        <v>0</v>
      </c>
      <c r="AP688" s="28"/>
      <c r="AQ688" s="28"/>
      <c r="AR688" s="28"/>
      <c r="AS688" s="28"/>
      <c r="AT688" s="141"/>
      <c r="AU688" s="28"/>
    </row>
    <row r="689" spans="1:47" x14ac:dyDescent="0.3">
      <c r="B689" s="10" t="s">
        <v>138</v>
      </c>
      <c r="C689" s="36">
        <v>0</v>
      </c>
      <c r="D689" s="37">
        <v>0</v>
      </c>
      <c r="E689" s="42"/>
      <c r="F689" s="11"/>
      <c r="G689" s="18"/>
      <c r="H689" s="18"/>
      <c r="I689" s="18"/>
      <c r="J689" s="18"/>
      <c r="K689" s="11"/>
      <c r="L689" s="28"/>
      <c r="M689" s="44" t="s">
        <v>168</v>
      </c>
      <c r="N689" s="54">
        <v>3</v>
      </c>
      <c r="O689" s="54">
        <v>2</v>
      </c>
      <c r="P689" s="42"/>
      <c r="Q689" s="11"/>
      <c r="R689" s="10"/>
      <c r="S689" s="37">
        <f>3+17+7+17</f>
        <v>44</v>
      </c>
      <c r="T689" s="37" t="s">
        <v>213</v>
      </c>
      <c r="U689" s="18" t="s">
        <v>6</v>
      </c>
      <c r="V689" s="11"/>
      <c r="W689" s="28"/>
      <c r="AK689" s="142" t="s">
        <v>84</v>
      </c>
      <c r="AL689" s="142">
        <v>157</v>
      </c>
      <c r="AM689" s="146">
        <v>133</v>
      </c>
      <c r="AN689" s="142">
        <v>0</v>
      </c>
      <c r="AO689" s="146">
        <v>0</v>
      </c>
      <c r="AP689" s="143"/>
      <c r="AQ689" s="143"/>
      <c r="AR689" s="143"/>
      <c r="AS689" s="143"/>
      <c r="AT689" s="146">
        <v>76</v>
      </c>
      <c r="AU689" s="28"/>
    </row>
    <row r="690" spans="1:47" x14ac:dyDescent="0.3">
      <c r="B690" s="84" t="s">
        <v>56</v>
      </c>
      <c r="C690" s="42">
        <v>0</v>
      </c>
      <c r="D690" s="54">
        <v>0</v>
      </c>
      <c r="E690" s="42"/>
      <c r="F690" s="40"/>
      <c r="G690" s="28"/>
      <c r="H690" s="28"/>
      <c r="I690" s="28"/>
      <c r="J690" s="28"/>
      <c r="K690" s="40"/>
      <c r="L690" s="28"/>
      <c r="M690" s="125" t="s">
        <v>81</v>
      </c>
      <c r="N690" s="54">
        <f>3+11</f>
        <v>14</v>
      </c>
      <c r="O690" s="54">
        <f>3+11</f>
        <v>14</v>
      </c>
      <c r="P690" s="42"/>
      <c r="Q690" s="40"/>
      <c r="R690" s="42"/>
      <c r="S690" s="54">
        <v>10</v>
      </c>
      <c r="T690" s="128" t="s">
        <v>217</v>
      </c>
      <c r="U690" s="28"/>
      <c r="V690" s="40" t="s">
        <v>6</v>
      </c>
      <c r="W690" s="37"/>
      <c r="AK690" s="134"/>
      <c r="AL690" s="134"/>
      <c r="AM690" s="136"/>
      <c r="AN690" s="134"/>
      <c r="AO690" s="136"/>
      <c r="AP690" s="135"/>
      <c r="AQ690" s="135"/>
      <c r="AR690" s="135"/>
      <c r="AS690" s="135"/>
      <c r="AT690" s="136"/>
      <c r="AU690" s="28"/>
    </row>
    <row r="691" spans="1:47" x14ac:dyDescent="0.3">
      <c r="B691" s="36" t="s">
        <v>67</v>
      </c>
      <c r="C691" s="10">
        <v>32</v>
      </c>
      <c r="D691" s="18">
        <v>36</v>
      </c>
      <c r="E691" s="42"/>
      <c r="F691" s="11"/>
      <c r="G691" s="18"/>
      <c r="H691" s="18"/>
      <c r="I691" s="18"/>
      <c r="J691" s="18"/>
      <c r="K691" s="11"/>
      <c r="L691" s="28"/>
      <c r="M691" s="125" t="s">
        <v>72</v>
      </c>
      <c r="N691" s="54">
        <f>6+8+3</f>
        <v>17</v>
      </c>
      <c r="O691" s="45">
        <f>14+6+1+5+3</f>
        <v>29</v>
      </c>
      <c r="P691" s="42"/>
      <c r="Q691" s="40"/>
      <c r="R691" s="42"/>
      <c r="S691" s="54">
        <v>2</v>
      </c>
      <c r="T691" s="54" t="s">
        <v>216</v>
      </c>
      <c r="U691" s="45"/>
      <c r="V691" s="40"/>
      <c r="W691" s="28"/>
      <c r="AF691" t="s">
        <v>6</v>
      </c>
      <c r="AK691" s="138" t="s">
        <v>56</v>
      </c>
      <c r="AL691" s="138">
        <v>0</v>
      </c>
      <c r="AM691" s="141">
        <v>0</v>
      </c>
      <c r="AN691" s="138">
        <v>0</v>
      </c>
      <c r="AO691" s="141">
        <v>0</v>
      </c>
      <c r="AP691" s="28"/>
      <c r="AQ691" s="28" t="s">
        <v>173</v>
      </c>
      <c r="AR691" s="28"/>
      <c r="AS691" s="28"/>
      <c r="AT691" s="141"/>
      <c r="AU691" s="28"/>
    </row>
    <row r="692" spans="1:47" ht="15" thickBot="1" x14ac:dyDescent="0.35">
      <c r="A692" s="95"/>
      <c r="B692" s="13" t="s">
        <v>84</v>
      </c>
      <c r="C692" s="13">
        <f>SUM(C680:C691)</f>
        <v>240</v>
      </c>
      <c r="D692" s="27">
        <f>SUM(D680:D691)</f>
        <v>222</v>
      </c>
      <c r="E692" s="47"/>
      <c r="F692" s="26">
        <f>SUM(F684:F691)</f>
        <v>0</v>
      </c>
      <c r="G692" s="27"/>
      <c r="H692" s="27"/>
      <c r="I692" s="27"/>
      <c r="J692" s="27"/>
      <c r="K692" s="26">
        <f>SUM(H684:H686)</f>
        <v>77</v>
      </c>
      <c r="L692" s="28"/>
      <c r="M692" s="125" t="s">
        <v>115</v>
      </c>
      <c r="N692" s="54">
        <f>2+25</f>
        <v>27</v>
      </c>
      <c r="O692" s="45">
        <f>3+7</f>
        <v>10</v>
      </c>
      <c r="P692" s="42"/>
      <c r="Q692" s="40"/>
      <c r="R692" s="42"/>
      <c r="S692" s="54">
        <v>1</v>
      </c>
      <c r="T692" s="54" t="s">
        <v>898</v>
      </c>
      <c r="U692" s="28"/>
      <c r="V692" s="40"/>
      <c r="W692" s="28"/>
      <c r="AK692" s="138" t="s">
        <v>67</v>
      </c>
      <c r="AL692" s="138">
        <v>0</v>
      </c>
      <c r="AM692" s="141">
        <v>0</v>
      </c>
      <c r="AN692" s="138">
        <v>0</v>
      </c>
      <c r="AO692" s="141">
        <v>0</v>
      </c>
      <c r="AP692" s="28"/>
      <c r="AQ692" s="28"/>
      <c r="AR692" s="28"/>
      <c r="AS692" s="28"/>
      <c r="AT692" s="141"/>
      <c r="AU692" s="28"/>
    </row>
    <row r="693" spans="1:47" x14ac:dyDescent="0.3">
      <c r="B693" s="32"/>
      <c r="C693" s="53"/>
      <c r="D693" s="97"/>
      <c r="E693" s="33"/>
      <c r="F693" s="7"/>
      <c r="G693" s="6"/>
      <c r="H693" s="8"/>
      <c r="I693" s="31"/>
      <c r="J693" s="8"/>
      <c r="K693" s="7"/>
      <c r="L693" s="28"/>
      <c r="M693" s="125" t="s">
        <v>56</v>
      </c>
      <c r="N693" s="54">
        <f>7+1+11</f>
        <v>19</v>
      </c>
      <c r="O693" s="45">
        <f>1+15</f>
        <v>16</v>
      </c>
      <c r="P693" s="42"/>
      <c r="Q693" s="40"/>
      <c r="R693" s="42"/>
      <c r="S693" s="54">
        <v>1</v>
      </c>
      <c r="T693" s="54" t="s">
        <v>920</v>
      </c>
      <c r="U693" s="28"/>
      <c r="V693" s="40"/>
      <c r="W693" s="28"/>
      <c r="AK693" s="138" t="s">
        <v>78</v>
      </c>
      <c r="AL693" s="138">
        <v>0</v>
      </c>
      <c r="AM693" s="141">
        <v>0</v>
      </c>
      <c r="AN693" s="138">
        <v>0</v>
      </c>
      <c r="AO693" s="141">
        <v>0</v>
      </c>
      <c r="AP693" s="28"/>
      <c r="AQ693" s="28">
        <v>0</v>
      </c>
      <c r="AR693" s="28" t="s">
        <v>183</v>
      </c>
      <c r="AS693" s="28"/>
      <c r="AT693" s="141"/>
      <c r="AU693" s="28"/>
    </row>
    <row r="694" spans="1:47" ht="15" thickBot="1" x14ac:dyDescent="0.35">
      <c r="B694" s="62"/>
      <c r="C694" s="72"/>
      <c r="D694" s="73"/>
      <c r="E694" s="47"/>
      <c r="F694" s="49"/>
      <c r="G694" s="47"/>
      <c r="H694" s="48"/>
      <c r="I694" s="48"/>
      <c r="J694" s="48"/>
      <c r="K694" s="49"/>
      <c r="L694" s="28"/>
      <c r="M694" s="125" t="s">
        <v>138</v>
      </c>
      <c r="N694" s="54">
        <v>0</v>
      </c>
      <c r="O694" s="45">
        <v>0</v>
      </c>
      <c r="P694" s="42"/>
      <c r="Q694" s="40"/>
      <c r="R694" s="42"/>
      <c r="S694" s="54">
        <v>9</v>
      </c>
      <c r="T694" s="54" t="s">
        <v>221</v>
      </c>
      <c r="U694" s="28"/>
      <c r="V694" s="40"/>
      <c r="W694" s="28"/>
      <c r="AK694" s="142" t="s">
        <v>84</v>
      </c>
      <c r="AL694" s="142">
        <v>0</v>
      </c>
      <c r="AM694" s="146">
        <v>0</v>
      </c>
      <c r="AN694" s="142">
        <v>0</v>
      </c>
      <c r="AO694" s="146">
        <v>0</v>
      </c>
      <c r="AP694" s="143"/>
      <c r="AQ694" s="143"/>
      <c r="AR694" s="143"/>
      <c r="AS694" s="143"/>
      <c r="AT694" s="146"/>
      <c r="AU694" s="28"/>
    </row>
    <row r="695" spans="1:47" x14ac:dyDescent="0.3">
      <c r="B695" s="67" t="s">
        <v>63</v>
      </c>
      <c r="C695" s="33">
        <v>6</v>
      </c>
      <c r="D695" s="35">
        <v>1</v>
      </c>
      <c r="G695" s="33"/>
      <c r="H695" s="34"/>
      <c r="I695" s="34"/>
      <c r="J695" s="34"/>
      <c r="K695" s="35"/>
      <c r="L695" s="28"/>
      <c r="M695" s="125" t="s">
        <v>67</v>
      </c>
      <c r="N695" s="54">
        <f>3+3+2+17</f>
        <v>25</v>
      </c>
      <c r="O695" s="45">
        <f>4+4+1+9</f>
        <v>18</v>
      </c>
      <c r="P695" s="42"/>
      <c r="Q695" s="40"/>
      <c r="R695" s="42"/>
      <c r="S695" s="54">
        <v>5</v>
      </c>
      <c r="T695" s="54" t="s">
        <v>903</v>
      </c>
      <c r="U695" s="28"/>
      <c r="V695" s="40"/>
      <c r="W695" s="28"/>
      <c r="AA695" t="s">
        <v>4</v>
      </c>
      <c r="AK695" s="134" t="s">
        <v>56</v>
      </c>
      <c r="AL695" s="134">
        <v>17</v>
      </c>
      <c r="AM695" s="136">
        <v>18</v>
      </c>
      <c r="AN695" s="134">
        <v>0</v>
      </c>
      <c r="AO695" s="136">
        <v>0</v>
      </c>
      <c r="AP695" s="135"/>
      <c r="AQ695" s="28" t="s">
        <v>140</v>
      </c>
      <c r="AR695" s="135"/>
      <c r="AS695" s="135"/>
      <c r="AT695" s="136"/>
      <c r="AU695" s="28"/>
    </row>
    <row r="696" spans="1:47" x14ac:dyDescent="0.3">
      <c r="B696" s="67" t="s">
        <v>536</v>
      </c>
      <c r="C696" s="42">
        <v>0</v>
      </c>
      <c r="D696" s="40">
        <v>0</v>
      </c>
      <c r="G696" s="42"/>
      <c r="H696" s="28"/>
      <c r="I696" s="28"/>
      <c r="J696" s="28"/>
      <c r="K696" s="40"/>
      <c r="L696" s="28"/>
      <c r="M696" s="125" t="s">
        <v>122</v>
      </c>
      <c r="N696" s="54">
        <v>5</v>
      </c>
      <c r="O696" s="45">
        <v>0</v>
      </c>
      <c r="P696" s="42"/>
      <c r="Q696" s="40"/>
      <c r="R696" s="42"/>
      <c r="S696" s="54">
        <v>2</v>
      </c>
      <c r="T696" s="54" t="s">
        <v>853</v>
      </c>
      <c r="U696" s="28"/>
      <c r="V696" s="40"/>
      <c r="W696" s="28"/>
      <c r="AB696" t="s">
        <v>2</v>
      </c>
      <c r="AK696" s="138" t="s">
        <v>72</v>
      </c>
      <c r="AL696" s="138">
        <v>18</v>
      </c>
      <c r="AM696" s="141">
        <v>23</v>
      </c>
      <c r="AN696" s="138">
        <v>0</v>
      </c>
      <c r="AO696" s="141">
        <v>0</v>
      </c>
      <c r="AP696" s="28"/>
      <c r="AQ696" t="s">
        <v>1751</v>
      </c>
      <c r="AR696" s="28"/>
      <c r="AS696" s="28"/>
      <c r="AT696" s="141"/>
      <c r="AU696" s="28"/>
    </row>
    <row r="697" spans="1:47" x14ac:dyDescent="0.3">
      <c r="B697" s="52" t="s">
        <v>56</v>
      </c>
      <c r="C697" s="52">
        <v>0</v>
      </c>
      <c r="D697" s="85">
        <v>1</v>
      </c>
      <c r="E697" s="28"/>
      <c r="F697" s="28"/>
      <c r="G697" s="42"/>
      <c r="H697" s="28" t="s">
        <v>173</v>
      </c>
      <c r="I697" s="28"/>
      <c r="J697" s="28"/>
      <c r="K697" s="40"/>
      <c r="L697" s="28"/>
      <c r="M697" s="125" t="s">
        <v>227</v>
      </c>
      <c r="N697" s="54">
        <v>0</v>
      </c>
      <c r="O697" s="45">
        <v>0</v>
      </c>
      <c r="P697" s="42"/>
      <c r="Q697" s="40"/>
      <c r="R697" s="42"/>
      <c r="S697" s="54">
        <v>1</v>
      </c>
      <c r="T697" s="54" t="s">
        <v>923</v>
      </c>
      <c r="U697" s="28"/>
      <c r="V697" s="40"/>
      <c r="Z697" t="s">
        <v>12</v>
      </c>
      <c r="AK697" s="138" t="s">
        <v>78</v>
      </c>
      <c r="AL697" s="138">
        <v>87</v>
      </c>
      <c r="AM697" s="141">
        <v>74</v>
      </c>
      <c r="AN697" s="138">
        <v>0</v>
      </c>
      <c r="AO697" s="141">
        <v>0</v>
      </c>
      <c r="AP697" s="28"/>
      <c r="AQ697" s="28"/>
      <c r="AR697" s="28" t="s">
        <v>1752</v>
      </c>
      <c r="AS697" s="28" t="s">
        <v>1753</v>
      </c>
      <c r="AT697" s="141"/>
      <c r="AU697" s="28"/>
    </row>
    <row r="698" spans="1:47" x14ac:dyDescent="0.3">
      <c r="B698" s="52" t="s">
        <v>67</v>
      </c>
      <c r="C698" s="52">
        <v>5</v>
      </c>
      <c r="D698" s="56">
        <v>2</v>
      </c>
      <c r="G698" s="42"/>
      <c r="H698" s="28"/>
      <c r="I698" s="28"/>
      <c r="J698" s="28"/>
      <c r="K698" s="40"/>
      <c r="L698" s="28"/>
      <c r="M698" s="41" t="s">
        <v>230</v>
      </c>
      <c r="N698" s="54">
        <f>2+1+1+5+5</f>
        <v>14</v>
      </c>
      <c r="O698" s="45">
        <f>2+1+1+5+5</f>
        <v>14</v>
      </c>
      <c r="P698" s="42"/>
      <c r="Q698" s="40"/>
      <c r="R698" s="42"/>
      <c r="S698" s="54">
        <v>12</v>
      </c>
      <c r="T698" s="54" t="s">
        <v>655</v>
      </c>
      <c r="U698" s="28"/>
      <c r="V698" s="40"/>
      <c r="AB698" t="s">
        <v>1262</v>
      </c>
      <c r="AK698" s="138" t="s">
        <v>67</v>
      </c>
      <c r="AL698" s="138">
        <v>32</v>
      </c>
      <c r="AM698" s="141">
        <v>32</v>
      </c>
      <c r="AN698" s="138">
        <v>0</v>
      </c>
      <c r="AO698" s="141">
        <v>0</v>
      </c>
      <c r="AP698" s="28"/>
      <c r="AQ698" s="43"/>
      <c r="AR698" s="43" t="s">
        <v>713</v>
      </c>
      <c r="AS698" s="28" t="s">
        <v>1754</v>
      </c>
      <c r="AT698" s="28"/>
      <c r="AU698" s="28"/>
    </row>
    <row r="699" spans="1:47" x14ac:dyDescent="0.3">
      <c r="B699" s="10" t="s">
        <v>78</v>
      </c>
      <c r="C699" s="52">
        <v>0</v>
      </c>
      <c r="D699" s="85">
        <v>0</v>
      </c>
      <c r="E699" s="28"/>
      <c r="F699" s="28"/>
      <c r="G699" s="42"/>
      <c r="H699" s="28">
        <v>7</v>
      </c>
      <c r="I699" s="28" t="s">
        <v>183</v>
      </c>
      <c r="J699" s="28"/>
      <c r="K699" s="40"/>
      <c r="L699" s="37"/>
      <c r="M699" s="68" t="s">
        <v>125</v>
      </c>
      <c r="N699" s="54">
        <v>0</v>
      </c>
      <c r="O699" s="45">
        <v>0</v>
      </c>
      <c r="P699" s="42"/>
      <c r="Q699" s="40"/>
      <c r="R699" s="42"/>
      <c r="S699" s="54">
        <v>2</v>
      </c>
      <c r="T699" s="54" t="s">
        <v>433</v>
      </c>
      <c r="U699" s="28"/>
      <c r="V699" s="40"/>
      <c r="AF699" s="194" t="s">
        <v>951</v>
      </c>
      <c r="AK699" s="138" t="s">
        <v>115</v>
      </c>
      <c r="AL699" s="138">
        <v>16</v>
      </c>
      <c r="AM699" s="141">
        <v>23</v>
      </c>
      <c r="AN699" s="138">
        <v>0</v>
      </c>
      <c r="AO699" s="141">
        <v>0</v>
      </c>
      <c r="AP699" s="28"/>
      <c r="AQ699" s="43"/>
      <c r="AR699" s="43" t="s">
        <v>1756</v>
      </c>
      <c r="AS699" s="28"/>
      <c r="AT699" s="141"/>
      <c r="AU699" s="28"/>
    </row>
    <row r="700" spans="1:47" x14ac:dyDescent="0.3">
      <c r="B700" s="52" t="s">
        <v>115</v>
      </c>
      <c r="C700" s="52">
        <v>0</v>
      </c>
      <c r="D700" s="85">
        <v>0</v>
      </c>
      <c r="E700" s="28"/>
      <c r="F700" s="28"/>
      <c r="G700" s="42"/>
      <c r="H700" s="28" t="s">
        <v>6</v>
      </c>
      <c r="I700" s="28"/>
      <c r="J700" s="28"/>
      <c r="K700" s="40"/>
      <c r="L700" s="28"/>
      <c r="M700" s="68" t="s">
        <v>132</v>
      </c>
      <c r="N700" s="54">
        <v>2</v>
      </c>
      <c r="O700" s="45">
        <v>3</v>
      </c>
      <c r="P700" s="42"/>
      <c r="Q700" s="40"/>
      <c r="R700" s="42"/>
      <c r="S700" s="54">
        <v>0</v>
      </c>
      <c r="T700" s="54" t="s">
        <v>905</v>
      </c>
      <c r="U700" s="28"/>
      <c r="V700" s="40"/>
      <c r="X700" s="134" t="s">
        <v>17</v>
      </c>
      <c r="Y700" s="134" t="s">
        <v>39</v>
      </c>
      <c r="Z700" s="136"/>
      <c r="AA700" s="134" t="s">
        <v>29</v>
      </c>
      <c r="AB700" s="136" t="s">
        <v>30</v>
      </c>
      <c r="AC700" s="135" t="s">
        <v>40</v>
      </c>
      <c r="AD700" s="135"/>
      <c r="AE700" s="135"/>
      <c r="AF700" s="135"/>
      <c r="AG700" s="136"/>
      <c r="AK700" s="138" t="s">
        <v>81</v>
      </c>
      <c r="AL700" s="138">
        <v>8</v>
      </c>
      <c r="AM700" s="141">
        <v>6</v>
      </c>
      <c r="AN700" s="138">
        <v>0</v>
      </c>
      <c r="AO700" s="141">
        <v>0</v>
      </c>
      <c r="AP700" s="28"/>
      <c r="AQ700" s="43"/>
      <c r="AR700" s="43" t="s">
        <v>1757</v>
      </c>
      <c r="AS700" s="43"/>
      <c r="AT700" s="141"/>
      <c r="AU700" s="28"/>
    </row>
    <row r="701" spans="1:47" x14ac:dyDescent="0.3">
      <c r="B701" s="52" t="s">
        <v>72</v>
      </c>
      <c r="C701" s="52">
        <v>1</v>
      </c>
      <c r="D701" s="85">
        <v>1</v>
      </c>
      <c r="G701" s="42"/>
      <c r="H701" s="28"/>
      <c r="I701" s="28"/>
      <c r="J701" s="28"/>
      <c r="K701" s="40"/>
      <c r="L701" s="28"/>
      <c r="M701" s="41" t="s">
        <v>536</v>
      </c>
      <c r="N701">
        <v>0</v>
      </c>
      <c r="O701">
        <v>2</v>
      </c>
      <c r="P701" s="42"/>
      <c r="Q701" s="40"/>
      <c r="R701" s="42"/>
      <c r="S701" s="54">
        <v>1</v>
      </c>
      <c r="T701" s="54" t="s">
        <v>906</v>
      </c>
      <c r="U701" s="28"/>
      <c r="V701" s="40"/>
      <c r="X701" s="138" t="s">
        <v>42</v>
      </c>
      <c r="Y701" s="138" t="s">
        <v>43</v>
      </c>
      <c r="Z701" s="141" t="s">
        <v>44</v>
      </c>
      <c r="AA701" s="138" t="s">
        <v>43</v>
      </c>
      <c r="AB701" s="141" t="s">
        <v>44</v>
      </c>
      <c r="AC701" s="28"/>
      <c r="AD701" s="28"/>
      <c r="AE701" s="28"/>
      <c r="AF701" s="28"/>
      <c r="AG701" s="141"/>
      <c r="AK701" s="138" t="s">
        <v>230</v>
      </c>
      <c r="AL701" s="138">
        <v>2</v>
      </c>
      <c r="AM701" s="141">
        <v>3</v>
      </c>
      <c r="AN701" s="138">
        <v>0</v>
      </c>
      <c r="AO701" s="141">
        <v>0</v>
      </c>
      <c r="AP701" s="28"/>
      <c r="AQ701" s="43"/>
      <c r="AR701" s="43" t="s">
        <v>254</v>
      </c>
      <c r="AS701" s="28"/>
      <c r="AT701" s="141"/>
      <c r="AU701" s="28"/>
    </row>
    <row r="702" spans="1:47" ht="15" thickBot="1" x14ac:dyDescent="0.35">
      <c r="B702" s="52" t="s">
        <v>84</v>
      </c>
      <c r="C702" s="47">
        <f>SUM(C695:C701)</f>
        <v>12</v>
      </c>
      <c r="D702" s="49">
        <f>SUM(D695:D701)</f>
        <v>5</v>
      </c>
      <c r="E702" s="28"/>
      <c r="F702" s="28"/>
      <c r="G702" s="47"/>
      <c r="H702" s="48"/>
      <c r="I702" s="48"/>
      <c r="J702" s="48"/>
      <c r="K702" s="49">
        <f>SUM(H699)</f>
        <v>7</v>
      </c>
      <c r="L702" s="28"/>
      <c r="M702" s="46" t="s">
        <v>84</v>
      </c>
      <c r="N702" s="48">
        <f>SUM(N686:N701)</f>
        <v>201</v>
      </c>
      <c r="O702" s="48">
        <f>SUM(O686:O701)</f>
        <v>177</v>
      </c>
      <c r="P702" s="47"/>
      <c r="Q702" s="49"/>
      <c r="R702" s="47"/>
      <c r="S702" s="48">
        <v>1</v>
      </c>
      <c r="T702" s="48" t="s">
        <v>352</v>
      </c>
      <c r="U702" s="48"/>
      <c r="V702" s="49">
        <f>SUM(S687:S702)</f>
        <v>151</v>
      </c>
      <c r="X702" s="138" t="s">
        <v>6</v>
      </c>
      <c r="Y702" s="138"/>
      <c r="Z702" s="141"/>
      <c r="AA702" s="138"/>
      <c r="AB702" s="141"/>
      <c r="AC702" s="28"/>
      <c r="AD702" s="28" t="s">
        <v>91</v>
      </c>
      <c r="AE702" s="28"/>
      <c r="AF702" s="28"/>
      <c r="AG702" s="141"/>
      <c r="AK702" s="138" t="s">
        <v>63</v>
      </c>
      <c r="AL702" s="138">
        <v>17</v>
      </c>
      <c r="AM702" s="141">
        <v>21</v>
      </c>
      <c r="AN702" s="138">
        <v>0</v>
      </c>
      <c r="AO702" s="141">
        <v>0</v>
      </c>
      <c r="AP702" s="28"/>
      <c r="AQ702" s="43"/>
      <c r="AR702" s="43" t="s">
        <v>1762</v>
      </c>
      <c r="AS702" s="28"/>
      <c r="AT702" s="141"/>
      <c r="AU702" s="28"/>
    </row>
    <row r="703" spans="1:47" ht="15" thickBot="1" x14ac:dyDescent="0.35">
      <c r="B703" s="32" t="s">
        <v>63</v>
      </c>
      <c r="C703" s="123">
        <f>8+1+4</f>
        <v>13</v>
      </c>
      <c r="D703" s="123">
        <f>4+1+4</f>
        <v>9</v>
      </c>
      <c r="E703" s="33"/>
      <c r="F703" s="7"/>
      <c r="G703" s="6"/>
      <c r="H703" s="34" t="s">
        <v>140</v>
      </c>
      <c r="I703" s="8"/>
      <c r="J703" s="8"/>
      <c r="K703" s="7"/>
      <c r="L703" s="28"/>
      <c r="M703" s="169" t="s">
        <v>84</v>
      </c>
      <c r="N703" s="170">
        <f>SUM(N702+N685+N675+N660)</f>
        <v>1639</v>
      </c>
      <c r="O703" s="170">
        <f>SUM(O702+O685+O675+O660)</f>
        <v>1567</v>
      </c>
      <c r="P703" s="171"/>
      <c r="Q703" s="172"/>
      <c r="R703" s="170"/>
      <c r="S703" s="170"/>
      <c r="T703" s="170"/>
      <c r="U703" s="170"/>
      <c r="V703" s="172">
        <f>SUM(V659:V702)</f>
        <v>339</v>
      </c>
      <c r="X703" s="138" t="s">
        <v>56</v>
      </c>
      <c r="Y703" s="138">
        <v>1509</v>
      </c>
      <c r="Z703" s="141">
        <v>1597</v>
      </c>
      <c r="AA703" s="138"/>
      <c r="AB703" s="141"/>
      <c r="AC703" s="28"/>
      <c r="AD703" s="28">
        <v>0</v>
      </c>
      <c r="AE703" s="28" t="s">
        <v>145</v>
      </c>
      <c r="AF703" s="28"/>
      <c r="AG703" s="141"/>
      <c r="AK703" s="138" t="s">
        <v>122</v>
      </c>
      <c r="AL703" s="138">
        <v>18</v>
      </c>
      <c r="AM703" s="141">
        <v>12</v>
      </c>
      <c r="AN703" s="138">
        <v>0</v>
      </c>
      <c r="AO703" s="141">
        <v>0</v>
      </c>
      <c r="AP703" s="28"/>
      <c r="AQ703" s="43"/>
      <c r="AR703" s="43" t="s">
        <v>447</v>
      </c>
      <c r="AS703" s="28"/>
      <c r="AT703" s="141"/>
      <c r="AU703" s="28"/>
    </row>
    <row r="704" spans="1:47" x14ac:dyDescent="0.3">
      <c r="B704" s="44" t="s">
        <v>78</v>
      </c>
      <c r="C704" s="37">
        <f>7+23+2</f>
        <v>32</v>
      </c>
      <c r="D704" s="37">
        <f>7+2+18+5</f>
        <v>32</v>
      </c>
      <c r="E704" s="42"/>
      <c r="F704" s="11"/>
      <c r="G704" s="10"/>
      <c r="H704" s="37">
        <v>21</v>
      </c>
      <c r="I704" s="37" t="s">
        <v>204</v>
      </c>
      <c r="J704" s="18"/>
      <c r="K704" s="11"/>
      <c r="L704" s="28"/>
      <c r="X704" s="142" t="s">
        <v>6</v>
      </c>
      <c r="Y704" s="142"/>
      <c r="Z704" s="146"/>
      <c r="AA704" s="142"/>
      <c r="AB704" s="146"/>
      <c r="AC704" s="143"/>
      <c r="AD704" s="143">
        <v>109</v>
      </c>
      <c r="AE704" s="143" t="s">
        <v>73</v>
      </c>
      <c r="AF704" s="143"/>
      <c r="AG704" s="146">
        <f>SUM(AD704)</f>
        <v>109</v>
      </c>
      <c r="AK704" s="138" t="s">
        <v>132</v>
      </c>
      <c r="AL704" s="138">
        <v>2</v>
      </c>
      <c r="AM704" s="141">
        <v>4</v>
      </c>
      <c r="AN704" s="138">
        <v>0</v>
      </c>
      <c r="AO704" s="141">
        <v>0</v>
      </c>
      <c r="AP704" s="28"/>
      <c r="AQ704" s="43"/>
      <c r="AR704" s="43" t="s">
        <v>803</v>
      </c>
      <c r="AS704" s="28"/>
      <c r="AT704" s="141"/>
      <c r="AU704" s="28"/>
    </row>
    <row r="705" spans="2:46" x14ac:dyDescent="0.3">
      <c r="B705" s="125" t="s">
        <v>209</v>
      </c>
      <c r="C705" s="54">
        <v>0</v>
      </c>
      <c r="D705" s="54">
        <v>0</v>
      </c>
      <c r="E705" s="42"/>
      <c r="F705" s="40"/>
      <c r="G705" s="42"/>
      <c r="H705" s="28">
        <v>1</v>
      </c>
      <c r="I705" s="28" t="s">
        <v>210</v>
      </c>
      <c r="J705" s="28"/>
      <c r="K705" s="40"/>
      <c r="L705" s="28"/>
      <c r="X705" s="134" t="s">
        <v>56</v>
      </c>
      <c r="Y705" s="134">
        <v>0</v>
      </c>
      <c r="Z705" s="136">
        <v>0</v>
      </c>
      <c r="AA705" s="134"/>
      <c r="AB705" s="136"/>
      <c r="AC705" s="135"/>
      <c r="AD705" s="135"/>
      <c r="AE705" s="135"/>
      <c r="AF705" s="135"/>
      <c r="AG705" s="136"/>
      <c r="AK705" s="138" t="s">
        <v>1319</v>
      </c>
      <c r="AL705" s="138"/>
      <c r="AM705" s="141"/>
      <c r="AN705" s="138">
        <v>0</v>
      </c>
      <c r="AO705" s="141">
        <v>0</v>
      </c>
      <c r="AP705" s="28"/>
      <c r="AQ705" s="43"/>
      <c r="AR705" s="43" t="s">
        <v>1769</v>
      </c>
      <c r="AS705" s="28"/>
      <c r="AT705" s="141"/>
    </row>
    <row r="706" spans="2:46" ht="15" thickBot="1" x14ac:dyDescent="0.35">
      <c r="B706" s="44" t="s">
        <v>168</v>
      </c>
      <c r="C706" s="54">
        <v>0</v>
      </c>
      <c r="D706" s="54">
        <v>0</v>
      </c>
      <c r="E706" s="42"/>
      <c r="F706" s="11"/>
      <c r="G706" s="10"/>
      <c r="H706" s="37">
        <v>20</v>
      </c>
      <c r="I706" s="37" t="s">
        <v>213</v>
      </c>
      <c r="J706" s="18"/>
      <c r="K706" s="11"/>
      <c r="X706" s="138" t="s">
        <v>63</v>
      </c>
      <c r="Y706" s="138">
        <v>27</v>
      </c>
      <c r="Z706" s="141">
        <v>5</v>
      </c>
      <c r="AA706" s="138"/>
      <c r="AB706" s="141"/>
      <c r="AC706" s="28"/>
      <c r="AD706" s="28" t="s">
        <v>110</v>
      </c>
      <c r="AE706" s="28" t="s">
        <v>111</v>
      </c>
      <c r="AF706" s="28" t="s">
        <v>112</v>
      </c>
      <c r="AG706" s="141"/>
      <c r="AK706" s="138" t="s">
        <v>84</v>
      </c>
      <c r="AL706" s="138">
        <v>217</v>
      </c>
      <c r="AM706" s="141">
        <v>216</v>
      </c>
      <c r="AN706" s="138">
        <v>0</v>
      </c>
      <c r="AO706" s="141">
        <v>0</v>
      </c>
      <c r="AP706" s="28"/>
      <c r="AQ706" s="43"/>
      <c r="AR706" s="43" t="s">
        <v>1771</v>
      </c>
      <c r="AS706" s="28"/>
      <c r="AT706" s="141">
        <v>58</v>
      </c>
    </row>
    <row r="707" spans="2:46" ht="15" thickBot="1" x14ac:dyDescent="0.35">
      <c r="B707" s="125" t="s">
        <v>81</v>
      </c>
      <c r="C707" s="54">
        <v>9</v>
      </c>
      <c r="D707" s="54">
        <v>7</v>
      </c>
      <c r="E707" s="42"/>
      <c r="F707" s="40"/>
      <c r="G707" s="42"/>
      <c r="H707" s="54">
        <v>5</v>
      </c>
      <c r="I707" s="128" t="s">
        <v>222</v>
      </c>
      <c r="J707" s="28"/>
      <c r="K707" s="40" t="s">
        <v>6</v>
      </c>
      <c r="X707" s="138" t="s">
        <v>115</v>
      </c>
      <c r="Y707" s="138">
        <v>52</v>
      </c>
      <c r="Z707" s="141">
        <v>26</v>
      </c>
      <c r="AA707" s="138"/>
      <c r="AB707" s="141"/>
      <c r="AC707" s="28"/>
      <c r="AD707" s="28"/>
      <c r="AE707" s="28"/>
      <c r="AF707" s="28"/>
      <c r="AG707" s="141"/>
      <c r="AK707" s="171" t="s">
        <v>84</v>
      </c>
      <c r="AL707" s="171">
        <v>1552</v>
      </c>
      <c r="AM707" s="172">
        <v>1744</v>
      </c>
      <c r="AN707" s="170">
        <v>0</v>
      </c>
      <c r="AO707" s="172">
        <v>0</v>
      </c>
      <c r="AP707" s="170"/>
      <c r="AQ707" s="170"/>
      <c r="AR707" s="170"/>
      <c r="AS707" s="170"/>
      <c r="AT707" s="172">
        <v>221</v>
      </c>
    </row>
    <row r="708" spans="2:46" x14ac:dyDescent="0.3">
      <c r="B708" s="125" t="s">
        <v>72</v>
      </c>
      <c r="C708" s="54">
        <f>2+14+4</f>
        <v>20</v>
      </c>
      <c r="D708" s="45">
        <f>9+1+22+6</f>
        <v>38</v>
      </c>
      <c r="E708" s="42"/>
      <c r="F708" s="40"/>
      <c r="G708" s="42"/>
      <c r="H708" s="54">
        <v>11</v>
      </c>
      <c r="I708" s="54" t="s">
        <v>216</v>
      </c>
      <c r="J708" s="45"/>
      <c r="K708" s="40"/>
      <c r="X708" s="138" t="s">
        <v>72</v>
      </c>
      <c r="Y708" s="138">
        <v>9</v>
      </c>
      <c r="Z708" s="141">
        <v>12</v>
      </c>
      <c r="AA708" s="138"/>
      <c r="AB708" s="141"/>
      <c r="AC708" s="28"/>
      <c r="AD708" s="28"/>
      <c r="AE708" s="28"/>
      <c r="AF708" s="28"/>
      <c r="AG708" s="141"/>
      <c r="AK708" s="28"/>
      <c r="AL708" s="28"/>
      <c r="AM708" s="28"/>
      <c r="AN708" s="28"/>
      <c r="AO708" s="28"/>
      <c r="AP708" s="28"/>
      <c r="AQ708" s="43"/>
      <c r="AR708" s="43"/>
      <c r="AS708" s="28"/>
      <c r="AT708" s="28"/>
    </row>
    <row r="709" spans="2:46" x14ac:dyDescent="0.3">
      <c r="B709" s="125" t="s">
        <v>115</v>
      </c>
      <c r="C709" s="54">
        <v>3</v>
      </c>
      <c r="D709" s="45">
        <v>4</v>
      </c>
      <c r="E709" s="42"/>
      <c r="F709" s="40"/>
      <c r="G709" s="42"/>
      <c r="H709" s="54">
        <v>7</v>
      </c>
      <c r="I709" s="54" t="s">
        <v>217</v>
      </c>
      <c r="J709" s="28"/>
      <c r="K709" s="40"/>
      <c r="X709" s="138" t="s">
        <v>78</v>
      </c>
      <c r="Y709" s="138">
        <v>43</v>
      </c>
      <c r="Z709" s="141">
        <v>22</v>
      </c>
      <c r="AA709" s="138"/>
      <c r="AB709" s="141"/>
      <c r="AC709" s="28"/>
      <c r="AD709" s="28"/>
      <c r="AE709" s="28"/>
      <c r="AF709" s="28"/>
      <c r="AG709" s="141"/>
      <c r="AK709" s="28"/>
      <c r="AL709" s="28"/>
      <c r="AM709" s="28"/>
      <c r="AN709" s="28"/>
      <c r="AO709" s="28"/>
      <c r="AP709" s="28"/>
      <c r="AQ709" s="43"/>
      <c r="AR709" s="43"/>
      <c r="AS709" s="28"/>
      <c r="AT709" s="28"/>
    </row>
    <row r="710" spans="2:46" x14ac:dyDescent="0.3">
      <c r="B710" s="125" t="s">
        <v>56</v>
      </c>
      <c r="C710" s="54">
        <f>1+10+4</f>
        <v>15</v>
      </c>
      <c r="D710" s="45">
        <f>1+7</f>
        <v>8</v>
      </c>
      <c r="E710" s="42"/>
      <c r="F710" s="40"/>
      <c r="G710" s="42"/>
      <c r="H710" s="54">
        <v>6</v>
      </c>
      <c r="I710" s="54" t="s">
        <v>617</v>
      </c>
      <c r="J710" s="28"/>
      <c r="K710" s="40"/>
      <c r="X710" s="138" t="s">
        <v>122</v>
      </c>
      <c r="Y710" s="138">
        <v>0</v>
      </c>
      <c r="Z710" s="141">
        <v>5</v>
      </c>
      <c r="AA710" s="138"/>
      <c r="AB710" s="141"/>
      <c r="AC710" s="28"/>
      <c r="AD710" s="28">
        <v>17</v>
      </c>
      <c r="AE710" s="28" t="s">
        <v>123</v>
      </c>
      <c r="AF710" s="28"/>
      <c r="AG710" s="141"/>
      <c r="AK710" s="28"/>
      <c r="AL710" s="28"/>
      <c r="AM710" s="28"/>
      <c r="AN710" s="28"/>
      <c r="AO710" s="28"/>
      <c r="AP710" s="28"/>
      <c r="AQ710" s="43"/>
      <c r="AR710" s="43"/>
      <c r="AS710" s="28"/>
      <c r="AT710" s="28"/>
    </row>
    <row r="711" spans="2:46" x14ac:dyDescent="0.3">
      <c r="B711" s="125" t="s">
        <v>138</v>
      </c>
      <c r="C711" s="54">
        <v>0</v>
      </c>
      <c r="D711" s="45">
        <v>0</v>
      </c>
      <c r="E711" s="42"/>
      <c r="F711" s="40"/>
      <c r="G711" s="42"/>
      <c r="H711" s="54">
        <v>8</v>
      </c>
      <c r="I711" s="54" t="s">
        <v>221</v>
      </c>
      <c r="J711" s="28"/>
      <c r="K711" s="40"/>
      <c r="X711" s="138" t="s">
        <v>125</v>
      </c>
      <c r="Y711" s="138">
        <v>0</v>
      </c>
      <c r="Z711" s="141">
        <v>0</v>
      </c>
      <c r="AA711" s="138"/>
      <c r="AB711" s="141"/>
      <c r="AC711" s="28"/>
      <c r="AD711" s="28">
        <v>49</v>
      </c>
      <c r="AE711" s="28" t="s">
        <v>126</v>
      </c>
      <c r="AF711" s="28"/>
      <c r="AG711" s="141"/>
      <c r="AK711" s="28"/>
      <c r="AL711" s="28"/>
      <c r="AM711" s="28"/>
      <c r="AN711" s="28"/>
      <c r="AO711" s="28"/>
      <c r="AP711" s="28"/>
      <c r="AQ711" s="43"/>
      <c r="AR711" s="28"/>
      <c r="AS711" s="28"/>
      <c r="AT711" s="28"/>
    </row>
    <row r="712" spans="2:46" x14ac:dyDescent="0.3">
      <c r="B712" s="125" t="s">
        <v>67</v>
      </c>
      <c r="C712" s="54">
        <f>2+4+2+3+6</f>
        <v>17</v>
      </c>
      <c r="D712" s="45">
        <f>2+4+3+8+3</f>
        <v>20</v>
      </c>
      <c r="E712" s="42"/>
      <c r="F712" s="40"/>
      <c r="G712" s="42"/>
      <c r="H712" s="54">
        <v>0</v>
      </c>
      <c r="I712" s="54" t="s">
        <v>553</v>
      </c>
      <c r="J712" s="28"/>
      <c r="K712" s="40"/>
      <c r="X712" s="138" t="s">
        <v>536</v>
      </c>
      <c r="Y712" s="138">
        <v>0</v>
      </c>
      <c r="Z712" s="141">
        <v>3</v>
      </c>
      <c r="AA712" s="138"/>
      <c r="AB712" s="141"/>
      <c r="AC712" s="28"/>
      <c r="AD712" s="28">
        <v>24</v>
      </c>
      <c r="AE712" s="28" t="s">
        <v>129</v>
      </c>
      <c r="AF712" s="28"/>
      <c r="AG712" s="141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</row>
    <row r="713" spans="2:46" x14ac:dyDescent="0.3">
      <c r="B713" s="125" t="s">
        <v>122</v>
      </c>
      <c r="C713" s="54">
        <v>1</v>
      </c>
      <c r="D713" s="45">
        <v>1</v>
      </c>
      <c r="E713" s="42"/>
      <c r="F713" s="40"/>
      <c r="G713" s="42"/>
      <c r="H713" s="54">
        <v>7</v>
      </c>
      <c r="I713" s="54" t="s">
        <v>618</v>
      </c>
      <c r="J713" s="28"/>
      <c r="K713" s="40"/>
      <c r="X713" s="138" t="s">
        <v>132</v>
      </c>
      <c r="Y713" s="138">
        <v>0</v>
      </c>
      <c r="Z713" s="141">
        <v>0</v>
      </c>
      <c r="AA713" s="138"/>
      <c r="AB713" s="141"/>
      <c r="AC713" s="28"/>
      <c r="AD713" s="28"/>
      <c r="AE713" s="28"/>
      <c r="AF713" s="28"/>
      <c r="AG713" s="141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</row>
    <row r="714" spans="2:46" x14ac:dyDescent="0.3">
      <c r="B714" s="125" t="s">
        <v>227</v>
      </c>
      <c r="C714" s="54">
        <v>0</v>
      </c>
      <c r="D714" s="45">
        <v>0</v>
      </c>
      <c r="E714" s="42"/>
      <c r="F714" s="40"/>
      <c r="G714" s="42"/>
      <c r="H714" s="54">
        <v>3</v>
      </c>
      <c r="I714" s="54" t="s">
        <v>391</v>
      </c>
      <c r="J714" s="28"/>
      <c r="K714" s="40"/>
      <c r="X714" s="138" t="s">
        <v>81</v>
      </c>
      <c r="Y714" s="138">
        <v>13</v>
      </c>
      <c r="Z714" s="141">
        <v>8</v>
      </c>
      <c r="AA714" s="138"/>
      <c r="AB714" s="141"/>
      <c r="AC714" s="28"/>
      <c r="AD714" s="28"/>
      <c r="AE714" s="28"/>
      <c r="AF714" s="28"/>
      <c r="AG714" s="141"/>
    </row>
    <row r="715" spans="2:46" x14ac:dyDescent="0.3">
      <c r="B715" s="41" t="s">
        <v>230</v>
      </c>
      <c r="C715" s="54">
        <f>4+4+1+8+9</f>
        <v>26</v>
      </c>
      <c r="D715" s="45">
        <f>1+5+1+19</f>
        <v>26</v>
      </c>
      <c r="E715" s="42"/>
      <c r="F715" s="40"/>
      <c r="G715" s="42"/>
      <c r="H715" s="54">
        <v>0</v>
      </c>
      <c r="I715" s="54" t="s">
        <v>352</v>
      </c>
      <c r="J715" s="28"/>
      <c r="K715" s="40"/>
      <c r="X715" s="138" t="s">
        <v>138</v>
      </c>
      <c r="Y715" s="138">
        <v>0</v>
      </c>
      <c r="Z715" s="141">
        <v>0</v>
      </c>
      <c r="AA715" s="138"/>
      <c r="AB715" s="141"/>
      <c r="AC715" s="28"/>
      <c r="AD715" s="28"/>
      <c r="AE715" s="28"/>
      <c r="AF715" s="28"/>
      <c r="AG715" s="141"/>
    </row>
    <row r="716" spans="2:46" x14ac:dyDescent="0.3">
      <c r="B716" s="68" t="s">
        <v>125</v>
      </c>
      <c r="C716" s="54">
        <v>0</v>
      </c>
      <c r="D716" s="45">
        <v>0</v>
      </c>
      <c r="E716" s="42"/>
      <c r="F716" s="40"/>
      <c r="G716" s="42"/>
      <c r="H716" s="54">
        <v>14</v>
      </c>
      <c r="I716" s="54" t="s">
        <v>351</v>
      </c>
      <c r="J716" s="28"/>
      <c r="K716" s="40"/>
      <c r="X716" s="138" t="s">
        <v>230</v>
      </c>
      <c r="Y716" s="138">
        <v>0</v>
      </c>
      <c r="Z716" s="141">
        <v>0</v>
      </c>
      <c r="AA716" s="138"/>
      <c r="AB716" s="141"/>
      <c r="AC716" s="28"/>
      <c r="AD716" s="28"/>
      <c r="AE716" s="28"/>
      <c r="AF716" s="28"/>
      <c r="AG716" s="141"/>
    </row>
    <row r="717" spans="2:46" x14ac:dyDescent="0.3">
      <c r="B717" s="68" t="s">
        <v>132</v>
      </c>
      <c r="C717" s="54">
        <v>16</v>
      </c>
      <c r="D717" s="45">
        <v>9</v>
      </c>
      <c r="E717" s="42"/>
      <c r="F717" s="40"/>
      <c r="G717" s="42"/>
      <c r="H717" s="54">
        <v>5</v>
      </c>
      <c r="I717" s="54" t="s">
        <v>237</v>
      </c>
      <c r="J717" s="28"/>
      <c r="K717" s="40"/>
      <c r="X717" s="138" t="s">
        <v>67</v>
      </c>
      <c r="Y717" s="138">
        <v>153</v>
      </c>
      <c r="Z717" s="141">
        <v>139</v>
      </c>
      <c r="AA717" s="138"/>
      <c r="AB717" s="141"/>
      <c r="AC717" s="28"/>
      <c r="AD717" s="28"/>
      <c r="AE717" s="28"/>
      <c r="AF717" s="28"/>
      <c r="AG717" s="141"/>
    </row>
    <row r="718" spans="2:46" ht="15.6" x14ac:dyDescent="0.3">
      <c r="B718" s="41" t="s">
        <v>6</v>
      </c>
      <c r="E718" s="42"/>
      <c r="F718" s="40"/>
      <c r="G718" s="42"/>
      <c r="H718" s="54">
        <v>9</v>
      </c>
      <c r="I718" s="54" t="s">
        <v>555</v>
      </c>
      <c r="J718" s="28"/>
      <c r="K718" s="40"/>
      <c r="P718" s="1" t="s">
        <v>4</v>
      </c>
      <c r="X718" s="142" t="s">
        <v>84</v>
      </c>
      <c r="Y718" s="142">
        <f>SUM(Y705:Y717)</f>
        <v>297</v>
      </c>
      <c r="Z718" s="146">
        <f>SUM(Z705:Z717)</f>
        <v>220</v>
      </c>
      <c r="AA718" s="142"/>
      <c r="AB718" s="146">
        <v>0</v>
      </c>
      <c r="AC718" s="143"/>
      <c r="AD718" s="143"/>
      <c r="AE718" s="143"/>
      <c r="AF718" s="143"/>
      <c r="AG718" s="146">
        <f>SUM(AD710:AD712)</f>
        <v>90</v>
      </c>
    </row>
    <row r="719" spans="2:46" ht="15" thickBot="1" x14ac:dyDescent="0.35">
      <c r="B719" s="46" t="s">
        <v>84</v>
      </c>
      <c r="C719" s="48">
        <f>SUM(C703:C718)</f>
        <v>152</v>
      </c>
      <c r="D719" s="48">
        <f>SUM(D703:D718)</f>
        <v>154</v>
      </c>
      <c r="E719" s="47"/>
      <c r="F719" s="49"/>
      <c r="G719" s="47"/>
      <c r="H719" s="48">
        <v>3</v>
      </c>
      <c r="I719" s="48" t="s">
        <v>244</v>
      </c>
      <c r="J719" s="48"/>
      <c r="K719" s="49">
        <f>SUM(H704:H719)</f>
        <v>120</v>
      </c>
      <c r="Q719" t="s">
        <v>2</v>
      </c>
      <c r="X719" s="134"/>
      <c r="Y719" s="134"/>
      <c r="Z719" s="136"/>
      <c r="AA719" s="134"/>
      <c r="AB719" s="136"/>
      <c r="AC719" s="135"/>
      <c r="AD719" s="135"/>
      <c r="AE719" s="135"/>
      <c r="AF719" s="135"/>
      <c r="AG719" s="136"/>
    </row>
    <row r="720" spans="2:46" ht="15" thickBot="1" x14ac:dyDescent="0.35">
      <c r="B720" s="147" t="s">
        <v>84</v>
      </c>
      <c r="C720" s="147">
        <f>SUM(+C719+C702+C692+C677+C675)</f>
        <v>2147</v>
      </c>
      <c r="D720" s="148">
        <f>SUM(D719+D702+D692+D677+D675)</f>
        <v>2060</v>
      </c>
      <c r="E720" s="147"/>
      <c r="F720" s="148"/>
      <c r="G720" s="149" t="s">
        <v>247</v>
      </c>
      <c r="H720" s="149"/>
      <c r="I720" s="149"/>
      <c r="J720" s="149"/>
      <c r="K720" s="148">
        <f>SUM(K675:K719)</f>
        <v>381</v>
      </c>
      <c r="O720" t="s">
        <v>12</v>
      </c>
      <c r="X720" s="138" t="s">
        <v>63</v>
      </c>
      <c r="Y720" s="138">
        <v>0</v>
      </c>
      <c r="Z720" s="141">
        <v>0</v>
      </c>
      <c r="AA720" s="138"/>
      <c r="AB720" s="141"/>
      <c r="AC720" s="28"/>
      <c r="AD720" s="28"/>
      <c r="AE720" s="28"/>
      <c r="AF720" s="28"/>
      <c r="AG720" s="141"/>
    </row>
    <row r="721" spans="2:33" ht="15" thickTop="1" x14ac:dyDescent="0.3">
      <c r="Q721" t="s">
        <v>925</v>
      </c>
      <c r="V721" s="5"/>
      <c r="X721" s="138" t="s">
        <v>536</v>
      </c>
      <c r="Y721" s="138">
        <v>0</v>
      </c>
      <c r="Z721" s="141">
        <v>0</v>
      </c>
      <c r="AA721" s="138"/>
      <c r="AB721" s="141"/>
      <c r="AC721" s="28"/>
      <c r="AD721" s="28"/>
      <c r="AE721" s="28"/>
      <c r="AF721" s="28"/>
      <c r="AG721" s="141"/>
    </row>
    <row r="722" spans="2:33" ht="15" thickBot="1" x14ac:dyDescent="0.35">
      <c r="H722" t="s">
        <v>6</v>
      </c>
      <c r="U722" s="5" t="s">
        <v>26</v>
      </c>
      <c r="X722" s="138" t="s">
        <v>56</v>
      </c>
      <c r="Y722" s="138">
        <v>0</v>
      </c>
      <c r="Z722" s="141">
        <v>0</v>
      </c>
      <c r="AA722" s="138"/>
      <c r="AB722" s="141"/>
      <c r="AC722" s="28"/>
      <c r="AD722" s="28" t="s">
        <v>173</v>
      </c>
      <c r="AE722" s="28"/>
      <c r="AF722" s="28"/>
      <c r="AG722" s="141"/>
    </row>
    <row r="723" spans="2:33" x14ac:dyDescent="0.3">
      <c r="M723" s="6" t="s">
        <v>17</v>
      </c>
      <c r="N723" s="6" t="s">
        <v>39</v>
      </c>
      <c r="O723" s="7"/>
      <c r="P723" s="6" t="s">
        <v>29</v>
      </c>
      <c r="Q723" s="7" t="s">
        <v>30</v>
      </c>
      <c r="R723" s="8" t="s">
        <v>40</v>
      </c>
      <c r="S723" s="8"/>
      <c r="T723" s="8"/>
      <c r="U723" s="8"/>
      <c r="V723" s="7"/>
      <c r="X723" s="138" t="s">
        <v>67</v>
      </c>
      <c r="Y723" s="138">
        <v>0</v>
      </c>
      <c r="Z723" s="141">
        <v>8</v>
      </c>
      <c r="AA723" s="138"/>
      <c r="AB723" s="141"/>
      <c r="AC723" s="28"/>
      <c r="AD723" s="28"/>
      <c r="AE723" s="28"/>
      <c r="AF723" s="28"/>
      <c r="AG723" s="141"/>
    </row>
    <row r="724" spans="2:33" ht="15" thickBot="1" x14ac:dyDescent="0.35">
      <c r="M724" s="13" t="s">
        <v>42</v>
      </c>
      <c r="N724" s="13" t="s">
        <v>43</v>
      </c>
      <c r="O724" s="26" t="s">
        <v>44</v>
      </c>
      <c r="P724" s="13" t="s">
        <v>43</v>
      </c>
      <c r="Q724" s="26" t="s">
        <v>44</v>
      </c>
      <c r="R724" s="27"/>
      <c r="S724" s="27"/>
      <c r="T724" s="27"/>
      <c r="U724" s="27"/>
      <c r="V724" s="26"/>
      <c r="X724" s="138" t="s">
        <v>78</v>
      </c>
      <c r="Y724" s="138">
        <v>0</v>
      </c>
      <c r="Z724" s="141">
        <v>0</v>
      </c>
      <c r="AA724" s="138"/>
      <c r="AB724" s="141"/>
      <c r="AC724" s="28"/>
      <c r="AD724" s="28">
        <v>1</v>
      </c>
      <c r="AE724" s="28" t="s">
        <v>183</v>
      </c>
      <c r="AF724" s="28"/>
      <c r="AG724" s="141"/>
    </row>
    <row r="725" spans="2:33" x14ac:dyDescent="0.3">
      <c r="M725" s="32" t="s">
        <v>6</v>
      </c>
      <c r="N725" s="43"/>
      <c r="O725" s="54"/>
      <c r="P725" s="33"/>
      <c r="Q725" s="35"/>
      <c r="R725" s="33"/>
      <c r="S725" s="34" t="s">
        <v>91</v>
      </c>
      <c r="T725" s="34"/>
      <c r="U725" s="34"/>
      <c r="V725" s="35"/>
      <c r="W725" s="28"/>
      <c r="X725" s="138" t="s">
        <v>115</v>
      </c>
      <c r="Y725" s="138">
        <v>0</v>
      </c>
      <c r="Z725" s="141">
        <v>0</v>
      </c>
      <c r="AA725" s="138"/>
      <c r="AB725" s="141"/>
      <c r="AC725" s="28"/>
      <c r="AD725" s="28" t="s">
        <v>6</v>
      </c>
      <c r="AE725" s="28"/>
      <c r="AF725" s="28"/>
      <c r="AG725" s="141"/>
    </row>
    <row r="726" spans="2:33" ht="15.6" x14ac:dyDescent="0.3">
      <c r="E726" s="1" t="s">
        <v>4</v>
      </c>
      <c r="M726" s="41" t="s">
        <v>56</v>
      </c>
      <c r="N726" s="43">
        <v>1234</v>
      </c>
      <c r="O726" s="54">
        <v>1279</v>
      </c>
      <c r="P726" s="42"/>
      <c r="Q726" s="40"/>
      <c r="R726" s="42"/>
      <c r="S726" s="28"/>
      <c r="T726" s="28"/>
      <c r="U726" s="28"/>
      <c r="V726" s="40"/>
      <c r="W726" s="28"/>
      <c r="X726" s="138" t="s">
        <v>72</v>
      </c>
      <c r="Y726" s="138">
        <v>0</v>
      </c>
      <c r="Z726" s="141">
        <v>0</v>
      </c>
      <c r="AA726" s="138"/>
      <c r="AB726" s="141"/>
      <c r="AC726" s="28"/>
      <c r="AD726" s="28"/>
      <c r="AE726" s="28"/>
      <c r="AF726" s="28"/>
      <c r="AG726" s="141"/>
    </row>
    <row r="727" spans="2:33" ht="15" thickBot="1" x14ac:dyDescent="0.35">
      <c r="F727" t="s">
        <v>2</v>
      </c>
      <c r="M727" s="62" t="s">
        <v>6</v>
      </c>
      <c r="N727" s="43"/>
      <c r="O727" s="43"/>
      <c r="P727" s="47"/>
      <c r="Q727" s="49"/>
      <c r="R727" s="47"/>
      <c r="S727" s="48">
        <v>95</v>
      </c>
      <c r="T727" s="48" t="s">
        <v>73</v>
      </c>
      <c r="U727" s="48"/>
      <c r="V727" s="49">
        <f>SUM(S727)</f>
        <v>95</v>
      </c>
      <c r="W727" s="28"/>
      <c r="X727" s="142" t="s">
        <v>84</v>
      </c>
      <c r="Y727" s="142">
        <f>SUM(Y720:Y726)</f>
        <v>0</v>
      </c>
      <c r="Z727" s="146">
        <f>SUM(Z720:Z726)</f>
        <v>8</v>
      </c>
      <c r="AA727" s="142"/>
      <c r="AB727" s="146"/>
      <c r="AC727" s="143"/>
      <c r="AD727" s="143"/>
      <c r="AE727" s="143"/>
      <c r="AF727" s="143"/>
      <c r="AG727" s="146">
        <f>SUM(AD724)</f>
        <v>1</v>
      </c>
    </row>
    <row r="728" spans="2:33" x14ac:dyDescent="0.3">
      <c r="D728" t="s">
        <v>12</v>
      </c>
      <c r="L728" t="s">
        <v>6</v>
      </c>
      <c r="M728" s="10"/>
      <c r="N728" s="29"/>
      <c r="O728" s="31"/>
      <c r="P728" s="33"/>
      <c r="Q728" s="7"/>
      <c r="R728" s="8"/>
      <c r="S728" s="8"/>
      <c r="T728" s="8"/>
      <c r="U728" s="8"/>
      <c r="V728" s="7"/>
      <c r="W728" s="28"/>
      <c r="X728" s="134"/>
      <c r="Y728" s="134"/>
      <c r="Z728" s="136"/>
      <c r="AA728" s="134"/>
      <c r="AB728" s="136"/>
      <c r="AC728" s="135"/>
      <c r="AD728" s="135" t="s">
        <v>140</v>
      </c>
      <c r="AE728" s="135"/>
      <c r="AF728" s="135"/>
      <c r="AG728" s="136"/>
    </row>
    <row r="729" spans="2:33" x14ac:dyDescent="0.3">
      <c r="F729" t="s">
        <v>619</v>
      </c>
      <c r="K729" s="5"/>
      <c r="M729" s="36" t="s">
        <v>63</v>
      </c>
      <c r="N729" s="10">
        <v>26</v>
      </c>
      <c r="O729" s="18">
        <v>27</v>
      </c>
      <c r="P729" s="42"/>
      <c r="Q729" s="11"/>
      <c r="R729" s="18"/>
      <c r="S729" s="18" t="s">
        <v>110</v>
      </c>
      <c r="T729" s="18" t="s">
        <v>111</v>
      </c>
      <c r="U729" s="18" t="s">
        <v>112</v>
      </c>
      <c r="V729" s="11"/>
      <c r="W729" s="28"/>
      <c r="X729" s="138" t="s">
        <v>63</v>
      </c>
      <c r="Y729" s="138">
        <f>2+5+1</f>
        <v>8</v>
      </c>
      <c r="Z729" s="141">
        <f>2+6+10</f>
        <v>18</v>
      </c>
      <c r="AA729" s="138"/>
      <c r="AB729" s="141"/>
      <c r="AC729" s="28"/>
      <c r="AD729" s="28">
        <v>1</v>
      </c>
      <c r="AE729" s="28" t="s">
        <v>1267</v>
      </c>
      <c r="AF729" s="28"/>
      <c r="AG729" s="141"/>
    </row>
    <row r="730" spans="2:33" ht="15" thickBot="1" x14ac:dyDescent="0.35">
      <c r="J730" s="5" t="s">
        <v>26</v>
      </c>
      <c r="M730" s="10" t="s">
        <v>115</v>
      </c>
      <c r="N730" s="36">
        <v>32</v>
      </c>
      <c r="O730" s="37">
        <v>37</v>
      </c>
      <c r="P730" s="42"/>
      <c r="Q730" s="11"/>
      <c r="R730" s="18"/>
      <c r="S730" s="18"/>
      <c r="T730" s="18"/>
      <c r="U730" s="18"/>
      <c r="V730" s="11"/>
      <c r="W730" s="28"/>
      <c r="X730" s="138" t="s">
        <v>78</v>
      </c>
      <c r="Y730" s="138">
        <f>8+3+7</f>
        <v>18</v>
      </c>
      <c r="Z730" s="141">
        <f>5+3+13</f>
        <v>21</v>
      </c>
      <c r="AA730" s="138"/>
      <c r="AB730" s="141"/>
      <c r="AC730" s="28"/>
      <c r="AD730" s="28">
        <v>1</v>
      </c>
      <c r="AE730" s="28" t="s">
        <v>471</v>
      </c>
      <c r="AF730" s="28"/>
      <c r="AG730" s="141"/>
    </row>
    <row r="731" spans="2:33" x14ac:dyDescent="0.3">
      <c r="B731" s="6" t="s">
        <v>17</v>
      </c>
      <c r="C731" s="6" t="s">
        <v>39</v>
      </c>
      <c r="D731" s="7"/>
      <c r="E731" s="6" t="s">
        <v>29</v>
      </c>
      <c r="F731" s="7" t="s">
        <v>30</v>
      </c>
      <c r="G731" s="8" t="s">
        <v>40</v>
      </c>
      <c r="H731" s="8"/>
      <c r="I731" s="8"/>
      <c r="J731" s="8"/>
      <c r="K731" s="7"/>
      <c r="M731" s="52" t="s">
        <v>72</v>
      </c>
      <c r="N731" s="52">
        <v>0</v>
      </c>
      <c r="O731" s="54">
        <v>0</v>
      </c>
      <c r="P731" s="42"/>
      <c r="Q731" s="40"/>
      <c r="R731" s="28"/>
      <c r="S731" s="28"/>
      <c r="T731" s="28"/>
      <c r="U731" s="28"/>
      <c r="V731" s="40"/>
      <c r="W731" s="28"/>
      <c r="X731" s="138" t="s">
        <v>209</v>
      </c>
      <c r="Y731" s="138">
        <v>0</v>
      </c>
      <c r="Z731" s="141">
        <v>0</v>
      </c>
      <c r="AA731" s="138"/>
      <c r="AB731" s="141"/>
      <c r="AC731" s="28"/>
      <c r="AD731" s="28">
        <v>3</v>
      </c>
      <c r="AE731" s="28" t="s">
        <v>1101</v>
      </c>
      <c r="AF731" s="28"/>
      <c r="AG731" s="141"/>
    </row>
    <row r="732" spans="2:33" ht="15" thickBot="1" x14ac:dyDescent="0.35">
      <c r="B732" s="13" t="s">
        <v>42</v>
      </c>
      <c r="C732" s="10" t="s">
        <v>43</v>
      </c>
      <c r="D732" s="11" t="s">
        <v>44</v>
      </c>
      <c r="E732" s="13" t="s">
        <v>43</v>
      </c>
      <c r="F732" s="26" t="s">
        <v>44</v>
      </c>
      <c r="G732" s="27"/>
      <c r="H732" s="27"/>
      <c r="I732" s="27"/>
      <c r="J732" s="27"/>
      <c r="K732" s="26"/>
      <c r="M732" s="36" t="s">
        <v>78</v>
      </c>
      <c r="N732" s="36">
        <v>29</v>
      </c>
      <c r="O732" s="37">
        <v>57</v>
      </c>
      <c r="P732" s="42"/>
      <c r="Q732" s="11"/>
      <c r="R732" s="18"/>
      <c r="S732" s="37"/>
      <c r="T732" s="18"/>
      <c r="U732" s="37"/>
      <c r="V732" s="11"/>
      <c r="W732" s="28"/>
      <c r="X732" s="138" t="s">
        <v>168</v>
      </c>
      <c r="Y732" s="138">
        <v>0</v>
      </c>
      <c r="Z732" s="141">
        <v>0</v>
      </c>
      <c r="AA732" s="138"/>
      <c r="AB732" s="141"/>
      <c r="AC732" s="28"/>
      <c r="AD732" s="28">
        <f>20+18+1+3</f>
        <v>42</v>
      </c>
      <c r="AE732" s="28" t="s">
        <v>213</v>
      </c>
      <c r="AF732" s="28"/>
      <c r="AG732" s="141"/>
    </row>
    <row r="733" spans="2:33" x14ac:dyDescent="0.3">
      <c r="B733" s="6" t="s">
        <v>56</v>
      </c>
      <c r="C733" s="29">
        <v>374</v>
      </c>
      <c r="D733" s="30">
        <v>461</v>
      </c>
      <c r="G733" s="6"/>
      <c r="H733" s="8"/>
      <c r="I733" s="31" t="s">
        <v>57</v>
      </c>
      <c r="J733" s="8"/>
      <c r="K733" s="7"/>
      <c r="L733" s="28"/>
      <c r="M733" s="10" t="s">
        <v>122</v>
      </c>
      <c r="N733" s="36">
        <v>26</v>
      </c>
      <c r="O733" s="37">
        <v>4</v>
      </c>
      <c r="P733" s="42"/>
      <c r="Q733" s="11"/>
      <c r="R733" s="18"/>
      <c r="S733" s="18">
        <v>32</v>
      </c>
      <c r="T733" s="18" t="s">
        <v>123</v>
      </c>
      <c r="U733" s="18"/>
      <c r="V733" s="11"/>
      <c r="W733" s="28"/>
      <c r="X733" s="138" t="s">
        <v>81</v>
      </c>
      <c r="Y733" s="138">
        <v>2</v>
      </c>
      <c r="Z733" s="141">
        <v>2</v>
      </c>
      <c r="AA733" s="138"/>
      <c r="AB733" s="141"/>
      <c r="AC733" s="28"/>
      <c r="AD733" s="43">
        <v>1</v>
      </c>
      <c r="AE733" s="28" t="s">
        <v>1272</v>
      </c>
      <c r="AF733" s="28"/>
      <c r="AG733" s="141"/>
    </row>
    <row r="734" spans="2:33" x14ac:dyDescent="0.3">
      <c r="B734" s="36" t="s">
        <v>63</v>
      </c>
      <c r="C734" s="36">
        <v>0</v>
      </c>
      <c r="D734" s="39">
        <v>0</v>
      </c>
      <c r="F734" s="18"/>
      <c r="G734" s="10"/>
      <c r="H734" s="18"/>
      <c r="I734" s="18"/>
      <c r="J734" s="18"/>
      <c r="K734" s="11"/>
      <c r="L734" s="28"/>
      <c r="M734" s="10" t="s">
        <v>125</v>
      </c>
      <c r="N734" s="36">
        <v>6</v>
      </c>
      <c r="O734" s="37">
        <v>2</v>
      </c>
      <c r="P734" s="42"/>
      <c r="Q734" s="11"/>
      <c r="R734" s="18"/>
      <c r="S734" s="18">
        <v>29</v>
      </c>
      <c r="T734" s="18" t="s">
        <v>126</v>
      </c>
      <c r="U734" s="18"/>
      <c r="V734" s="11"/>
      <c r="W734" s="28"/>
      <c r="X734" s="138" t="s">
        <v>72</v>
      </c>
      <c r="Y734" s="138">
        <f>2+4+9+1+12</f>
        <v>28</v>
      </c>
      <c r="Z734" s="141">
        <f>4+2+13+1+13</f>
        <v>33</v>
      </c>
      <c r="AA734" s="138"/>
      <c r="AB734" s="141"/>
      <c r="AC734" s="28"/>
      <c r="AD734" s="43">
        <v>11</v>
      </c>
      <c r="AE734" s="43" t="s">
        <v>655</v>
      </c>
      <c r="AF734" s="28"/>
      <c r="AG734" s="141"/>
    </row>
    <row r="735" spans="2:33" x14ac:dyDescent="0.3">
      <c r="B735" s="36" t="s">
        <v>67</v>
      </c>
      <c r="C735" s="36">
        <v>252</v>
      </c>
      <c r="D735" s="39">
        <v>275</v>
      </c>
      <c r="F735" s="18"/>
      <c r="G735" s="10"/>
      <c r="H735" s="37">
        <f>166/2</f>
        <v>83</v>
      </c>
      <c r="I735" s="37" t="s">
        <v>68</v>
      </c>
      <c r="J735" s="18"/>
      <c r="K735" s="11"/>
      <c r="L735" s="28"/>
      <c r="M735" s="84" t="s">
        <v>128</v>
      </c>
      <c r="N735" s="52">
        <v>0</v>
      </c>
      <c r="O735" s="37">
        <v>0</v>
      </c>
      <c r="P735" s="42"/>
      <c r="Q735" s="40"/>
      <c r="R735" s="28"/>
      <c r="S735" s="28">
        <v>37</v>
      </c>
      <c r="T735" s="28" t="s">
        <v>129</v>
      </c>
      <c r="U735" s="28"/>
      <c r="V735" s="40"/>
      <c r="W735" s="28"/>
      <c r="X735" s="138" t="s">
        <v>115</v>
      </c>
      <c r="Y735" s="138">
        <f>3+1</f>
        <v>4</v>
      </c>
      <c r="Z735" s="141">
        <f>3+5</f>
        <v>8</v>
      </c>
      <c r="AA735" s="138"/>
      <c r="AB735" s="141"/>
      <c r="AC735" s="28"/>
      <c r="AD735" s="43">
        <v>3</v>
      </c>
      <c r="AE735" s="43" t="s">
        <v>244</v>
      </c>
      <c r="AF735" s="28"/>
      <c r="AG735" s="141"/>
    </row>
    <row r="736" spans="2:33" x14ac:dyDescent="0.3">
      <c r="B736" s="36" t="s">
        <v>72</v>
      </c>
      <c r="C736" s="36">
        <v>10</v>
      </c>
      <c r="D736" s="39">
        <v>14</v>
      </c>
      <c r="F736" s="18"/>
      <c r="G736" s="10"/>
      <c r="H736" s="37"/>
      <c r="I736" s="37" t="s">
        <v>73</v>
      </c>
      <c r="J736" s="18"/>
      <c r="K736" s="11"/>
      <c r="L736" s="28"/>
      <c r="M736" s="84" t="s">
        <v>132</v>
      </c>
      <c r="N736" s="42">
        <v>0</v>
      </c>
      <c r="O736" s="37">
        <v>0</v>
      </c>
      <c r="P736" s="42"/>
      <c r="Q736" s="40"/>
      <c r="R736" s="28"/>
      <c r="S736" s="28"/>
      <c r="T736" s="28"/>
      <c r="U736" s="28"/>
      <c r="V736" s="40"/>
      <c r="W736" s="28"/>
      <c r="X736" s="138" t="s">
        <v>56</v>
      </c>
      <c r="Y736" s="138">
        <f>4+2+17+4</f>
        <v>27</v>
      </c>
      <c r="Z736" s="141">
        <f>5+2+5+3</f>
        <v>15</v>
      </c>
      <c r="AA736" s="138"/>
      <c r="AB736" s="141"/>
      <c r="AC736" s="28"/>
      <c r="AD736" s="43">
        <v>7</v>
      </c>
      <c r="AE736" s="43" t="s">
        <v>1112</v>
      </c>
      <c r="AF736" s="28"/>
      <c r="AG736" s="141"/>
    </row>
    <row r="737" spans="2:47" x14ac:dyDescent="0.3">
      <c r="B737" s="36" t="s">
        <v>78</v>
      </c>
      <c r="C737" s="36">
        <v>12</v>
      </c>
      <c r="D737" s="39"/>
      <c r="F737" s="18"/>
      <c r="G737" s="10"/>
      <c r="H737" s="37"/>
      <c r="I737" s="37"/>
      <c r="J737" s="18" t="s">
        <v>6</v>
      </c>
      <c r="K737" s="11"/>
      <c r="L737" s="28"/>
      <c r="M737" s="84" t="s">
        <v>81</v>
      </c>
      <c r="N737" s="42">
        <v>18</v>
      </c>
      <c r="O737" s="37">
        <v>55</v>
      </c>
      <c r="P737" s="42"/>
      <c r="Q737" s="40"/>
      <c r="R737" s="28"/>
      <c r="S737" s="28"/>
      <c r="T737" s="28"/>
      <c r="U737" s="28"/>
      <c r="V737" s="40"/>
      <c r="W737" s="45"/>
      <c r="X737" s="138" t="s">
        <v>138</v>
      </c>
      <c r="Y737" s="138">
        <v>0</v>
      </c>
      <c r="Z737" s="141">
        <v>0</v>
      </c>
      <c r="AA737" s="138"/>
      <c r="AB737" s="141"/>
      <c r="AC737" s="28"/>
      <c r="AD737" s="43">
        <v>2</v>
      </c>
      <c r="AE737" s="43" t="s">
        <v>1116</v>
      </c>
      <c r="AF737" s="28"/>
      <c r="AG737" s="141"/>
    </row>
    <row r="738" spans="2:47" x14ac:dyDescent="0.3">
      <c r="B738" s="52" t="s">
        <v>81</v>
      </c>
      <c r="C738" s="36">
        <v>0</v>
      </c>
      <c r="D738" s="39">
        <v>0</v>
      </c>
      <c r="G738" s="42"/>
      <c r="H738" s="28"/>
      <c r="I738" s="28"/>
      <c r="J738" s="28"/>
      <c r="K738" s="40"/>
      <c r="L738" s="28">
        <f>19/2</f>
        <v>9.5</v>
      </c>
      <c r="M738" s="10" t="s">
        <v>138</v>
      </c>
      <c r="N738" s="36">
        <v>0</v>
      </c>
      <c r="O738" s="37">
        <v>0</v>
      </c>
      <c r="P738" s="42"/>
      <c r="Q738" s="11"/>
      <c r="R738" s="18"/>
      <c r="S738" s="18"/>
      <c r="T738" s="18"/>
      <c r="U738" s="18"/>
      <c r="V738" s="11"/>
      <c r="W738" s="28"/>
      <c r="X738" s="138" t="s">
        <v>67</v>
      </c>
      <c r="Y738" s="138">
        <f>12+5+14</f>
        <v>31</v>
      </c>
      <c r="Z738" s="141">
        <f>23+6+33</f>
        <v>62</v>
      </c>
      <c r="AA738" s="138"/>
      <c r="AB738" s="141"/>
      <c r="AC738" s="28"/>
      <c r="AD738" s="43">
        <v>13</v>
      </c>
      <c r="AE738" s="43" t="s">
        <v>215</v>
      </c>
      <c r="AF738" s="28"/>
      <c r="AG738" s="141"/>
    </row>
    <row r="739" spans="2:47" x14ac:dyDescent="0.3">
      <c r="B739" s="52" t="s">
        <v>115</v>
      </c>
      <c r="C739" s="52">
        <v>0</v>
      </c>
      <c r="D739" s="86">
        <v>0</v>
      </c>
      <c r="G739" s="42"/>
      <c r="H739" s="28"/>
      <c r="I739" s="28"/>
      <c r="J739" s="28"/>
      <c r="K739" s="40"/>
      <c r="L739" s="28"/>
      <c r="M739" s="84" t="s">
        <v>56</v>
      </c>
      <c r="N739" s="42">
        <v>0</v>
      </c>
      <c r="O739" s="54">
        <v>0</v>
      </c>
      <c r="P739" s="42"/>
      <c r="Q739" s="40"/>
      <c r="R739" s="28"/>
      <c r="S739" s="28"/>
      <c r="T739" s="28"/>
      <c r="U739" s="28"/>
      <c r="V739" s="40"/>
      <c r="W739" s="28"/>
      <c r="X739" s="138" t="s">
        <v>122</v>
      </c>
      <c r="Y739" s="138">
        <v>0</v>
      </c>
      <c r="Z739" s="141">
        <v>0</v>
      </c>
      <c r="AA739" s="138"/>
      <c r="AB739" s="141"/>
      <c r="AC739" s="28"/>
      <c r="AD739" s="43">
        <v>10</v>
      </c>
      <c r="AE739" s="28" t="s">
        <v>967</v>
      </c>
      <c r="AF739" s="28"/>
      <c r="AG739" s="141"/>
      <c r="AK739" s="28"/>
      <c r="AL739" s="28"/>
      <c r="AM739" s="28"/>
      <c r="AN739" s="28"/>
      <c r="AO739" s="28"/>
      <c r="AP739" s="28"/>
      <c r="AQ739" s="43"/>
      <c r="AR739" s="43"/>
      <c r="AS739" s="28"/>
      <c r="AT739" s="28"/>
    </row>
    <row r="740" spans="2:47" ht="15" thickBot="1" x14ac:dyDescent="0.35">
      <c r="B740" s="13" t="s">
        <v>84</v>
      </c>
      <c r="C740" s="13">
        <f>SUM(C733:C739)</f>
        <v>648</v>
      </c>
      <c r="D740" s="26">
        <f>SUM(D733:D739)</f>
        <v>750</v>
      </c>
      <c r="F740" s="18"/>
      <c r="G740" s="13"/>
      <c r="H740" s="27"/>
      <c r="I740" s="27"/>
      <c r="J740" s="27"/>
      <c r="K740" s="26">
        <f>SUM(H735:H736)</f>
        <v>83</v>
      </c>
      <c r="L740" s="28"/>
      <c r="M740" s="36" t="s">
        <v>67</v>
      </c>
      <c r="N740" s="10">
        <v>100</v>
      </c>
      <c r="O740" s="18">
        <v>87</v>
      </c>
      <c r="P740" s="42"/>
      <c r="Q740" s="11"/>
      <c r="R740" s="18"/>
      <c r="S740" s="18"/>
      <c r="T740" s="18"/>
      <c r="U740" s="18"/>
      <c r="V740" s="11"/>
      <c r="W740" s="28"/>
      <c r="X740" s="138" t="s">
        <v>227</v>
      </c>
      <c r="Y740" s="138">
        <v>0</v>
      </c>
      <c r="Z740" s="141">
        <v>0</v>
      </c>
      <c r="AA740" s="138"/>
      <c r="AB740" s="141"/>
      <c r="AC740" s="28"/>
      <c r="AD740" s="43">
        <v>1</v>
      </c>
      <c r="AE740" s="28" t="s">
        <v>1117</v>
      </c>
      <c r="AF740" s="28"/>
      <c r="AG740" s="141"/>
      <c r="AK740" s="28"/>
      <c r="AL740" s="28"/>
      <c r="AM740" s="28"/>
      <c r="AN740" s="28"/>
      <c r="AO740" s="28"/>
      <c r="AP740" s="28"/>
      <c r="AQ740" s="43"/>
      <c r="AR740" s="43"/>
      <c r="AS740" s="28"/>
      <c r="AT740" s="28"/>
    </row>
    <row r="741" spans="2:47" ht="15" thickBot="1" x14ac:dyDescent="0.35">
      <c r="B741" s="32" t="s">
        <v>6</v>
      </c>
      <c r="C741" s="43"/>
      <c r="D741" s="54"/>
      <c r="E741" s="33"/>
      <c r="F741" s="35"/>
      <c r="G741" s="33"/>
      <c r="H741" s="34" t="s">
        <v>91</v>
      </c>
      <c r="I741" s="34"/>
      <c r="J741" s="34"/>
      <c r="K741" s="35"/>
      <c r="L741" s="28" t="s">
        <v>6</v>
      </c>
      <c r="M741" s="13" t="s">
        <v>84</v>
      </c>
      <c r="N741" s="13">
        <f>SUM(N729:N740)</f>
        <v>237</v>
      </c>
      <c r="O741" s="27">
        <f>SUM(O729:O740)</f>
        <v>269</v>
      </c>
      <c r="P741" s="47"/>
      <c r="Q741" s="26">
        <f>SUM(Q733:Q740)</f>
        <v>0</v>
      </c>
      <c r="R741" s="27"/>
      <c r="S741" s="27"/>
      <c r="T741" s="27"/>
      <c r="U741" s="27"/>
      <c r="V741" s="26">
        <f>SUM(S733:S735)</f>
        <v>98</v>
      </c>
      <c r="W741" s="28"/>
      <c r="X741" s="138" t="s">
        <v>230</v>
      </c>
      <c r="Y741" s="138">
        <f>2+1+3+3</f>
        <v>9</v>
      </c>
      <c r="Z741" s="141">
        <f>2+1+7</f>
        <v>10</v>
      </c>
      <c r="AA741" s="138"/>
      <c r="AB741" s="141"/>
      <c r="AC741" s="28"/>
      <c r="AD741" s="43">
        <v>1</v>
      </c>
      <c r="AE741" s="43" t="s">
        <v>1281</v>
      </c>
      <c r="AF741" s="28"/>
      <c r="AG741" s="141"/>
      <c r="AN741" t="s">
        <v>4</v>
      </c>
    </row>
    <row r="742" spans="2:47" x14ac:dyDescent="0.3">
      <c r="B742" s="41" t="s">
        <v>56</v>
      </c>
      <c r="C742" s="43">
        <v>1057</v>
      </c>
      <c r="D742" s="54">
        <v>1057</v>
      </c>
      <c r="E742" s="42"/>
      <c r="F742" s="40"/>
      <c r="G742" s="42"/>
      <c r="H742" s="28"/>
      <c r="I742" s="28"/>
      <c r="J742" s="28"/>
      <c r="K742" s="40"/>
      <c r="L742" s="28"/>
      <c r="M742" s="32"/>
      <c r="N742" s="53"/>
      <c r="O742" s="97"/>
      <c r="P742" s="33"/>
      <c r="Q742" s="7"/>
      <c r="R742" s="6"/>
      <c r="S742" s="8"/>
      <c r="T742" s="31"/>
      <c r="U742" s="8"/>
      <c r="V742" s="7"/>
      <c r="W742" s="28"/>
      <c r="X742" s="138" t="s">
        <v>125</v>
      </c>
      <c r="Y742" s="138">
        <v>0</v>
      </c>
      <c r="Z742" s="141">
        <v>0</v>
      </c>
      <c r="AA742" s="138"/>
      <c r="AB742" s="141"/>
      <c r="AC742" s="28"/>
      <c r="AD742" s="43">
        <v>16</v>
      </c>
      <c r="AE742" s="43" t="s">
        <v>1282</v>
      </c>
      <c r="AF742" s="28"/>
      <c r="AG742" s="141"/>
      <c r="AO742" t="s">
        <v>2</v>
      </c>
    </row>
    <row r="743" spans="2:47" ht="15" thickBot="1" x14ac:dyDescent="0.35">
      <c r="B743" s="62" t="s">
        <v>6</v>
      </c>
      <c r="C743" s="43"/>
      <c r="D743" s="43"/>
      <c r="E743" s="47"/>
      <c r="F743" s="49"/>
      <c r="G743" s="47"/>
      <c r="H743" s="48">
        <v>83</v>
      </c>
      <c r="I743" s="48" t="s">
        <v>73</v>
      </c>
      <c r="J743" s="48"/>
      <c r="K743" s="49">
        <f>SUM(H743)</f>
        <v>83</v>
      </c>
      <c r="L743" s="28" t="s">
        <v>6</v>
      </c>
      <c r="M743" s="62"/>
      <c r="N743" s="72"/>
      <c r="O743" s="73"/>
      <c r="P743" s="47"/>
      <c r="Q743" s="49"/>
      <c r="R743" s="47"/>
      <c r="S743" s="48"/>
      <c r="T743" s="48"/>
      <c r="U743" s="48"/>
      <c r="V743" s="49"/>
      <c r="X743" s="138" t="s">
        <v>132</v>
      </c>
      <c r="Y743" s="138">
        <v>0</v>
      </c>
      <c r="Z743" s="141">
        <v>0</v>
      </c>
      <c r="AA743" s="138" t="s">
        <v>6</v>
      </c>
      <c r="AB743" s="141"/>
      <c r="AC743" s="28"/>
      <c r="AD743" s="43">
        <v>4</v>
      </c>
      <c r="AE743" s="43" t="s">
        <v>1204</v>
      </c>
      <c r="AF743" s="28"/>
      <c r="AG743" s="141"/>
      <c r="AM743" t="s">
        <v>12</v>
      </c>
    </row>
    <row r="744" spans="2:47" x14ac:dyDescent="0.3">
      <c r="B744" s="10"/>
      <c r="C744" s="29"/>
      <c r="D744" s="31"/>
      <c r="E744" s="33"/>
      <c r="F744" s="7"/>
      <c r="G744" s="8"/>
      <c r="H744" s="8"/>
      <c r="I744" s="8"/>
      <c r="J744" s="8"/>
      <c r="K744" s="7"/>
      <c r="L744" s="28"/>
      <c r="M744" s="67" t="s">
        <v>63</v>
      </c>
      <c r="N744" s="33">
        <v>5</v>
      </c>
      <c r="O744" s="35">
        <v>4</v>
      </c>
      <c r="R744" s="33"/>
      <c r="S744" s="34"/>
      <c r="T744" s="34"/>
      <c r="U744" s="34"/>
      <c r="V744" s="35"/>
      <c r="W744" s="28"/>
      <c r="X744" s="138" t="s">
        <v>992</v>
      </c>
      <c r="Y744" s="138">
        <v>0</v>
      </c>
      <c r="Z744" s="141">
        <v>0</v>
      </c>
      <c r="AA744" s="138"/>
      <c r="AB744" s="141"/>
      <c r="AC744" s="28"/>
      <c r="AD744" s="43">
        <v>4</v>
      </c>
      <c r="AE744" s="28" t="s">
        <v>228</v>
      </c>
      <c r="AF744" s="28"/>
      <c r="AG744" s="141"/>
      <c r="AN744" s="408" t="s">
        <v>1807</v>
      </c>
      <c r="AO744" s="408"/>
      <c r="AP744" s="408"/>
      <c r="AU744" s="28"/>
    </row>
    <row r="745" spans="2:47" ht="15" thickBot="1" x14ac:dyDescent="0.35">
      <c r="B745" s="36" t="s">
        <v>63</v>
      </c>
      <c r="C745" s="10">
        <v>10</v>
      </c>
      <c r="D745" s="18">
        <v>8</v>
      </c>
      <c r="E745" s="42"/>
      <c r="F745" s="11"/>
      <c r="G745" s="18"/>
      <c r="H745" s="18" t="s">
        <v>110</v>
      </c>
      <c r="I745" s="18" t="s">
        <v>111</v>
      </c>
      <c r="J745" s="18" t="s">
        <v>112</v>
      </c>
      <c r="K745" s="11"/>
      <c r="L745" s="45"/>
      <c r="M745" s="67" t="s">
        <v>716</v>
      </c>
      <c r="N745" s="42">
        <v>0</v>
      </c>
      <c r="O745" s="40">
        <v>0</v>
      </c>
      <c r="R745" s="42"/>
      <c r="S745" s="28"/>
      <c r="T745" s="28"/>
      <c r="U745" s="28"/>
      <c r="V745" s="40"/>
      <c r="W745" s="28"/>
      <c r="X745" s="138" t="s">
        <v>84</v>
      </c>
      <c r="Y745" s="138">
        <f>SUM(Y729:Y744)</f>
        <v>127</v>
      </c>
      <c r="Z745" s="141">
        <f>SUM(Z729:Z744)</f>
        <v>169</v>
      </c>
      <c r="AA745" s="138"/>
      <c r="AB745" s="141"/>
      <c r="AC745" s="28"/>
      <c r="AD745" s="43">
        <v>5</v>
      </c>
      <c r="AE745" s="28" t="s">
        <v>1283</v>
      </c>
      <c r="AF745" s="28"/>
      <c r="AG745" s="141">
        <f>SUM(AD730:AD745)</f>
        <v>124</v>
      </c>
      <c r="AS745" s="194" t="s">
        <v>951</v>
      </c>
      <c r="AU745" s="28"/>
    </row>
    <row r="746" spans="2:47" ht="15" thickBot="1" x14ac:dyDescent="0.35">
      <c r="B746" s="10" t="s">
        <v>115</v>
      </c>
      <c r="C746" s="36">
        <v>62</v>
      </c>
      <c r="D746" s="37">
        <v>41</v>
      </c>
      <c r="E746" s="42"/>
      <c r="F746" s="11"/>
      <c r="G746" s="18"/>
      <c r="H746" s="18"/>
      <c r="I746" s="18"/>
      <c r="J746" s="18"/>
      <c r="K746" s="11"/>
      <c r="L746" s="28"/>
      <c r="M746" s="52" t="s">
        <v>56</v>
      </c>
      <c r="N746" s="52">
        <v>4</v>
      </c>
      <c r="O746" s="85">
        <v>5</v>
      </c>
      <c r="P746" s="28"/>
      <c r="Q746" s="28"/>
      <c r="R746" s="42"/>
      <c r="S746" s="28" t="s">
        <v>173</v>
      </c>
      <c r="T746" s="28"/>
      <c r="U746" s="28"/>
      <c r="V746" s="40"/>
      <c r="W746" s="28"/>
      <c r="X746" s="171" t="s">
        <v>84</v>
      </c>
      <c r="Y746" s="207">
        <f>SUM(Y745+Y727+Y718+Y703)</f>
        <v>1933</v>
      </c>
      <c r="Z746" s="207">
        <f>SUM(Z745+Z727+Z718+Z703)</f>
        <v>1994</v>
      </c>
      <c r="AA746" s="207"/>
      <c r="AB746" s="208"/>
      <c r="AC746" s="170"/>
      <c r="AD746" s="170"/>
      <c r="AE746" s="170"/>
      <c r="AF746" s="170"/>
      <c r="AG746" s="172">
        <f>SUM(AG703:AG745)</f>
        <v>324</v>
      </c>
      <c r="AK746" s="134" t="s">
        <v>17</v>
      </c>
      <c r="AL746" s="134" t="s">
        <v>39</v>
      </c>
      <c r="AM746" s="136"/>
      <c r="AN746" s="134" t="s">
        <v>29</v>
      </c>
      <c r="AO746" s="136" t="s">
        <v>30</v>
      </c>
      <c r="AP746" s="135" t="s">
        <v>40</v>
      </c>
      <c r="AQ746" s="135"/>
      <c r="AR746" s="135"/>
      <c r="AS746" s="135"/>
      <c r="AT746" s="136"/>
      <c r="AU746" s="28"/>
    </row>
    <row r="747" spans="2:47" x14ac:dyDescent="0.3">
      <c r="B747" s="52" t="s">
        <v>72</v>
      </c>
      <c r="C747" s="52">
        <v>0</v>
      </c>
      <c r="D747" s="54">
        <v>0</v>
      </c>
      <c r="E747" s="42"/>
      <c r="F747" s="40"/>
      <c r="G747" s="28"/>
      <c r="H747" s="28"/>
      <c r="I747" s="28"/>
      <c r="J747" s="28"/>
      <c r="K747" s="40"/>
      <c r="L747" s="28"/>
      <c r="M747" s="52" t="s">
        <v>67</v>
      </c>
      <c r="N747" s="52">
        <v>3</v>
      </c>
      <c r="O747" s="56">
        <v>5</v>
      </c>
      <c r="R747" s="42"/>
      <c r="S747" s="28"/>
      <c r="T747" s="28" t="s">
        <v>213</v>
      </c>
      <c r="U747" s="28"/>
      <c r="V747" s="40"/>
      <c r="W747" s="28"/>
      <c r="AK747" s="138" t="s">
        <v>42</v>
      </c>
      <c r="AL747" s="138" t="s">
        <v>43</v>
      </c>
      <c r="AM747" s="141" t="s">
        <v>44</v>
      </c>
      <c r="AN747" s="138" t="s">
        <v>43</v>
      </c>
      <c r="AO747" s="141" t="s">
        <v>44</v>
      </c>
      <c r="AP747" s="28"/>
      <c r="AQ747" s="28"/>
      <c r="AR747" s="28"/>
      <c r="AS747" s="28"/>
      <c r="AT747" s="141"/>
      <c r="AU747" s="28"/>
    </row>
    <row r="748" spans="2:47" x14ac:dyDescent="0.3">
      <c r="B748" s="36" t="s">
        <v>78</v>
      </c>
      <c r="C748" s="36">
        <v>56</v>
      </c>
      <c r="D748" s="37">
        <v>9</v>
      </c>
      <c r="E748" s="42"/>
      <c r="F748" s="11"/>
      <c r="G748" s="18"/>
      <c r="H748" s="37"/>
      <c r="I748" s="18"/>
      <c r="J748" s="37"/>
      <c r="K748" s="11"/>
      <c r="L748" s="28"/>
      <c r="M748" s="10" t="s">
        <v>78</v>
      </c>
      <c r="N748" s="52">
        <v>4</v>
      </c>
      <c r="O748" s="85">
        <v>2</v>
      </c>
      <c r="P748" s="28"/>
      <c r="Q748" s="28"/>
      <c r="R748" s="42"/>
      <c r="S748" s="28">
        <v>18</v>
      </c>
      <c r="T748" s="28" t="s">
        <v>183</v>
      </c>
      <c r="U748" s="28"/>
      <c r="V748" s="40"/>
      <c r="W748" s="28"/>
      <c r="AK748" s="134"/>
      <c r="AL748" s="134"/>
      <c r="AM748" s="136"/>
      <c r="AN748" s="134"/>
      <c r="AO748" s="136"/>
      <c r="AP748" s="135"/>
      <c r="AQ748" s="135" t="s">
        <v>91</v>
      </c>
      <c r="AR748" s="135"/>
      <c r="AS748" s="135"/>
      <c r="AT748" s="136"/>
      <c r="AU748" s="28"/>
    </row>
    <row r="749" spans="2:47" x14ac:dyDescent="0.3">
      <c r="B749" s="10" t="s">
        <v>122</v>
      </c>
      <c r="C749" s="36">
        <v>0</v>
      </c>
      <c r="D749" s="37">
        <v>4</v>
      </c>
      <c r="E749" s="42"/>
      <c r="F749" s="11"/>
      <c r="G749" s="18"/>
      <c r="H749" s="18">
        <v>40</v>
      </c>
      <c r="I749" s="18" t="s">
        <v>123</v>
      </c>
      <c r="J749" s="18"/>
      <c r="K749" s="11"/>
      <c r="L749" s="28"/>
      <c r="M749" s="52" t="s">
        <v>115</v>
      </c>
      <c r="N749" s="52">
        <v>0</v>
      </c>
      <c r="O749" s="85">
        <v>0</v>
      </c>
      <c r="P749" s="28"/>
      <c r="Q749" s="28"/>
      <c r="R749" s="42"/>
      <c r="S749" s="28" t="s">
        <v>6</v>
      </c>
      <c r="T749" s="28"/>
      <c r="U749" s="28"/>
      <c r="V749" s="40"/>
      <c r="W749" s="28"/>
      <c r="AK749" s="138"/>
      <c r="AL749" s="138"/>
      <c r="AM749" s="141"/>
      <c r="AN749" s="138"/>
      <c r="AO749" s="141"/>
      <c r="AP749" s="28"/>
      <c r="AQ749" s="28">
        <v>38</v>
      </c>
      <c r="AR749" s="28" t="s">
        <v>1026</v>
      </c>
      <c r="AS749" s="28"/>
      <c r="AT749" s="141"/>
      <c r="AU749" s="28"/>
    </row>
    <row r="750" spans="2:47" x14ac:dyDescent="0.3">
      <c r="B750" s="10" t="s">
        <v>125</v>
      </c>
      <c r="C750" s="36">
        <v>0</v>
      </c>
      <c r="D750" s="37">
        <v>0</v>
      </c>
      <c r="E750" s="42"/>
      <c r="F750" s="11"/>
      <c r="G750" s="18"/>
      <c r="H750" s="18">
        <v>12</v>
      </c>
      <c r="I750" s="18" t="s">
        <v>126</v>
      </c>
      <c r="J750" s="18"/>
      <c r="K750" s="11"/>
      <c r="L750" s="28"/>
      <c r="M750" s="52" t="s">
        <v>72</v>
      </c>
      <c r="N750" s="52">
        <v>1</v>
      </c>
      <c r="O750" s="85">
        <v>1</v>
      </c>
      <c r="R750" s="42"/>
      <c r="S750" s="28"/>
      <c r="T750" s="28"/>
      <c r="U750" s="28"/>
      <c r="V750" s="40"/>
      <c r="W750" s="28"/>
      <c r="AK750" s="138" t="s">
        <v>56</v>
      </c>
      <c r="AL750" s="138">
        <v>1265</v>
      </c>
      <c r="AM750" s="141">
        <v>1324</v>
      </c>
      <c r="AN750" s="138">
        <v>0</v>
      </c>
      <c r="AO750" s="141">
        <v>0</v>
      </c>
      <c r="AP750" s="28"/>
      <c r="AQ750" s="43">
        <v>1</v>
      </c>
      <c r="AR750" s="28" t="s">
        <v>1292</v>
      </c>
      <c r="AS750" s="43"/>
      <c r="AT750" s="141"/>
      <c r="AU750" s="28"/>
    </row>
    <row r="751" spans="2:47" ht="15" thickBot="1" x14ac:dyDescent="0.35">
      <c r="B751" s="84" t="s">
        <v>128</v>
      </c>
      <c r="C751" s="52">
        <v>0</v>
      </c>
      <c r="D751" s="37">
        <v>0</v>
      </c>
      <c r="E751" s="42"/>
      <c r="F751" s="40"/>
      <c r="G751" s="28"/>
      <c r="H751" s="28">
        <v>12</v>
      </c>
      <c r="I751" s="28" t="s">
        <v>129</v>
      </c>
      <c r="J751" s="28"/>
      <c r="K751" s="40"/>
      <c r="M751" s="52" t="s">
        <v>84</v>
      </c>
      <c r="N751" s="47">
        <f>SUM(N744:N750)</f>
        <v>17</v>
      </c>
      <c r="O751" s="49">
        <f>SUM(O744:O750)</f>
        <v>17</v>
      </c>
      <c r="P751" s="28"/>
      <c r="Q751" s="28"/>
      <c r="R751" s="47"/>
      <c r="S751" s="48"/>
      <c r="T751" s="48"/>
      <c r="U751" s="48"/>
      <c r="V751" s="49">
        <f>SUM(S748)</f>
        <v>18</v>
      </c>
      <c r="W751" s="28"/>
      <c r="AK751" s="142" t="s">
        <v>6</v>
      </c>
      <c r="AL751" s="142"/>
      <c r="AM751" s="146"/>
      <c r="AN751" s="142"/>
      <c r="AO751" s="146"/>
      <c r="AP751" s="143"/>
      <c r="AQ751" s="143">
        <v>0</v>
      </c>
      <c r="AR751" s="143" t="s">
        <v>1747</v>
      </c>
      <c r="AS751" s="143"/>
      <c r="AT751" s="146">
        <v>39</v>
      </c>
      <c r="AU751" s="28"/>
    </row>
    <row r="752" spans="2:47" x14ac:dyDescent="0.3">
      <c r="B752" s="84" t="s">
        <v>132</v>
      </c>
      <c r="C752" s="42">
        <v>0</v>
      </c>
      <c r="D752" s="37">
        <v>0</v>
      </c>
      <c r="E752" s="42"/>
      <c r="F752" s="40"/>
      <c r="G752" s="28"/>
      <c r="H752" s="28"/>
      <c r="I752" s="28"/>
      <c r="J752" s="28"/>
      <c r="K752" s="40"/>
      <c r="L752" s="28"/>
      <c r="M752" s="32" t="s">
        <v>63</v>
      </c>
      <c r="N752" s="123">
        <f>6+1+6</f>
        <v>13</v>
      </c>
      <c r="O752" s="123">
        <f>7+2+7</f>
        <v>16</v>
      </c>
      <c r="P752" s="33"/>
      <c r="Q752" s="7"/>
      <c r="R752" s="6"/>
      <c r="S752" s="34" t="s">
        <v>140</v>
      </c>
      <c r="T752" s="8"/>
      <c r="U752" s="8"/>
      <c r="V752" s="7"/>
      <c r="W752" s="28"/>
      <c r="AK752" s="134"/>
      <c r="AL752" s="134"/>
      <c r="AM752" s="136"/>
      <c r="AN752" s="134"/>
      <c r="AO752" s="136"/>
      <c r="AP752" s="135"/>
      <c r="AQ752" s="135"/>
      <c r="AR752" s="135"/>
      <c r="AS752" s="135"/>
      <c r="AT752" s="136"/>
      <c r="AU752" s="28"/>
    </row>
    <row r="753" spans="1:47" x14ac:dyDescent="0.3">
      <c r="B753" s="84" t="s">
        <v>81</v>
      </c>
      <c r="C753" s="42">
        <v>10</v>
      </c>
      <c r="D753" s="37">
        <v>10</v>
      </c>
      <c r="E753" s="42"/>
      <c r="F753" s="40"/>
      <c r="G753" s="28"/>
      <c r="H753" s="28"/>
      <c r="I753" s="28"/>
      <c r="J753" s="28"/>
      <c r="K753" s="40"/>
      <c r="L753" s="28"/>
      <c r="M753" s="44" t="s">
        <v>78</v>
      </c>
      <c r="N753" s="37">
        <f>4+16</f>
        <v>20</v>
      </c>
      <c r="O753" s="37">
        <f>3+2+7</f>
        <v>12</v>
      </c>
      <c r="P753" s="42"/>
      <c r="Q753" s="11"/>
      <c r="R753" s="10"/>
      <c r="S753" s="37">
        <v>32</v>
      </c>
      <c r="T753" s="37" t="s">
        <v>215</v>
      </c>
      <c r="U753" s="18"/>
      <c r="V753" s="11"/>
      <c r="W753" s="28"/>
      <c r="AK753" s="138"/>
      <c r="AL753" s="138"/>
      <c r="AM753" s="141"/>
      <c r="AN753" s="138"/>
      <c r="AO753" s="141"/>
      <c r="AP753" s="28"/>
      <c r="AQ753" s="28" t="s">
        <v>110</v>
      </c>
      <c r="AR753" s="28" t="s">
        <v>111</v>
      </c>
      <c r="AS753" s="28" t="s">
        <v>112</v>
      </c>
      <c r="AT753" s="141"/>
      <c r="AU753" s="28"/>
    </row>
    <row r="754" spans="1:47" x14ac:dyDescent="0.3">
      <c r="B754" s="10" t="s">
        <v>138</v>
      </c>
      <c r="C754" s="36">
        <v>1</v>
      </c>
      <c r="D754" s="37">
        <v>1</v>
      </c>
      <c r="E754" s="42"/>
      <c r="F754" s="11"/>
      <c r="G754" s="18"/>
      <c r="H754" s="18"/>
      <c r="I754" s="18"/>
      <c r="J754" s="18"/>
      <c r="K754" s="11"/>
      <c r="L754" s="28"/>
      <c r="M754" s="125" t="s">
        <v>209</v>
      </c>
      <c r="N754" s="54">
        <v>0</v>
      </c>
      <c r="O754" s="54">
        <v>0</v>
      </c>
      <c r="P754" s="42"/>
      <c r="Q754" s="40"/>
      <c r="R754" s="42"/>
      <c r="S754" s="28">
        <v>4</v>
      </c>
      <c r="T754" s="28" t="s">
        <v>210</v>
      </c>
      <c r="U754" s="28"/>
      <c r="V754" s="96"/>
      <c r="W754" s="28"/>
      <c r="AK754" s="138" t="s">
        <v>56</v>
      </c>
      <c r="AL754" s="138">
        <v>3</v>
      </c>
      <c r="AM754" s="141">
        <v>3</v>
      </c>
      <c r="AN754" s="138">
        <v>0</v>
      </c>
      <c r="AO754" s="141">
        <v>0</v>
      </c>
      <c r="AP754" s="43"/>
      <c r="AQ754" s="28"/>
      <c r="AR754" s="28"/>
      <c r="AS754" s="28"/>
      <c r="AT754" s="141"/>
      <c r="AU754" s="28"/>
    </row>
    <row r="755" spans="1:47" x14ac:dyDescent="0.3">
      <c r="B755" s="84" t="s">
        <v>56</v>
      </c>
      <c r="C755" s="42">
        <v>3</v>
      </c>
      <c r="D755" s="54">
        <v>8</v>
      </c>
      <c r="E755" s="42"/>
      <c r="F755" s="40"/>
      <c r="G755" s="28"/>
      <c r="H755" s="28"/>
      <c r="I755" s="28"/>
      <c r="J755" s="28"/>
      <c r="K755" s="40"/>
      <c r="L755" s="28"/>
      <c r="M755" s="44" t="s">
        <v>168</v>
      </c>
      <c r="N755" s="54">
        <v>0</v>
      </c>
      <c r="O755" s="54">
        <v>0</v>
      </c>
      <c r="P755" s="42"/>
      <c r="Q755" s="11"/>
      <c r="R755" s="10"/>
      <c r="S755" s="37">
        <v>7</v>
      </c>
      <c r="T755" s="37" t="s">
        <v>213</v>
      </c>
      <c r="U755" s="18" t="s">
        <v>6</v>
      </c>
      <c r="V755" s="11"/>
      <c r="W755" s="28"/>
      <c r="AK755" s="138" t="s">
        <v>72</v>
      </c>
      <c r="AL755" s="138">
        <v>23</v>
      </c>
      <c r="AM755" s="141">
        <v>13</v>
      </c>
      <c r="AN755" s="138">
        <v>0</v>
      </c>
      <c r="AO755" s="141">
        <v>0</v>
      </c>
      <c r="AP755" s="28"/>
      <c r="AQ755" s="43"/>
      <c r="AR755" s="28"/>
      <c r="AS755" s="28"/>
      <c r="AT755" s="141"/>
      <c r="AU755" s="28"/>
    </row>
    <row r="756" spans="1:47" x14ac:dyDescent="0.3">
      <c r="B756" s="36" t="s">
        <v>67</v>
      </c>
      <c r="C756" s="10">
        <v>45</v>
      </c>
      <c r="D756" s="18">
        <v>31</v>
      </c>
      <c r="E756" s="42"/>
      <c r="F756" s="11"/>
      <c r="G756" s="18"/>
      <c r="H756" s="18"/>
      <c r="I756" s="18"/>
      <c r="J756" s="18"/>
      <c r="K756" s="11"/>
      <c r="L756" s="28"/>
      <c r="M756" s="125" t="s">
        <v>81</v>
      </c>
      <c r="N756" s="54">
        <f>4+11+4</f>
        <v>19</v>
      </c>
      <c r="O756" s="54">
        <f>12+10+12</f>
        <v>34</v>
      </c>
      <c r="P756" s="42"/>
      <c r="Q756" s="40"/>
      <c r="R756" s="42"/>
      <c r="S756" s="54"/>
      <c r="T756" s="128" t="s">
        <v>217</v>
      </c>
      <c r="U756" s="28"/>
      <c r="V756" s="40" t="s">
        <v>6</v>
      </c>
      <c r="W756" s="37"/>
      <c r="AK756" s="138" t="s">
        <v>78</v>
      </c>
      <c r="AL756" s="138">
        <v>6</v>
      </c>
      <c r="AM756" s="141">
        <v>9</v>
      </c>
      <c r="AN756" s="138">
        <v>0</v>
      </c>
      <c r="AO756" s="141">
        <v>0</v>
      </c>
      <c r="AP756" s="28"/>
      <c r="AQ756" s="28"/>
      <c r="AR756" s="28"/>
      <c r="AS756" s="28"/>
      <c r="AT756" s="141"/>
      <c r="AU756" s="28"/>
    </row>
    <row r="757" spans="1:47" ht="15" thickBot="1" x14ac:dyDescent="0.35">
      <c r="A757" s="95"/>
      <c r="B757" s="13" t="s">
        <v>84</v>
      </c>
      <c r="C757" s="13">
        <f>SUM(C745:C756)</f>
        <v>187</v>
      </c>
      <c r="D757" s="27">
        <f>SUM(D745:D756)</f>
        <v>112</v>
      </c>
      <c r="E757" s="47"/>
      <c r="F757" s="26">
        <f>SUM(F749:F756)</f>
        <v>0</v>
      </c>
      <c r="G757" s="27"/>
      <c r="H757" s="27"/>
      <c r="I757" s="27"/>
      <c r="J757" s="27"/>
      <c r="K757" s="26">
        <f>SUM(H749:H751)</f>
        <v>64</v>
      </c>
      <c r="L757" s="28"/>
      <c r="M757" s="125" t="s">
        <v>72</v>
      </c>
      <c r="N757" s="54">
        <f>2+1+9+4+29</f>
        <v>45</v>
      </c>
      <c r="O757" s="45">
        <f>2+1+11+2+10</f>
        <v>26</v>
      </c>
      <c r="P757" s="42"/>
      <c r="Q757" s="40"/>
      <c r="R757" s="42"/>
      <c r="S757" s="54">
        <v>1</v>
      </c>
      <c r="T757" s="54" t="s">
        <v>216</v>
      </c>
      <c r="U757" s="45"/>
      <c r="V757" s="40"/>
      <c r="W757" s="28"/>
      <c r="AK757" s="138" t="s">
        <v>67</v>
      </c>
      <c r="AL757" s="138">
        <v>80</v>
      </c>
      <c r="AM757" s="141">
        <v>50</v>
      </c>
      <c r="AN757" s="138">
        <v>0</v>
      </c>
      <c r="AO757" s="141">
        <v>0</v>
      </c>
      <c r="AP757" s="28"/>
      <c r="AQ757" s="43">
        <v>22</v>
      </c>
      <c r="AR757" s="28" t="s">
        <v>123</v>
      </c>
      <c r="AS757" s="28" t="s">
        <v>6</v>
      </c>
      <c r="AT757" s="141"/>
      <c r="AU757" s="28"/>
    </row>
    <row r="758" spans="1:47" x14ac:dyDescent="0.3">
      <c r="B758" s="32"/>
      <c r="C758" s="53"/>
      <c r="D758" s="97"/>
      <c r="E758" s="33"/>
      <c r="F758" s="7"/>
      <c r="G758" s="6"/>
      <c r="H758" s="8"/>
      <c r="I758" s="31"/>
      <c r="J758" s="8"/>
      <c r="K758" s="7"/>
      <c r="L758" s="28"/>
      <c r="M758" s="125" t="s">
        <v>115</v>
      </c>
      <c r="N758" s="54">
        <f>3+9+5</f>
        <v>17</v>
      </c>
      <c r="O758" s="45">
        <f>5+9+5</f>
        <v>19</v>
      </c>
      <c r="P758" s="42"/>
      <c r="Q758" s="40"/>
      <c r="R758" s="42"/>
      <c r="S758" s="54"/>
      <c r="T758" s="54" t="s">
        <v>898</v>
      </c>
      <c r="U758" s="28"/>
      <c r="V758" s="40"/>
      <c r="W758" s="28"/>
      <c r="AK758" s="138" t="s">
        <v>1354</v>
      </c>
      <c r="AL758" s="138">
        <v>5</v>
      </c>
      <c r="AM758" s="141">
        <v>11</v>
      </c>
      <c r="AN758" s="138">
        <v>0</v>
      </c>
      <c r="AO758" s="141">
        <v>0</v>
      </c>
      <c r="AP758" s="28"/>
      <c r="AQ758" s="43">
        <v>31</v>
      </c>
      <c r="AR758" s="28" t="s">
        <v>126</v>
      </c>
      <c r="AS758" s="28"/>
      <c r="AT758" s="141"/>
      <c r="AU758" s="28"/>
    </row>
    <row r="759" spans="1:47" ht="15" thickBot="1" x14ac:dyDescent="0.35">
      <c r="B759" s="62"/>
      <c r="C759" s="72"/>
      <c r="D759" s="73"/>
      <c r="E759" s="47"/>
      <c r="F759" s="49"/>
      <c r="G759" s="47"/>
      <c r="H759" s="48"/>
      <c r="I759" s="48"/>
      <c r="J759" s="48"/>
      <c r="K759" s="49"/>
      <c r="L759" s="28"/>
      <c r="M759" s="125" t="s">
        <v>56</v>
      </c>
      <c r="N759" s="54">
        <f>2+4+1+4</f>
        <v>11</v>
      </c>
      <c r="O759" s="45">
        <f>3+5+7+18</f>
        <v>33</v>
      </c>
      <c r="P759" s="42"/>
      <c r="Q759" s="40"/>
      <c r="R759" s="42"/>
      <c r="S759" s="54"/>
      <c r="T759" s="54" t="s">
        <v>920</v>
      </c>
      <c r="U759" s="28"/>
      <c r="V759" s="40"/>
      <c r="W759" s="28"/>
      <c r="AK759" s="138" t="s">
        <v>128</v>
      </c>
      <c r="AL759" s="138">
        <v>2</v>
      </c>
      <c r="AM759" s="141">
        <v>0</v>
      </c>
      <c r="AN759" s="138">
        <v>0</v>
      </c>
      <c r="AO759" s="141">
        <v>0</v>
      </c>
      <c r="AP759" s="28"/>
      <c r="AQ759" s="43">
        <v>13</v>
      </c>
      <c r="AR759" s="28" t="s">
        <v>129</v>
      </c>
      <c r="AS759" s="28" t="s">
        <v>6</v>
      </c>
      <c r="AT759" s="141"/>
      <c r="AU759" s="28"/>
    </row>
    <row r="760" spans="1:47" x14ac:dyDescent="0.3">
      <c r="B760" s="67" t="s">
        <v>63</v>
      </c>
      <c r="C760" s="33">
        <v>4</v>
      </c>
      <c r="D760" s="35">
        <v>6</v>
      </c>
      <c r="G760" s="33"/>
      <c r="H760" s="34"/>
      <c r="I760" s="34"/>
      <c r="J760" s="34"/>
      <c r="K760" s="35"/>
      <c r="L760" s="28"/>
      <c r="M760" s="125" t="s">
        <v>138</v>
      </c>
      <c r="N760" s="54">
        <v>0</v>
      </c>
      <c r="O760" s="45">
        <v>0</v>
      </c>
      <c r="P760" s="42"/>
      <c r="Q760" s="40"/>
      <c r="R760" s="42"/>
      <c r="S760" s="54">
        <v>1</v>
      </c>
      <c r="T760" s="54" t="s">
        <v>221</v>
      </c>
      <c r="U760" s="28"/>
      <c r="V760" s="40"/>
      <c r="W760" s="28"/>
      <c r="AK760" s="138" t="s">
        <v>115</v>
      </c>
      <c r="AL760" s="138">
        <v>37</v>
      </c>
      <c r="AM760" s="141">
        <v>29</v>
      </c>
      <c r="AN760" s="138">
        <v>0</v>
      </c>
      <c r="AO760" s="141">
        <v>0</v>
      </c>
      <c r="AP760" s="28"/>
      <c r="AQ760" s="28"/>
      <c r="AR760" s="28"/>
      <c r="AS760" s="28"/>
      <c r="AT760" s="141"/>
      <c r="AU760" s="28"/>
    </row>
    <row r="761" spans="1:47" x14ac:dyDescent="0.3">
      <c r="B761" s="67" t="s">
        <v>536</v>
      </c>
      <c r="C761" s="42">
        <v>0</v>
      </c>
      <c r="D761" s="40">
        <v>0</v>
      </c>
      <c r="G761" s="42"/>
      <c r="H761" s="28"/>
      <c r="I761" s="28"/>
      <c r="J761" s="28"/>
      <c r="K761" s="40"/>
      <c r="L761" s="28"/>
      <c r="M761" s="125" t="s">
        <v>67</v>
      </c>
      <c r="N761" s="54">
        <f>8+2+6+16</f>
        <v>32</v>
      </c>
      <c r="O761" s="45">
        <f>15+10+6</f>
        <v>31</v>
      </c>
      <c r="P761" s="42"/>
      <c r="Q761" s="40"/>
      <c r="R761" s="42"/>
      <c r="S761" s="54">
        <v>2</v>
      </c>
      <c r="T761" s="54" t="s">
        <v>903</v>
      </c>
      <c r="U761" s="28"/>
      <c r="V761" s="40"/>
      <c r="W761" s="28"/>
      <c r="AK761" s="138" t="s">
        <v>81</v>
      </c>
      <c r="AL761" s="138">
        <v>2</v>
      </c>
      <c r="AM761" s="141">
        <v>12</v>
      </c>
      <c r="AN761" s="138">
        <v>0</v>
      </c>
      <c r="AO761" s="141">
        <v>0</v>
      </c>
      <c r="AP761" s="28"/>
      <c r="AQ761" s="28"/>
      <c r="AR761" s="28"/>
      <c r="AS761" s="28"/>
      <c r="AT761" s="141" t="s">
        <v>6</v>
      </c>
      <c r="AU761" s="28"/>
    </row>
    <row r="762" spans="1:47" x14ac:dyDescent="0.3">
      <c r="B762" s="52" t="s">
        <v>56</v>
      </c>
      <c r="C762" s="52">
        <v>0</v>
      </c>
      <c r="D762" s="85">
        <v>0</v>
      </c>
      <c r="E762" s="28"/>
      <c r="F762" s="28"/>
      <c r="G762" s="42"/>
      <c r="H762" s="28" t="s">
        <v>173</v>
      </c>
      <c r="I762" s="28"/>
      <c r="J762" s="28"/>
      <c r="K762" s="40"/>
      <c r="L762" s="28"/>
      <c r="M762" s="125" t="s">
        <v>122</v>
      </c>
      <c r="N762" s="54">
        <v>0</v>
      </c>
      <c r="O762" s="45">
        <v>3</v>
      </c>
      <c r="P762" s="42"/>
      <c r="Q762" s="40"/>
      <c r="R762" s="42"/>
      <c r="S762" s="54">
        <v>1</v>
      </c>
      <c r="T762" s="54" t="s">
        <v>618</v>
      </c>
      <c r="U762" s="28"/>
      <c r="V762" s="40"/>
      <c r="W762" s="28"/>
      <c r="AK762" s="138" t="s">
        <v>122</v>
      </c>
      <c r="AL762" s="138">
        <v>3</v>
      </c>
      <c r="AM762" s="141">
        <v>4</v>
      </c>
      <c r="AN762" s="138">
        <v>0</v>
      </c>
      <c r="AO762" s="141">
        <v>0</v>
      </c>
      <c r="AP762" s="28"/>
      <c r="AQ762" s="28"/>
      <c r="AR762" s="28"/>
      <c r="AS762" s="28"/>
      <c r="AT762" s="141"/>
      <c r="AU762" s="28"/>
    </row>
    <row r="763" spans="1:47" x14ac:dyDescent="0.3">
      <c r="B763" s="52" t="s">
        <v>67</v>
      </c>
      <c r="C763" s="52">
        <v>6</v>
      </c>
      <c r="D763" s="56">
        <v>7</v>
      </c>
      <c r="G763" s="42"/>
      <c r="H763" s="28"/>
      <c r="I763" s="28"/>
      <c r="J763" s="28"/>
      <c r="K763" s="40"/>
      <c r="L763" s="28"/>
      <c r="M763" s="125" t="s">
        <v>227</v>
      </c>
      <c r="N763" s="54">
        <v>0</v>
      </c>
      <c r="O763" s="45">
        <v>0</v>
      </c>
      <c r="P763" s="42"/>
      <c r="Q763" s="40"/>
      <c r="R763" s="42"/>
      <c r="S763" s="54">
        <v>2</v>
      </c>
      <c r="T763" s="54" t="s">
        <v>945</v>
      </c>
      <c r="U763" s="28"/>
      <c r="V763" s="40"/>
      <c r="AK763" s="138" t="s">
        <v>230</v>
      </c>
      <c r="AL763" s="138">
        <v>0</v>
      </c>
      <c r="AM763" s="141">
        <v>0</v>
      </c>
      <c r="AN763" s="138">
        <v>0</v>
      </c>
      <c r="AO763" s="141">
        <v>0</v>
      </c>
      <c r="AP763" s="28"/>
      <c r="AQ763" s="28"/>
      <c r="AR763" s="28"/>
      <c r="AS763" s="28"/>
      <c r="AT763" s="141"/>
      <c r="AU763" s="28"/>
    </row>
    <row r="764" spans="1:47" x14ac:dyDescent="0.3">
      <c r="B764" s="10" t="s">
        <v>78</v>
      </c>
      <c r="C764" s="52">
        <v>1</v>
      </c>
      <c r="D764" s="85">
        <v>3</v>
      </c>
      <c r="E764" s="28"/>
      <c r="F764" s="28"/>
      <c r="G764" s="42"/>
      <c r="H764" s="28">
        <v>18</v>
      </c>
      <c r="I764" s="28" t="s">
        <v>183</v>
      </c>
      <c r="J764" s="28"/>
      <c r="K764" s="40"/>
      <c r="L764" s="37"/>
      <c r="M764" s="41" t="s">
        <v>230</v>
      </c>
      <c r="N764" s="54">
        <v>7</v>
      </c>
      <c r="O764" s="45">
        <v>7</v>
      </c>
      <c r="P764" s="42"/>
      <c r="Q764" s="40"/>
      <c r="R764" s="42"/>
      <c r="S764" s="54">
        <v>10</v>
      </c>
      <c r="T764" s="54" t="s">
        <v>655</v>
      </c>
      <c r="U764" s="28"/>
      <c r="V764" s="40"/>
      <c r="AK764" s="138" t="s">
        <v>63</v>
      </c>
      <c r="AL764" s="138">
        <v>46</v>
      </c>
      <c r="AM764" s="141">
        <v>18</v>
      </c>
      <c r="AN764" s="138">
        <v>0</v>
      </c>
      <c r="AO764" s="141">
        <v>0</v>
      </c>
      <c r="AP764" s="28"/>
      <c r="AQ764" s="28"/>
      <c r="AR764" s="28"/>
      <c r="AS764" s="28"/>
      <c r="AT764" s="141"/>
      <c r="AU764" s="28"/>
    </row>
    <row r="765" spans="1:47" x14ac:dyDescent="0.3">
      <c r="B765" s="52" t="s">
        <v>115</v>
      </c>
      <c r="C765" s="52">
        <v>2</v>
      </c>
      <c r="D765" s="85">
        <v>1</v>
      </c>
      <c r="E765" s="28"/>
      <c r="F765" s="28"/>
      <c r="G765" s="42"/>
      <c r="H765" s="28" t="s">
        <v>6</v>
      </c>
      <c r="I765" s="28"/>
      <c r="J765" s="28"/>
      <c r="K765" s="40"/>
      <c r="L765" s="28"/>
      <c r="M765" s="68" t="s">
        <v>125</v>
      </c>
      <c r="N765" s="54">
        <v>0</v>
      </c>
      <c r="O765" s="45">
        <v>0</v>
      </c>
      <c r="P765" s="42"/>
      <c r="Q765" s="40"/>
      <c r="R765" s="42"/>
      <c r="S765" s="54">
        <v>2</v>
      </c>
      <c r="T765" s="54" t="s">
        <v>433</v>
      </c>
      <c r="U765" s="28"/>
      <c r="V765" s="40"/>
      <c r="AK765" s="142" t="s">
        <v>84</v>
      </c>
      <c r="AL765" s="142">
        <f>SUM(AL754:AL764)</f>
        <v>207</v>
      </c>
      <c r="AM765" s="146">
        <f>SUM(AM754:AM764)</f>
        <v>149</v>
      </c>
      <c r="AN765" s="142">
        <v>0</v>
      </c>
      <c r="AO765" s="146">
        <v>0</v>
      </c>
      <c r="AP765" s="143"/>
      <c r="AQ765" s="143"/>
      <c r="AR765" s="143"/>
      <c r="AS765" s="143"/>
      <c r="AT765" s="146">
        <v>66</v>
      </c>
      <c r="AU765" s="28"/>
    </row>
    <row r="766" spans="1:47" x14ac:dyDescent="0.3">
      <c r="B766" s="52" t="s">
        <v>72</v>
      </c>
      <c r="C766" s="52">
        <v>3</v>
      </c>
      <c r="D766" s="85">
        <v>3</v>
      </c>
      <c r="G766" s="42"/>
      <c r="H766" s="28"/>
      <c r="I766" s="28"/>
      <c r="J766" s="28"/>
      <c r="K766" s="40"/>
      <c r="L766" s="28"/>
      <c r="M766" s="68" t="s">
        <v>132</v>
      </c>
      <c r="N766" s="54">
        <v>1</v>
      </c>
      <c r="O766" s="45">
        <v>1</v>
      </c>
      <c r="P766" s="42"/>
      <c r="Q766" s="40"/>
      <c r="R766" s="42"/>
      <c r="S766" s="54">
        <v>1</v>
      </c>
      <c r="T766" s="54" t="s">
        <v>905</v>
      </c>
      <c r="U766" s="28"/>
      <c r="V766" s="40"/>
      <c r="AK766" s="134"/>
      <c r="AL766" s="134"/>
      <c r="AM766" s="136"/>
      <c r="AN766" s="134"/>
      <c r="AO766" s="136"/>
      <c r="AP766" s="135"/>
      <c r="AQ766" s="135"/>
      <c r="AR766" s="135"/>
      <c r="AS766" s="135"/>
      <c r="AT766" s="136"/>
      <c r="AU766" s="28"/>
    </row>
    <row r="767" spans="1:47" ht="15" thickBot="1" x14ac:dyDescent="0.35">
      <c r="B767" s="52" t="s">
        <v>84</v>
      </c>
      <c r="C767" s="47">
        <f>SUM(C760:C766)</f>
        <v>16</v>
      </c>
      <c r="D767" s="49">
        <f>SUM(D760:D766)</f>
        <v>20</v>
      </c>
      <c r="E767" s="28"/>
      <c r="F767" s="28"/>
      <c r="G767" s="47"/>
      <c r="H767" s="48"/>
      <c r="I767" s="48"/>
      <c r="J767" s="48"/>
      <c r="K767" s="49">
        <f>SUM(H764)</f>
        <v>18</v>
      </c>
      <c r="L767" s="28"/>
      <c r="M767" s="41" t="s">
        <v>536</v>
      </c>
      <c r="N767" s="54">
        <v>0</v>
      </c>
      <c r="O767" s="45">
        <v>0</v>
      </c>
      <c r="P767" s="42"/>
      <c r="Q767" s="40"/>
      <c r="R767" s="42"/>
      <c r="S767" s="54"/>
      <c r="T767" s="54" t="s">
        <v>906</v>
      </c>
      <c r="U767" s="28"/>
      <c r="V767" s="40"/>
      <c r="AK767" s="138" t="s">
        <v>56</v>
      </c>
      <c r="AL767" s="138">
        <v>0</v>
      </c>
      <c r="AM767" s="141">
        <v>0</v>
      </c>
      <c r="AN767" s="138">
        <v>0</v>
      </c>
      <c r="AO767" s="141">
        <v>0</v>
      </c>
      <c r="AP767" s="28"/>
      <c r="AQ767" s="28" t="s">
        <v>173</v>
      </c>
      <c r="AR767" s="28"/>
      <c r="AS767" s="28"/>
      <c r="AT767" s="141"/>
      <c r="AU767" s="28"/>
    </row>
    <row r="768" spans="1:47" ht="15" thickBot="1" x14ac:dyDescent="0.35">
      <c r="B768" s="32" t="s">
        <v>63</v>
      </c>
      <c r="C768" s="123">
        <f>1+1</f>
        <v>2</v>
      </c>
      <c r="D768" s="123">
        <f>2+1</f>
        <v>3</v>
      </c>
      <c r="E768" s="33"/>
      <c r="F768" s="7"/>
      <c r="G768" s="6"/>
      <c r="H768" s="34" t="s">
        <v>140</v>
      </c>
      <c r="I768" s="8"/>
      <c r="J768" s="8"/>
      <c r="K768" s="7"/>
      <c r="L768" s="28"/>
      <c r="M768" s="46" t="s">
        <v>84</v>
      </c>
      <c r="N768" s="48">
        <f>SUM(N752:N767)</f>
        <v>165</v>
      </c>
      <c r="O768" s="48">
        <f>SUM(O752:O767)</f>
        <v>182</v>
      </c>
      <c r="P768" s="47"/>
      <c r="Q768" s="49"/>
      <c r="R768" s="47"/>
      <c r="S768" s="48">
        <v>1</v>
      </c>
      <c r="T768" s="48" t="s">
        <v>352</v>
      </c>
      <c r="U768" s="48"/>
      <c r="V768" s="49">
        <f>SUM(S753:S768)</f>
        <v>64</v>
      </c>
      <c r="AK768" s="138" t="s">
        <v>67</v>
      </c>
      <c r="AL768" s="138">
        <v>0</v>
      </c>
      <c r="AM768" s="141">
        <v>0</v>
      </c>
      <c r="AN768" s="138">
        <v>0</v>
      </c>
      <c r="AO768" s="141">
        <v>0</v>
      </c>
      <c r="AP768" s="28"/>
      <c r="AQ768" s="28"/>
      <c r="AR768" s="28"/>
      <c r="AS768" s="28"/>
      <c r="AT768" s="141"/>
      <c r="AU768" s="43"/>
    </row>
    <row r="769" spans="2:47" ht="15" thickBot="1" x14ac:dyDescent="0.35">
      <c r="B769" s="44" t="s">
        <v>78</v>
      </c>
      <c r="C769" s="37">
        <f>7+1</f>
        <v>8</v>
      </c>
      <c r="D769" s="37">
        <f>24+2+1+2+1</f>
        <v>30</v>
      </c>
      <c r="E769" s="42"/>
      <c r="F769" s="11"/>
      <c r="G769" s="10"/>
      <c r="H769" s="37">
        <v>13</v>
      </c>
      <c r="I769" s="37" t="s">
        <v>204</v>
      </c>
      <c r="J769" s="18"/>
      <c r="K769" s="11"/>
      <c r="L769" s="28"/>
      <c r="M769" s="169" t="s">
        <v>84</v>
      </c>
      <c r="N769" s="170">
        <f>SUM(N768+N751+N741+N726)</f>
        <v>1653</v>
      </c>
      <c r="O769" s="170">
        <f>SUM(O768+O751+O741+O726)</f>
        <v>1747</v>
      </c>
      <c r="P769" s="171"/>
      <c r="Q769" s="172"/>
      <c r="R769" s="170"/>
      <c r="S769" s="170"/>
      <c r="T769" s="170"/>
      <c r="U769" s="170"/>
      <c r="V769" s="172">
        <f>SUM(V725:V768)</f>
        <v>275</v>
      </c>
      <c r="AK769" s="138" t="s">
        <v>78</v>
      </c>
      <c r="AL769" s="138">
        <v>0</v>
      </c>
      <c r="AM769" s="141">
        <v>0</v>
      </c>
      <c r="AN769" s="138">
        <v>0</v>
      </c>
      <c r="AO769" s="141">
        <v>0</v>
      </c>
      <c r="AP769" s="28"/>
      <c r="AQ769" s="28">
        <v>0</v>
      </c>
      <c r="AR769" s="28" t="s">
        <v>183</v>
      </c>
      <c r="AS769" s="28"/>
      <c r="AT769" s="141"/>
      <c r="AU769" s="28"/>
    </row>
    <row r="770" spans="2:47" x14ac:dyDescent="0.3">
      <c r="B770" s="125" t="s">
        <v>209</v>
      </c>
      <c r="C770" s="54">
        <v>0</v>
      </c>
      <c r="D770" s="54">
        <v>0</v>
      </c>
      <c r="E770" s="42"/>
      <c r="F770" s="40"/>
      <c r="G770" s="42"/>
      <c r="H770" s="28">
        <v>2</v>
      </c>
      <c r="I770" s="28" t="s">
        <v>210</v>
      </c>
      <c r="J770" s="28"/>
      <c r="K770" s="40"/>
      <c r="L770" s="28"/>
      <c r="AK770" s="142" t="s">
        <v>84</v>
      </c>
      <c r="AL770" s="142">
        <v>0</v>
      </c>
      <c r="AM770" s="146">
        <v>0</v>
      </c>
      <c r="AN770" s="142">
        <v>0</v>
      </c>
      <c r="AO770" s="146">
        <v>0</v>
      </c>
      <c r="AP770" s="143"/>
      <c r="AQ770" s="143"/>
      <c r="AR770" s="143"/>
      <c r="AS770" s="143"/>
      <c r="AT770" s="146"/>
      <c r="AU770" s="43"/>
    </row>
    <row r="771" spans="2:47" x14ac:dyDescent="0.3">
      <c r="B771" s="44" t="s">
        <v>168</v>
      </c>
      <c r="C771" s="54">
        <v>2</v>
      </c>
      <c r="D771" s="54">
        <v>0</v>
      </c>
      <c r="E771" s="42"/>
      <c r="F771" s="11"/>
      <c r="G771" s="10"/>
      <c r="H771" s="37">
        <f>2+19+5</f>
        <v>26</v>
      </c>
      <c r="I771" s="37" t="s">
        <v>213</v>
      </c>
      <c r="J771" s="18"/>
      <c r="K771" s="11"/>
      <c r="AK771" s="134" t="s">
        <v>56</v>
      </c>
      <c r="AL771" s="134">
        <v>101</v>
      </c>
      <c r="AM771" s="136">
        <v>116</v>
      </c>
      <c r="AN771" s="134">
        <v>0</v>
      </c>
      <c r="AO771" s="136">
        <v>0</v>
      </c>
      <c r="AP771" s="134"/>
      <c r="AQ771" s="135" t="s">
        <v>140</v>
      </c>
      <c r="AR771" s="135"/>
      <c r="AS771" s="135"/>
      <c r="AT771" s="136"/>
      <c r="AU771" s="43"/>
    </row>
    <row r="772" spans="2:47" x14ac:dyDescent="0.3">
      <c r="B772" s="125" t="s">
        <v>81</v>
      </c>
      <c r="C772" s="54">
        <v>3</v>
      </c>
      <c r="D772" s="54">
        <v>12</v>
      </c>
      <c r="E772" s="42"/>
      <c r="F772" s="40"/>
      <c r="G772" s="42"/>
      <c r="H772" s="54">
        <v>14</v>
      </c>
      <c r="I772" s="128" t="s">
        <v>222</v>
      </c>
      <c r="J772" s="28"/>
      <c r="K772" s="40" t="s">
        <v>6</v>
      </c>
      <c r="AK772" s="138" t="s">
        <v>72</v>
      </c>
      <c r="AL772" s="138">
        <v>4</v>
      </c>
      <c r="AM772" s="141">
        <v>21</v>
      </c>
      <c r="AN772" s="138">
        <v>0</v>
      </c>
      <c r="AO772" s="141">
        <v>0</v>
      </c>
      <c r="AP772" s="138"/>
      <c r="AQ772" s="28" t="s">
        <v>1811</v>
      </c>
      <c r="AR772" s="28"/>
      <c r="AS772" s="28"/>
      <c r="AT772" s="141"/>
      <c r="AU772" s="43"/>
    </row>
    <row r="773" spans="2:47" x14ac:dyDescent="0.3">
      <c r="B773" s="125" t="s">
        <v>72</v>
      </c>
      <c r="C773" s="54">
        <f>4+18+3+2+16+20</f>
        <v>63</v>
      </c>
      <c r="D773" s="45">
        <f>3+1+1+7+2+3+7</f>
        <v>24</v>
      </c>
      <c r="E773" s="42"/>
      <c r="F773" s="40"/>
      <c r="G773" s="42"/>
      <c r="H773" s="54">
        <v>20</v>
      </c>
      <c r="I773" s="54" t="s">
        <v>216</v>
      </c>
      <c r="J773" s="45"/>
      <c r="K773" s="40"/>
      <c r="AK773" s="138" t="s">
        <v>78</v>
      </c>
      <c r="AL773" s="138">
        <v>26</v>
      </c>
      <c r="AM773" s="141">
        <v>36</v>
      </c>
      <c r="AN773" s="138">
        <v>0</v>
      </c>
      <c r="AO773" s="141">
        <v>0</v>
      </c>
      <c r="AP773" s="138"/>
      <c r="AQ773" s="43">
        <v>18</v>
      </c>
      <c r="AR773" s="28" t="s">
        <v>213</v>
      </c>
      <c r="AS773" s="43" t="s">
        <v>1310</v>
      </c>
      <c r="AT773" s="141"/>
      <c r="AU773" s="43"/>
    </row>
    <row r="774" spans="2:47" x14ac:dyDescent="0.3">
      <c r="B774" s="125" t="s">
        <v>115</v>
      </c>
      <c r="C774" s="54">
        <v>7</v>
      </c>
      <c r="D774" s="45">
        <f>3+2</f>
        <v>5</v>
      </c>
      <c r="E774" s="42"/>
      <c r="F774" s="40"/>
      <c r="G774" s="42"/>
      <c r="H774" s="54">
        <v>9</v>
      </c>
      <c r="I774" s="54" t="s">
        <v>217</v>
      </c>
      <c r="J774" s="28"/>
      <c r="K774" s="40"/>
      <c r="AK774" s="138" t="s">
        <v>67</v>
      </c>
      <c r="AL774" s="138">
        <v>10</v>
      </c>
      <c r="AM774" s="141">
        <v>33</v>
      </c>
      <c r="AN774" s="138">
        <v>0</v>
      </c>
      <c r="AO774" s="141">
        <v>0</v>
      </c>
      <c r="AP774" s="138"/>
      <c r="AQ774" s="43">
        <v>2</v>
      </c>
      <c r="AR774" s="43" t="s">
        <v>1067</v>
      </c>
      <c r="AS774" s="28" t="s">
        <v>175</v>
      </c>
      <c r="AT774" s="141"/>
      <c r="AU774" s="28"/>
    </row>
    <row r="775" spans="2:47" x14ac:dyDescent="0.3">
      <c r="B775" s="125" t="s">
        <v>56</v>
      </c>
      <c r="C775" s="54">
        <v>5</v>
      </c>
      <c r="D775" s="45">
        <f>6+3</f>
        <v>9</v>
      </c>
      <c r="E775" s="42"/>
      <c r="F775" s="40"/>
      <c r="G775" s="42"/>
      <c r="H775" s="54">
        <v>4</v>
      </c>
      <c r="I775" s="54" t="s">
        <v>183</v>
      </c>
      <c r="J775" s="28"/>
      <c r="K775" s="40"/>
      <c r="AK775" s="138" t="s">
        <v>115</v>
      </c>
      <c r="AL775" s="138">
        <v>5</v>
      </c>
      <c r="AM775" s="141">
        <v>7</v>
      </c>
      <c r="AN775" s="138">
        <v>0</v>
      </c>
      <c r="AO775" s="141">
        <v>0</v>
      </c>
      <c r="AP775" s="138"/>
      <c r="AQ775" s="43">
        <v>3</v>
      </c>
      <c r="AR775" s="43" t="s">
        <v>1676</v>
      </c>
      <c r="AS775" s="28" t="s">
        <v>1812</v>
      </c>
      <c r="AT775" s="141"/>
      <c r="AU775" s="28"/>
    </row>
    <row r="776" spans="2:47" x14ac:dyDescent="0.3">
      <c r="B776" s="125" t="s">
        <v>138</v>
      </c>
      <c r="C776" s="54">
        <v>0</v>
      </c>
      <c r="D776" s="45">
        <v>0</v>
      </c>
      <c r="E776" s="42"/>
      <c r="F776" s="40"/>
      <c r="G776" s="42"/>
      <c r="H776" s="54">
        <v>2</v>
      </c>
      <c r="I776" s="54" t="s">
        <v>221</v>
      </c>
      <c r="J776" s="28"/>
      <c r="K776" s="40"/>
      <c r="AK776" s="138" t="s">
        <v>81</v>
      </c>
      <c r="AL776" s="138">
        <v>12</v>
      </c>
      <c r="AM776" s="141">
        <v>21</v>
      </c>
      <c r="AN776" s="138">
        <v>0</v>
      </c>
      <c r="AO776" s="141">
        <v>0</v>
      </c>
      <c r="AP776" s="138"/>
      <c r="AQ776" s="43">
        <v>4</v>
      </c>
      <c r="AR776" s="43" t="s">
        <v>1312</v>
      </c>
      <c r="AS776" s="43"/>
      <c r="AT776" s="141"/>
      <c r="AU776" s="28"/>
    </row>
    <row r="777" spans="2:47" x14ac:dyDescent="0.3">
      <c r="B777" s="125" t="s">
        <v>67</v>
      </c>
      <c r="C777" s="54">
        <f>3+13+3+6</f>
        <v>25</v>
      </c>
      <c r="D777" s="45">
        <f>3+12+3+4</f>
        <v>22</v>
      </c>
      <c r="E777" s="42"/>
      <c r="F777" s="40"/>
      <c r="G777" s="42"/>
      <c r="H777" s="54">
        <v>2</v>
      </c>
      <c r="I777" s="54" t="s">
        <v>653</v>
      </c>
      <c r="J777" s="28"/>
      <c r="K777" s="40"/>
      <c r="AK777" s="138" t="s">
        <v>230</v>
      </c>
      <c r="AL777" s="138">
        <v>10</v>
      </c>
      <c r="AM777" s="141">
        <v>18</v>
      </c>
      <c r="AN777" s="138">
        <v>0</v>
      </c>
      <c r="AO777" s="141">
        <v>0</v>
      </c>
      <c r="AP777" s="138"/>
      <c r="AQ777" s="43">
        <v>4</v>
      </c>
      <c r="AR777" s="43" t="s">
        <v>216</v>
      </c>
      <c r="AS777" s="28"/>
      <c r="AT777" s="141"/>
      <c r="AU777" s="28"/>
    </row>
    <row r="778" spans="2:47" x14ac:dyDescent="0.3">
      <c r="B778" s="125" t="s">
        <v>122</v>
      </c>
      <c r="C778" s="54">
        <v>0</v>
      </c>
      <c r="D778" s="45">
        <v>0</v>
      </c>
      <c r="E778" s="42"/>
      <c r="F778" s="40"/>
      <c r="G778" s="42"/>
      <c r="H778" s="54">
        <v>2</v>
      </c>
      <c r="I778" s="54" t="s">
        <v>618</v>
      </c>
      <c r="J778" s="28"/>
      <c r="K778" s="40"/>
      <c r="AK778" s="138" t="s">
        <v>63</v>
      </c>
      <c r="AL778" s="138">
        <v>9</v>
      </c>
      <c r="AM778" s="141">
        <v>17</v>
      </c>
      <c r="AN778" s="138">
        <v>0</v>
      </c>
      <c r="AO778" s="141">
        <v>0</v>
      </c>
      <c r="AP778" s="138"/>
      <c r="AQ778" s="43">
        <v>1</v>
      </c>
      <c r="AR778" s="43" t="s">
        <v>1314</v>
      </c>
      <c r="AS778" s="28"/>
      <c r="AT778" s="141"/>
      <c r="AU778" s="28"/>
    </row>
    <row r="779" spans="2:47" x14ac:dyDescent="0.3">
      <c r="B779" s="125" t="s">
        <v>227</v>
      </c>
      <c r="C779" s="54">
        <v>0</v>
      </c>
      <c r="D779" s="45">
        <v>0</v>
      </c>
      <c r="E779" s="42"/>
      <c r="F779" s="40"/>
      <c r="G779" s="42"/>
      <c r="H779" s="54">
        <v>3</v>
      </c>
      <c r="I779" s="54" t="s">
        <v>654</v>
      </c>
      <c r="J779" s="28"/>
      <c r="K779" s="40"/>
      <c r="AK779" s="138" t="s">
        <v>122</v>
      </c>
      <c r="AL779" s="138">
        <v>7</v>
      </c>
      <c r="AM779" s="141">
        <v>0</v>
      </c>
      <c r="AN779" s="138">
        <v>0</v>
      </c>
      <c r="AO779" s="141">
        <v>0</v>
      </c>
      <c r="AP779" s="138"/>
      <c r="AQ779" s="43">
        <v>52</v>
      </c>
      <c r="AR779" s="43" t="s">
        <v>215</v>
      </c>
      <c r="AS779" s="28"/>
      <c r="AT779" s="141"/>
      <c r="AU779" s="28"/>
    </row>
    <row r="780" spans="2:47" x14ac:dyDescent="0.3">
      <c r="B780" s="41" t="s">
        <v>230</v>
      </c>
      <c r="C780" s="54">
        <f>2+3+3</f>
        <v>8</v>
      </c>
      <c r="D780" s="45">
        <f>5+2+1</f>
        <v>8</v>
      </c>
      <c r="E780" s="42"/>
      <c r="F780" s="40"/>
      <c r="G780" s="42"/>
      <c r="H780" s="54">
        <v>9</v>
      </c>
      <c r="I780" s="54" t="s">
        <v>655</v>
      </c>
      <c r="J780" s="28"/>
      <c r="K780" s="40"/>
      <c r="AK780" s="138" t="s">
        <v>132</v>
      </c>
      <c r="AL780" s="138">
        <v>0</v>
      </c>
      <c r="AM780" s="141">
        <v>2</v>
      </c>
      <c r="AN780" s="138">
        <v>0</v>
      </c>
      <c r="AO780" s="141">
        <v>0</v>
      </c>
      <c r="AP780" s="138"/>
      <c r="AQ780" s="43">
        <v>1</v>
      </c>
      <c r="AR780" s="43" t="s">
        <v>1813</v>
      </c>
      <c r="AS780" s="28"/>
      <c r="AT780" s="141"/>
      <c r="AU780" s="28"/>
    </row>
    <row r="781" spans="2:47" x14ac:dyDescent="0.3">
      <c r="B781" s="68" t="s">
        <v>125</v>
      </c>
      <c r="C781" s="54">
        <v>0</v>
      </c>
      <c r="D781" s="45">
        <v>0</v>
      </c>
      <c r="E781" s="42"/>
      <c r="F781" s="40"/>
      <c r="G781" s="42"/>
      <c r="H781" s="54">
        <v>1</v>
      </c>
      <c r="I781" s="54" t="s">
        <v>351</v>
      </c>
      <c r="J781" s="28"/>
      <c r="K781" s="40"/>
      <c r="AK781" s="138" t="s">
        <v>1319</v>
      </c>
      <c r="AL781" s="138">
        <v>0</v>
      </c>
      <c r="AM781" s="141">
        <v>0</v>
      </c>
      <c r="AN781" s="138">
        <v>0</v>
      </c>
      <c r="AO781" s="141">
        <v>0</v>
      </c>
      <c r="AP781" s="138"/>
      <c r="AQ781" s="43"/>
      <c r="AR781" s="43" t="s">
        <v>903</v>
      </c>
      <c r="AS781" s="28"/>
      <c r="AT781" s="141"/>
      <c r="AU781" s="28"/>
    </row>
    <row r="782" spans="2:47" ht="15" thickBot="1" x14ac:dyDescent="0.35">
      <c r="B782" s="68" t="s">
        <v>132</v>
      </c>
      <c r="C782" s="54">
        <v>16</v>
      </c>
      <c r="D782" s="45">
        <v>10</v>
      </c>
      <c r="E782" s="42"/>
      <c r="F782" s="40"/>
      <c r="G782" s="42"/>
      <c r="H782" s="54">
        <v>1</v>
      </c>
      <c r="I782" s="54" t="s">
        <v>471</v>
      </c>
      <c r="J782" s="28"/>
      <c r="K782" s="40"/>
      <c r="AK782" s="138" t="s">
        <v>84</v>
      </c>
      <c r="AL782" s="138">
        <f>SUM(AL767:AL781)</f>
        <v>184</v>
      </c>
      <c r="AM782" s="141">
        <f>SUM(AM767:AM781)</f>
        <v>271</v>
      </c>
      <c r="AN782" s="138">
        <v>0</v>
      </c>
      <c r="AO782" s="141">
        <v>0</v>
      </c>
      <c r="AP782" s="142"/>
      <c r="AQ782" s="224">
        <v>6</v>
      </c>
      <c r="AR782" s="224" t="s">
        <v>244</v>
      </c>
      <c r="AS782" s="143"/>
      <c r="AT782" s="146">
        <v>151</v>
      </c>
      <c r="AU782" s="28"/>
    </row>
    <row r="783" spans="2:47" ht="15" thickBot="1" x14ac:dyDescent="0.35">
      <c r="B783" s="41" t="s">
        <v>6</v>
      </c>
      <c r="E783" s="42"/>
      <c r="F783" s="40"/>
      <c r="G783" s="42"/>
      <c r="H783" s="54">
        <v>10</v>
      </c>
      <c r="I783" s="54" t="s">
        <v>555</v>
      </c>
      <c r="J783" s="28"/>
      <c r="K783" s="40"/>
      <c r="AK783" s="171" t="s">
        <v>84</v>
      </c>
      <c r="AL783" s="171">
        <v>1656</v>
      </c>
      <c r="AM783" s="172">
        <v>1744</v>
      </c>
      <c r="AN783" s="170">
        <v>0</v>
      </c>
      <c r="AO783" s="172">
        <v>0</v>
      </c>
      <c r="AP783" s="48"/>
      <c r="AQ783" s="48"/>
      <c r="AR783" s="48"/>
      <c r="AS783" s="48"/>
      <c r="AT783" s="49">
        <v>256</v>
      </c>
      <c r="AU783" s="28"/>
    </row>
    <row r="784" spans="2:47" ht="15" thickBot="1" x14ac:dyDescent="0.35">
      <c r="B784" s="46" t="s">
        <v>84</v>
      </c>
      <c r="C784" s="48">
        <f>SUM(C768:C783)</f>
        <v>139</v>
      </c>
      <c r="D784" s="48">
        <f>SUM(D768:D783)</f>
        <v>123</v>
      </c>
      <c r="E784" s="47"/>
      <c r="F784" s="49"/>
      <c r="G784" s="47"/>
      <c r="H784" s="48">
        <v>8</v>
      </c>
      <c r="I784" s="48" t="s">
        <v>244</v>
      </c>
      <c r="J784" s="48"/>
      <c r="K784" s="49">
        <f>SUM(H769:H784)</f>
        <v>126</v>
      </c>
      <c r="AS784" s="28"/>
      <c r="AT784" s="28"/>
      <c r="AU784" s="28"/>
    </row>
    <row r="785" spans="2:47" ht="15" thickBot="1" x14ac:dyDescent="0.35">
      <c r="B785" s="147" t="s">
        <v>84</v>
      </c>
      <c r="C785" s="147">
        <f>SUM(+C784+C767+C757+C742+C740)</f>
        <v>2047</v>
      </c>
      <c r="D785" s="148">
        <f>SUM(D784+D767+D757+D742+D740)</f>
        <v>2062</v>
      </c>
      <c r="E785" s="147"/>
      <c r="F785" s="148"/>
      <c r="G785" s="149" t="s">
        <v>247</v>
      </c>
      <c r="H785" s="149"/>
      <c r="I785" s="149"/>
      <c r="J785" s="149"/>
      <c r="K785" s="148">
        <f>SUM(K740:K784)</f>
        <v>374</v>
      </c>
      <c r="AS785" s="28"/>
      <c r="AT785" s="28"/>
      <c r="AU785" s="28"/>
    </row>
    <row r="786" spans="2:47" ht="15" thickTop="1" x14ac:dyDescent="0.3">
      <c r="AS786" s="28"/>
      <c r="AT786" s="28"/>
      <c r="AU786" s="28"/>
    </row>
    <row r="787" spans="2:47" x14ac:dyDescent="0.3">
      <c r="AS787" s="28"/>
      <c r="AT787" s="28"/>
      <c r="AU787" s="28"/>
    </row>
    <row r="788" spans="2:47" x14ac:dyDescent="0.3">
      <c r="AS788" s="28"/>
      <c r="AT788" s="28"/>
      <c r="AU788" s="28"/>
    </row>
    <row r="789" spans="2:47" x14ac:dyDescent="0.3">
      <c r="AS789" s="28"/>
      <c r="AT789" s="28"/>
      <c r="AU789" s="28"/>
    </row>
    <row r="790" spans="2:47" x14ac:dyDescent="0.3">
      <c r="AS790" s="28"/>
      <c r="AT790" s="28"/>
      <c r="AU790" s="28"/>
    </row>
    <row r="791" spans="2:47" x14ac:dyDescent="0.3">
      <c r="AS791" s="28"/>
      <c r="AT791" s="28"/>
      <c r="AU791" s="28"/>
    </row>
    <row r="858" spans="46:49" x14ac:dyDescent="0.3">
      <c r="AT858" s="218"/>
      <c r="AU858" s="28"/>
      <c r="AV858" s="28"/>
      <c r="AW858" s="28"/>
    </row>
    <row r="859" spans="46:49" x14ac:dyDescent="0.3">
      <c r="AU859" s="28"/>
      <c r="AV859" s="28"/>
      <c r="AW859" s="28"/>
    </row>
    <row r="860" spans="46:49" x14ac:dyDescent="0.3">
      <c r="AU860" s="28"/>
      <c r="AV860" s="28"/>
      <c r="AW860" s="28"/>
    </row>
  </sheetData>
  <mergeCells count="6">
    <mergeCell ref="AN744:AP744"/>
    <mergeCell ref="BB5:BD5"/>
    <mergeCell ref="BB57:BD57"/>
    <mergeCell ref="BB128:BD128"/>
    <mergeCell ref="BC203:BE203"/>
    <mergeCell ref="BC280:BE280"/>
  </mergeCells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CB860"/>
  <sheetViews>
    <sheetView topLeftCell="BH1" zoomScale="70" zoomScaleNormal="70" workbookViewId="0">
      <selection activeCell="BL11" sqref="BL11"/>
    </sheetView>
  </sheetViews>
  <sheetFormatPr defaultColWidth="11.44140625" defaultRowHeight="14.4" x14ac:dyDescent="0.3"/>
  <cols>
    <col min="1" max="1" width="20.109375" bestFit="1" customWidth="1"/>
    <col min="15" max="15" width="20.109375" bestFit="1" customWidth="1"/>
    <col min="31" max="31" width="19.5546875" bestFit="1" customWidth="1"/>
    <col min="47" max="47" width="20.33203125" bestFit="1" customWidth="1"/>
    <col min="63" max="63" width="20.109375" bestFit="1" customWidth="1"/>
  </cols>
  <sheetData>
    <row r="2" spans="1:79" x14ac:dyDescent="0.3">
      <c r="BB2" t="s">
        <v>5</v>
      </c>
      <c r="BM2" s="218"/>
      <c r="BR2" t="s">
        <v>5</v>
      </c>
      <c r="BU2" s="28"/>
      <c r="BV2" s="28"/>
      <c r="BW2" s="28"/>
      <c r="BX2" s="28"/>
    </row>
    <row r="3" spans="1:79" ht="15.6" x14ac:dyDescent="0.3">
      <c r="G3" s="1"/>
      <c r="H3" s="1" t="s">
        <v>5</v>
      </c>
      <c r="I3" s="1"/>
      <c r="J3" s="1"/>
      <c r="K3" s="1"/>
      <c r="L3" s="1"/>
      <c r="U3" s="1"/>
      <c r="V3" s="1" t="s">
        <v>5</v>
      </c>
      <c r="W3" s="1"/>
      <c r="X3" s="1"/>
      <c r="Y3" s="1"/>
      <c r="Z3" s="1"/>
      <c r="AL3" t="s">
        <v>5</v>
      </c>
      <c r="BC3" t="s">
        <v>2</v>
      </c>
      <c r="BM3" s="218"/>
      <c r="BS3" t="s">
        <v>2</v>
      </c>
      <c r="BU3" s="28"/>
      <c r="BV3" s="28"/>
      <c r="BW3" s="28"/>
      <c r="BX3" s="28"/>
    </row>
    <row r="4" spans="1:79" x14ac:dyDescent="0.3">
      <c r="I4" t="s">
        <v>2</v>
      </c>
      <c r="W4" t="s">
        <v>2</v>
      </c>
      <c r="AM4" t="s">
        <v>2</v>
      </c>
      <c r="BA4" t="s">
        <v>13</v>
      </c>
      <c r="BQ4" t="s">
        <v>13</v>
      </c>
      <c r="BU4" s="28"/>
      <c r="BV4" s="28"/>
      <c r="BW4" s="28"/>
      <c r="BX4" s="28"/>
    </row>
    <row r="5" spans="1:79" x14ac:dyDescent="0.3">
      <c r="G5" t="s">
        <v>13</v>
      </c>
      <c r="U5" t="s">
        <v>13</v>
      </c>
      <c r="AK5" t="s">
        <v>13</v>
      </c>
      <c r="BC5" t="s">
        <v>1508</v>
      </c>
      <c r="BG5" s="194" t="s">
        <v>950</v>
      </c>
      <c r="BR5" s="409" t="s">
        <v>1287</v>
      </c>
      <c r="BS5" s="409"/>
      <c r="BT5" s="409"/>
      <c r="BU5" s="28"/>
      <c r="BV5" s="28"/>
      <c r="BW5" s="238" t="s">
        <v>950</v>
      </c>
      <c r="BX5" s="28"/>
    </row>
    <row r="6" spans="1:79" ht="15" thickBot="1" x14ac:dyDescent="0.35">
      <c r="I6" t="s">
        <v>10</v>
      </c>
      <c r="M6" s="5" t="s">
        <v>16</v>
      </c>
      <c r="W6" t="s">
        <v>656</v>
      </c>
      <c r="AA6" s="5" t="s">
        <v>16</v>
      </c>
      <c r="AM6" t="s">
        <v>948</v>
      </c>
      <c r="AQ6" s="194" t="s">
        <v>950</v>
      </c>
      <c r="AX6" s="195" t="s">
        <v>17</v>
      </c>
      <c r="AY6" s="134" t="s">
        <v>27</v>
      </c>
      <c r="AZ6" s="136"/>
      <c r="BA6" s="135" t="s">
        <v>28</v>
      </c>
      <c r="BB6" s="135"/>
      <c r="BC6" s="135"/>
      <c r="BD6" s="135" t="s">
        <v>29</v>
      </c>
      <c r="BE6" s="135" t="s">
        <v>30</v>
      </c>
      <c r="BF6" s="135" t="s">
        <v>31</v>
      </c>
      <c r="BG6" s="135"/>
      <c r="BH6" s="136"/>
      <c r="BR6" s="107"/>
      <c r="BS6" s="107"/>
      <c r="BT6" s="107"/>
      <c r="BU6" s="28"/>
      <c r="BV6" s="28"/>
      <c r="BW6" s="238"/>
      <c r="BX6" s="28"/>
    </row>
    <row r="7" spans="1:79" x14ac:dyDescent="0.3">
      <c r="D7" s="6" t="s">
        <v>17</v>
      </c>
      <c r="E7" s="6" t="s">
        <v>27</v>
      </c>
      <c r="F7" s="7"/>
      <c r="G7" s="8" t="s">
        <v>28</v>
      </c>
      <c r="H7" s="8"/>
      <c r="I7" s="8"/>
      <c r="J7" s="6" t="s">
        <v>29</v>
      </c>
      <c r="K7" s="7" t="s">
        <v>30</v>
      </c>
      <c r="L7" s="8" t="s">
        <v>31</v>
      </c>
      <c r="M7" s="8"/>
      <c r="N7" s="7"/>
      <c r="R7" s="6" t="s">
        <v>17</v>
      </c>
      <c r="S7" s="6" t="s">
        <v>27</v>
      </c>
      <c r="T7" s="7"/>
      <c r="U7" s="8" t="s">
        <v>28</v>
      </c>
      <c r="V7" s="8"/>
      <c r="W7" s="8"/>
      <c r="X7" s="6" t="s">
        <v>29</v>
      </c>
      <c r="Y7" s="7" t="s">
        <v>30</v>
      </c>
      <c r="Z7" s="8" t="s">
        <v>31</v>
      </c>
      <c r="AA7" s="8"/>
      <c r="AB7" s="7"/>
      <c r="AH7" s="195" t="s">
        <v>17</v>
      </c>
      <c r="AI7" s="134" t="s">
        <v>27</v>
      </c>
      <c r="AJ7" s="136"/>
      <c r="AK7" s="135" t="s">
        <v>28</v>
      </c>
      <c r="AL7" s="135"/>
      <c r="AM7" s="135"/>
      <c r="AN7" s="135" t="s">
        <v>29</v>
      </c>
      <c r="AO7" s="135" t="s">
        <v>30</v>
      </c>
      <c r="AP7" s="135" t="s">
        <v>31</v>
      </c>
      <c r="AQ7" s="135"/>
      <c r="AR7" s="136"/>
      <c r="AS7" s="28"/>
      <c r="AT7" s="28"/>
      <c r="AU7" s="28"/>
      <c r="AX7" s="196"/>
      <c r="AY7" s="138"/>
      <c r="AZ7" s="141"/>
      <c r="BA7" s="28"/>
      <c r="BB7" s="28"/>
      <c r="BC7" s="28"/>
      <c r="BD7" s="28"/>
      <c r="BE7" s="28" t="s">
        <v>6</v>
      </c>
      <c r="BF7" s="28" t="s">
        <v>41</v>
      </c>
      <c r="BG7" s="28"/>
      <c r="BH7" s="141"/>
      <c r="BN7" s="195" t="s">
        <v>17</v>
      </c>
      <c r="BO7" s="134" t="s">
        <v>27</v>
      </c>
      <c r="BP7" s="135"/>
      <c r="BQ7" s="134" t="s">
        <v>28</v>
      </c>
      <c r="BR7" s="135"/>
      <c r="BS7" s="136"/>
      <c r="BT7" s="134" t="s">
        <v>1289</v>
      </c>
      <c r="BU7" s="136"/>
      <c r="BV7" s="135" t="s">
        <v>31</v>
      </c>
      <c r="BW7" s="135"/>
      <c r="BX7" s="136"/>
    </row>
    <row r="8" spans="1:79" x14ac:dyDescent="0.3">
      <c r="D8" s="10"/>
      <c r="E8" s="10"/>
      <c r="F8" s="11"/>
      <c r="G8" s="3"/>
      <c r="H8" s="3"/>
      <c r="I8" s="3"/>
      <c r="J8" s="10"/>
      <c r="K8" s="11" t="s">
        <v>6</v>
      </c>
      <c r="L8" s="3" t="s">
        <v>41</v>
      </c>
      <c r="M8" s="3"/>
      <c r="N8" s="11"/>
      <c r="R8" s="10"/>
      <c r="S8" s="10"/>
      <c r="T8" s="11"/>
      <c r="U8" s="3"/>
      <c r="V8" s="3"/>
      <c r="W8" s="3"/>
      <c r="X8" s="10"/>
      <c r="Y8" s="11" t="s">
        <v>6</v>
      </c>
      <c r="Z8" s="3" t="s">
        <v>41</v>
      </c>
      <c r="AA8" s="3"/>
      <c r="AB8" s="11"/>
      <c r="AH8" s="196"/>
      <c r="AI8" s="138"/>
      <c r="AJ8" s="141"/>
      <c r="AK8" s="28"/>
      <c r="AL8" s="28"/>
      <c r="AM8" s="28"/>
      <c r="AN8" s="28"/>
      <c r="AO8" s="28" t="s">
        <v>6</v>
      </c>
      <c r="AP8" s="28" t="s">
        <v>41</v>
      </c>
      <c r="AQ8" s="28"/>
      <c r="AR8" s="141"/>
      <c r="AS8" s="28"/>
      <c r="AT8" s="28"/>
      <c r="AU8" s="28"/>
      <c r="AX8" s="199" t="s">
        <v>42</v>
      </c>
      <c r="AY8" s="142" t="s">
        <v>43</v>
      </c>
      <c r="AZ8" s="146" t="s">
        <v>44</v>
      </c>
      <c r="BA8" s="143" t="s">
        <v>45</v>
      </c>
      <c r="BB8" s="143" t="s">
        <v>46</v>
      </c>
      <c r="BC8" s="143" t="s">
        <v>52</v>
      </c>
      <c r="BD8" s="143" t="s">
        <v>43</v>
      </c>
      <c r="BE8" s="143" t="s">
        <v>44</v>
      </c>
      <c r="BF8" s="143" t="s">
        <v>54</v>
      </c>
      <c r="BG8" s="143"/>
      <c r="BH8" s="146"/>
      <c r="BN8" s="196"/>
      <c r="BO8" s="138"/>
      <c r="BP8" s="28"/>
      <c r="BQ8" s="138"/>
      <c r="BR8" s="28"/>
      <c r="BS8" s="141"/>
      <c r="BT8" s="138"/>
      <c r="BU8" s="141"/>
      <c r="BV8" s="28" t="s">
        <v>41</v>
      </c>
      <c r="BW8" s="28"/>
      <c r="BX8" s="141"/>
    </row>
    <row r="9" spans="1:79" ht="15" thickBot="1" x14ac:dyDescent="0.35">
      <c r="A9" t="s">
        <v>1933</v>
      </c>
      <c r="B9" t="s">
        <v>1934</v>
      </c>
      <c r="C9" t="s">
        <v>1935</v>
      </c>
      <c r="D9" s="13" t="s">
        <v>42</v>
      </c>
      <c r="E9" s="13" t="s">
        <v>43</v>
      </c>
      <c r="F9" s="26" t="s">
        <v>44</v>
      </c>
      <c r="G9" s="27" t="s">
        <v>45</v>
      </c>
      <c r="H9" s="27" t="s">
        <v>46</v>
      </c>
      <c r="I9" s="27" t="s">
        <v>52</v>
      </c>
      <c r="J9" s="13" t="s">
        <v>43</v>
      </c>
      <c r="K9" s="26" t="s">
        <v>44</v>
      </c>
      <c r="L9" s="27" t="s">
        <v>54</v>
      </c>
      <c r="M9" s="27"/>
      <c r="N9" s="26"/>
      <c r="R9" s="13" t="s">
        <v>42</v>
      </c>
      <c r="S9" s="13" t="s">
        <v>43</v>
      </c>
      <c r="T9" s="26" t="s">
        <v>44</v>
      </c>
      <c r="U9" s="27" t="s">
        <v>45</v>
      </c>
      <c r="V9" s="27" t="s">
        <v>46</v>
      </c>
      <c r="W9" s="27" t="s">
        <v>52</v>
      </c>
      <c r="X9" s="13" t="s">
        <v>43</v>
      </c>
      <c r="Y9" s="26" t="s">
        <v>44</v>
      </c>
      <c r="Z9" s="27" t="s">
        <v>54</v>
      </c>
      <c r="AA9" s="27"/>
      <c r="AB9" s="26"/>
      <c r="AH9" s="199" t="s">
        <v>42</v>
      </c>
      <c r="AI9" s="142" t="s">
        <v>43</v>
      </c>
      <c r="AJ9" s="146" t="s">
        <v>44</v>
      </c>
      <c r="AK9" s="143" t="s">
        <v>45</v>
      </c>
      <c r="AL9" s="143" t="s">
        <v>46</v>
      </c>
      <c r="AM9" s="143" t="s">
        <v>52</v>
      </c>
      <c r="AN9" s="143" t="s">
        <v>43</v>
      </c>
      <c r="AO9" s="143" t="s">
        <v>44</v>
      </c>
      <c r="AP9" s="143" t="s">
        <v>54</v>
      </c>
      <c r="AQ9" s="143"/>
      <c r="AR9" s="146"/>
      <c r="AS9" s="28"/>
      <c r="AT9" s="28"/>
      <c r="AU9" s="28"/>
      <c r="AX9" s="195" t="s">
        <v>6</v>
      </c>
      <c r="AY9" s="135"/>
      <c r="AZ9" s="135"/>
      <c r="BA9" s="134"/>
      <c r="BB9" s="135"/>
      <c r="BC9" s="135"/>
      <c r="BD9" s="134"/>
      <c r="BE9" s="136"/>
      <c r="BF9" s="135" t="s">
        <v>58</v>
      </c>
      <c r="BG9" s="135"/>
      <c r="BH9" s="136"/>
      <c r="BN9" s="199" t="s">
        <v>42</v>
      </c>
      <c r="BO9" s="142" t="s">
        <v>43</v>
      </c>
      <c r="BP9" s="143" t="s">
        <v>44</v>
      </c>
      <c r="BQ9" s="142" t="s">
        <v>45</v>
      </c>
      <c r="BR9" s="143" t="s">
        <v>46</v>
      </c>
      <c r="BS9" s="146" t="s">
        <v>52</v>
      </c>
      <c r="BT9" s="142" t="s">
        <v>43</v>
      </c>
      <c r="BU9" s="146"/>
      <c r="BV9" s="143" t="s">
        <v>54</v>
      </c>
      <c r="BW9" s="143"/>
      <c r="BX9" s="146"/>
    </row>
    <row r="10" spans="1:79" x14ac:dyDescent="0.3">
      <c r="D10" s="32"/>
      <c r="G10" s="33"/>
      <c r="H10" s="34"/>
      <c r="I10" s="34"/>
      <c r="J10" s="33"/>
      <c r="K10" s="35"/>
      <c r="L10" s="34" t="s">
        <v>58</v>
      </c>
      <c r="M10" s="8"/>
      <c r="N10" s="7"/>
      <c r="R10" s="32" t="s">
        <v>85</v>
      </c>
      <c r="S10">
        <v>21</v>
      </c>
      <c r="T10">
        <v>7</v>
      </c>
      <c r="U10" s="33"/>
      <c r="V10" s="34"/>
      <c r="W10" s="34"/>
      <c r="X10" s="33"/>
      <c r="Y10" s="35"/>
      <c r="Z10" s="34" t="s">
        <v>58</v>
      </c>
      <c r="AA10" s="8"/>
      <c r="AB10" s="7"/>
      <c r="AH10" s="195" t="s">
        <v>85</v>
      </c>
      <c r="AI10" s="135">
        <v>24</v>
      </c>
      <c r="AJ10" s="135">
        <v>22</v>
      </c>
      <c r="AK10" s="134"/>
      <c r="AL10" s="135"/>
      <c r="AM10" s="135"/>
      <c r="AN10" s="134"/>
      <c r="AO10" s="136"/>
      <c r="AP10" s="135" t="s">
        <v>58</v>
      </c>
      <c r="AQ10" s="135"/>
      <c r="AR10" s="136"/>
      <c r="AS10" s="28"/>
      <c r="AT10" s="28"/>
      <c r="AU10" s="28"/>
      <c r="AX10" s="196" t="s">
        <v>64</v>
      </c>
      <c r="AY10" s="28">
        <v>128</v>
      </c>
      <c r="AZ10" s="28">
        <v>185</v>
      </c>
      <c r="BA10" s="138">
        <v>0</v>
      </c>
      <c r="BB10" s="28">
        <v>0</v>
      </c>
      <c r="BC10" s="28">
        <v>0</v>
      </c>
      <c r="BD10" s="138">
        <v>0</v>
      </c>
      <c r="BE10" s="141">
        <v>0</v>
      </c>
      <c r="BF10" s="43">
        <v>18</v>
      </c>
      <c r="BG10" s="28" t="s">
        <v>474</v>
      </c>
      <c r="BH10" s="141" t="s">
        <v>6</v>
      </c>
      <c r="BN10" s="195" t="s">
        <v>64</v>
      </c>
      <c r="BO10" s="134">
        <v>135</v>
      </c>
      <c r="BP10" s="136">
        <v>204</v>
      </c>
      <c r="BQ10" s="134">
        <v>0</v>
      </c>
      <c r="BR10" s="135">
        <v>0</v>
      </c>
      <c r="BS10" s="136">
        <v>0</v>
      </c>
      <c r="BT10" s="134">
        <v>0</v>
      </c>
      <c r="BU10" s="136">
        <v>0</v>
      </c>
      <c r="BV10" s="134" t="s">
        <v>58</v>
      </c>
      <c r="BW10" s="135"/>
      <c r="BX10" s="136"/>
    </row>
    <row r="11" spans="1:79" x14ac:dyDescent="0.3">
      <c r="D11" s="44" t="s">
        <v>64</v>
      </c>
      <c r="E11" s="18">
        <v>18</v>
      </c>
      <c r="F11" s="18">
        <v>31</v>
      </c>
      <c r="G11" s="10">
        <v>0</v>
      </c>
      <c r="H11" s="18">
        <v>0</v>
      </c>
      <c r="I11" s="18">
        <v>0</v>
      </c>
      <c r="J11" s="10">
        <v>0</v>
      </c>
      <c r="K11" s="11">
        <v>0</v>
      </c>
      <c r="L11" s="45"/>
      <c r="M11" s="28" t="s">
        <v>65</v>
      </c>
      <c r="N11" s="11"/>
      <c r="R11" s="44" t="s">
        <v>64</v>
      </c>
      <c r="S11" s="18">
        <v>85</v>
      </c>
      <c r="T11" s="18">
        <v>132</v>
      </c>
      <c r="U11" s="10">
        <v>0</v>
      </c>
      <c r="V11" s="18">
        <v>0</v>
      </c>
      <c r="W11" s="18">
        <v>0</v>
      </c>
      <c r="X11" s="10">
        <v>0</v>
      </c>
      <c r="Y11" s="11">
        <v>0</v>
      </c>
      <c r="Z11" s="45">
        <v>9</v>
      </c>
      <c r="AA11" s="28" t="s">
        <v>474</v>
      </c>
      <c r="AB11" s="11" t="s">
        <v>6</v>
      </c>
      <c r="AH11" s="196" t="s">
        <v>64</v>
      </c>
      <c r="AI11" s="28">
        <v>93</v>
      </c>
      <c r="AJ11" s="28">
        <v>114</v>
      </c>
      <c r="AK11" s="138">
        <v>0</v>
      </c>
      <c r="AL11" s="28">
        <v>0</v>
      </c>
      <c r="AM11" s="28">
        <v>0</v>
      </c>
      <c r="AN11" s="138">
        <v>0</v>
      </c>
      <c r="AO11" s="141">
        <v>0</v>
      </c>
      <c r="AP11" s="28">
        <v>10</v>
      </c>
      <c r="AQ11" s="28" t="s">
        <v>474</v>
      </c>
      <c r="AR11" s="141" t="s">
        <v>6</v>
      </c>
      <c r="AS11" s="28"/>
      <c r="AT11" s="28"/>
      <c r="AU11" s="28"/>
      <c r="AX11" s="196" t="s">
        <v>108</v>
      </c>
      <c r="AY11">
        <v>2</v>
      </c>
      <c r="AZ11">
        <v>7</v>
      </c>
      <c r="BA11" s="138">
        <v>0</v>
      </c>
      <c r="BB11" s="28">
        <v>0</v>
      </c>
      <c r="BC11" s="28">
        <v>0</v>
      </c>
      <c r="BD11" s="138">
        <v>0</v>
      </c>
      <c r="BE11" s="141">
        <v>0</v>
      </c>
      <c r="BF11" s="28">
        <v>1</v>
      </c>
      <c r="BG11" s="28" t="s">
        <v>1045</v>
      </c>
      <c r="BH11" s="141"/>
      <c r="BN11" s="196" t="s">
        <v>56</v>
      </c>
      <c r="BO11" s="138">
        <v>0</v>
      </c>
      <c r="BP11" s="141">
        <v>0</v>
      </c>
      <c r="BQ11" s="138">
        <v>0</v>
      </c>
      <c r="BR11" s="43">
        <v>0</v>
      </c>
      <c r="BS11" s="209">
        <v>0</v>
      </c>
      <c r="BT11" s="138">
        <v>0</v>
      </c>
      <c r="BU11" s="141">
        <v>0</v>
      </c>
      <c r="BV11" s="212">
        <v>9</v>
      </c>
      <c r="BW11" s="28" t="s">
        <v>65</v>
      </c>
      <c r="BX11" s="141" t="s">
        <v>1293</v>
      </c>
    </row>
    <row r="12" spans="1:79" ht="15" thickBot="1" x14ac:dyDescent="0.35">
      <c r="C12" s="28"/>
      <c r="D12" s="46"/>
      <c r="G12" s="47"/>
      <c r="H12" s="48"/>
      <c r="I12" s="48"/>
      <c r="J12" s="47"/>
      <c r="K12" s="49"/>
      <c r="L12" s="48">
        <v>6</v>
      </c>
      <c r="M12" s="48" t="s">
        <v>69</v>
      </c>
      <c r="N12" s="49">
        <f>SUM(L11:L12)</f>
        <v>6</v>
      </c>
      <c r="Q12" s="28"/>
      <c r="R12" s="46" t="s">
        <v>84</v>
      </c>
      <c r="S12">
        <f>SUM(S10:S11)</f>
        <v>106</v>
      </c>
      <c r="T12">
        <f>SUM(T10:T11)</f>
        <v>139</v>
      </c>
      <c r="U12" s="47"/>
      <c r="V12" s="48"/>
      <c r="W12" s="48"/>
      <c r="X12" s="47"/>
      <c r="Y12" s="49"/>
      <c r="Z12" s="48">
        <v>1</v>
      </c>
      <c r="AA12" s="48" t="s">
        <v>69</v>
      </c>
      <c r="AB12" s="49">
        <f>SUM(Z11:Z12)</f>
        <v>10</v>
      </c>
      <c r="AH12" s="196" t="s">
        <v>108</v>
      </c>
      <c r="AI12">
        <v>5</v>
      </c>
      <c r="AJ12">
        <f>24+7</f>
        <v>31</v>
      </c>
      <c r="AK12" s="138"/>
      <c r="AL12" s="28"/>
      <c r="AM12" s="28"/>
      <c r="AN12" s="138"/>
      <c r="AO12" s="141"/>
      <c r="AP12" s="28"/>
      <c r="AQ12" s="28"/>
      <c r="AR12" s="141"/>
      <c r="AS12" s="28"/>
      <c r="AT12" s="28"/>
      <c r="AU12" s="28"/>
      <c r="AX12" s="199" t="s">
        <v>84</v>
      </c>
      <c r="AY12" s="143">
        <f>SUM(AY9:AY11)</f>
        <v>130</v>
      </c>
      <c r="AZ12" s="143">
        <f>SUM(AZ9:AZ11)</f>
        <v>192</v>
      </c>
      <c r="BA12" s="138">
        <v>0</v>
      </c>
      <c r="BB12" s="28">
        <v>0</v>
      </c>
      <c r="BC12" s="28">
        <v>0</v>
      </c>
      <c r="BD12" s="138">
        <v>0</v>
      </c>
      <c r="BE12" s="141">
        <v>0</v>
      </c>
      <c r="BF12" s="143">
        <v>2</v>
      </c>
      <c r="BG12" s="143" t="s">
        <v>69</v>
      </c>
      <c r="BH12" s="146">
        <f>SUM(BF10:BF12)</f>
        <v>21</v>
      </c>
      <c r="BN12" s="196" t="s">
        <v>817</v>
      </c>
      <c r="BO12" s="138">
        <v>0</v>
      </c>
      <c r="BP12" s="141">
        <v>0</v>
      </c>
      <c r="BQ12" s="138">
        <v>0</v>
      </c>
      <c r="BR12" s="43">
        <v>0</v>
      </c>
      <c r="BS12" s="209">
        <v>0</v>
      </c>
      <c r="BT12" s="138">
        <v>0</v>
      </c>
      <c r="BU12" s="141">
        <v>0</v>
      </c>
      <c r="BV12" s="138">
        <v>2</v>
      </c>
      <c r="BW12" s="28" t="s">
        <v>69</v>
      </c>
      <c r="BX12" s="141"/>
    </row>
    <row r="13" spans="1:79" x14ac:dyDescent="0.3">
      <c r="C13" s="28"/>
      <c r="D13" s="33"/>
      <c r="E13" s="33"/>
      <c r="F13" s="35"/>
      <c r="G13" s="34"/>
      <c r="H13" s="34"/>
      <c r="I13" s="34"/>
      <c r="J13" s="33"/>
      <c r="K13" s="35"/>
      <c r="L13" s="8" t="s">
        <v>6</v>
      </c>
      <c r="M13" s="34"/>
      <c r="N13" s="35"/>
      <c r="Q13" s="28"/>
      <c r="R13" s="33"/>
      <c r="S13" s="33"/>
      <c r="T13" s="35"/>
      <c r="U13" s="34"/>
      <c r="V13" s="34"/>
      <c r="W13" s="34"/>
      <c r="X13" s="33"/>
      <c r="Y13" s="35"/>
      <c r="Z13" s="53" t="s">
        <v>82</v>
      </c>
      <c r="AA13" s="34"/>
      <c r="AB13" s="35"/>
      <c r="AH13" s="199" t="s">
        <v>84</v>
      </c>
      <c r="AI13" s="143">
        <v>106</v>
      </c>
      <c r="AJ13" s="143">
        <v>139</v>
      </c>
      <c r="AK13" s="142"/>
      <c r="AL13" s="143"/>
      <c r="AM13" s="143"/>
      <c r="AN13" s="142"/>
      <c r="AO13" s="146"/>
      <c r="AP13" s="143">
        <v>15</v>
      </c>
      <c r="AQ13" s="143" t="s">
        <v>69</v>
      </c>
      <c r="AR13" s="146">
        <f>SUM(AP11:AP13)</f>
        <v>25</v>
      </c>
      <c r="AS13" s="28"/>
      <c r="AT13" s="28"/>
      <c r="AX13" s="195" t="s">
        <v>6</v>
      </c>
      <c r="AY13" s="134" t="s">
        <v>6</v>
      </c>
      <c r="AZ13" s="136"/>
      <c r="BA13" s="135"/>
      <c r="BB13" s="135">
        <v>0</v>
      </c>
      <c r="BC13" s="135"/>
      <c r="BD13" s="134"/>
      <c r="BE13" s="136"/>
      <c r="BF13" s="135" t="s">
        <v>1092</v>
      </c>
      <c r="BG13" s="135"/>
      <c r="BH13" s="136"/>
      <c r="BN13" s="239" t="s">
        <v>84</v>
      </c>
      <c r="BO13" s="142">
        <v>0</v>
      </c>
      <c r="BP13" s="146">
        <v>0</v>
      </c>
      <c r="BQ13" s="142">
        <v>0</v>
      </c>
      <c r="BR13" s="143">
        <v>0</v>
      </c>
      <c r="BS13" s="146">
        <v>0</v>
      </c>
      <c r="BT13" s="142">
        <v>0</v>
      </c>
      <c r="BU13" s="146">
        <v>0</v>
      </c>
      <c r="BV13" s="142"/>
      <c r="BW13" s="143"/>
      <c r="BX13" s="146">
        <v>13</v>
      </c>
    </row>
    <row r="14" spans="1:79" ht="15" thickBot="1" x14ac:dyDescent="0.35">
      <c r="C14" s="28"/>
      <c r="D14" s="47" t="s">
        <v>6</v>
      </c>
      <c r="E14" s="47"/>
      <c r="F14" s="49"/>
      <c r="G14" s="48">
        <v>0</v>
      </c>
      <c r="H14" s="48">
        <v>0</v>
      </c>
      <c r="I14" s="48">
        <v>0</v>
      </c>
      <c r="J14" s="47">
        <v>0</v>
      </c>
      <c r="K14" s="49">
        <v>0</v>
      </c>
      <c r="L14" s="51"/>
      <c r="M14" s="48" t="s">
        <v>6</v>
      </c>
      <c r="N14" s="49">
        <f>SUM(L14)</f>
        <v>0</v>
      </c>
      <c r="Q14" s="28"/>
      <c r="R14" s="47" t="s">
        <v>85</v>
      </c>
      <c r="S14" s="47">
        <v>6</v>
      </c>
      <c r="T14" s="49">
        <v>4</v>
      </c>
      <c r="U14" s="48"/>
      <c r="V14" s="48">
        <v>0</v>
      </c>
      <c r="W14" s="48">
        <v>0</v>
      </c>
      <c r="X14" s="47">
        <v>0</v>
      </c>
      <c r="Y14" s="49">
        <v>0</v>
      </c>
      <c r="Z14" s="51">
        <v>1</v>
      </c>
      <c r="AA14" s="48" t="s">
        <v>86</v>
      </c>
      <c r="AB14" s="49">
        <f>SUM(Z14)</f>
        <v>1</v>
      </c>
      <c r="AH14" s="195"/>
      <c r="AI14" s="134"/>
      <c r="AJ14" s="136"/>
      <c r="AK14" s="135"/>
      <c r="AL14" s="135"/>
      <c r="AM14" s="135"/>
      <c r="AN14" s="134"/>
      <c r="AO14" s="136"/>
      <c r="AP14" s="135" t="s">
        <v>82</v>
      </c>
      <c r="AQ14" s="135"/>
      <c r="AR14" s="136"/>
      <c r="AS14" s="28"/>
      <c r="AT14" s="28"/>
      <c r="AU14" s="135" t="s">
        <v>1092</v>
      </c>
      <c r="AV14">
        <v>2017</v>
      </c>
      <c r="AW14">
        <v>1</v>
      </c>
      <c r="AX14" s="199" t="s">
        <v>108</v>
      </c>
      <c r="AY14" s="142">
        <f>353+77</f>
        <v>430</v>
      </c>
      <c r="AZ14" s="146">
        <f>346+58</f>
        <v>404</v>
      </c>
      <c r="BA14" s="143"/>
      <c r="BB14" s="143">
        <v>0</v>
      </c>
      <c r="BC14" s="143">
        <v>0</v>
      </c>
      <c r="BD14" s="142">
        <v>0</v>
      </c>
      <c r="BE14" s="146">
        <v>0</v>
      </c>
      <c r="BF14" s="143">
        <v>15</v>
      </c>
      <c r="BG14" s="143" t="s">
        <v>780</v>
      </c>
      <c r="BH14" s="146">
        <f>SUM(BF14)</f>
        <v>15</v>
      </c>
      <c r="BN14" s="195" t="s">
        <v>56</v>
      </c>
      <c r="BO14" s="134">
        <v>0</v>
      </c>
      <c r="BP14" s="136">
        <v>0</v>
      </c>
      <c r="BQ14" s="240">
        <v>0</v>
      </c>
      <c r="BR14" s="241">
        <v>0</v>
      </c>
      <c r="BS14" s="242">
        <v>0</v>
      </c>
      <c r="BT14" s="134">
        <v>0</v>
      </c>
      <c r="BU14" s="136">
        <v>0</v>
      </c>
      <c r="BV14" s="135"/>
      <c r="BW14" s="135" t="s">
        <v>92</v>
      </c>
      <c r="BX14" s="136"/>
    </row>
    <row r="15" spans="1:79" x14ac:dyDescent="0.3">
      <c r="C15" s="28"/>
      <c r="D15" s="33"/>
      <c r="E15" s="33"/>
      <c r="F15" s="35"/>
      <c r="G15" s="34"/>
      <c r="H15" s="34"/>
      <c r="I15" s="34"/>
      <c r="J15" s="33"/>
      <c r="K15" s="35"/>
      <c r="L15" s="53" t="s">
        <v>82</v>
      </c>
      <c r="M15" s="34"/>
      <c r="N15" s="35"/>
      <c r="Q15" s="28"/>
      <c r="R15" s="50" t="s">
        <v>107</v>
      </c>
      <c r="S15" s="31">
        <v>91</v>
      </c>
      <c r="T15" s="31">
        <v>116</v>
      </c>
      <c r="U15" s="29"/>
      <c r="V15" s="31"/>
      <c r="W15" s="30"/>
      <c r="X15" s="55"/>
      <c r="Y15" s="8"/>
      <c r="Z15" s="29"/>
      <c r="AA15" s="34" t="s">
        <v>92</v>
      </c>
      <c r="AB15" s="35"/>
      <c r="AH15" s="199" t="s">
        <v>85</v>
      </c>
      <c r="AI15" s="142"/>
      <c r="AJ15" s="146"/>
      <c r="AK15" s="143"/>
      <c r="AL15" s="143">
        <v>0</v>
      </c>
      <c r="AM15" s="143">
        <v>0</v>
      </c>
      <c r="AN15" s="142">
        <v>0</v>
      </c>
      <c r="AO15" s="146">
        <v>0</v>
      </c>
      <c r="AP15" s="143"/>
      <c r="AQ15" s="143" t="s">
        <v>86</v>
      </c>
      <c r="AR15" s="146">
        <f>SUM(AP15)</f>
        <v>0</v>
      </c>
      <c r="AS15" s="28"/>
      <c r="AT15" s="28"/>
      <c r="AU15" s="28"/>
      <c r="AX15" s="195" t="s">
        <v>107</v>
      </c>
      <c r="AY15" s="134">
        <v>0</v>
      </c>
      <c r="AZ15" s="136">
        <v>0</v>
      </c>
      <c r="BA15" s="135"/>
      <c r="BB15" s="135"/>
      <c r="BC15" s="135"/>
      <c r="BD15" s="134"/>
      <c r="BE15" s="136"/>
      <c r="BF15" s="135"/>
      <c r="BG15" s="135" t="s">
        <v>92</v>
      </c>
      <c r="BH15" s="136"/>
      <c r="BN15" s="196" t="s">
        <v>1247</v>
      </c>
      <c r="BO15" s="138">
        <v>0</v>
      </c>
      <c r="BP15" s="141">
        <v>0</v>
      </c>
      <c r="BQ15" s="138">
        <v>0</v>
      </c>
      <c r="BR15" s="43">
        <v>0</v>
      </c>
      <c r="BS15" s="141">
        <v>0</v>
      </c>
      <c r="BT15" s="138">
        <v>2377</v>
      </c>
      <c r="BU15" s="141">
        <v>909</v>
      </c>
      <c r="BV15" s="43">
        <v>12</v>
      </c>
      <c r="BW15" s="28" t="s">
        <v>1297</v>
      </c>
      <c r="BX15" s="141"/>
    </row>
    <row r="16" spans="1:79" ht="15" thickBot="1" x14ac:dyDescent="0.35">
      <c r="C16" s="28"/>
      <c r="D16" s="47" t="s">
        <v>85</v>
      </c>
      <c r="E16" s="47">
        <v>10</v>
      </c>
      <c r="F16" s="49">
        <v>10</v>
      </c>
      <c r="G16" s="48">
        <v>0</v>
      </c>
      <c r="H16" s="48">
        <v>0</v>
      </c>
      <c r="I16" s="48">
        <v>0</v>
      </c>
      <c r="J16" s="47">
        <v>0</v>
      </c>
      <c r="K16" s="49">
        <v>0</v>
      </c>
      <c r="L16" s="51">
        <v>4</v>
      </c>
      <c r="M16" s="48" t="s">
        <v>86</v>
      </c>
      <c r="N16" s="49">
        <f>SUM(L16)</f>
        <v>4</v>
      </c>
      <c r="Q16" s="28"/>
      <c r="R16" s="41" t="s">
        <v>99</v>
      </c>
      <c r="S16" s="45">
        <v>0</v>
      </c>
      <c r="T16" s="45">
        <v>0</v>
      </c>
      <c r="U16" s="42">
        <v>0</v>
      </c>
      <c r="V16" s="45">
        <v>0</v>
      </c>
      <c r="W16" s="40">
        <v>0</v>
      </c>
      <c r="X16" s="45">
        <v>50027</v>
      </c>
      <c r="Y16" s="56">
        <v>15650</v>
      </c>
      <c r="Z16" s="52">
        <v>12</v>
      </c>
      <c r="AA16" s="37" t="s">
        <v>100</v>
      </c>
      <c r="AB16" s="40"/>
      <c r="AH16" s="195" t="s">
        <v>107</v>
      </c>
      <c r="AI16" s="134">
        <v>0</v>
      </c>
      <c r="AJ16" s="136">
        <v>0</v>
      </c>
      <c r="AK16" s="135"/>
      <c r="AL16" s="135"/>
      <c r="AM16" s="135"/>
      <c r="AN16" s="134"/>
      <c r="AO16" s="136"/>
      <c r="AP16" s="135"/>
      <c r="AQ16" s="135" t="s">
        <v>92</v>
      </c>
      <c r="AR16" s="136"/>
      <c r="AS16" s="28"/>
      <c r="AT16" s="28"/>
      <c r="AU16" s="28"/>
      <c r="AX16" s="196" t="s">
        <v>99</v>
      </c>
      <c r="AY16" s="138">
        <v>0</v>
      </c>
      <c r="AZ16" s="141">
        <v>0</v>
      </c>
      <c r="BA16" s="28">
        <v>0</v>
      </c>
      <c r="BB16" s="28">
        <v>0</v>
      </c>
      <c r="BC16" s="28">
        <v>0</v>
      </c>
      <c r="BD16" s="138">
        <v>83265</v>
      </c>
      <c r="BE16" s="141">
        <v>19089</v>
      </c>
      <c r="BF16" s="43">
        <v>28</v>
      </c>
      <c r="BG16" s="28" t="s">
        <v>100</v>
      </c>
      <c r="BH16" s="141"/>
      <c r="BN16" s="211" t="s">
        <v>64</v>
      </c>
      <c r="BO16" s="138">
        <v>0</v>
      </c>
      <c r="BP16" s="141">
        <v>0</v>
      </c>
      <c r="BQ16" s="212">
        <v>0</v>
      </c>
      <c r="BR16" s="43">
        <v>0</v>
      </c>
      <c r="BS16" s="209">
        <v>0</v>
      </c>
      <c r="BT16" s="138">
        <v>3405</v>
      </c>
      <c r="BU16" s="141">
        <v>0</v>
      </c>
      <c r="BV16" s="43"/>
      <c r="BW16" s="28"/>
      <c r="BX16" s="141"/>
      <c r="BY16" s="28"/>
      <c r="BZ16" s="28"/>
      <c r="CA16" s="28"/>
    </row>
    <row r="17" spans="1:79" ht="15" thickBot="1" x14ac:dyDescent="0.35">
      <c r="C17" s="28"/>
      <c r="D17" s="50"/>
      <c r="E17" s="31"/>
      <c r="F17" s="31"/>
      <c r="G17" s="29"/>
      <c r="H17" s="31"/>
      <c r="I17" s="30"/>
      <c r="J17" s="55"/>
      <c r="K17" s="8"/>
      <c r="L17" s="29"/>
      <c r="M17" s="34" t="s">
        <v>92</v>
      </c>
      <c r="N17" s="35"/>
      <c r="Q17" s="28"/>
      <c r="R17" s="17" t="s">
        <v>84</v>
      </c>
      <c r="S17" s="18">
        <f>SUM(S15:S16)</f>
        <v>91</v>
      </c>
      <c r="T17" s="18">
        <f>SUM(T15:T16)</f>
        <v>116</v>
      </c>
      <c r="U17" s="13"/>
      <c r="V17" s="27"/>
      <c r="W17" s="26"/>
      <c r="X17" s="58"/>
      <c r="Y17" s="27"/>
      <c r="Z17" s="59">
        <v>2</v>
      </c>
      <c r="AA17" s="48" t="s">
        <v>506</v>
      </c>
      <c r="AB17" s="60">
        <f>SUM(Z16:Z17)</f>
        <v>14</v>
      </c>
      <c r="AH17" s="196" t="s">
        <v>99</v>
      </c>
      <c r="AI17" s="138">
        <v>0</v>
      </c>
      <c r="AJ17" s="141">
        <v>0</v>
      </c>
      <c r="AK17" s="28">
        <v>0</v>
      </c>
      <c r="AL17" s="28">
        <v>0</v>
      </c>
      <c r="AM17" s="28">
        <v>0</v>
      </c>
      <c r="AN17" s="138">
        <v>68293</v>
      </c>
      <c r="AO17" s="141">
        <v>19089</v>
      </c>
      <c r="AP17" s="28">
        <v>24</v>
      </c>
      <c r="AQ17" s="28" t="s">
        <v>100</v>
      </c>
      <c r="AR17" s="141"/>
      <c r="AS17" s="28"/>
      <c r="AT17" s="28"/>
      <c r="AU17" s="28"/>
      <c r="AX17" s="199" t="s">
        <v>84</v>
      </c>
      <c r="AY17" s="138">
        <f>SUM(AY15:AY16)</f>
        <v>0</v>
      </c>
      <c r="AZ17" s="141">
        <f>SUM(AZ15:AZ16)</f>
        <v>0</v>
      </c>
      <c r="BA17" s="143"/>
      <c r="BB17" s="143"/>
      <c r="BC17" s="143"/>
      <c r="BD17" s="142"/>
      <c r="BE17" s="146"/>
      <c r="BF17" s="143">
        <v>0</v>
      </c>
      <c r="BG17" s="143" t="s">
        <v>506</v>
      </c>
      <c r="BH17" s="146">
        <f>SUM(BF16:BF17)</f>
        <v>28</v>
      </c>
      <c r="BN17" s="196" t="s">
        <v>107</v>
      </c>
      <c r="BO17" s="138">
        <v>0</v>
      </c>
      <c r="BP17" s="141">
        <v>0</v>
      </c>
      <c r="BQ17" s="138">
        <v>0</v>
      </c>
      <c r="BR17" s="43">
        <v>0</v>
      </c>
      <c r="BS17" s="141">
        <v>0</v>
      </c>
      <c r="BT17" s="138">
        <v>0</v>
      </c>
      <c r="BU17" s="141">
        <v>909</v>
      </c>
      <c r="BV17" s="43"/>
      <c r="BW17" s="28"/>
      <c r="BX17" s="141"/>
      <c r="BY17" s="28"/>
      <c r="BZ17" s="28"/>
      <c r="CA17" s="28"/>
    </row>
    <row r="18" spans="1:79" x14ac:dyDescent="0.3">
      <c r="C18" s="28"/>
      <c r="D18" s="41" t="s">
        <v>99</v>
      </c>
      <c r="E18" s="45">
        <v>0</v>
      </c>
      <c r="F18" s="45">
        <v>0</v>
      </c>
      <c r="G18" s="42">
        <v>0</v>
      </c>
      <c r="H18" s="45">
        <v>0</v>
      </c>
      <c r="I18" s="40">
        <v>0</v>
      </c>
      <c r="J18" s="45">
        <v>38719</v>
      </c>
      <c r="K18" s="56">
        <v>11986</v>
      </c>
      <c r="L18" s="52">
        <v>31</v>
      </c>
      <c r="M18" s="37" t="s">
        <v>100</v>
      </c>
      <c r="N18" s="40"/>
      <c r="Q18" s="28"/>
      <c r="R18" s="32" t="s">
        <v>107</v>
      </c>
      <c r="S18" s="63">
        <v>0</v>
      </c>
      <c r="T18" s="64">
        <v>0</v>
      </c>
      <c r="U18" s="33"/>
      <c r="V18" s="8"/>
      <c r="W18" s="35"/>
      <c r="X18" s="65"/>
      <c r="Y18" s="66"/>
      <c r="Z18" s="29"/>
      <c r="AA18" s="31" t="s">
        <v>57</v>
      </c>
      <c r="AB18" s="35"/>
      <c r="AH18" s="199" t="s">
        <v>84</v>
      </c>
      <c r="AI18" s="142">
        <f>SUM(AI16:AI17)</f>
        <v>0</v>
      </c>
      <c r="AJ18" s="146">
        <f>SUM(AJ16:AJ17)</f>
        <v>0</v>
      </c>
      <c r="AK18" s="143"/>
      <c r="AL18" s="143"/>
      <c r="AM18" s="143"/>
      <c r="AN18" s="142"/>
      <c r="AO18" s="146"/>
      <c r="AP18" s="143">
        <v>0</v>
      </c>
      <c r="AQ18" s="143" t="s">
        <v>506</v>
      </c>
      <c r="AR18" s="146">
        <f>SUM(AP17:AP18)</f>
        <v>24</v>
      </c>
      <c r="AS18" s="28"/>
      <c r="AT18" s="28"/>
      <c r="AU18" s="135" t="s">
        <v>91</v>
      </c>
      <c r="AV18">
        <v>2017</v>
      </c>
      <c r="AW18">
        <v>1</v>
      </c>
      <c r="AX18" s="138" t="s">
        <v>89</v>
      </c>
      <c r="AY18" s="134">
        <f>626+33</f>
        <v>659</v>
      </c>
      <c r="AZ18" s="136">
        <v>607</v>
      </c>
      <c r="BD18" s="134"/>
      <c r="BE18" s="136"/>
      <c r="BF18" s="134"/>
      <c r="BG18" s="135" t="s">
        <v>91</v>
      </c>
      <c r="BH18" s="136"/>
      <c r="BN18" s="211" t="s">
        <v>99</v>
      </c>
      <c r="BO18" s="138">
        <v>0</v>
      </c>
      <c r="BP18" s="141">
        <v>0</v>
      </c>
      <c r="BQ18" s="138">
        <v>0</v>
      </c>
      <c r="BR18" s="43">
        <v>0</v>
      </c>
      <c r="BS18" s="141">
        <v>0</v>
      </c>
      <c r="BT18" s="138">
        <v>72140</v>
      </c>
      <c r="BU18" s="141">
        <v>16362</v>
      </c>
      <c r="BV18" s="28"/>
      <c r="BW18" s="28"/>
      <c r="BX18" s="141"/>
      <c r="BY18" s="28"/>
      <c r="BZ18" s="28"/>
      <c r="CA18" s="28"/>
    </row>
    <row r="19" spans="1:79" ht="15" thickBot="1" x14ac:dyDescent="0.35">
      <c r="C19" s="28"/>
      <c r="D19" s="17" t="s">
        <v>84</v>
      </c>
      <c r="E19" s="18">
        <f>SUM(E17:E18)</f>
        <v>0</v>
      </c>
      <c r="F19" s="18">
        <f>SUM(F17:F18)</f>
        <v>0</v>
      </c>
      <c r="G19" s="13"/>
      <c r="H19" s="27"/>
      <c r="I19" s="26"/>
      <c r="J19" s="58"/>
      <c r="K19" s="27"/>
      <c r="L19" s="59"/>
      <c r="M19" s="48" t="s">
        <v>6</v>
      </c>
      <c r="N19" s="60">
        <f>SUM(L18:L19)</f>
        <v>31</v>
      </c>
      <c r="Q19" s="28"/>
      <c r="R19" s="41" t="s">
        <v>657</v>
      </c>
      <c r="S19" s="70">
        <v>0</v>
      </c>
      <c r="T19" s="71">
        <v>17</v>
      </c>
      <c r="U19" s="42"/>
      <c r="V19" s="28"/>
      <c r="W19" s="40"/>
      <c r="X19" s="42"/>
      <c r="Y19" s="40"/>
      <c r="Z19" s="42"/>
      <c r="AA19" s="54" t="s">
        <v>530</v>
      </c>
      <c r="AB19" s="40"/>
      <c r="AE19" s="28" t="s">
        <v>91</v>
      </c>
      <c r="AF19">
        <v>2016</v>
      </c>
      <c r="AG19">
        <v>1</v>
      </c>
      <c r="AH19" s="196"/>
      <c r="AI19" s="138"/>
      <c r="AJ19" s="141"/>
      <c r="AN19" s="138"/>
      <c r="AO19" s="141"/>
      <c r="AP19" s="134"/>
      <c r="AQ19" s="135"/>
      <c r="AR19" s="136"/>
      <c r="AS19" s="28"/>
      <c r="AT19" s="28"/>
      <c r="AU19" s="135" t="s">
        <v>91</v>
      </c>
      <c r="AV19">
        <v>2017</v>
      </c>
      <c r="AW19">
        <v>1</v>
      </c>
      <c r="AX19" s="138" t="s">
        <v>137</v>
      </c>
      <c r="AY19" s="138">
        <f>305+86</f>
        <v>391</v>
      </c>
      <c r="AZ19" s="141">
        <f>275+38</f>
        <v>313</v>
      </c>
      <c r="BD19" s="138"/>
      <c r="BE19" s="141"/>
      <c r="BF19" s="212">
        <f>7+6</f>
        <v>13</v>
      </c>
      <c r="BG19" s="43" t="s">
        <v>101</v>
      </c>
      <c r="BH19" s="141"/>
      <c r="BN19" s="211" t="s">
        <v>108</v>
      </c>
      <c r="BO19" s="138">
        <v>0</v>
      </c>
      <c r="BP19" s="141">
        <v>0</v>
      </c>
      <c r="BQ19" s="138">
        <v>0</v>
      </c>
      <c r="BR19" s="43">
        <v>0</v>
      </c>
      <c r="BS19" s="141">
        <v>0</v>
      </c>
      <c r="BT19" s="138">
        <v>0</v>
      </c>
      <c r="BU19" s="209">
        <v>0</v>
      </c>
      <c r="BV19" s="43"/>
      <c r="BW19" s="43"/>
      <c r="BX19" s="141"/>
      <c r="BY19" s="28"/>
      <c r="BZ19" s="28"/>
      <c r="CA19" s="28"/>
    </row>
    <row r="20" spans="1:79" ht="15" thickBot="1" x14ac:dyDescent="0.35">
      <c r="A20" s="31" t="s">
        <v>57</v>
      </c>
      <c r="B20">
        <v>2014</v>
      </c>
      <c r="C20" s="28">
        <v>1</v>
      </c>
      <c r="D20" s="32" t="s">
        <v>6</v>
      </c>
      <c r="E20" s="63"/>
      <c r="F20" s="64"/>
      <c r="G20" s="33"/>
      <c r="H20" s="8"/>
      <c r="I20" s="35"/>
      <c r="J20" s="65"/>
      <c r="K20" s="66"/>
      <c r="L20" s="29"/>
      <c r="M20" s="31" t="s">
        <v>57</v>
      </c>
      <c r="N20" s="35"/>
      <c r="Q20" s="28" t="s">
        <v>6</v>
      </c>
      <c r="R20" s="68" t="s">
        <v>84</v>
      </c>
      <c r="S20">
        <f>SUM(S18:S19)</f>
        <v>0</v>
      </c>
      <c r="T20">
        <f>SUM(T18:T19)</f>
        <v>17</v>
      </c>
      <c r="U20" s="47">
        <v>0</v>
      </c>
      <c r="V20" s="27">
        <v>0</v>
      </c>
      <c r="W20" s="49">
        <v>0</v>
      </c>
      <c r="X20" s="75">
        <v>0</v>
      </c>
      <c r="Y20" s="49">
        <v>0</v>
      </c>
      <c r="Z20" s="47">
        <v>1</v>
      </c>
      <c r="AA20" s="51" t="s">
        <v>73</v>
      </c>
      <c r="AB20" s="49">
        <f>SUM(Z19:Z20)</f>
        <v>1</v>
      </c>
      <c r="AE20" s="28" t="s">
        <v>91</v>
      </c>
      <c r="AF20">
        <v>2016</v>
      </c>
      <c r="AG20">
        <v>1</v>
      </c>
      <c r="AH20" s="196" t="s">
        <v>89</v>
      </c>
      <c r="AI20" s="138">
        <v>412</v>
      </c>
      <c r="AJ20" s="141">
        <v>292</v>
      </c>
      <c r="AN20" s="138"/>
      <c r="AO20" s="141"/>
      <c r="AP20" s="138"/>
      <c r="AQ20" s="28" t="s">
        <v>91</v>
      </c>
      <c r="AR20" s="141"/>
      <c r="AS20" s="28"/>
      <c r="AT20" s="28"/>
      <c r="AU20" s="135" t="s">
        <v>91</v>
      </c>
      <c r="AV20">
        <v>2017</v>
      </c>
      <c r="AW20">
        <v>1</v>
      </c>
      <c r="AX20" s="138" t="s">
        <v>113</v>
      </c>
      <c r="AY20" s="138">
        <v>728</v>
      </c>
      <c r="AZ20" s="141">
        <v>679</v>
      </c>
      <c r="BD20" s="138"/>
      <c r="BE20" s="141"/>
      <c r="BF20" s="212">
        <f>59+2</f>
        <v>61</v>
      </c>
      <c r="BG20" s="28" t="s">
        <v>73</v>
      </c>
      <c r="BH20" s="141"/>
      <c r="BN20" s="211" t="s">
        <v>84</v>
      </c>
      <c r="BO20" s="212">
        <v>0</v>
      </c>
      <c r="BP20" s="209">
        <v>0</v>
      </c>
      <c r="BQ20" s="138">
        <v>0</v>
      </c>
      <c r="BR20" s="43">
        <v>0</v>
      </c>
      <c r="BS20" s="141"/>
      <c r="BT20" s="138">
        <v>77922</v>
      </c>
      <c r="BU20" s="209">
        <v>18180</v>
      </c>
      <c r="BV20" s="28"/>
      <c r="BW20" s="43"/>
      <c r="BX20" s="141">
        <v>12</v>
      </c>
      <c r="BY20" s="28"/>
      <c r="BZ20" s="28"/>
      <c r="CA20" s="28"/>
    </row>
    <row r="21" spans="1:79" ht="15" thickBot="1" x14ac:dyDescent="0.35">
      <c r="A21" s="31" t="s">
        <v>57</v>
      </c>
      <c r="B21">
        <v>2014</v>
      </c>
      <c r="C21" s="28">
        <v>1</v>
      </c>
      <c r="D21" s="68" t="s">
        <v>107</v>
      </c>
      <c r="E21">
        <v>24</v>
      </c>
      <c r="F21">
        <v>54</v>
      </c>
      <c r="G21" s="42"/>
      <c r="H21" s="28"/>
      <c r="I21" s="40"/>
      <c r="J21" s="42"/>
      <c r="K21" s="40"/>
      <c r="L21" s="42"/>
      <c r="M21" s="28"/>
      <c r="N21" s="40"/>
      <c r="O21" s="34" t="s">
        <v>91</v>
      </c>
      <c r="P21">
        <v>2015</v>
      </c>
      <c r="Q21" s="28">
        <v>1</v>
      </c>
      <c r="R21" s="33" t="s">
        <v>89</v>
      </c>
      <c r="S21" s="78">
        <v>205</v>
      </c>
      <c r="T21" s="79">
        <v>163</v>
      </c>
      <c r="U21" s="34"/>
      <c r="V21" s="8"/>
      <c r="W21" s="35"/>
      <c r="X21" s="80"/>
      <c r="Y21" s="34"/>
      <c r="Z21" s="33"/>
      <c r="AA21" s="34" t="s">
        <v>91</v>
      </c>
      <c r="AB21" s="35"/>
      <c r="AE21" s="28" t="s">
        <v>91</v>
      </c>
      <c r="AF21">
        <v>2016</v>
      </c>
      <c r="AG21">
        <v>1</v>
      </c>
      <c r="AH21" s="196" t="s">
        <v>108</v>
      </c>
      <c r="AI21" s="138">
        <v>0</v>
      </c>
      <c r="AJ21" s="141">
        <v>0</v>
      </c>
      <c r="AN21" s="138"/>
      <c r="AO21" s="141"/>
      <c r="AP21" s="138"/>
      <c r="AQ21" s="28"/>
      <c r="AR21" s="141"/>
      <c r="AS21" s="28"/>
      <c r="AT21" s="28"/>
      <c r="AU21" s="135" t="s">
        <v>91</v>
      </c>
      <c r="AV21">
        <v>2017</v>
      </c>
      <c r="AW21">
        <v>1</v>
      </c>
      <c r="AX21" s="212" t="s">
        <v>108</v>
      </c>
      <c r="AY21" s="212">
        <v>0</v>
      </c>
      <c r="AZ21" s="209">
        <v>0</v>
      </c>
      <c r="BD21" s="138"/>
      <c r="BE21" s="141"/>
      <c r="BF21" s="138">
        <v>2</v>
      </c>
      <c r="BG21" s="43" t="s">
        <v>1509</v>
      </c>
      <c r="BH21" s="141"/>
      <c r="BK21" s="135" t="s">
        <v>91</v>
      </c>
      <c r="BL21">
        <v>2018</v>
      </c>
      <c r="BM21">
        <v>1</v>
      </c>
      <c r="BN21" s="134" t="s">
        <v>113</v>
      </c>
      <c r="BO21" s="134">
        <v>582</v>
      </c>
      <c r="BP21" s="136">
        <v>564</v>
      </c>
      <c r="BQ21" s="134">
        <v>0</v>
      </c>
      <c r="BR21" s="135">
        <v>0</v>
      </c>
      <c r="BS21" s="136">
        <v>0</v>
      </c>
      <c r="BT21" s="134">
        <v>0</v>
      </c>
      <c r="BU21" s="136">
        <v>0</v>
      </c>
      <c r="BV21" s="134"/>
      <c r="BW21" s="135" t="s">
        <v>91</v>
      </c>
      <c r="BX21" s="136"/>
      <c r="BY21" s="28"/>
      <c r="BZ21" s="28"/>
      <c r="CA21" s="28"/>
    </row>
    <row r="22" spans="1:79" ht="15" thickBot="1" x14ac:dyDescent="0.35">
      <c r="A22" s="31" t="s">
        <v>57</v>
      </c>
      <c r="B22">
        <v>2014</v>
      </c>
      <c r="C22" s="28">
        <v>1</v>
      </c>
      <c r="D22" s="41" t="s">
        <v>113</v>
      </c>
      <c r="E22" s="70">
        <v>611</v>
      </c>
      <c r="F22" s="71">
        <v>584</v>
      </c>
      <c r="G22" s="42"/>
      <c r="H22" s="28"/>
      <c r="I22" s="40"/>
      <c r="J22" s="42"/>
      <c r="K22" s="40"/>
      <c r="L22" s="42"/>
      <c r="M22" s="43" t="s">
        <v>6</v>
      </c>
      <c r="N22" s="40"/>
      <c r="O22" s="34" t="s">
        <v>91</v>
      </c>
      <c r="P22">
        <v>2015</v>
      </c>
      <c r="Q22" s="28">
        <v>1</v>
      </c>
      <c r="R22" s="52" t="s">
        <v>108</v>
      </c>
      <c r="S22" s="42"/>
      <c r="T22" s="40"/>
      <c r="U22" s="28"/>
      <c r="V22" s="28"/>
      <c r="W22" s="40"/>
      <c r="Z22" s="42"/>
      <c r="AA22" s="28"/>
      <c r="AB22" s="40"/>
      <c r="AE22" s="28" t="s">
        <v>91</v>
      </c>
      <c r="AF22">
        <v>2016</v>
      </c>
      <c r="AG22">
        <v>1</v>
      </c>
      <c r="AH22" s="196" t="s">
        <v>113</v>
      </c>
      <c r="AI22" s="138">
        <v>819</v>
      </c>
      <c r="AJ22" s="141">
        <v>734</v>
      </c>
      <c r="AN22" s="138"/>
      <c r="AO22" s="141"/>
      <c r="AP22" s="138">
        <v>95</v>
      </c>
      <c r="AQ22" s="28" t="s">
        <v>73</v>
      </c>
      <c r="AR22" s="141"/>
      <c r="AS22" s="28"/>
      <c r="AT22" s="28"/>
      <c r="AU22" s="28"/>
      <c r="AW22" t="s">
        <v>6</v>
      </c>
      <c r="AX22" s="138" t="s">
        <v>84</v>
      </c>
      <c r="AY22" s="138">
        <f>SUM(AY18:AY21)</f>
        <v>1778</v>
      </c>
      <c r="AZ22" s="141">
        <f>SUM(AZ18:AZ21)</f>
        <v>1599</v>
      </c>
      <c r="BA22">
        <v>0</v>
      </c>
      <c r="BB22">
        <v>0</v>
      </c>
      <c r="BC22">
        <v>0</v>
      </c>
      <c r="BD22" s="142">
        <v>0</v>
      </c>
      <c r="BE22" s="146">
        <v>0</v>
      </c>
      <c r="BF22" s="142">
        <v>5</v>
      </c>
      <c r="BG22" s="143" t="s">
        <v>780</v>
      </c>
      <c r="BH22" s="146">
        <f>SUM(BF19:BF22)</f>
        <v>81</v>
      </c>
      <c r="BK22" s="135" t="s">
        <v>91</v>
      </c>
      <c r="BL22">
        <v>2018</v>
      </c>
      <c r="BM22">
        <v>1</v>
      </c>
      <c r="BN22" s="138" t="s">
        <v>137</v>
      </c>
      <c r="BO22" s="138">
        <v>867</v>
      </c>
      <c r="BP22" s="141">
        <v>649</v>
      </c>
      <c r="BQ22" s="138">
        <v>0</v>
      </c>
      <c r="BR22" s="43">
        <v>0</v>
      </c>
      <c r="BS22" s="141">
        <v>0</v>
      </c>
      <c r="BT22" s="138">
        <v>0</v>
      </c>
      <c r="BU22" s="209">
        <v>0</v>
      </c>
      <c r="BV22" s="212"/>
      <c r="BW22" s="43"/>
      <c r="BX22" s="141"/>
      <c r="BY22" s="28"/>
      <c r="BZ22" s="43"/>
      <c r="CA22" s="28"/>
    </row>
    <row r="23" spans="1:79" ht="15" thickBot="1" x14ac:dyDescent="0.35">
      <c r="A23" s="31" t="s">
        <v>57</v>
      </c>
      <c r="B23">
        <v>2014</v>
      </c>
      <c r="C23" s="28">
        <v>1</v>
      </c>
      <c r="D23" s="68" t="s">
        <v>84</v>
      </c>
      <c r="E23">
        <f>SUM(E20:E22)</f>
        <v>635</v>
      </c>
      <c r="F23">
        <f>SUM(F20:F22)</f>
        <v>638</v>
      </c>
      <c r="G23" s="47">
        <v>0</v>
      </c>
      <c r="H23" s="27">
        <v>0</v>
      </c>
      <c r="I23" s="49">
        <v>0</v>
      </c>
      <c r="J23" s="75">
        <v>0</v>
      </c>
      <c r="K23" s="49">
        <v>0</v>
      </c>
      <c r="L23" s="47">
        <v>46</v>
      </c>
      <c r="M23" s="51" t="s">
        <v>73</v>
      </c>
      <c r="N23" s="49">
        <f>SUM(L21:L23)</f>
        <v>46</v>
      </c>
      <c r="O23" s="34" t="s">
        <v>91</v>
      </c>
      <c r="P23">
        <v>2015</v>
      </c>
      <c r="Q23" s="28">
        <v>1</v>
      </c>
      <c r="R23" s="67" t="s">
        <v>113</v>
      </c>
      <c r="S23" s="42">
        <v>575</v>
      </c>
      <c r="T23" s="40">
        <f>544+14</f>
        <v>558</v>
      </c>
      <c r="U23" s="28"/>
      <c r="V23" s="28"/>
      <c r="W23" s="40"/>
      <c r="X23" s="28"/>
      <c r="Y23" s="28"/>
      <c r="Z23" s="67">
        <f>45+14</f>
        <v>59</v>
      </c>
      <c r="AA23" s="43" t="s">
        <v>73</v>
      </c>
      <c r="AB23" s="40"/>
      <c r="AE23" s="28" t="s">
        <v>91</v>
      </c>
      <c r="AF23">
        <v>2016</v>
      </c>
      <c r="AG23">
        <v>1</v>
      </c>
      <c r="AH23" s="196" t="s">
        <v>84</v>
      </c>
      <c r="AI23" s="138">
        <f>SUM(AI20:AI22)</f>
        <v>1231</v>
      </c>
      <c r="AJ23" s="141">
        <f>SUM(AJ20:AJ22)</f>
        <v>1026</v>
      </c>
      <c r="AK23">
        <v>0</v>
      </c>
      <c r="AL23">
        <v>0</v>
      </c>
      <c r="AM23">
        <v>0</v>
      </c>
      <c r="AN23" s="138">
        <v>0</v>
      </c>
      <c r="AO23" s="141">
        <v>0</v>
      </c>
      <c r="AP23" s="142"/>
      <c r="AQ23" s="143"/>
      <c r="AR23" s="146">
        <f>SUM(AP22)</f>
        <v>95</v>
      </c>
      <c r="AS23" s="28"/>
      <c r="AT23" s="28"/>
      <c r="AU23" s="28"/>
      <c r="AX23" s="134"/>
      <c r="AY23" s="134"/>
      <c r="AZ23" s="136"/>
      <c r="BA23" s="135"/>
      <c r="BB23" s="135"/>
      <c r="BC23" s="135"/>
      <c r="BD23" s="134"/>
      <c r="BE23" s="136"/>
      <c r="BF23" s="135" t="s">
        <v>1025</v>
      </c>
      <c r="BG23" s="135"/>
      <c r="BH23" s="136"/>
      <c r="BK23" s="135" t="s">
        <v>91</v>
      </c>
      <c r="BL23">
        <v>2018</v>
      </c>
      <c r="BM23">
        <v>1</v>
      </c>
      <c r="BN23" s="212" t="s">
        <v>88</v>
      </c>
      <c r="BO23" s="212">
        <v>126</v>
      </c>
      <c r="BP23" s="209">
        <v>332</v>
      </c>
      <c r="BQ23" s="138">
        <v>0</v>
      </c>
      <c r="BR23" s="43">
        <v>0</v>
      </c>
      <c r="BS23" s="141">
        <v>0</v>
      </c>
      <c r="BT23" s="138">
        <v>0</v>
      </c>
      <c r="BU23" s="209">
        <v>0</v>
      </c>
      <c r="BV23" s="138">
        <v>36</v>
      </c>
      <c r="BW23" s="43" t="s">
        <v>1301</v>
      </c>
      <c r="BX23" s="141"/>
      <c r="BZ23" s="43"/>
      <c r="CA23" s="28"/>
    </row>
    <row r="24" spans="1:79" ht="15" thickBot="1" x14ac:dyDescent="0.35">
      <c r="A24" s="34" t="s">
        <v>91</v>
      </c>
      <c r="B24">
        <v>2014</v>
      </c>
      <c r="C24" s="28">
        <v>1</v>
      </c>
      <c r="D24" s="33" t="s">
        <v>64</v>
      </c>
      <c r="E24" s="78">
        <v>6</v>
      </c>
      <c r="F24" s="79">
        <v>0</v>
      </c>
      <c r="G24" s="34"/>
      <c r="H24" s="8"/>
      <c r="I24" s="35"/>
      <c r="J24" s="80"/>
      <c r="K24" s="34"/>
      <c r="L24" s="33"/>
      <c r="M24" s="34" t="s">
        <v>91</v>
      </c>
      <c r="N24" s="35"/>
      <c r="Q24" s="43">
        <v>1</v>
      </c>
      <c r="R24" s="47" t="s">
        <v>84</v>
      </c>
      <c r="S24" s="47">
        <f>SUM(S21:S23)</f>
        <v>780</v>
      </c>
      <c r="T24" s="49">
        <f>SUM(T21:T23)</f>
        <v>721</v>
      </c>
      <c r="U24" s="81">
        <v>0</v>
      </c>
      <c r="V24" s="27">
        <v>0</v>
      </c>
      <c r="W24" s="82">
        <f>+W21</f>
        <v>0</v>
      </c>
      <c r="X24" s="74">
        <v>0</v>
      </c>
      <c r="Y24" s="74">
        <v>0</v>
      </c>
      <c r="Z24" s="47"/>
      <c r="AA24" s="51"/>
      <c r="AB24" s="49">
        <f>SUM(Z23)</f>
        <v>59</v>
      </c>
      <c r="AH24" s="134"/>
      <c r="AI24" s="134"/>
      <c r="AJ24" s="136"/>
      <c r="AK24" s="135"/>
      <c r="AL24" s="135"/>
      <c r="AM24" s="135"/>
      <c r="AN24" s="134"/>
      <c r="AO24" s="136"/>
      <c r="AP24" s="135"/>
      <c r="AQ24" s="135"/>
      <c r="AR24" s="136"/>
      <c r="AS24" s="28"/>
      <c r="AT24" s="28"/>
      <c r="AU24" s="28"/>
      <c r="AX24" s="142" t="s">
        <v>64</v>
      </c>
      <c r="AY24" s="142">
        <v>53</v>
      </c>
      <c r="AZ24" s="146">
        <v>113</v>
      </c>
      <c r="BA24" s="143">
        <v>0</v>
      </c>
      <c r="BB24" s="143">
        <v>0</v>
      </c>
      <c r="BC24" s="143">
        <v>0</v>
      </c>
      <c r="BD24" s="142">
        <v>0</v>
      </c>
      <c r="BE24" s="146">
        <v>0</v>
      </c>
      <c r="BF24" s="143">
        <v>9</v>
      </c>
      <c r="BG24" s="143" t="s">
        <v>1026</v>
      </c>
      <c r="BH24" s="146">
        <f>SUM(BF24)</f>
        <v>9</v>
      </c>
      <c r="BK24" s="135" t="s">
        <v>91</v>
      </c>
      <c r="BL24">
        <v>2018</v>
      </c>
      <c r="BM24">
        <v>1</v>
      </c>
      <c r="BN24" s="138" t="s">
        <v>108</v>
      </c>
      <c r="BO24" s="138">
        <v>0</v>
      </c>
      <c r="BP24" s="141">
        <v>0</v>
      </c>
      <c r="BQ24" s="138">
        <v>0</v>
      </c>
      <c r="BR24" s="43">
        <v>0</v>
      </c>
      <c r="BS24" s="141">
        <v>0</v>
      </c>
      <c r="BT24" s="138">
        <v>0</v>
      </c>
      <c r="BU24" s="209">
        <v>0</v>
      </c>
      <c r="BV24" s="212">
        <v>86</v>
      </c>
      <c r="BW24" s="28" t="s">
        <v>1303</v>
      </c>
      <c r="BX24" s="141"/>
      <c r="BZ24" s="28"/>
      <c r="CA24" s="28"/>
    </row>
    <row r="25" spans="1:79" ht="15" thickBot="1" x14ac:dyDescent="0.35">
      <c r="A25" s="34" t="s">
        <v>91</v>
      </c>
      <c r="B25">
        <v>2014</v>
      </c>
      <c r="C25" s="28">
        <v>1</v>
      </c>
      <c r="D25" s="52" t="s">
        <v>102</v>
      </c>
      <c r="E25" s="42">
        <v>16</v>
      </c>
      <c r="F25" s="40">
        <v>0</v>
      </c>
      <c r="G25" s="28"/>
      <c r="H25" s="28"/>
      <c r="I25" s="40"/>
      <c r="L25" s="42"/>
      <c r="M25" s="28"/>
      <c r="N25" s="40"/>
      <c r="O25" s="34" t="s">
        <v>130</v>
      </c>
      <c r="P25">
        <v>2015</v>
      </c>
      <c r="Q25" s="43">
        <v>1</v>
      </c>
      <c r="R25" s="52" t="s">
        <v>113</v>
      </c>
      <c r="S25" s="42">
        <v>602</v>
      </c>
      <c r="T25" s="85">
        <v>556</v>
      </c>
      <c r="U25" s="37"/>
      <c r="V25" s="18"/>
      <c r="W25" s="54"/>
      <c r="X25" s="52"/>
      <c r="Y25" s="40"/>
      <c r="Z25" s="67"/>
      <c r="AA25" s="34" t="s">
        <v>130</v>
      </c>
      <c r="AB25" s="40"/>
      <c r="AE25" s="28" t="s">
        <v>130</v>
      </c>
      <c r="AH25" s="138" t="s">
        <v>113</v>
      </c>
      <c r="AI25" s="138">
        <v>167</v>
      </c>
      <c r="AJ25" s="141">
        <v>161</v>
      </c>
      <c r="AK25" s="28"/>
      <c r="AL25" s="28"/>
      <c r="AM25" s="28"/>
      <c r="AN25" s="138"/>
      <c r="AO25" s="141"/>
      <c r="AP25" s="28"/>
      <c r="AQ25" s="28" t="s">
        <v>130</v>
      </c>
      <c r="AR25" s="141"/>
      <c r="AS25" s="28"/>
      <c r="AT25" s="28"/>
      <c r="AU25" s="28" t="s">
        <v>994</v>
      </c>
      <c r="AV25">
        <v>2017</v>
      </c>
      <c r="AW25">
        <v>1</v>
      </c>
      <c r="AX25" s="138" t="s">
        <v>113</v>
      </c>
      <c r="AY25" s="138">
        <v>481</v>
      </c>
      <c r="AZ25" s="141">
        <v>375</v>
      </c>
      <c r="BA25" s="28"/>
      <c r="BB25" s="28"/>
      <c r="BC25" s="28"/>
      <c r="BD25" s="138"/>
      <c r="BE25" s="141"/>
      <c r="BF25" s="28" t="s">
        <v>994</v>
      </c>
      <c r="BG25" s="28"/>
      <c r="BH25" s="141"/>
      <c r="BI25" t="s">
        <v>6</v>
      </c>
      <c r="BK25" s="135" t="s">
        <v>91</v>
      </c>
      <c r="BL25">
        <v>2018</v>
      </c>
      <c r="BM25">
        <v>1</v>
      </c>
      <c r="BN25" s="212" t="s">
        <v>97</v>
      </c>
      <c r="BO25" s="212">
        <v>1692</v>
      </c>
      <c r="BP25" s="209">
        <v>1329</v>
      </c>
      <c r="BQ25" s="138">
        <v>0</v>
      </c>
      <c r="BR25" s="43">
        <v>0</v>
      </c>
      <c r="BS25" s="141">
        <v>0</v>
      </c>
      <c r="BT25" s="138">
        <v>0</v>
      </c>
      <c r="BU25" s="209">
        <v>0</v>
      </c>
      <c r="BV25" s="138">
        <v>1</v>
      </c>
      <c r="BW25" s="43" t="s">
        <v>1304</v>
      </c>
      <c r="BX25" s="141"/>
      <c r="BZ25" s="246"/>
      <c r="CA25" s="28"/>
    </row>
    <row r="26" spans="1:79" ht="15" thickBot="1" x14ac:dyDescent="0.35">
      <c r="A26" s="34" t="s">
        <v>91</v>
      </c>
      <c r="B26">
        <v>2014</v>
      </c>
      <c r="C26" s="28">
        <v>1</v>
      </c>
      <c r="D26" s="67" t="s">
        <v>113</v>
      </c>
      <c r="E26" s="42">
        <v>90</v>
      </c>
      <c r="F26" s="40">
        <f>127+19</f>
        <v>146</v>
      </c>
      <c r="G26" s="28"/>
      <c r="H26" s="28"/>
      <c r="I26" s="40"/>
      <c r="J26" s="28"/>
      <c r="K26" s="28"/>
      <c r="L26" s="67">
        <v>22</v>
      </c>
      <c r="M26" s="43" t="s">
        <v>73</v>
      </c>
      <c r="N26" s="40"/>
      <c r="O26" t="s">
        <v>6</v>
      </c>
      <c r="Q26" s="28"/>
      <c r="R26" s="42" t="s">
        <v>475</v>
      </c>
      <c r="S26" s="67">
        <v>0</v>
      </c>
      <c r="T26" s="85">
        <v>0</v>
      </c>
      <c r="U26" s="28"/>
      <c r="V26" s="18"/>
      <c r="W26" s="28"/>
      <c r="X26" s="52"/>
      <c r="Y26" s="86"/>
      <c r="Z26" s="52">
        <v>50</v>
      </c>
      <c r="AA26" s="43" t="s">
        <v>73</v>
      </c>
      <c r="AB26" s="40"/>
      <c r="AC26" t="s">
        <v>6</v>
      </c>
      <c r="AH26" s="138" t="s">
        <v>475</v>
      </c>
      <c r="AI26" s="138">
        <v>0</v>
      </c>
      <c r="AJ26" s="141">
        <v>0</v>
      </c>
      <c r="AK26" s="28"/>
      <c r="AL26" s="28"/>
      <c r="AM26" s="28"/>
      <c r="AN26" s="138"/>
      <c r="AO26" s="141"/>
      <c r="AP26" s="28">
        <v>15</v>
      </c>
      <c r="AQ26" s="28" t="s">
        <v>73</v>
      </c>
      <c r="AR26" s="141"/>
      <c r="AS26" s="28"/>
      <c r="AT26" s="28"/>
      <c r="AU26" s="28"/>
      <c r="AV26" t="s">
        <v>6</v>
      </c>
      <c r="AX26" s="138" t="s">
        <v>93</v>
      </c>
      <c r="AY26" s="138">
        <v>0</v>
      </c>
      <c r="AZ26" s="141">
        <v>0</v>
      </c>
      <c r="BA26" s="28"/>
      <c r="BB26" s="28"/>
      <c r="BC26" s="28"/>
      <c r="BD26" s="138"/>
      <c r="BE26" s="141"/>
      <c r="BF26" s="28">
        <v>6</v>
      </c>
      <c r="BG26" s="28" t="s">
        <v>100</v>
      </c>
      <c r="BH26" s="141"/>
      <c r="BK26" s="135" t="s">
        <v>91</v>
      </c>
      <c r="BL26">
        <v>2018</v>
      </c>
      <c r="BM26">
        <v>1</v>
      </c>
      <c r="BN26" s="212" t="s">
        <v>102</v>
      </c>
      <c r="BO26" s="212">
        <v>122</v>
      </c>
      <c r="BP26" s="209">
        <v>281</v>
      </c>
      <c r="BQ26" s="138">
        <v>0</v>
      </c>
      <c r="BR26" s="43">
        <v>0</v>
      </c>
      <c r="BS26" s="141">
        <v>0</v>
      </c>
      <c r="BT26" s="138">
        <v>0</v>
      </c>
      <c r="BU26" s="209">
        <v>0</v>
      </c>
      <c r="BV26" s="138">
        <v>48</v>
      </c>
      <c r="BW26" s="43" t="s">
        <v>1305</v>
      </c>
      <c r="BX26" s="141"/>
      <c r="BY26" s="28"/>
      <c r="BZ26" s="28"/>
      <c r="CA26" s="28"/>
    </row>
    <row r="27" spans="1:79" ht="15" thickBot="1" x14ac:dyDescent="0.35">
      <c r="A27" s="34" t="s">
        <v>91</v>
      </c>
      <c r="B27">
        <v>2014</v>
      </c>
      <c r="C27" s="28">
        <v>1</v>
      </c>
      <c r="D27" s="47" t="s">
        <v>84</v>
      </c>
      <c r="E27" s="47">
        <f>SUM(E24:E26)</f>
        <v>112</v>
      </c>
      <c r="F27" s="49">
        <f>SUM(F24:F26)</f>
        <v>146</v>
      </c>
      <c r="G27" s="81">
        <v>0</v>
      </c>
      <c r="H27" s="27">
        <v>0</v>
      </c>
      <c r="I27" s="82">
        <v>0</v>
      </c>
      <c r="J27" s="74">
        <v>0</v>
      </c>
      <c r="K27" s="74">
        <v>0</v>
      </c>
      <c r="L27" s="47"/>
      <c r="M27" s="51"/>
      <c r="N27" s="49">
        <f>SUM(L26)</f>
        <v>22</v>
      </c>
      <c r="Q27" s="28"/>
      <c r="R27" s="59" t="s">
        <v>84</v>
      </c>
      <c r="S27" s="13">
        <f>SUM(S25:S26)</f>
        <v>602</v>
      </c>
      <c r="T27" s="60">
        <f>SUM(T25:T26)</f>
        <v>556</v>
      </c>
      <c r="U27" s="81">
        <v>0</v>
      </c>
      <c r="V27" s="27">
        <v>0</v>
      </c>
      <c r="W27" s="27">
        <v>0</v>
      </c>
      <c r="X27" s="13">
        <v>0</v>
      </c>
      <c r="Y27" s="26">
        <v>0</v>
      </c>
      <c r="Z27" s="13"/>
      <c r="AA27" s="43"/>
      <c r="AB27" s="26">
        <f>SUM(Z25:Z26)</f>
        <v>50</v>
      </c>
      <c r="AH27" s="142" t="s">
        <v>84</v>
      </c>
      <c r="AI27" s="142">
        <f>SUM(AI25:AI26)</f>
        <v>167</v>
      </c>
      <c r="AJ27" s="146">
        <f>SUM(AJ25:AJ26)</f>
        <v>161</v>
      </c>
      <c r="AK27" s="143">
        <v>0</v>
      </c>
      <c r="AL27" s="143">
        <v>0</v>
      </c>
      <c r="AM27" s="143">
        <v>0</v>
      </c>
      <c r="AN27" s="142">
        <v>0</v>
      </c>
      <c r="AO27" s="146">
        <v>0</v>
      </c>
      <c r="AP27" s="143"/>
      <c r="AQ27" s="143"/>
      <c r="AR27" s="146">
        <f>SUM(AP26)</f>
        <v>15</v>
      </c>
      <c r="AS27" s="28"/>
      <c r="AT27" s="28"/>
      <c r="AU27" s="28"/>
      <c r="AX27" s="142" t="s">
        <v>84</v>
      </c>
      <c r="AY27" s="142">
        <f>SUM(AY25:AY26)</f>
        <v>481</v>
      </c>
      <c r="AZ27" s="146">
        <f>SUM(AZ25:AZ26)</f>
        <v>375</v>
      </c>
      <c r="BA27" s="143">
        <v>0</v>
      </c>
      <c r="BB27" s="143">
        <v>0</v>
      </c>
      <c r="BC27" s="143">
        <v>0</v>
      </c>
      <c r="BD27" s="142">
        <v>0</v>
      </c>
      <c r="BE27" s="146">
        <v>0</v>
      </c>
      <c r="BF27" s="43">
        <v>38</v>
      </c>
      <c r="BG27" s="43" t="s">
        <v>73</v>
      </c>
      <c r="BH27" s="146">
        <f>SUM(BF26:BF27)</f>
        <v>44</v>
      </c>
      <c r="BK27" s="135" t="s">
        <v>91</v>
      </c>
      <c r="BL27">
        <v>2018</v>
      </c>
      <c r="BM27" s="28">
        <v>1</v>
      </c>
      <c r="BN27" s="212" t="s">
        <v>817</v>
      </c>
      <c r="BO27" s="212">
        <v>0</v>
      </c>
      <c r="BP27" s="209">
        <v>2088</v>
      </c>
      <c r="BQ27" s="138">
        <v>0</v>
      </c>
      <c r="BR27" s="43">
        <v>0</v>
      </c>
      <c r="BS27" s="141">
        <v>0</v>
      </c>
      <c r="BT27" s="138">
        <v>0</v>
      </c>
      <c r="BU27" s="209">
        <v>0</v>
      </c>
      <c r="BV27" s="138">
        <v>7</v>
      </c>
      <c r="BW27" s="43" t="s">
        <v>1026</v>
      </c>
      <c r="BX27" s="141"/>
      <c r="BZ27" s="28"/>
      <c r="CA27" s="28"/>
    </row>
    <row r="28" spans="1:79" ht="15" thickBot="1" x14ac:dyDescent="0.35">
      <c r="A28" s="34" t="s">
        <v>130</v>
      </c>
      <c r="B28">
        <v>2014</v>
      </c>
      <c r="C28" s="28">
        <v>1</v>
      </c>
      <c r="D28" s="52" t="s">
        <v>113</v>
      </c>
      <c r="E28" s="42">
        <v>696</v>
      </c>
      <c r="F28" s="85">
        <v>587</v>
      </c>
      <c r="G28" s="37"/>
      <c r="H28" s="18"/>
      <c r="I28" s="54"/>
      <c r="J28" s="52"/>
      <c r="K28" s="40"/>
      <c r="L28" s="67"/>
      <c r="M28" s="34" t="s">
        <v>130</v>
      </c>
      <c r="N28" s="40"/>
      <c r="Q28" s="28"/>
      <c r="R28" s="88" t="s">
        <v>164</v>
      </c>
      <c r="S28" s="33">
        <v>1</v>
      </c>
      <c r="T28" s="34">
        <v>4</v>
      </c>
      <c r="U28" s="152"/>
      <c r="V28" s="89"/>
      <c r="W28" s="66"/>
      <c r="X28" s="8"/>
      <c r="Y28" s="35"/>
      <c r="Z28" s="34" t="s">
        <v>140</v>
      </c>
      <c r="AA28" s="34"/>
      <c r="AB28" s="35"/>
      <c r="AH28" s="196" t="s">
        <v>164</v>
      </c>
      <c r="AI28" s="138">
        <v>2</v>
      </c>
      <c r="AJ28" s="141">
        <v>0</v>
      </c>
      <c r="AK28" s="134"/>
      <c r="AL28" s="135"/>
      <c r="AM28" s="136"/>
      <c r="AN28" s="138"/>
      <c r="AO28" s="141"/>
      <c r="AP28" s="134" t="s">
        <v>140</v>
      </c>
      <c r="AQ28" s="135"/>
      <c r="AR28" s="136"/>
      <c r="AS28" s="28"/>
      <c r="AT28" s="28"/>
      <c r="AU28" s="28"/>
      <c r="AX28" s="196" t="s">
        <v>97</v>
      </c>
      <c r="AY28" s="138">
        <v>1</v>
      </c>
      <c r="AZ28" s="141">
        <v>1</v>
      </c>
      <c r="BA28" s="134"/>
      <c r="BB28" s="135"/>
      <c r="BC28" s="136"/>
      <c r="BD28" s="138"/>
      <c r="BE28" s="141"/>
      <c r="BF28" s="134" t="s">
        <v>140</v>
      </c>
      <c r="BG28" s="135"/>
      <c r="BH28" s="136"/>
      <c r="BK28" s="135" t="s">
        <v>91</v>
      </c>
      <c r="BL28">
        <v>2018</v>
      </c>
      <c r="BM28" s="43">
        <v>1</v>
      </c>
      <c r="BN28" s="212" t="s">
        <v>429</v>
      </c>
      <c r="BO28" s="212">
        <v>288</v>
      </c>
      <c r="BP28" s="209">
        <v>939</v>
      </c>
      <c r="BQ28" s="212">
        <v>0</v>
      </c>
      <c r="BR28" s="43">
        <v>0</v>
      </c>
      <c r="BS28" s="209">
        <v>0</v>
      </c>
      <c r="BT28" s="212">
        <v>0</v>
      </c>
      <c r="BU28" s="209">
        <v>0</v>
      </c>
      <c r="BV28" s="138"/>
      <c r="BW28" s="28"/>
      <c r="BX28" s="141"/>
      <c r="BZ28" s="28"/>
      <c r="CA28" s="28"/>
    </row>
    <row r="29" spans="1:79" ht="15" thickBot="1" x14ac:dyDescent="0.35">
      <c r="A29" s="34" t="s">
        <v>130</v>
      </c>
      <c r="B29">
        <v>2014</v>
      </c>
      <c r="C29" s="28">
        <v>1</v>
      </c>
      <c r="D29" s="42" t="s">
        <v>133</v>
      </c>
      <c r="E29" s="67">
        <v>0</v>
      </c>
      <c r="F29" s="85">
        <v>0</v>
      </c>
      <c r="G29" s="28"/>
      <c r="H29" s="18"/>
      <c r="I29" s="28"/>
      <c r="J29" s="52"/>
      <c r="K29" s="86"/>
      <c r="L29" s="52">
        <v>53</v>
      </c>
      <c r="M29" s="43" t="s">
        <v>73</v>
      </c>
      <c r="N29" s="40"/>
      <c r="Q29" s="28"/>
      <c r="R29" s="42" t="s">
        <v>658</v>
      </c>
      <c r="S29" s="42">
        <v>0</v>
      </c>
      <c r="T29" s="43">
        <v>3</v>
      </c>
      <c r="U29" s="42"/>
      <c r="V29" s="28"/>
      <c r="W29" s="40"/>
      <c r="X29" s="28"/>
      <c r="Y29" s="40"/>
      <c r="Z29" s="28"/>
      <c r="AA29" s="28"/>
      <c r="AB29" s="40"/>
      <c r="AH29" s="196" t="s">
        <v>158</v>
      </c>
      <c r="AI29" s="138">
        <f>4+7</f>
        <v>11</v>
      </c>
      <c r="AJ29" s="141">
        <v>0</v>
      </c>
      <c r="AK29" s="138"/>
      <c r="AL29" s="28"/>
      <c r="AM29" s="141"/>
      <c r="AN29" s="138"/>
      <c r="AO29" s="141"/>
      <c r="AP29" s="138"/>
      <c r="AQ29" s="28"/>
      <c r="AR29" s="141"/>
      <c r="AS29" s="28"/>
      <c r="AT29" s="28"/>
      <c r="AU29" s="28"/>
      <c r="AX29" s="196" t="s">
        <v>139</v>
      </c>
      <c r="AY29" s="138">
        <v>8</v>
      </c>
      <c r="AZ29" s="141">
        <v>5</v>
      </c>
      <c r="BA29" s="138"/>
      <c r="BB29" s="28"/>
      <c r="BC29" s="141"/>
      <c r="BD29" s="138"/>
      <c r="BE29" s="141"/>
      <c r="BF29" s="138"/>
      <c r="BG29" s="28"/>
      <c r="BH29" s="141"/>
      <c r="BK29" s="135" t="s">
        <v>91</v>
      </c>
      <c r="BL29">
        <v>2018</v>
      </c>
      <c r="BM29" s="43">
        <v>1</v>
      </c>
      <c r="BN29" s="212" t="s">
        <v>1120</v>
      </c>
      <c r="BO29" s="212">
        <v>176</v>
      </c>
      <c r="BP29" s="209">
        <v>3887</v>
      </c>
      <c r="BQ29" s="138">
        <v>0</v>
      </c>
      <c r="BR29" s="43">
        <v>0</v>
      </c>
      <c r="BS29" s="141">
        <v>0</v>
      </c>
      <c r="BT29" s="138">
        <v>0</v>
      </c>
      <c r="BU29" s="141">
        <v>0</v>
      </c>
      <c r="BV29" s="138"/>
      <c r="BW29" s="28"/>
      <c r="BX29" s="141"/>
      <c r="BY29" s="28"/>
      <c r="BZ29" s="28"/>
      <c r="CA29" s="28"/>
    </row>
    <row r="30" spans="1:79" ht="15" thickBot="1" x14ac:dyDescent="0.35">
      <c r="A30" s="34" t="s">
        <v>130</v>
      </c>
      <c r="B30">
        <v>2014</v>
      </c>
      <c r="C30" s="28">
        <v>1</v>
      </c>
      <c r="D30" s="59" t="s">
        <v>84</v>
      </c>
      <c r="E30" s="13">
        <f>SUM(E28:E29)</f>
        <v>696</v>
      </c>
      <c r="F30" s="60">
        <f>SUM(F28:F29)</f>
        <v>587</v>
      </c>
      <c r="G30" s="81">
        <v>0</v>
      </c>
      <c r="H30" s="27">
        <v>0</v>
      </c>
      <c r="I30" s="27">
        <v>0</v>
      </c>
      <c r="J30" s="13">
        <v>0</v>
      </c>
      <c r="K30" s="26">
        <v>0</v>
      </c>
      <c r="L30" s="13"/>
      <c r="M30" s="43"/>
      <c r="N30" s="26">
        <f>SUM(L28:L29)</f>
        <v>53</v>
      </c>
      <c r="Q30" s="28"/>
      <c r="R30" s="153" t="s">
        <v>108</v>
      </c>
      <c r="S30" s="42">
        <v>0</v>
      </c>
      <c r="T30" s="43">
        <v>2</v>
      </c>
      <c r="U30" s="42"/>
      <c r="V30" s="28"/>
      <c r="W30" s="40"/>
      <c r="X30" s="28"/>
      <c r="Y30" s="40"/>
      <c r="Z30" s="28"/>
      <c r="AA30" s="28"/>
      <c r="AB30" s="40"/>
      <c r="AH30" s="196" t="s">
        <v>133</v>
      </c>
      <c r="AI30" s="138">
        <f>18+2</f>
        <v>20</v>
      </c>
      <c r="AJ30" s="141">
        <v>18</v>
      </c>
      <c r="AK30" s="138"/>
      <c r="AL30" s="28"/>
      <c r="AM30" s="141"/>
      <c r="AN30" s="138"/>
      <c r="AO30" s="141"/>
      <c r="AP30" s="138"/>
      <c r="AQ30" s="28"/>
      <c r="AR30" s="141"/>
      <c r="AS30" s="28"/>
      <c r="AT30" s="28"/>
      <c r="AU30" s="28"/>
      <c r="AX30" s="196" t="s">
        <v>1374</v>
      </c>
      <c r="AY30" s="138">
        <v>3</v>
      </c>
      <c r="AZ30" s="141">
        <v>4</v>
      </c>
      <c r="BA30" s="138"/>
      <c r="BB30" s="28"/>
      <c r="BC30" s="141"/>
      <c r="BD30" s="138"/>
      <c r="BE30" s="141"/>
      <c r="BF30" s="138"/>
      <c r="BG30" s="28"/>
      <c r="BH30" s="141"/>
      <c r="BK30" s="135" t="s">
        <v>91</v>
      </c>
      <c r="BL30">
        <v>2018</v>
      </c>
      <c r="BM30" s="43">
        <v>1</v>
      </c>
      <c r="BN30" s="212" t="s">
        <v>89</v>
      </c>
      <c r="BO30" s="138">
        <v>1280</v>
      </c>
      <c r="BP30" s="141">
        <v>975</v>
      </c>
      <c r="BQ30" s="138">
        <v>0</v>
      </c>
      <c r="BR30" s="43">
        <v>0</v>
      </c>
      <c r="BS30" s="141">
        <v>0</v>
      </c>
      <c r="BT30" s="138">
        <v>0</v>
      </c>
      <c r="BU30" s="141">
        <v>0</v>
      </c>
      <c r="BV30" s="138"/>
      <c r="BW30" s="43"/>
      <c r="BX30" s="141"/>
      <c r="BZ30" s="28"/>
      <c r="CA30" s="28"/>
    </row>
    <row r="31" spans="1:79" x14ac:dyDescent="0.3">
      <c r="C31" s="28"/>
      <c r="D31" s="88" t="s">
        <v>139</v>
      </c>
      <c r="E31" s="33">
        <v>1</v>
      </c>
      <c r="F31" s="35">
        <v>0</v>
      </c>
      <c r="G31" s="89"/>
      <c r="H31" s="89"/>
      <c r="I31" s="80"/>
      <c r="J31" s="6"/>
      <c r="K31" s="35"/>
      <c r="L31" s="33" t="s">
        <v>140</v>
      </c>
      <c r="M31" s="34"/>
      <c r="N31" s="35"/>
      <c r="Q31" s="28"/>
      <c r="R31" s="92" t="s">
        <v>113</v>
      </c>
      <c r="S31" s="67">
        <f>1+7+1+1+64+16+3+3+4+4+2</f>
        <v>106</v>
      </c>
      <c r="T31" s="43">
        <f>3+3+53+15+3+4+2+3+1</f>
        <v>87</v>
      </c>
      <c r="U31" s="52"/>
      <c r="V31" s="54"/>
      <c r="W31" s="85"/>
      <c r="X31" s="18"/>
      <c r="Y31" s="40"/>
      <c r="Z31" s="18" t="s">
        <v>142</v>
      </c>
      <c r="AA31" s="18"/>
      <c r="AB31" s="39" t="s">
        <v>620</v>
      </c>
      <c r="AH31" s="196" t="s">
        <v>113</v>
      </c>
      <c r="AI31" s="138">
        <f>5+8+8+13+1+33</f>
        <v>68</v>
      </c>
      <c r="AJ31" s="141">
        <f>2+5+2+1+4+43</f>
        <v>57</v>
      </c>
      <c r="AK31" s="138"/>
      <c r="AL31" s="28"/>
      <c r="AM31" s="141"/>
      <c r="AN31" s="138"/>
      <c r="AO31" s="141"/>
      <c r="AP31" s="138" t="s">
        <v>142</v>
      </c>
      <c r="AQ31" s="28"/>
      <c r="AR31" s="141" t="s">
        <v>954</v>
      </c>
      <c r="AS31" s="28"/>
      <c r="AT31" s="28"/>
      <c r="AU31" s="28"/>
      <c r="AX31" s="196" t="s">
        <v>113</v>
      </c>
      <c r="AY31" s="138">
        <f>20+6+1</f>
        <v>27</v>
      </c>
      <c r="AZ31" s="141">
        <f>4+24+3+2</f>
        <v>33</v>
      </c>
      <c r="BA31" s="138"/>
      <c r="BB31" s="28"/>
      <c r="BC31" s="141">
        <v>3</v>
      </c>
      <c r="BD31" s="138"/>
      <c r="BE31" s="141"/>
      <c r="BF31" s="138" t="s">
        <v>142</v>
      </c>
      <c r="BG31" s="28"/>
      <c r="BH31" s="141" t="s">
        <v>730</v>
      </c>
      <c r="BM31" s="28"/>
      <c r="BN31" s="212" t="s">
        <v>1307</v>
      </c>
      <c r="BO31" s="138">
        <v>0</v>
      </c>
      <c r="BP31" s="141">
        <v>0</v>
      </c>
      <c r="BQ31" s="138">
        <v>0</v>
      </c>
      <c r="BR31" s="43">
        <v>0</v>
      </c>
      <c r="BS31" s="141">
        <v>0</v>
      </c>
      <c r="BT31" s="138">
        <v>0</v>
      </c>
      <c r="BU31" s="141">
        <v>0</v>
      </c>
      <c r="BV31" s="138"/>
      <c r="BW31" s="28"/>
      <c r="BX31" s="141"/>
      <c r="BY31" s="28"/>
      <c r="BZ31" s="28"/>
      <c r="CA31" s="28"/>
    </row>
    <row r="32" spans="1:79" x14ac:dyDescent="0.3">
      <c r="C32" s="28"/>
      <c r="D32" s="92" t="s">
        <v>113</v>
      </c>
      <c r="E32" s="67">
        <f>7+4+2+13+44+7+6+4</f>
        <v>87</v>
      </c>
      <c r="F32" s="56">
        <f>3+3+3+14+42+6+2+4</f>
        <v>77</v>
      </c>
      <c r="G32" s="54"/>
      <c r="H32" s="54"/>
      <c r="I32" s="45"/>
      <c r="J32" s="10"/>
      <c r="K32" s="40"/>
      <c r="L32" s="10" t="s">
        <v>142</v>
      </c>
      <c r="M32" s="18"/>
      <c r="N32" s="39" t="s">
        <v>143</v>
      </c>
      <c r="Q32" s="28"/>
      <c r="R32" s="42" t="s">
        <v>214</v>
      </c>
      <c r="S32" s="67">
        <v>0</v>
      </c>
      <c r="T32" s="43">
        <v>0</v>
      </c>
      <c r="U32" s="52"/>
      <c r="V32" s="54"/>
      <c r="W32" s="85"/>
      <c r="X32" s="18"/>
      <c r="Y32" s="40"/>
      <c r="Z32" s="154" t="s">
        <v>146</v>
      </c>
      <c r="AA32" s="28"/>
      <c r="AB32" s="94" t="s">
        <v>659</v>
      </c>
      <c r="AH32" s="196" t="s">
        <v>214</v>
      </c>
      <c r="AI32" s="138">
        <f>4+3</f>
        <v>7</v>
      </c>
      <c r="AJ32" s="141">
        <v>4</v>
      </c>
      <c r="AK32" s="138"/>
      <c r="AL32" s="28"/>
      <c r="AM32" s="141"/>
      <c r="AN32" s="138"/>
      <c r="AO32" s="141"/>
      <c r="AP32" s="138" t="s">
        <v>146</v>
      </c>
      <c r="AQ32" s="28"/>
      <c r="AR32" s="141" t="s">
        <v>955</v>
      </c>
      <c r="AS32" s="28"/>
      <c r="AT32" s="28"/>
      <c r="AU32" s="28"/>
      <c r="AW32" t="s">
        <v>6</v>
      </c>
      <c r="AX32" s="196" t="s">
        <v>108</v>
      </c>
      <c r="AY32" s="138">
        <f>5+3</f>
        <v>8</v>
      </c>
      <c r="AZ32" s="141">
        <v>1</v>
      </c>
      <c r="BA32" s="138"/>
      <c r="BB32" s="28"/>
      <c r="BC32" s="141"/>
      <c r="BD32" s="138"/>
      <c r="BE32" s="141"/>
      <c r="BF32" s="138" t="s">
        <v>146</v>
      </c>
      <c r="BG32" s="28"/>
      <c r="BH32" s="141" t="s">
        <v>955</v>
      </c>
      <c r="BM32" s="28"/>
      <c r="BN32" s="212"/>
      <c r="BO32" s="142"/>
      <c r="BP32" s="146"/>
      <c r="BQ32" s="142">
        <v>0</v>
      </c>
      <c r="BR32" s="143">
        <v>0</v>
      </c>
      <c r="BS32" s="146">
        <v>0</v>
      </c>
      <c r="BT32" s="142">
        <v>0</v>
      </c>
      <c r="BU32" s="146">
        <v>0</v>
      </c>
      <c r="BV32" s="142"/>
      <c r="BW32" s="143"/>
      <c r="BX32" s="146">
        <v>178</v>
      </c>
      <c r="BY32" s="28"/>
      <c r="BZ32" s="28"/>
      <c r="CA32" s="28"/>
    </row>
    <row r="33" spans="3:79" x14ac:dyDescent="0.3">
      <c r="C33" s="28" t="s">
        <v>6</v>
      </c>
      <c r="D33" s="92" t="s">
        <v>93</v>
      </c>
      <c r="E33" s="67">
        <v>2</v>
      </c>
      <c r="F33" s="56">
        <f>2+1</f>
        <v>3</v>
      </c>
      <c r="G33" s="54"/>
      <c r="H33" s="54"/>
      <c r="I33" s="45"/>
      <c r="J33" s="10"/>
      <c r="K33" s="40"/>
      <c r="L33" s="93" t="s">
        <v>146</v>
      </c>
      <c r="M33" s="28"/>
      <c r="N33" s="94" t="s">
        <v>147</v>
      </c>
      <c r="Q33" s="28" t="s">
        <v>6</v>
      </c>
      <c r="R33" s="127" t="s">
        <v>200</v>
      </c>
      <c r="S33" s="67">
        <v>0</v>
      </c>
      <c r="T33" s="43">
        <v>1</v>
      </c>
      <c r="U33" s="42"/>
      <c r="V33" s="28"/>
      <c r="W33" s="40"/>
      <c r="X33" s="28"/>
      <c r="Y33" s="40"/>
      <c r="Z33" s="28"/>
      <c r="AA33" s="28"/>
      <c r="AB33" s="40"/>
      <c r="AG33" t="s">
        <v>6</v>
      </c>
      <c r="AH33" s="196" t="s">
        <v>200</v>
      </c>
      <c r="AI33" s="138">
        <f>2+2</f>
        <v>4</v>
      </c>
      <c r="AJ33" s="141">
        <v>5</v>
      </c>
      <c r="AK33" s="138"/>
      <c r="AL33" s="28"/>
      <c r="AM33" s="141"/>
      <c r="AN33" s="138"/>
      <c r="AO33" s="141"/>
      <c r="AP33" s="138"/>
      <c r="AQ33" s="28"/>
      <c r="AR33" s="141"/>
      <c r="AS33" s="28"/>
      <c r="AT33" s="28"/>
      <c r="AU33" s="28"/>
      <c r="AX33" s="196" t="s">
        <v>133</v>
      </c>
      <c r="AY33" s="138">
        <f>17+8+6</f>
        <v>31</v>
      </c>
      <c r="AZ33" s="141">
        <f>15+8+6</f>
        <v>29</v>
      </c>
      <c r="BA33" s="138"/>
      <c r="BB33" s="28"/>
      <c r="BC33" s="141"/>
      <c r="BD33" s="138"/>
      <c r="BE33" s="141"/>
      <c r="BF33" s="138"/>
      <c r="BG33" s="28"/>
      <c r="BH33" s="141"/>
      <c r="BM33" s="28"/>
      <c r="BN33" s="247" t="s">
        <v>84</v>
      </c>
      <c r="BO33" s="247">
        <v>5133</v>
      </c>
      <c r="BP33" s="248">
        <v>11044</v>
      </c>
      <c r="BQ33" s="197">
        <v>0</v>
      </c>
      <c r="BR33" s="198">
        <v>0</v>
      </c>
      <c r="BS33" s="249">
        <v>0</v>
      </c>
      <c r="BT33" s="197">
        <v>0</v>
      </c>
      <c r="BU33" s="249">
        <v>0</v>
      </c>
      <c r="BV33" s="197"/>
      <c r="BW33" s="198"/>
      <c r="BX33" s="249"/>
      <c r="BY33" s="28"/>
      <c r="BZ33" s="28"/>
      <c r="CA33" s="28"/>
    </row>
    <row r="34" spans="3:79" x14ac:dyDescent="0.3">
      <c r="C34" s="28"/>
      <c r="D34" s="52" t="s">
        <v>133</v>
      </c>
      <c r="E34" s="67">
        <v>23</v>
      </c>
      <c r="F34" s="56">
        <v>6</v>
      </c>
      <c r="G34" s="54" t="s">
        <v>150</v>
      </c>
      <c r="H34" s="54"/>
      <c r="I34" s="45"/>
      <c r="J34" s="10"/>
      <c r="K34" s="40"/>
      <c r="L34" s="42" t="s">
        <v>151</v>
      </c>
      <c r="M34" s="28"/>
      <c r="N34" s="96"/>
      <c r="Q34" s="28"/>
      <c r="R34" s="52" t="s">
        <v>133</v>
      </c>
      <c r="S34" s="67">
        <f>35+5+4</f>
        <v>44</v>
      </c>
      <c r="T34" s="43">
        <f>21+4</f>
        <v>25</v>
      </c>
      <c r="U34" s="52" t="s">
        <v>150</v>
      </c>
      <c r="V34" s="54"/>
      <c r="W34" s="85"/>
      <c r="X34" s="18"/>
      <c r="Y34" s="40"/>
      <c r="Z34" s="28" t="s">
        <v>151</v>
      </c>
      <c r="AA34" s="28"/>
      <c r="AB34" s="96"/>
      <c r="AH34" s="196" t="s">
        <v>956</v>
      </c>
      <c r="AI34" s="138">
        <v>0</v>
      </c>
      <c r="AJ34" s="141">
        <v>1</v>
      </c>
      <c r="AK34" s="138" t="s">
        <v>150</v>
      </c>
      <c r="AL34" s="28"/>
      <c r="AM34" s="141"/>
      <c r="AN34" s="138"/>
      <c r="AO34" s="141"/>
      <c r="AP34" s="138" t="s">
        <v>151</v>
      </c>
      <c r="AQ34" s="28"/>
      <c r="AR34" s="141"/>
      <c r="AS34" s="28"/>
      <c r="AT34" s="28"/>
      <c r="AU34" s="28"/>
      <c r="AX34" s="196" t="s">
        <v>99</v>
      </c>
      <c r="AY34" s="138">
        <v>6</v>
      </c>
      <c r="AZ34" s="141">
        <f>4+5</f>
        <v>9</v>
      </c>
      <c r="BA34" s="138" t="s">
        <v>150</v>
      </c>
      <c r="BB34" s="28"/>
      <c r="BC34" s="141">
        <v>5</v>
      </c>
      <c r="BD34" s="138"/>
      <c r="BE34" s="141"/>
      <c r="BF34" s="138" t="s">
        <v>151</v>
      </c>
      <c r="BG34" s="28"/>
      <c r="BH34" s="141"/>
      <c r="BM34" s="28"/>
      <c r="BN34" s="134"/>
      <c r="BO34" s="134"/>
      <c r="BP34" s="136"/>
      <c r="BQ34" s="135"/>
      <c r="BR34" s="135"/>
      <c r="BS34" s="135"/>
      <c r="BT34" s="138"/>
      <c r="BU34" s="141"/>
      <c r="BV34" s="28" t="s">
        <v>1025</v>
      </c>
      <c r="BW34" s="28"/>
      <c r="BX34" s="141"/>
      <c r="BY34" s="28"/>
      <c r="BZ34" s="28"/>
      <c r="CA34" s="28"/>
    </row>
    <row r="35" spans="3:79" x14ac:dyDescent="0.3">
      <c r="C35" s="28"/>
      <c r="D35" s="52" t="s">
        <v>85</v>
      </c>
      <c r="E35" s="42">
        <v>16</v>
      </c>
      <c r="F35" s="56">
        <f>10+6</f>
        <v>16</v>
      </c>
      <c r="G35" s="28"/>
      <c r="H35" s="54"/>
      <c r="I35" s="28"/>
      <c r="J35" s="84"/>
      <c r="K35" s="56"/>
      <c r="L35" s="42" t="s">
        <v>154</v>
      </c>
      <c r="M35" s="28" t="s">
        <v>155</v>
      </c>
      <c r="N35" s="40" t="s">
        <v>156</v>
      </c>
      <c r="Q35" s="28"/>
      <c r="R35" s="52" t="s">
        <v>85</v>
      </c>
      <c r="S35" s="42">
        <v>0</v>
      </c>
      <c r="T35" s="43">
        <v>3</v>
      </c>
      <c r="U35" s="42"/>
      <c r="V35" s="54"/>
      <c r="W35" s="40"/>
      <c r="X35" s="45"/>
      <c r="Y35" s="56"/>
      <c r="Z35" s="43" t="s">
        <v>273</v>
      </c>
      <c r="AA35" s="28" t="s">
        <v>660</v>
      </c>
      <c r="AB35" s="40" t="s">
        <v>661</v>
      </c>
      <c r="AH35" s="196" t="s">
        <v>85</v>
      </c>
      <c r="AI35" s="138">
        <v>8</v>
      </c>
      <c r="AJ35" s="141">
        <v>0</v>
      </c>
      <c r="AK35" s="138"/>
      <c r="AL35" s="28"/>
      <c r="AM35" s="141"/>
      <c r="AN35" s="138"/>
      <c r="AO35" s="141"/>
      <c r="AP35" s="138" t="s">
        <v>513</v>
      </c>
      <c r="AQ35" s="28" t="s">
        <v>307</v>
      </c>
      <c r="AR35" s="141" t="s">
        <v>957</v>
      </c>
      <c r="AS35" s="28"/>
      <c r="AT35" s="28"/>
      <c r="AU35" s="28"/>
      <c r="AX35" s="196" t="s">
        <v>85</v>
      </c>
      <c r="AY35" s="138">
        <f>2+5</f>
        <v>7</v>
      </c>
      <c r="AZ35" s="141">
        <v>0</v>
      </c>
      <c r="BA35" s="138"/>
      <c r="BB35" s="28"/>
      <c r="BC35" s="141"/>
      <c r="BD35" s="138"/>
      <c r="BE35" s="141"/>
      <c r="BF35" s="223" t="s">
        <v>1510</v>
      </c>
      <c r="BG35" s="257" t="s">
        <v>1511</v>
      </c>
      <c r="BH35" s="141" t="s">
        <v>896</v>
      </c>
      <c r="BM35" s="28"/>
      <c r="BN35" s="142" t="s">
        <v>64</v>
      </c>
      <c r="BO35" s="142">
        <v>50</v>
      </c>
      <c r="BP35" s="146">
        <v>87</v>
      </c>
      <c r="BQ35" s="28">
        <v>0</v>
      </c>
      <c r="BR35" s="43">
        <v>0</v>
      </c>
      <c r="BS35" s="43">
        <v>0</v>
      </c>
      <c r="BT35" s="142">
        <v>0</v>
      </c>
      <c r="BU35" s="146">
        <v>0</v>
      </c>
      <c r="BV35" s="143">
        <v>9</v>
      </c>
      <c r="BW35" s="143" t="s">
        <v>1026</v>
      </c>
      <c r="BX35" s="146">
        <v>9</v>
      </c>
      <c r="BY35" s="28"/>
      <c r="BZ35" s="28"/>
      <c r="CA35" s="28"/>
    </row>
    <row r="36" spans="3:79" ht="15.6" x14ac:dyDescent="0.3">
      <c r="C36" s="28"/>
      <c r="D36" s="36" t="s">
        <v>158</v>
      </c>
      <c r="E36" s="36">
        <f>3+6</f>
        <v>9</v>
      </c>
      <c r="F36" s="39">
        <v>3</v>
      </c>
      <c r="G36" s="18"/>
      <c r="H36" s="18"/>
      <c r="I36" s="18"/>
      <c r="J36" s="10"/>
      <c r="K36" s="11"/>
      <c r="L36" s="98" t="s">
        <v>159</v>
      </c>
      <c r="M36" s="28" t="s">
        <v>160</v>
      </c>
      <c r="N36" s="99" t="s">
        <v>161</v>
      </c>
      <c r="Q36" s="28"/>
      <c r="R36" s="151" t="s">
        <v>624</v>
      </c>
      <c r="S36" s="36">
        <v>0</v>
      </c>
      <c r="T36" s="37">
        <v>0</v>
      </c>
      <c r="U36" s="10"/>
      <c r="V36" s="18"/>
      <c r="W36" s="11"/>
      <c r="X36" s="18"/>
      <c r="Y36" s="11"/>
      <c r="Z36" s="155" t="s">
        <v>623</v>
      </c>
      <c r="AA36" s="28" t="s">
        <v>662</v>
      </c>
      <c r="AB36" s="99" t="s">
        <v>663</v>
      </c>
      <c r="AH36" s="196" t="s">
        <v>358</v>
      </c>
      <c r="AI36" s="138">
        <v>0</v>
      </c>
      <c r="AJ36" s="141">
        <v>9</v>
      </c>
      <c r="AK36" s="138"/>
      <c r="AL36" s="28"/>
      <c r="AM36" s="141"/>
      <c r="AN36" s="138"/>
      <c r="AO36" s="141"/>
      <c r="AP36" s="138" t="s">
        <v>825</v>
      </c>
      <c r="AQ36" s="28" t="s">
        <v>366</v>
      </c>
      <c r="AR36" s="141" t="s">
        <v>959</v>
      </c>
      <c r="AS36" s="28"/>
      <c r="AT36" s="28"/>
      <c r="AU36" s="28"/>
      <c r="AX36" s="196" t="s">
        <v>358</v>
      </c>
      <c r="AY36" s="138">
        <v>9</v>
      </c>
      <c r="AZ36" s="141">
        <v>18</v>
      </c>
      <c r="BA36" s="138"/>
      <c r="BB36" s="28"/>
      <c r="BC36" s="141"/>
      <c r="BD36" s="138"/>
      <c r="BE36" s="141"/>
      <c r="BF36" s="138" t="s">
        <v>1512</v>
      </c>
      <c r="BG36" s="28" t="s">
        <v>1513</v>
      </c>
      <c r="BH36" s="141" t="s">
        <v>1514</v>
      </c>
      <c r="BM36" s="28"/>
      <c r="BN36" s="138"/>
      <c r="BO36" s="134"/>
      <c r="BP36" s="136"/>
      <c r="BQ36" s="134"/>
      <c r="BR36" s="135"/>
      <c r="BS36" s="136"/>
      <c r="BT36" s="138"/>
      <c r="BU36" s="141"/>
      <c r="BV36" s="28" t="s">
        <v>994</v>
      </c>
      <c r="BW36" s="28"/>
      <c r="BX36" s="141"/>
      <c r="BY36" s="28"/>
      <c r="BZ36" s="28"/>
      <c r="CA36" s="28"/>
    </row>
    <row r="37" spans="3:79" ht="15.6" x14ac:dyDescent="0.3">
      <c r="C37" s="28"/>
      <c r="D37" s="92" t="s">
        <v>164</v>
      </c>
      <c r="E37" s="42">
        <f>4+5+2</f>
        <v>11</v>
      </c>
      <c r="F37" s="40">
        <f>3+1</f>
        <v>4</v>
      </c>
      <c r="G37" s="18"/>
      <c r="H37" s="18"/>
      <c r="I37" s="18"/>
      <c r="J37" s="10"/>
      <c r="K37" s="11"/>
      <c r="L37" s="98" t="s">
        <v>165</v>
      </c>
      <c r="M37" s="100" t="s">
        <v>166</v>
      </c>
      <c r="N37" s="39" t="s">
        <v>167</v>
      </c>
      <c r="Q37" s="28"/>
      <c r="R37" s="42" t="s">
        <v>88</v>
      </c>
      <c r="S37" s="42">
        <v>0</v>
      </c>
      <c r="T37" s="54">
        <v>2</v>
      </c>
      <c r="U37" s="10"/>
      <c r="V37" s="18"/>
      <c r="W37" s="11"/>
      <c r="X37" s="18"/>
      <c r="Y37" s="11"/>
      <c r="Z37" s="158" t="s">
        <v>313</v>
      </c>
      <c r="AA37" s="100" t="s">
        <v>664</v>
      </c>
      <c r="AB37" s="39" t="s">
        <v>665</v>
      </c>
      <c r="AH37" s="196" t="s">
        <v>403</v>
      </c>
      <c r="AI37" s="138">
        <v>0</v>
      </c>
      <c r="AJ37" s="141">
        <v>9</v>
      </c>
      <c r="AK37" s="138"/>
      <c r="AL37" s="28"/>
      <c r="AM37" s="141"/>
      <c r="AN37" s="138"/>
      <c r="AO37" s="141"/>
      <c r="AP37" s="138" t="s">
        <v>609</v>
      </c>
      <c r="AQ37" s="28" t="s">
        <v>960</v>
      </c>
      <c r="AR37" s="141" t="s">
        <v>415</v>
      </c>
      <c r="AS37" s="28"/>
      <c r="AT37" s="28"/>
      <c r="AU37" s="28"/>
      <c r="AX37" s="196" t="s">
        <v>164</v>
      </c>
      <c r="AY37" s="138">
        <v>5</v>
      </c>
      <c r="AZ37" s="141">
        <v>7</v>
      </c>
      <c r="BA37" s="138"/>
      <c r="BB37" s="28"/>
      <c r="BC37" s="141"/>
      <c r="BD37" s="138"/>
      <c r="BE37" s="141"/>
      <c r="BF37" s="138" t="s">
        <v>1515</v>
      </c>
      <c r="BG37" s="28" t="s">
        <v>791</v>
      </c>
      <c r="BH37" s="141" t="s">
        <v>1516</v>
      </c>
      <c r="BK37" s="28" t="s">
        <v>994</v>
      </c>
      <c r="BL37">
        <v>2018</v>
      </c>
      <c r="BM37" s="28">
        <v>1</v>
      </c>
      <c r="BN37" s="138" t="s">
        <v>113</v>
      </c>
      <c r="BO37" s="138">
        <v>473</v>
      </c>
      <c r="BP37" s="141">
        <v>427</v>
      </c>
      <c r="BQ37" s="138">
        <v>0</v>
      </c>
      <c r="BR37" s="43">
        <v>0</v>
      </c>
      <c r="BS37" s="209">
        <v>0</v>
      </c>
      <c r="BT37" s="138">
        <v>0</v>
      </c>
      <c r="BU37" s="141">
        <v>0</v>
      </c>
      <c r="BV37" s="43">
        <v>21</v>
      </c>
      <c r="BW37" s="28" t="s">
        <v>100</v>
      </c>
      <c r="BX37" s="141"/>
      <c r="BY37" s="28"/>
      <c r="BZ37" s="28"/>
      <c r="CA37" s="28"/>
    </row>
    <row r="38" spans="3:79" x14ac:dyDescent="0.3">
      <c r="C38" s="28"/>
      <c r="D38" s="36" t="s">
        <v>169</v>
      </c>
      <c r="E38" s="36">
        <f>6+7</f>
        <v>13</v>
      </c>
      <c r="F38" s="39">
        <f>6+1+9+1+12</f>
        <v>29</v>
      </c>
      <c r="G38" s="18"/>
      <c r="H38" s="18"/>
      <c r="I38" s="18"/>
      <c r="J38" s="10"/>
      <c r="K38" s="11"/>
      <c r="L38" s="98" t="s">
        <v>170</v>
      </c>
      <c r="M38" s="37" t="s">
        <v>171</v>
      </c>
      <c r="N38" s="39" t="s">
        <v>172</v>
      </c>
      <c r="Q38" s="28"/>
      <c r="R38" s="36" t="s">
        <v>169</v>
      </c>
      <c r="S38" s="36">
        <f>9+10</f>
        <v>19</v>
      </c>
      <c r="T38" s="37">
        <f>1+2</f>
        <v>3</v>
      </c>
      <c r="U38" s="10"/>
      <c r="V38" s="18"/>
      <c r="W38" s="11"/>
      <c r="X38" s="18"/>
      <c r="Y38" s="11"/>
      <c r="Z38" s="155" t="s">
        <v>595</v>
      </c>
      <c r="AA38" s="37" t="s">
        <v>500</v>
      </c>
      <c r="AB38" s="39" t="s">
        <v>666</v>
      </c>
      <c r="AH38" s="196" t="s">
        <v>169</v>
      </c>
      <c r="AI38" s="138">
        <f>1+4</f>
        <v>5</v>
      </c>
      <c r="AJ38" s="141">
        <f>2+2+1</f>
        <v>5</v>
      </c>
      <c r="AK38" s="138"/>
      <c r="AL38" s="28"/>
      <c r="AM38" s="141"/>
      <c r="AN38" s="138"/>
      <c r="AO38" s="141"/>
      <c r="AP38" s="138" t="s">
        <v>511</v>
      </c>
      <c r="AQ38" s="43" t="s">
        <v>345</v>
      </c>
      <c r="AR38" s="141" t="s">
        <v>276</v>
      </c>
      <c r="AS38" s="28"/>
      <c r="AT38" s="28"/>
      <c r="AU38" s="28"/>
      <c r="AX38" s="196" t="s">
        <v>169</v>
      </c>
      <c r="AY38" s="138">
        <v>0</v>
      </c>
      <c r="AZ38" s="141">
        <f>4+2</f>
        <v>6</v>
      </c>
      <c r="BA38" s="138"/>
      <c r="BB38" s="28"/>
      <c r="BC38" s="141"/>
      <c r="BD38" s="138"/>
      <c r="BE38" s="141"/>
      <c r="BF38" s="138" t="s">
        <v>819</v>
      </c>
      <c r="BG38" s="43" t="s">
        <v>1133</v>
      </c>
      <c r="BH38" s="141" t="s">
        <v>380</v>
      </c>
      <c r="BM38" s="28"/>
      <c r="BN38" s="142" t="s">
        <v>84</v>
      </c>
      <c r="BO38" s="142">
        <v>473</v>
      </c>
      <c r="BP38" s="146">
        <v>427</v>
      </c>
      <c r="BQ38" s="142">
        <v>0</v>
      </c>
      <c r="BR38" s="224">
        <v>0</v>
      </c>
      <c r="BS38" s="251">
        <v>0</v>
      </c>
      <c r="BT38" s="142">
        <v>0</v>
      </c>
      <c r="BU38" s="146">
        <v>0</v>
      </c>
      <c r="BV38" s="43">
        <v>23</v>
      </c>
      <c r="BW38" s="43" t="s">
        <v>1292</v>
      </c>
      <c r="BX38" s="146">
        <v>44</v>
      </c>
      <c r="BY38" s="28"/>
      <c r="BZ38" s="28"/>
      <c r="CA38" s="28"/>
    </row>
    <row r="39" spans="3:79" x14ac:dyDescent="0.3">
      <c r="C39" s="28"/>
      <c r="D39" s="36" t="s">
        <v>174</v>
      </c>
      <c r="E39" s="36">
        <v>19</v>
      </c>
      <c r="F39" s="39">
        <v>17</v>
      </c>
      <c r="G39" s="18"/>
      <c r="H39" s="18"/>
      <c r="I39" s="18"/>
      <c r="J39" s="10"/>
      <c r="K39" s="11"/>
      <c r="L39" s="52" t="s">
        <v>175</v>
      </c>
      <c r="M39" s="37" t="s">
        <v>176</v>
      </c>
      <c r="N39" s="39" t="s">
        <v>177</v>
      </c>
      <c r="Q39" s="28"/>
      <c r="R39" s="36" t="s">
        <v>99</v>
      </c>
      <c r="S39" s="36">
        <v>6</v>
      </c>
      <c r="T39" s="37">
        <v>5</v>
      </c>
      <c r="U39" s="10"/>
      <c r="V39" s="18"/>
      <c r="W39" s="11"/>
      <c r="X39" s="18"/>
      <c r="Y39" s="11"/>
      <c r="Z39" s="156" t="s">
        <v>428</v>
      </c>
      <c r="AA39" s="37" t="s">
        <v>667</v>
      </c>
      <c r="AB39" s="114" t="s">
        <v>668</v>
      </c>
      <c r="AH39" s="196" t="s">
        <v>99</v>
      </c>
      <c r="AI39" s="138">
        <v>0</v>
      </c>
      <c r="AJ39" s="141">
        <v>1</v>
      </c>
      <c r="AK39" s="138"/>
      <c r="AL39" s="28"/>
      <c r="AM39" s="141"/>
      <c r="AN39" s="138"/>
      <c r="AO39" s="141"/>
      <c r="AP39" s="138" t="s">
        <v>571</v>
      </c>
      <c r="AQ39" s="43" t="s">
        <v>961</v>
      </c>
      <c r="AR39" s="141" t="s">
        <v>522</v>
      </c>
      <c r="AS39" s="28"/>
      <c r="AT39" s="28"/>
      <c r="AU39" s="28"/>
      <c r="AX39" s="196" t="s">
        <v>158</v>
      </c>
      <c r="AY39" s="138">
        <v>1</v>
      </c>
      <c r="AZ39" s="141">
        <v>0</v>
      </c>
      <c r="BA39" s="138"/>
      <c r="BB39" s="28"/>
      <c r="BC39" s="141"/>
      <c r="BD39" s="138"/>
      <c r="BE39" s="141"/>
      <c r="BF39" s="138" t="s">
        <v>1078</v>
      </c>
      <c r="BG39" s="43" t="s">
        <v>1518</v>
      </c>
      <c r="BH39" s="141" t="s">
        <v>1519</v>
      </c>
      <c r="BM39" s="28"/>
      <c r="BN39" s="195" t="s">
        <v>1316</v>
      </c>
      <c r="BO39" s="134">
        <v>0</v>
      </c>
      <c r="BP39" s="136">
        <v>0</v>
      </c>
      <c r="BQ39" s="134">
        <v>0</v>
      </c>
      <c r="BR39" s="135">
        <v>0</v>
      </c>
      <c r="BS39" s="136">
        <v>0</v>
      </c>
      <c r="BT39" s="135">
        <v>0</v>
      </c>
      <c r="BU39" s="136">
        <v>0</v>
      </c>
      <c r="BV39" s="134" t="s">
        <v>140</v>
      </c>
      <c r="BW39" s="135"/>
      <c r="BX39" s="136"/>
      <c r="BY39" s="28"/>
      <c r="BZ39" s="28"/>
      <c r="CA39" s="28"/>
    </row>
    <row r="40" spans="3:79" x14ac:dyDescent="0.3">
      <c r="C40" s="28"/>
      <c r="D40" s="98" t="s">
        <v>108</v>
      </c>
      <c r="E40" s="36">
        <v>0</v>
      </c>
      <c r="F40" s="39">
        <v>1</v>
      </c>
      <c r="G40" s="18"/>
      <c r="H40" s="37"/>
      <c r="I40" s="18"/>
      <c r="J40" s="10"/>
      <c r="K40" s="11"/>
      <c r="L40" s="98" t="s">
        <v>178</v>
      </c>
      <c r="M40" s="54" t="s">
        <v>179</v>
      </c>
      <c r="N40" s="39" t="s">
        <v>180</v>
      </c>
      <c r="Q40" s="28"/>
      <c r="R40" s="150" t="s">
        <v>669</v>
      </c>
      <c r="S40" s="36">
        <v>8</v>
      </c>
      <c r="T40" s="37">
        <v>5</v>
      </c>
      <c r="U40" s="10"/>
      <c r="V40" s="37"/>
      <c r="W40" s="11"/>
      <c r="X40" s="18"/>
      <c r="Y40" s="11"/>
      <c r="Z40" s="158" t="s">
        <v>670</v>
      </c>
      <c r="AA40" s="156" t="s">
        <v>671</v>
      </c>
      <c r="AB40" s="167" t="s">
        <v>672</v>
      </c>
      <c r="AH40" s="196" t="s">
        <v>97</v>
      </c>
      <c r="AI40" s="138">
        <v>5</v>
      </c>
      <c r="AJ40" s="141">
        <v>4</v>
      </c>
      <c r="AK40" s="138"/>
      <c r="AL40" s="28"/>
      <c r="AM40" s="141"/>
      <c r="AN40" s="138"/>
      <c r="AO40" s="141"/>
      <c r="AP40" s="138" t="s">
        <v>479</v>
      </c>
      <c r="AQ40" s="43" t="s">
        <v>962</v>
      </c>
      <c r="AR40" s="141" t="s">
        <v>309</v>
      </c>
      <c r="AS40" s="28"/>
      <c r="AT40" s="28"/>
      <c r="AU40" s="28"/>
      <c r="AX40" s="196" t="s">
        <v>526</v>
      </c>
      <c r="AY40" s="138">
        <v>0</v>
      </c>
      <c r="AZ40" s="141">
        <v>0</v>
      </c>
      <c r="BA40" s="138"/>
      <c r="BB40" s="28"/>
      <c r="BC40" s="141"/>
      <c r="BD40" s="138"/>
      <c r="BE40" s="141"/>
      <c r="BF40" s="315" t="s">
        <v>1520</v>
      </c>
      <c r="BG40" s="215" t="s">
        <v>1521</v>
      </c>
      <c r="BH40" s="141" t="s">
        <v>1522</v>
      </c>
      <c r="BM40" s="28"/>
      <c r="BN40" s="196" t="s">
        <v>97</v>
      </c>
      <c r="BO40" s="138">
        <v>0</v>
      </c>
      <c r="BP40" s="209">
        <v>0</v>
      </c>
      <c r="BQ40" s="138">
        <v>0</v>
      </c>
      <c r="BR40" s="43">
        <v>0</v>
      </c>
      <c r="BS40" s="141">
        <v>0</v>
      </c>
      <c r="BT40" s="43">
        <v>0</v>
      </c>
      <c r="BU40" s="141">
        <v>0</v>
      </c>
      <c r="BV40" s="138"/>
      <c r="BW40" s="28"/>
      <c r="BX40" s="141"/>
      <c r="BY40" s="28"/>
      <c r="BZ40" s="28"/>
      <c r="CA40" s="28"/>
    </row>
    <row r="41" spans="3:79" x14ac:dyDescent="0.3">
      <c r="C41" s="37"/>
      <c r="D41" s="36" t="s">
        <v>184</v>
      </c>
      <c r="E41" s="36">
        <v>0</v>
      </c>
      <c r="F41" s="39">
        <f>5+3</f>
        <v>8</v>
      </c>
      <c r="G41" s="18"/>
      <c r="H41" s="18"/>
      <c r="I41" s="18"/>
      <c r="J41" s="10"/>
      <c r="K41" s="11"/>
      <c r="L41" s="36" t="s">
        <v>185</v>
      </c>
      <c r="M41" s="37" t="s">
        <v>186</v>
      </c>
      <c r="N41" s="40" t="s">
        <v>187</v>
      </c>
      <c r="Q41" s="37"/>
      <c r="R41" s="36" t="s">
        <v>673</v>
      </c>
      <c r="S41" s="36">
        <v>1</v>
      </c>
      <c r="T41" s="37">
        <v>0</v>
      </c>
      <c r="U41" s="10"/>
      <c r="V41" s="18"/>
      <c r="W41" s="11"/>
      <c r="X41" s="18"/>
      <c r="Y41" s="11"/>
      <c r="Z41" s="37" t="s">
        <v>333</v>
      </c>
      <c r="AA41" s="37" t="s">
        <v>411</v>
      </c>
      <c r="AB41" s="168" t="s">
        <v>265</v>
      </c>
      <c r="AH41" s="196" t="s">
        <v>658</v>
      </c>
      <c r="AI41" s="138">
        <v>5</v>
      </c>
      <c r="AJ41" s="141">
        <v>1</v>
      </c>
      <c r="AK41" s="138"/>
      <c r="AL41" s="28"/>
      <c r="AM41" s="141"/>
      <c r="AN41" s="138"/>
      <c r="AO41" s="141"/>
      <c r="AP41" s="138" t="s">
        <v>963</v>
      </c>
      <c r="AQ41" s="28"/>
      <c r="AR41" s="141" t="s">
        <v>520</v>
      </c>
      <c r="AS41" s="28"/>
      <c r="AT41" s="28"/>
      <c r="AU41" s="28"/>
      <c r="AX41" s="219" t="s">
        <v>107</v>
      </c>
      <c r="AY41" s="138">
        <v>0</v>
      </c>
      <c r="AZ41" s="141">
        <v>4</v>
      </c>
      <c r="BA41" s="138"/>
      <c r="BB41" s="28"/>
      <c r="BC41" s="141"/>
      <c r="BD41" s="138"/>
      <c r="BE41" s="141"/>
      <c r="BF41" s="138" t="s">
        <v>1523</v>
      </c>
      <c r="BG41" s="222" t="s">
        <v>1524</v>
      </c>
      <c r="BH41" s="141" t="s">
        <v>638</v>
      </c>
      <c r="BM41" s="28"/>
      <c r="BN41" s="196" t="s">
        <v>214</v>
      </c>
      <c r="BO41" s="138">
        <v>2</v>
      </c>
      <c r="BP41" s="209">
        <v>0</v>
      </c>
      <c r="BQ41" s="138">
        <v>0</v>
      </c>
      <c r="BR41" s="43">
        <v>0</v>
      </c>
      <c r="BS41" s="141">
        <v>0</v>
      </c>
      <c r="BT41" s="43">
        <v>0</v>
      </c>
      <c r="BU41" s="141">
        <v>0</v>
      </c>
      <c r="BV41" s="138"/>
      <c r="BW41" s="28"/>
      <c r="BX41" s="141"/>
      <c r="BY41" s="28"/>
      <c r="BZ41" s="28"/>
      <c r="CA41" s="28"/>
    </row>
    <row r="42" spans="3:79" x14ac:dyDescent="0.3">
      <c r="C42" s="28"/>
      <c r="D42" s="98" t="s">
        <v>190</v>
      </c>
      <c r="E42" s="36">
        <v>1</v>
      </c>
      <c r="F42" s="39"/>
      <c r="G42" s="18"/>
      <c r="H42" s="18"/>
      <c r="I42" s="18"/>
      <c r="J42" s="10"/>
      <c r="K42" s="11"/>
      <c r="L42" s="112" t="s">
        <v>191</v>
      </c>
      <c r="M42" s="37" t="s">
        <v>192</v>
      </c>
      <c r="N42" s="39"/>
      <c r="Q42" s="28"/>
      <c r="R42" s="150" t="s">
        <v>211</v>
      </c>
      <c r="S42" s="36">
        <v>11</v>
      </c>
      <c r="T42" s="37">
        <v>0</v>
      </c>
      <c r="U42" s="10"/>
      <c r="V42" s="18"/>
      <c r="W42" s="11"/>
      <c r="X42" s="18"/>
      <c r="Y42" s="11"/>
      <c r="Z42" s="159" t="s">
        <v>254</v>
      </c>
      <c r="AA42" s="37" t="s">
        <v>479</v>
      </c>
      <c r="AB42" s="39" t="s">
        <v>674</v>
      </c>
      <c r="AH42" s="196" t="s">
        <v>211</v>
      </c>
      <c r="AI42" s="138">
        <f>6+2</f>
        <v>8</v>
      </c>
      <c r="AJ42" s="141">
        <v>0</v>
      </c>
      <c r="AK42" s="138"/>
      <c r="AL42" s="28"/>
      <c r="AM42" s="141"/>
      <c r="AN42" s="138"/>
      <c r="AO42" s="141"/>
      <c r="AP42" s="138" t="s">
        <v>964</v>
      </c>
      <c r="AQ42" s="28"/>
      <c r="AR42" s="141" t="s">
        <v>910</v>
      </c>
      <c r="AS42" s="28"/>
      <c r="AT42" s="28"/>
      <c r="AU42" s="28"/>
      <c r="AX42" s="196" t="s">
        <v>64</v>
      </c>
      <c r="AY42" s="138">
        <v>0</v>
      </c>
      <c r="AZ42" s="141">
        <v>0</v>
      </c>
      <c r="BA42" s="138"/>
      <c r="BB42" s="28"/>
      <c r="BC42" s="141"/>
      <c r="BD42" s="138"/>
      <c r="BE42" s="141"/>
      <c r="BF42" s="316" t="s">
        <v>1526</v>
      </c>
      <c r="BG42" s="43" t="s">
        <v>208</v>
      </c>
      <c r="BH42" s="209" t="s">
        <v>1527</v>
      </c>
      <c r="BM42" s="28"/>
      <c r="BN42" s="196" t="s">
        <v>218</v>
      </c>
      <c r="BO42" s="138">
        <v>0</v>
      </c>
      <c r="BP42" s="141">
        <v>28</v>
      </c>
      <c r="BQ42" s="252">
        <v>0</v>
      </c>
      <c r="BR42" s="43">
        <v>0</v>
      </c>
      <c r="BS42" s="141">
        <v>0</v>
      </c>
      <c r="BT42" s="43">
        <v>0</v>
      </c>
      <c r="BU42" s="141">
        <v>0</v>
      </c>
      <c r="BV42" s="138" t="s">
        <v>142</v>
      </c>
      <c r="BW42" s="43">
        <v>7</v>
      </c>
      <c r="BX42" s="141" t="s">
        <v>682</v>
      </c>
      <c r="BY42" s="28"/>
      <c r="BZ42" s="28"/>
      <c r="CA42" s="28"/>
    </row>
    <row r="43" spans="3:79" x14ac:dyDescent="0.3">
      <c r="D43" s="98" t="s">
        <v>107</v>
      </c>
      <c r="E43" s="36">
        <v>19</v>
      </c>
      <c r="F43" s="39">
        <v>3</v>
      </c>
      <c r="G43" s="18"/>
      <c r="H43" s="18"/>
      <c r="I43" s="18"/>
      <c r="J43" s="10"/>
      <c r="K43" s="11"/>
      <c r="L43" s="36" t="s">
        <v>194</v>
      </c>
      <c r="M43" s="37" t="s">
        <v>195</v>
      </c>
      <c r="N43" s="114"/>
      <c r="R43" s="150" t="s">
        <v>220</v>
      </c>
      <c r="S43" s="36">
        <v>3</v>
      </c>
      <c r="T43" s="37">
        <v>3</v>
      </c>
      <c r="U43" s="10"/>
      <c r="V43" s="18"/>
      <c r="W43" s="11"/>
      <c r="X43" s="18"/>
      <c r="Y43" s="11"/>
      <c r="Z43" s="37" t="s">
        <v>675</v>
      </c>
      <c r="AA43" s="37" t="s">
        <v>347</v>
      </c>
      <c r="AB43" s="114" t="s">
        <v>309</v>
      </c>
      <c r="AH43" s="196" t="s">
        <v>523</v>
      </c>
      <c r="AI43" s="138">
        <v>0</v>
      </c>
      <c r="AJ43" s="141">
        <v>13</v>
      </c>
      <c r="AK43" s="138"/>
      <c r="AL43" s="28"/>
      <c r="AM43" s="141"/>
      <c r="AN43" s="138"/>
      <c r="AO43" s="141"/>
      <c r="AP43" s="138" t="s">
        <v>340</v>
      </c>
      <c r="AQ43" s="43" t="s">
        <v>587</v>
      </c>
      <c r="AR43" s="141" t="s">
        <v>965</v>
      </c>
      <c r="AS43" s="28"/>
      <c r="AT43" s="28"/>
      <c r="AU43" s="28"/>
      <c r="AX43" s="196" t="s">
        <v>403</v>
      </c>
      <c r="AY43" s="138">
        <f>4+4</f>
        <v>8</v>
      </c>
      <c r="AZ43" s="141">
        <f>4+4</f>
        <v>8</v>
      </c>
      <c r="BA43" s="138"/>
      <c r="BB43" s="28"/>
      <c r="BC43" s="141"/>
      <c r="BD43" s="138"/>
      <c r="BE43" s="141"/>
      <c r="BF43" s="138" t="s">
        <v>1528</v>
      </c>
      <c r="BG43" s="43" t="s">
        <v>500</v>
      </c>
      <c r="BH43" s="213" t="s">
        <v>693</v>
      </c>
      <c r="BM43" s="28"/>
      <c r="BN43" s="196" t="s">
        <v>596</v>
      </c>
      <c r="BO43" s="138">
        <v>1</v>
      </c>
      <c r="BP43" s="141">
        <v>0</v>
      </c>
      <c r="BQ43" s="252">
        <v>0</v>
      </c>
      <c r="BR43" s="255">
        <v>0</v>
      </c>
      <c r="BS43" s="141">
        <v>0</v>
      </c>
      <c r="BT43" s="43">
        <v>0</v>
      </c>
      <c r="BU43" s="141">
        <v>0</v>
      </c>
      <c r="BV43" s="138" t="s">
        <v>146</v>
      </c>
      <c r="BW43" s="28"/>
      <c r="BX43" s="256" t="s">
        <v>1321</v>
      </c>
      <c r="BY43" s="28"/>
      <c r="BZ43" s="28"/>
      <c r="CA43" s="28"/>
    </row>
    <row r="44" spans="3:79" x14ac:dyDescent="0.3">
      <c r="D44" s="36" t="s">
        <v>196</v>
      </c>
      <c r="E44" s="36">
        <v>5</v>
      </c>
      <c r="F44" s="39">
        <v>5</v>
      </c>
      <c r="G44" s="18"/>
      <c r="H44" s="18"/>
      <c r="I44" s="18"/>
      <c r="J44" s="10"/>
      <c r="K44" s="11"/>
      <c r="L44" s="36" t="s">
        <v>197</v>
      </c>
      <c r="M44" s="37" t="s">
        <v>198</v>
      </c>
      <c r="N44" s="39"/>
      <c r="R44" s="36" t="s">
        <v>605</v>
      </c>
      <c r="S44" s="36">
        <v>9</v>
      </c>
      <c r="T44" s="37">
        <v>0</v>
      </c>
      <c r="U44" s="10"/>
      <c r="V44" s="18"/>
      <c r="W44" s="11"/>
      <c r="X44" s="18"/>
      <c r="Y44" s="11"/>
      <c r="Z44" s="37" t="s">
        <v>283</v>
      </c>
      <c r="AA44" s="37" t="s">
        <v>287</v>
      </c>
      <c r="AB44" s="39" t="s">
        <v>676</v>
      </c>
      <c r="AH44" s="196" t="s">
        <v>966</v>
      </c>
      <c r="AI44" s="138">
        <v>6</v>
      </c>
      <c r="AJ44" s="141">
        <v>0</v>
      </c>
      <c r="AK44" s="138"/>
      <c r="AL44" s="28"/>
      <c r="AM44" s="141"/>
      <c r="AN44" s="138"/>
      <c r="AO44" s="141"/>
      <c r="AP44" s="138" t="s">
        <v>666</v>
      </c>
      <c r="AQ44" s="43" t="s">
        <v>719</v>
      </c>
      <c r="AR44" s="141" t="s">
        <v>330</v>
      </c>
      <c r="AS44" s="28"/>
      <c r="AT44" s="28"/>
      <c r="AU44" s="28"/>
      <c r="AX44" s="196" t="s">
        <v>105</v>
      </c>
      <c r="AY44" s="138">
        <v>0</v>
      </c>
      <c r="AZ44" s="141">
        <v>4</v>
      </c>
      <c r="BA44" s="138"/>
      <c r="BB44" s="28"/>
      <c r="BC44" s="141"/>
      <c r="BD44" s="138"/>
      <c r="BE44" s="141"/>
      <c r="BF44" s="138" t="s">
        <v>1529</v>
      </c>
      <c r="BG44" s="43" t="s">
        <v>348</v>
      </c>
      <c r="BH44" s="141" t="s">
        <v>1097</v>
      </c>
      <c r="BM44" s="28"/>
      <c r="BN44" s="196" t="s">
        <v>169</v>
      </c>
      <c r="BO44" s="138">
        <v>2</v>
      </c>
      <c r="BP44" s="141">
        <v>3</v>
      </c>
      <c r="BQ44" s="252">
        <v>0</v>
      </c>
      <c r="BR44" s="43">
        <v>0</v>
      </c>
      <c r="BS44" s="141">
        <v>0</v>
      </c>
      <c r="BT44" s="43">
        <v>0</v>
      </c>
      <c r="BU44" s="141">
        <v>0</v>
      </c>
      <c r="BV44" s="138"/>
      <c r="BW44" s="28"/>
      <c r="BX44" s="141" t="s">
        <v>1322</v>
      </c>
      <c r="BY44" s="28"/>
      <c r="BZ44" s="28"/>
    </row>
    <row r="45" spans="3:79" ht="15.6" x14ac:dyDescent="0.3">
      <c r="D45" s="36" t="s">
        <v>200</v>
      </c>
      <c r="E45" s="10">
        <f>5+8</f>
        <v>13</v>
      </c>
      <c r="F45" s="39">
        <f>5+4+8</f>
        <v>17</v>
      </c>
      <c r="G45" s="18"/>
      <c r="H45" s="18"/>
      <c r="I45" s="37"/>
      <c r="J45" s="10"/>
      <c r="K45" s="11"/>
      <c r="L45" s="124" t="s">
        <v>201</v>
      </c>
      <c r="M45" s="37" t="s">
        <v>202</v>
      </c>
      <c r="N45" s="39" t="s">
        <v>203</v>
      </c>
      <c r="R45" s="36" t="s">
        <v>384</v>
      </c>
      <c r="S45" s="10">
        <v>1</v>
      </c>
      <c r="T45" s="37">
        <v>0</v>
      </c>
      <c r="U45" s="10"/>
      <c r="V45" s="18"/>
      <c r="W45" s="39"/>
      <c r="X45" s="18"/>
      <c r="Y45" s="11"/>
      <c r="Z45" s="159" t="s">
        <v>580</v>
      </c>
      <c r="AA45" s="37" t="s">
        <v>677</v>
      </c>
      <c r="AB45" s="39"/>
      <c r="AH45" s="196" t="s">
        <v>968</v>
      </c>
      <c r="AI45" s="138">
        <v>1</v>
      </c>
      <c r="AJ45" s="141">
        <v>5</v>
      </c>
      <c r="AK45" s="138"/>
      <c r="AL45" s="28"/>
      <c r="AM45" s="141"/>
      <c r="AN45" s="138"/>
      <c r="AO45" s="141"/>
      <c r="AP45" s="138" t="s">
        <v>578</v>
      </c>
      <c r="AQ45" s="43" t="s">
        <v>969</v>
      </c>
      <c r="AR45" s="141" t="s">
        <v>725</v>
      </c>
      <c r="AS45" s="28"/>
      <c r="AT45" s="28"/>
      <c r="AU45" s="28"/>
      <c r="AX45" s="259" t="s">
        <v>384</v>
      </c>
      <c r="AY45" s="138">
        <v>1</v>
      </c>
      <c r="AZ45" s="141">
        <v>1</v>
      </c>
      <c r="BA45" s="138"/>
      <c r="BB45" s="28"/>
      <c r="BC45" s="141"/>
      <c r="BD45" s="138"/>
      <c r="BE45" s="141"/>
      <c r="BF45" s="138" t="s">
        <v>1163</v>
      </c>
      <c r="BG45" s="43" t="s">
        <v>283</v>
      </c>
      <c r="BH45" s="141" t="s">
        <v>961</v>
      </c>
      <c r="BM45" s="28"/>
      <c r="BN45" s="196" t="s">
        <v>358</v>
      </c>
      <c r="BO45" s="138">
        <v>22</v>
      </c>
      <c r="BP45" s="141">
        <v>18</v>
      </c>
      <c r="BQ45" s="252">
        <v>0</v>
      </c>
      <c r="BR45" s="43">
        <v>0</v>
      </c>
      <c r="BS45" s="141">
        <v>0</v>
      </c>
      <c r="BT45" s="43">
        <v>0</v>
      </c>
      <c r="BU45" s="141">
        <v>0</v>
      </c>
      <c r="BV45" s="138" t="s">
        <v>151</v>
      </c>
      <c r="BW45" s="28"/>
      <c r="BX45" s="141"/>
      <c r="BY45" s="28"/>
      <c r="BZ45" s="28"/>
    </row>
    <row r="46" spans="3:79" x14ac:dyDescent="0.3">
      <c r="D46" s="98" t="s">
        <v>205</v>
      </c>
      <c r="E46" s="10">
        <v>3</v>
      </c>
      <c r="F46" s="39">
        <v>13</v>
      </c>
      <c r="G46" s="18"/>
      <c r="H46" s="18"/>
      <c r="I46" s="18"/>
      <c r="J46" s="10"/>
      <c r="K46" s="11"/>
      <c r="L46" s="52" t="s">
        <v>206</v>
      </c>
      <c r="M46" s="37" t="s">
        <v>207</v>
      </c>
      <c r="N46" s="39" t="s">
        <v>208</v>
      </c>
      <c r="R46" s="150" t="s">
        <v>678</v>
      </c>
      <c r="S46" s="10">
        <v>0</v>
      </c>
      <c r="T46" s="37">
        <v>7</v>
      </c>
      <c r="U46" s="10"/>
      <c r="V46" s="18"/>
      <c r="W46" s="11"/>
      <c r="X46" s="18"/>
      <c r="Y46" s="11"/>
      <c r="Z46" s="54"/>
      <c r="AA46" s="37"/>
      <c r="AB46" s="39"/>
      <c r="AH46" s="196" t="s">
        <v>970</v>
      </c>
      <c r="AI46" s="138">
        <v>3</v>
      </c>
      <c r="AJ46" s="141">
        <v>3</v>
      </c>
      <c r="AK46" s="138"/>
      <c r="AL46" s="28"/>
      <c r="AM46" s="141"/>
      <c r="AN46" s="138"/>
      <c r="AO46" s="141"/>
      <c r="AP46" s="138" t="s">
        <v>850</v>
      </c>
      <c r="AQ46" s="28"/>
      <c r="AR46" s="141"/>
      <c r="AS46" s="28"/>
      <c r="AT46" s="28"/>
      <c r="AU46" s="28"/>
      <c r="AX46" s="196" t="s">
        <v>1530</v>
      </c>
      <c r="AY46" s="138">
        <v>3</v>
      </c>
      <c r="AZ46" s="141">
        <v>2</v>
      </c>
      <c r="BA46" s="138"/>
      <c r="BB46" s="28"/>
      <c r="BC46" s="141"/>
      <c r="BD46" s="138"/>
      <c r="BE46" s="141"/>
      <c r="BF46" s="138" t="s">
        <v>377</v>
      </c>
      <c r="BG46" s="43"/>
      <c r="BH46" s="141"/>
      <c r="BM46" s="28"/>
      <c r="BN46" s="196" t="s">
        <v>211</v>
      </c>
      <c r="BO46" s="138">
        <v>1</v>
      </c>
      <c r="BP46" s="141">
        <v>0</v>
      </c>
      <c r="BQ46" s="252">
        <v>0</v>
      </c>
      <c r="BR46" s="43">
        <v>0</v>
      </c>
      <c r="BS46" s="141">
        <v>0</v>
      </c>
      <c r="BT46" s="43">
        <v>0</v>
      </c>
      <c r="BU46" s="141">
        <v>0</v>
      </c>
      <c r="BV46" s="138" t="s">
        <v>1323</v>
      </c>
      <c r="BW46" s="257" t="s">
        <v>1324</v>
      </c>
      <c r="BX46" s="141" t="s">
        <v>1325</v>
      </c>
      <c r="BY46" s="28"/>
      <c r="BZ46" s="28"/>
    </row>
    <row r="47" spans="3:79" x14ac:dyDescent="0.3">
      <c r="D47" s="92" t="s">
        <v>211</v>
      </c>
      <c r="E47" s="84">
        <v>1</v>
      </c>
      <c r="F47" s="86">
        <f>1+13</f>
        <v>14</v>
      </c>
      <c r="G47" s="45"/>
      <c r="H47" s="45"/>
      <c r="I47" s="45"/>
      <c r="J47" s="10"/>
      <c r="K47" s="11"/>
      <c r="L47" s="112" t="s">
        <v>212</v>
      </c>
      <c r="M47" s="54" t="s">
        <v>6</v>
      </c>
      <c r="N47" s="86"/>
      <c r="R47" s="92" t="s">
        <v>64</v>
      </c>
      <c r="S47" s="84">
        <v>0</v>
      </c>
      <c r="T47" s="54">
        <v>8</v>
      </c>
      <c r="U47" s="84"/>
      <c r="V47" s="45"/>
      <c r="W47" s="85"/>
      <c r="X47" s="18"/>
      <c r="Y47" s="11"/>
      <c r="Z47" s="54"/>
      <c r="AA47" s="54"/>
      <c r="AB47" s="86"/>
      <c r="AH47" s="196" t="s">
        <v>971</v>
      </c>
      <c r="AI47" s="138">
        <v>0</v>
      </c>
      <c r="AJ47" s="141">
        <v>3</v>
      </c>
      <c r="AK47" s="138"/>
      <c r="AL47" s="28"/>
      <c r="AM47" s="141"/>
      <c r="AN47" s="138"/>
      <c r="AO47" s="141"/>
      <c r="AP47" s="138"/>
      <c r="AQ47" s="28"/>
      <c r="AR47" s="141"/>
      <c r="AS47" s="28"/>
      <c r="AT47" s="28"/>
      <c r="AU47" s="28"/>
      <c r="AX47" s="196" t="s">
        <v>102</v>
      </c>
      <c r="AY47" s="138">
        <v>1</v>
      </c>
      <c r="AZ47" s="141">
        <v>0</v>
      </c>
      <c r="BA47" s="138"/>
      <c r="BB47" s="28"/>
      <c r="BC47" s="141"/>
      <c r="BD47" s="138"/>
      <c r="BE47" s="141"/>
      <c r="BF47" s="138"/>
      <c r="BG47" s="28"/>
      <c r="BH47" s="141"/>
      <c r="BM47" s="28"/>
      <c r="BN47" s="196" t="s">
        <v>113</v>
      </c>
      <c r="BO47" s="138">
        <v>62</v>
      </c>
      <c r="BP47" s="141">
        <v>67</v>
      </c>
      <c r="BQ47" s="252">
        <v>0</v>
      </c>
      <c r="BR47" s="43">
        <v>0</v>
      </c>
      <c r="BS47" s="141">
        <v>0</v>
      </c>
      <c r="BT47" s="43">
        <v>0</v>
      </c>
      <c r="BU47" s="141">
        <v>0</v>
      </c>
      <c r="BV47" s="212" t="s">
        <v>1006</v>
      </c>
      <c r="BW47" s="28" t="s">
        <v>1327</v>
      </c>
      <c r="BX47" s="141"/>
      <c r="BY47" s="28"/>
      <c r="BZ47" s="28"/>
    </row>
    <row r="48" spans="3:79" x14ac:dyDescent="0.3">
      <c r="D48" s="127" t="s">
        <v>214</v>
      </c>
      <c r="E48" s="84">
        <f>4+1</f>
        <v>5</v>
      </c>
      <c r="F48" s="86">
        <v>5</v>
      </c>
      <c r="G48" s="45"/>
      <c r="H48" s="45"/>
      <c r="I48" s="45"/>
      <c r="J48" s="84"/>
      <c r="K48" s="85"/>
      <c r="L48" s="52"/>
      <c r="M48" s="54"/>
      <c r="N48" s="40"/>
      <c r="R48" s="67" t="s">
        <v>564</v>
      </c>
      <c r="S48" s="84">
        <v>0</v>
      </c>
      <c r="T48" s="54">
        <v>3</v>
      </c>
      <c r="U48" s="84"/>
      <c r="V48" s="45"/>
      <c r="W48" s="85"/>
      <c r="X48" s="45"/>
      <c r="Y48" s="85"/>
      <c r="Z48" s="54"/>
      <c r="AA48" s="54"/>
      <c r="AB48" s="40"/>
      <c r="AH48" s="196" t="s">
        <v>564</v>
      </c>
      <c r="AI48" s="138">
        <v>2</v>
      </c>
      <c r="AJ48" s="141">
        <v>2</v>
      </c>
      <c r="AK48" s="138"/>
      <c r="AL48" s="28"/>
      <c r="AM48" s="141"/>
      <c r="AN48" s="138"/>
      <c r="AO48" s="141"/>
      <c r="AP48" s="138"/>
      <c r="AQ48" s="28"/>
      <c r="AR48" s="141"/>
      <c r="AS48" s="28"/>
      <c r="AT48" s="28"/>
      <c r="AU48" s="28"/>
      <c r="AX48" s="196" t="s">
        <v>200</v>
      </c>
      <c r="AY48" s="138">
        <v>17</v>
      </c>
      <c r="AZ48" s="141">
        <v>16</v>
      </c>
      <c r="BA48" s="138"/>
      <c r="BB48" s="28"/>
      <c r="BC48" s="141"/>
      <c r="BD48" s="138"/>
      <c r="BE48" s="141"/>
      <c r="BF48" s="138"/>
      <c r="BG48" s="28"/>
      <c r="BH48" s="141"/>
      <c r="BM48" s="28"/>
      <c r="BN48" s="196" t="s">
        <v>1329</v>
      </c>
      <c r="BO48" s="138">
        <v>0</v>
      </c>
      <c r="BP48" s="141">
        <v>0</v>
      </c>
      <c r="BQ48" s="252">
        <v>0</v>
      </c>
      <c r="BR48" s="43">
        <v>0</v>
      </c>
      <c r="BS48" s="141">
        <v>0</v>
      </c>
      <c r="BT48" s="43">
        <v>0</v>
      </c>
      <c r="BU48" s="141">
        <v>0</v>
      </c>
      <c r="BV48" s="212" t="s">
        <v>1330</v>
      </c>
      <c r="BW48" s="43" t="s">
        <v>1331</v>
      </c>
      <c r="BX48" s="141"/>
      <c r="BY48" s="28"/>
      <c r="BZ48" s="28"/>
    </row>
    <row r="49" spans="4:77" x14ac:dyDescent="0.3">
      <c r="D49" s="127" t="s">
        <v>64</v>
      </c>
      <c r="E49" s="84">
        <v>1</v>
      </c>
      <c r="F49" s="86">
        <v>1</v>
      </c>
      <c r="G49" s="45"/>
      <c r="H49" s="45"/>
      <c r="I49" s="45"/>
      <c r="J49" s="84"/>
      <c r="K49" s="85"/>
      <c r="L49" s="52"/>
      <c r="M49" s="28"/>
      <c r="N49" s="40"/>
      <c r="R49" s="67" t="s">
        <v>679</v>
      </c>
      <c r="S49" s="84">
        <v>5</v>
      </c>
      <c r="T49" s="54">
        <v>5</v>
      </c>
      <c r="U49" s="84"/>
      <c r="V49" s="45"/>
      <c r="W49" s="85"/>
      <c r="X49" s="45"/>
      <c r="Y49" s="85"/>
      <c r="Z49" s="54"/>
      <c r="AA49" s="54"/>
      <c r="AB49" s="40"/>
      <c r="AH49" s="196" t="s">
        <v>972</v>
      </c>
      <c r="AI49" s="138">
        <v>13</v>
      </c>
      <c r="AJ49" s="141">
        <v>0</v>
      </c>
      <c r="AK49" s="138"/>
      <c r="AL49" s="28"/>
      <c r="AM49" s="141"/>
      <c r="AN49" s="138"/>
      <c r="AO49" s="141"/>
      <c r="AP49" s="138"/>
      <c r="AQ49" s="28"/>
      <c r="AR49" s="141"/>
      <c r="AS49" s="28"/>
      <c r="AT49" s="28"/>
      <c r="AU49" s="28"/>
      <c r="AX49" s="196" t="s">
        <v>564</v>
      </c>
      <c r="AY49" s="138">
        <v>5</v>
      </c>
      <c r="AZ49" s="141">
        <v>0</v>
      </c>
      <c r="BA49" s="138"/>
      <c r="BB49" s="28"/>
      <c r="BC49" s="141"/>
      <c r="BD49" s="138"/>
      <c r="BE49" s="141"/>
      <c r="BF49" s="138"/>
      <c r="BG49" s="28"/>
      <c r="BH49" s="141"/>
      <c r="BM49" s="28"/>
      <c r="BN49" s="196" t="s">
        <v>99</v>
      </c>
      <c r="BO49" s="138">
        <v>13</v>
      </c>
      <c r="BP49" s="141">
        <v>3</v>
      </c>
      <c r="BQ49" s="252">
        <v>0</v>
      </c>
      <c r="BR49" s="43">
        <v>0</v>
      </c>
      <c r="BS49" s="141">
        <v>0</v>
      </c>
      <c r="BT49" s="43">
        <v>0</v>
      </c>
      <c r="BU49" s="141">
        <v>0</v>
      </c>
      <c r="BV49" s="138" t="s">
        <v>1332</v>
      </c>
      <c r="BW49" s="43" t="s">
        <v>634</v>
      </c>
      <c r="BX49" s="141"/>
      <c r="BY49" s="28"/>
    </row>
    <row r="50" spans="4:77" x14ac:dyDescent="0.3">
      <c r="D50" s="127" t="s">
        <v>99</v>
      </c>
      <c r="E50" s="84">
        <v>5</v>
      </c>
      <c r="F50" s="86">
        <f>5+1</f>
        <v>6</v>
      </c>
      <c r="G50" s="28"/>
      <c r="H50" s="45"/>
      <c r="I50" s="28"/>
      <c r="J50" s="84"/>
      <c r="K50" s="85"/>
      <c r="L50" s="98"/>
      <c r="M50" s="54"/>
      <c r="N50" s="86"/>
      <c r="R50" s="127" t="s">
        <v>107</v>
      </c>
      <c r="S50" s="84">
        <v>0</v>
      </c>
      <c r="T50" s="54">
        <v>0</v>
      </c>
      <c r="U50" s="42"/>
      <c r="V50" s="45"/>
      <c r="W50" s="40"/>
      <c r="X50" s="45"/>
      <c r="Y50" s="85"/>
      <c r="Z50" s="155"/>
      <c r="AA50" s="54"/>
      <c r="AB50" s="86"/>
      <c r="AH50" s="196" t="s">
        <v>432</v>
      </c>
      <c r="AI50" s="138">
        <v>9</v>
      </c>
      <c r="AJ50" s="141">
        <v>18</v>
      </c>
      <c r="AK50" s="138"/>
      <c r="AL50" s="28"/>
      <c r="AM50" s="141"/>
      <c r="AN50" s="138"/>
      <c r="AO50" s="141"/>
      <c r="AP50" s="138"/>
      <c r="AQ50" s="28"/>
      <c r="AR50" s="141"/>
      <c r="AS50" s="28"/>
      <c r="AT50" s="28"/>
      <c r="AU50" s="28"/>
      <c r="AX50" s="196" t="s">
        <v>120</v>
      </c>
      <c r="AY50" s="138">
        <v>0</v>
      </c>
      <c r="AZ50" s="141">
        <v>2</v>
      </c>
      <c r="BA50" s="138"/>
      <c r="BB50" s="28"/>
      <c r="BC50" s="141"/>
      <c r="BD50" s="138"/>
      <c r="BE50" s="141"/>
      <c r="BF50" s="138"/>
      <c r="BG50" s="28"/>
      <c r="BH50" s="141"/>
      <c r="BM50" s="28"/>
      <c r="BN50" s="196" t="s">
        <v>200</v>
      </c>
      <c r="BO50" s="138">
        <v>0</v>
      </c>
      <c r="BP50" s="141">
        <v>5</v>
      </c>
      <c r="BQ50" s="252">
        <v>0</v>
      </c>
      <c r="BR50" s="43">
        <v>0</v>
      </c>
      <c r="BS50" s="141">
        <v>0</v>
      </c>
      <c r="BT50" s="43">
        <v>0</v>
      </c>
      <c r="BU50" s="141">
        <v>0</v>
      </c>
      <c r="BV50" s="138" t="s">
        <v>1333</v>
      </c>
      <c r="BW50" s="43" t="s">
        <v>1334</v>
      </c>
      <c r="BX50" s="141"/>
      <c r="BY50" s="28"/>
    </row>
    <row r="51" spans="4:77" x14ac:dyDescent="0.3">
      <c r="D51" s="127" t="s">
        <v>218</v>
      </c>
      <c r="E51" s="84">
        <v>11</v>
      </c>
      <c r="F51" s="86">
        <v>46</v>
      </c>
      <c r="G51" s="28"/>
      <c r="H51" s="45"/>
      <c r="I51" s="28"/>
      <c r="J51" s="84"/>
      <c r="K51" s="85"/>
      <c r="L51" s="52"/>
      <c r="M51" s="54"/>
      <c r="N51" s="40"/>
      <c r="R51" s="127" t="s">
        <v>218</v>
      </c>
      <c r="S51" s="84">
        <v>0</v>
      </c>
      <c r="T51" s="54">
        <v>11</v>
      </c>
      <c r="U51" s="42"/>
      <c r="V51" s="45">
        <v>6</v>
      </c>
      <c r="W51" s="40"/>
      <c r="X51" s="45"/>
      <c r="Y51" s="85"/>
      <c r="Z51" s="54"/>
      <c r="AA51" s="54"/>
      <c r="AB51" s="40"/>
      <c r="AH51" s="196" t="s">
        <v>218</v>
      </c>
      <c r="AI51" s="138">
        <v>0</v>
      </c>
      <c r="AJ51" s="141">
        <v>27</v>
      </c>
      <c r="AK51" s="138"/>
      <c r="AL51" s="28">
        <v>0</v>
      </c>
      <c r="AM51" s="141"/>
      <c r="AN51" s="138"/>
      <c r="AO51" s="141"/>
      <c r="AP51" s="138"/>
      <c r="AQ51" s="28"/>
      <c r="AR51" s="141"/>
      <c r="AS51" s="28"/>
      <c r="AT51" s="28"/>
      <c r="AU51" s="28"/>
      <c r="AX51" s="196" t="s">
        <v>218</v>
      </c>
      <c r="AY51" s="138">
        <v>0</v>
      </c>
      <c r="AZ51" s="141">
        <v>39</v>
      </c>
      <c r="BA51" s="138"/>
      <c r="BB51" s="28">
        <v>0</v>
      </c>
      <c r="BC51" s="141"/>
      <c r="BD51" s="138"/>
      <c r="BE51" s="141"/>
      <c r="BF51" s="138"/>
      <c r="BG51" s="28"/>
      <c r="BH51" s="141"/>
      <c r="BM51" s="28"/>
      <c r="BN51" s="196" t="s">
        <v>93</v>
      </c>
      <c r="BO51" s="138">
        <v>0</v>
      </c>
      <c r="BP51" s="141">
        <v>2</v>
      </c>
      <c r="BQ51" s="252">
        <v>0</v>
      </c>
      <c r="BR51" s="43">
        <v>0</v>
      </c>
      <c r="BS51" s="141">
        <v>0</v>
      </c>
      <c r="BT51" s="43">
        <v>0</v>
      </c>
      <c r="BU51" s="141">
        <v>0</v>
      </c>
      <c r="BV51" s="212" t="s">
        <v>1335</v>
      </c>
      <c r="BW51" s="43" t="s">
        <v>500</v>
      </c>
      <c r="BX51" s="141"/>
      <c r="BY51" s="28"/>
    </row>
    <row r="52" spans="4:77" x14ac:dyDescent="0.3">
      <c r="D52" s="98" t="s">
        <v>220</v>
      </c>
      <c r="E52" s="10">
        <v>0</v>
      </c>
      <c r="F52" s="11">
        <v>10</v>
      </c>
      <c r="G52" s="18"/>
      <c r="H52" s="18"/>
      <c r="I52" s="18"/>
      <c r="J52" s="10"/>
      <c r="K52" s="11"/>
      <c r="L52" s="52"/>
      <c r="M52" s="37"/>
      <c r="N52" s="129"/>
      <c r="R52" s="98" t="s">
        <v>93</v>
      </c>
      <c r="S52" s="10">
        <v>4</v>
      </c>
      <c r="T52" s="18">
        <v>0</v>
      </c>
      <c r="U52" s="10"/>
      <c r="V52" s="18"/>
      <c r="W52" s="11"/>
      <c r="X52" s="18"/>
      <c r="Y52" s="11"/>
      <c r="Z52" s="54"/>
      <c r="AA52" s="37"/>
      <c r="AB52" s="129"/>
      <c r="AH52" s="196" t="s">
        <v>93</v>
      </c>
      <c r="AI52" s="138">
        <v>0</v>
      </c>
      <c r="AJ52" s="141">
        <v>6</v>
      </c>
      <c r="AK52" s="138"/>
      <c r="AL52" s="28"/>
      <c r="AM52" s="141"/>
      <c r="AN52" s="138"/>
      <c r="AO52" s="141"/>
      <c r="AP52" s="138"/>
      <c r="AQ52" s="28"/>
      <c r="AR52" s="141"/>
      <c r="AS52" s="28"/>
      <c r="AT52" s="28"/>
      <c r="AU52" s="28"/>
      <c r="AX52" s="196" t="s">
        <v>93</v>
      </c>
      <c r="AY52" s="138">
        <v>0</v>
      </c>
      <c r="AZ52" s="141">
        <f>1+2</f>
        <v>3</v>
      </c>
      <c r="BA52" s="138"/>
      <c r="BB52" s="28"/>
      <c r="BC52" s="141"/>
      <c r="BD52" s="138"/>
      <c r="BE52" s="141"/>
      <c r="BF52" s="138"/>
      <c r="BG52" s="28"/>
      <c r="BH52" s="141"/>
      <c r="BM52" s="28"/>
      <c r="BN52" s="196" t="s">
        <v>657</v>
      </c>
      <c r="BO52" s="138">
        <v>0</v>
      </c>
      <c r="BP52" s="141">
        <v>2</v>
      </c>
      <c r="BQ52" s="252">
        <v>0</v>
      </c>
      <c r="BR52" s="43">
        <v>0</v>
      </c>
      <c r="BS52" s="141">
        <v>0</v>
      </c>
      <c r="BT52" s="43">
        <v>0</v>
      </c>
      <c r="BU52" s="141">
        <v>0</v>
      </c>
      <c r="BV52" s="138" t="s">
        <v>725</v>
      </c>
      <c r="BW52" s="43" t="s">
        <v>1336</v>
      </c>
      <c r="BX52" s="209"/>
      <c r="BY52" s="28"/>
    </row>
    <row r="53" spans="4:77" ht="16.2" thickBot="1" x14ac:dyDescent="0.35">
      <c r="D53" s="13" t="s">
        <v>84</v>
      </c>
      <c r="E53" s="13">
        <f>SUM(E31:E52)</f>
        <v>245</v>
      </c>
      <c r="F53" s="26">
        <f>SUM(F31:F52)</f>
        <v>284</v>
      </c>
      <c r="G53" s="27">
        <v>0</v>
      </c>
      <c r="H53" s="27">
        <f>SUM(H31:H52)</f>
        <v>0</v>
      </c>
      <c r="I53" s="27">
        <v>0</v>
      </c>
      <c r="J53" s="130">
        <v>0</v>
      </c>
      <c r="K53" s="26">
        <v>0</v>
      </c>
      <c r="L53" s="59"/>
      <c r="M53" s="27"/>
      <c r="N53" s="26">
        <f>9+5+7+7+2+2+1+4+2+3+8+2+2+3+3+6+4+5+1+9+2+1+1+2+2+2</f>
        <v>95</v>
      </c>
      <c r="R53" s="13" t="s">
        <v>84</v>
      </c>
      <c r="S53" s="13">
        <f>SUM(S28:S52)</f>
        <v>218</v>
      </c>
      <c r="T53" s="27">
        <f>SUM(T28:T52)</f>
        <v>177</v>
      </c>
      <c r="U53" s="13">
        <v>0</v>
      </c>
      <c r="V53" s="27">
        <f>SUM(V28:V52)</f>
        <v>6</v>
      </c>
      <c r="W53" s="26">
        <v>0</v>
      </c>
      <c r="X53" s="58">
        <v>0</v>
      </c>
      <c r="Y53" s="26">
        <v>0</v>
      </c>
      <c r="Z53" s="81"/>
      <c r="AA53" s="27"/>
      <c r="AB53" s="26">
        <f>5+2+1+5+13+5+9+8+4+8+7+4+3+4+4+2+2+1</f>
        <v>87</v>
      </c>
      <c r="AH53" s="199" t="s">
        <v>84</v>
      </c>
      <c r="AI53" s="142">
        <f>SUM(AI28:AI52)</f>
        <v>177</v>
      </c>
      <c r="AJ53" s="146">
        <f>SUM(AJ28:AJ52)</f>
        <v>191</v>
      </c>
      <c r="AK53" s="142">
        <v>0</v>
      </c>
      <c r="AL53" s="143">
        <f>SUM(AL28:AL52)</f>
        <v>0</v>
      </c>
      <c r="AM53" s="146">
        <v>0</v>
      </c>
      <c r="AN53" s="142">
        <v>0</v>
      </c>
      <c r="AO53" s="146">
        <v>0</v>
      </c>
      <c r="AP53" s="142"/>
      <c r="AQ53" s="143"/>
      <c r="AR53" s="146">
        <f>7+5+5+11+7+8+3+6+7+6+4</f>
        <v>69</v>
      </c>
      <c r="AS53" s="28"/>
      <c r="AT53" s="28"/>
      <c r="AU53" s="28"/>
      <c r="AX53" s="199" t="s">
        <v>84</v>
      </c>
      <c r="AY53" s="142">
        <f>SUM(AY28:AY52)</f>
        <v>141</v>
      </c>
      <c r="AZ53" s="146">
        <f>SUM(AZ28:AZ52)</f>
        <v>192</v>
      </c>
      <c r="BA53" s="142">
        <v>0</v>
      </c>
      <c r="BB53" s="143">
        <f>SUM(BB28:BB52)</f>
        <v>0</v>
      </c>
      <c r="BC53" s="146">
        <f>SUM(BC28:BC52)</f>
        <v>8</v>
      </c>
      <c r="BD53" s="142">
        <v>0</v>
      </c>
      <c r="BE53" s="146">
        <v>0</v>
      </c>
      <c r="BF53" s="142"/>
      <c r="BG53" s="143"/>
      <c r="BH53" s="146">
        <f>9+8+8+4+5+4+10+4+4+4+7+7+1</f>
        <v>75</v>
      </c>
      <c r="BM53" s="28"/>
      <c r="BN53" s="196" t="s">
        <v>89</v>
      </c>
      <c r="BO53" s="138">
        <v>0</v>
      </c>
      <c r="BP53" s="141">
        <v>2</v>
      </c>
      <c r="BQ53" s="252">
        <v>0</v>
      </c>
      <c r="BR53" s="43">
        <v>0</v>
      </c>
      <c r="BS53" s="141">
        <v>0</v>
      </c>
      <c r="BT53" s="43">
        <v>0</v>
      </c>
      <c r="BU53" s="141">
        <v>0</v>
      </c>
      <c r="BV53" s="138" t="s">
        <v>479</v>
      </c>
      <c r="BW53" s="258" t="s">
        <v>1033</v>
      </c>
      <c r="BX53" s="209"/>
      <c r="BY53" s="28"/>
    </row>
    <row r="54" spans="4:77" ht="15" thickBot="1" x14ac:dyDescent="0.35">
      <c r="D54" s="13" t="s">
        <v>223</v>
      </c>
      <c r="E54" s="13">
        <f>SUM(E53+E30+E27+E23+E19+E16+E14+E11)</f>
        <v>1716</v>
      </c>
      <c r="F54" s="26">
        <f>SUM(F53+F30+F27+F23+F19+F16+F14+F11)</f>
        <v>1696</v>
      </c>
      <c r="G54" s="27">
        <f>SUM(G53+G30+G23+G18+G16+G14+G11)</f>
        <v>0</v>
      </c>
      <c r="H54" s="27">
        <f>SUM(H31:H52)</f>
        <v>0</v>
      </c>
      <c r="I54" s="27">
        <f>SUM(I53+I30+I23+I18+I16+I14+I11)</f>
        <v>0</v>
      </c>
      <c r="J54" s="13">
        <f>SUM(J53+J30+J23+J18+J16+J14+J11)</f>
        <v>38719</v>
      </c>
      <c r="K54" s="26">
        <f>SUM(K53+K30+K23+K18+K16+K14+K11)</f>
        <v>11986</v>
      </c>
      <c r="L54" s="81"/>
      <c r="M54" s="27" t="s">
        <v>189</v>
      </c>
      <c r="N54" s="26">
        <f>SUM(N11:N52)</f>
        <v>162</v>
      </c>
      <c r="R54" s="13" t="s">
        <v>223</v>
      </c>
      <c r="S54" s="13">
        <f>SUM(S53+S27+S24+S20+S17+S14+S12)</f>
        <v>1803</v>
      </c>
      <c r="T54" s="26">
        <f>SUM(T53+T27+T24+T20+T17+T14+T12)</f>
        <v>1730</v>
      </c>
      <c r="U54" s="26">
        <f>SUM(U53+U27+U24+U20+U17+U14+U12)</f>
        <v>0</v>
      </c>
      <c r="V54" s="26">
        <f>SUM(V53+V27+V24+V20+V17+V14+V12)</f>
        <v>6</v>
      </c>
      <c r="W54" s="26">
        <f>SUM(W53+W27+W24+W20+W17+W14+W12)</f>
        <v>0</v>
      </c>
      <c r="X54" s="160">
        <f>SUM(X53+X27+X24+X20+X16+X14+X12)</f>
        <v>50027</v>
      </c>
      <c r="Y54" s="26">
        <f>SUM(Y53+Y27+Y24+Y20+Y16+Y14+Y12)</f>
        <v>15650</v>
      </c>
      <c r="Z54" s="81"/>
      <c r="AA54" s="27" t="s">
        <v>247</v>
      </c>
      <c r="AB54" s="26">
        <f>SUM(AB12:AB53)</f>
        <v>222</v>
      </c>
      <c r="AH54" t="s">
        <v>223</v>
      </c>
      <c r="AI54">
        <f>SUM(AI53+AI27+AI23+AI18+AI15+AI13)</f>
        <v>1681</v>
      </c>
      <c r="AJ54">
        <v>1730</v>
      </c>
      <c r="AK54">
        <v>0</v>
      </c>
      <c r="AL54">
        <f>SUM(AL53+AL27+AL23+AL18+AL15+AL11)</f>
        <v>0</v>
      </c>
      <c r="AM54">
        <v>0</v>
      </c>
      <c r="AN54">
        <f>SUM(AN53+AN27+AN23+AN17+AN15+AN11)</f>
        <v>68293</v>
      </c>
      <c r="AO54">
        <f>SUM(AO53+AO27+AO23+AO17+AO15+AO11)</f>
        <v>19089</v>
      </c>
      <c r="AQ54" t="s">
        <v>247</v>
      </c>
      <c r="AR54">
        <f>SUM(+AR27+AR23+AR18+AR15+AR13)</f>
        <v>159</v>
      </c>
      <c r="AX54" t="s">
        <v>223</v>
      </c>
      <c r="AY54">
        <f>SUM(AY53+AY27+AY22+AY17+AY14+AY12+AY24)</f>
        <v>3013</v>
      </c>
      <c r="AZ54">
        <f>SUM(AZ53+AZ27+AZ22+AZ17+AZ12+AZ14+AZ24)</f>
        <v>2875</v>
      </c>
      <c r="BA54">
        <v>0</v>
      </c>
      <c r="BB54">
        <f>SUM(BB53+BB27+BB22+BB17+BB14+BB10)</f>
        <v>0</v>
      </c>
      <c r="BC54">
        <v>0</v>
      </c>
      <c r="BD54">
        <f>SUM(BD53+BD27+BD22+BD16+BD14+BD10)</f>
        <v>83265</v>
      </c>
      <c r="BE54">
        <f>SUM(BE53+BE27+BE22+BE16+BE14+BE10)</f>
        <v>19089</v>
      </c>
      <c r="BG54" t="s">
        <v>939</v>
      </c>
      <c r="BH54">
        <f>SUM(+BH27+BH22+BH17+BH14+BH12)</f>
        <v>189</v>
      </c>
      <c r="BM54" s="28"/>
      <c r="BN54" s="196" t="s">
        <v>64</v>
      </c>
      <c r="BO54" s="138">
        <v>2</v>
      </c>
      <c r="BP54" s="141">
        <v>0</v>
      </c>
      <c r="BQ54" s="252">
        <v>0</v>
      </c>
      <c r="BR54" s="43">
        <v>0</v>
      </c>
      <c r="BS54" s="141">
        <v>0</v>
      </c>
      <c r="BT54" s="43">
        <v>0</v>
      </c>
      <c r="BU54" s="141">
        <v>0</v>
      </c>
      <c r="BV54" s="138" t="s">
        <v>719</v>
      </c>
      <c r="BW54" s="43" t="s">
        <v>307</v>
      </c>
      <c r="BX54" s="141"/>
      <c r="BY54" s="28"/>
    </row>
    <row r="55" spans="4:77" ht="15.6" x14ac:dyDescent="0.3">
      <c r="D55" s="131" t="s">
        <v>225</v>
      </c>
      <c r="F55">
        <f>SUM(N53)</f>
        <v>95</v>
      </c>
      <c r="I55" s="132"/>
      <c r="J55" t="s">
        <v>226</v>
      </c>
      <c r="R55" s="131" t="s">
        <v>225</v>
      </c>
      <c r="T55">
        <f>SUM(AB53)</f>
        <v>87</v>
      </c>
      <c r="W55" s="132"/>
      <c r="AH55" t="s">
        <v>225</v>
      </c>
      <c r="AJ55">
        <f>SUM(AR53)</f>
        <v>69</v>
      </c>
      <c r="AX55" t="s">
        <v>1340</v>
      </c>
      <c r="AZ55">
        <f>SUM(BH53)</f>
        <v>75</v>
      </c>
      <c r="BM55" s="28"/>
      <c r="BN55" s="259" t="s">
        <v>139</v>
      </c>
      <c r="BO55" s="138">
        <v>5</v>
      </c>
      <c r="BP55" s="141">
        <v>0</v>
      </c>
      <c r="BQ55" s="252">
        <v>0</v>
      </c>
      <c r="BR55" s="43">
        <v>0</v>
      </c>
      <c r="BS55" s="141">
        <v>0</v>
      </c>
      <c r="BT55" s="43">
        <v>0</v>
      </c>
      <c r="BU55" s="141">
        <v>0</v>
      </c>
      <c r="BV55" s="138" t="s">
        <v>803</v>
      </c>
      <c r="BW55" s="258"/>
      <c r="BX55" s="260"/>
      <c r="BY55" s="28"/>
    </row>
    <row r="56" spans="4:77" ht="15.6" x14ac:dyDescent="0.3">
      <c r="D56" t="s">
        <v>229</v>
      </c>
      <c r="F56">
        <f>19+6+2</f>
        <v>27</v>
      </c>
      <c r="R56" t="s">
        <v>229</v>
      </c>
      <c r="T56">
        <f>2+1+7+1+2+1+2+1</f>
        <v>17</v>
      </c>
      <c r="AH56" t="s">
        <v>229</v>
      </c>
      <c r="AJ56">
        <f>7+5+2+2</f>
        <v>16</v>
      </c>
      <c r="AX56" t="s">
        <v>229</v>
      </c>
      <c r="AZ56">
        <f>7+4+8+16</f>
        <v>35</v>
      </c>
      <c r="BM56" s="28"/>
      <c r="BN56" s="196" t="s">
        <v>108</v>
      </c>
      <c r="BO56" s="138">
        <v>2</v>
      </c>
      <c r="BP56" s="141">
        <v>0</v>
      </c>
      <c r="BQ56" s="252">
        <v>0</v>
      </c>
      <c r="BR56" s="43">
        <v>0</v>
      </c>
      <c r="BS56" s="141">
        <v>0</v>
      </c>
      <c r="BT56" s="43">
        <v>0</v>
      </c>
      <c r="BU56" s="141">
        <v>0</v>
      </c>
      <c r="BV56" s="138" t="s">
        <v>330</v>
      </c>
      <c r="BW56" s="258"/>
      <c r="BX56" s="141"/>
      <c r="BY56" s="28"/>
    </row>
    <row r="57" spans="4:77" ht="15.6" x14ac:dyDescent="0.3">
      <c r="D57" t="s">
        <v>232</v>
      </c>
      <c r="F57" t="s">
        <v>233</v>
      </c>
      <c r="H57" t="e">
        <f>SUM(#REF!)</f>
        <v>#REF!</v>
      </c>
      <c r="J57" t="s">
        <v>234</v>
      </c>
      <c r="L57" t="s">
        <v>233</v>
      </c>
      <c r="N57">
        <f>SUM(E54)</f>
        <v>1716</v>
      </c>
      <c r="R57" t="s">
        <v>232</v>
      </c>
      <c r="T57" t="s">
        <v>233</v>
      </c>
      <c r="V57">
        <f>SUM(G62)</f>
        <v>0</v>
      </c>
      <c r="X57" t="s">
        <v>234</v>
      </c>
      <c r="Z57" t="s">
        <v>233</v>
      </c>
      <c r="AB57">
        <f>SUM(S54)</f>
        <v>1803</v>
      </c>
      <c r="AH57" t="s">
        <v>232</v>
      </c>
      <c r="AJ57" t="s">
        <v>233</v>
      </c>
      <c r="AL57">
        <f>SUM(T55)</f>
        <v>87</v>
      </c>
      <c r="AN57" t="s">
        <v>234</v>
      </c>
      <c r="AP57" t="s">
        <v>233</v>
      </c>
      <c r="AR57">
        <f>SUM(AI54)</f>
        <v>1681</v>
      </c>
      <c r="AW57" t="s">
        <v>6</v>
      </c>
      <c r="AX57" t="s">
        <v>232</v>
      </c>
      <c r="AZ57" t="s">
        <v>233</v>
      </c>
      <c r="BB57">
        <f>SUM(AJ54)</f>
        <v>1730</v>
      </c>
      <c r="BD57" t="s">
        <v>234</v>
      </c>
      <c r="BF57" t="s">
        <v>233</v>
      </c>
      <c r="BH57">
        <f>SUM(AY54)</f>
        <v>3013</v>
      </c>
      <c r="BM57" s="28"/>
      <c r="BN57" s="196" t="s">
        <v>862</v>
      </c>
      <c r="BO57" s="138">
        <v>0</v>
      </c>
      <c r="BP57" s="141">
        <v>0</v>
      </c>
      <c r="BQ57" s="252">
        <v>0</v>
      </c>
      <c r="BR57" s="43">
        <v>0</v>
      </c>
      <c r="BS57" s="141">
        <v>0</v>
      </c>
      <c r="BT57" s="43">
        <v>0</v>
      </c>
      <c r="BU57" s="141">
        <v>0</v>
      </c>
      <c r="BV57" s="138" t="s">
        <v>1004</v>
      </c>
      <c r="BW57" s="258"/>
      <c r="BX57" s="141"/>
      <c r="BY57" s="28"/>
    </row>
    <row r="58" spans="4:77" ht="15.6" x14ac:dyDescent="0.3">
      <c r="F58" t="s">
        <v>236</v>
      </c>
      <c r="H58" t="e">
        <f>SUM(#REF!)</f>
        <v>#REF!</v>
      </c>
      <c r="L58" t="s">
        <v>236</v>
      </c>
      <c r="N58">
        <f>SUM(F54)</f>
        <v>1696</v>
      </c>
      <c r="Q58" t="s">
        <v>6</v>
      </c>
      <c r="T58" t="s">
        <v>236</v>
      </c>
      <c r="V58">
        <f>SUM(H62)</f>
        <v>0</v>
      </c>
      <c r="Z58" t="s">
        <v>236</v>
      </c>
      <c r="AB58">
        <f>SUM(T54)</f>
        <v>1730</v>
      </c>
      <c r="AG58" t="s">
        <v>6</v>
      </c>
      <c r="AJ58" t="s">
        <v>236</v>
      </c>
      <c r="AL58">
        <f>SUM(U55)</f>
        <v>0</v>
      </c>
      <c r="AP58" t="s">
        <v>236</v>
      </c>
      <c r="AR58">
        <f>SUM(AJ54)</f>
        <v>1730</v>
      </c>
      <c r="AZ58" t="s">
        <v>236</v>
      </c>
      <c r="BB58">
        <f>SUM(AK54)</f>
        <v>0</v>
      </c>
      <c r="BF58" t="s">
        <v>236</v>
      </c>
      <c r="BH58">
        <f>SUM(AZ54)</f>
        <v>2875</v>
      </c>
      <c r="BM58" s="28"/>
      <c r="BN58" s="196" t="s">
        <v>1337</v>
      </c>
      <c r="BO58" s="138">
        <v>9</v>
      </c>
      <c r="BP58" s="141">
        <v>9</v>
      </c>
      <c r="BQ58" s="252">
        <v>0</v>
      </c>
      <c r="BR58" s="43">
        <v>0</v>
      </c>
      <c r="BS58" s="141">
        <v>0</v>
      </c>
      <c r="BT58" s="43">
        <v>0</v>
      </c>
      <c r="BU58" s="141">
        <v>0</v>
      </c>
      <c r="BV58" s="138" t="s">
        <v>1338</v>
      </c>
      <c r="BW58" s="258"/>
      <c r="BX58" s="141"/>
      <c r="BY58" s="28"/>
    </row>
    <row r="59" spans="4:77" ht="15.6" x14ac:dyDescent="0.3">
      <c r="D59" s="134" t="s">
        <v>238</v>
      </c>
      <c r="E59" s="135" t="s">
        <v>239</v>
      </c>
      <c r="F59" s="136"/>
      <c r="G59" s="134" t="s">
        <v>240</v>
      </c>
      <c r="H59" s="135" t="s">
        <v>241</v>
      </c>
      <c r="I59" s="136"/>
      <c r="J59" s="134"/>
      <c r="K59" s="135" t="s">
        <v>242</v>
      </c>
      <c r="L59" s="137" t="s">
        <v>243</v>
      </c>
      <c r="M59" s="135"/>
      <c r="N59" s="135"/>
      <c r="O59" s="136"/>
      <c r="R59" s="134" t="s">
        <v>238</v>
      </c>
      <c r="S59" s="135" t="s">
        <v>239</v>
      </c>
      <c r="T59" s="136"/>
      <c r="U59" s="134" t="s">
        <v>240</v>
      </c>
      <c r="V59" s="135" t="s">
        <v>241</v>
      </c>
      <c r="W59" s="136"/>
      <c r="X59" s="134"/>
      <c r="Y59" s="135" t="s">
        <v>242</v>
      </c>
      <c r="Z59" s="137" t="s">
        <v>243</v>
      </c>
      <c r="AA59" s="135"/>
      <c r="AB59" s="135"/>
      <c r="AC59" s="136"/>
      <c r="AD59" s="28"/>
      <c r="AE59" s="28"/>
      <c r="AF59" s="28"/>
      <c r="AH59" t="s">
        <v>238</v>
      </c>
      <c r="AI59" t="s">
        <v>239</v>
      </c>
      <c r="AK59" t="s">
        <v>240</v>
      </c>
      <c r="AL59" t="s">
        <v>241</v>
      </c>
      <c r="AO59" t="s">
        <v>242</v>
      </c>
      <c r="AP59" t="s">
        <v>243</v>
      </c>
      <c r="AX59" t="s">
        <v>238</v>
      </c>
      <c r="AY59" t="s">
        <v>239</v>
      </c>
      <c r="BA59" t="s">
        <v>240</v>
      </c>
      <c r="BB59" t="s">
        <v>241</v>
      </c>
      <c r="BE59" t="s">
        <v>242</v>
      </c>
      <c r="BF59" s="131" t="s">
        <v>243</v>
      </c>
      <c r="BM59" s="28"/>
      <c r="BN59" s="196" t="s">
        <v>331</v>
      </c>
      <c r="BO59" s="138">
        <v>13</v>
      </c>
      <c r="BP59" s="141">
        <v>0</v>
      </c>
      <c r="BQ59" s="252">
        <v>0</v>
      </c>
      <c r="BR59" s="43">
        <v>0</v>
      </c>
      <c r="BS59" s="141">
        <v>0</v>
      </c>
      <c r="BT59" s="43">
        <v>0</v>
      </c>
      <c r="BU59" s="141">
        <v>0</v>
      </c>
      <c r="BV59" s="138" t="s">
        <v>736</v>
      </c>
      <c r="BW59" s="258"/>
      <c r="BX59" s="141"/>
      <c r="BY59" s="28"/>
    </row>
    <row r="60" spans="4:77" ht="15.6" x14ac:dyDescent="0.3">
      <c r="D60" s="138" t="s">
        <v>233</v>
      </c>
      <c r="E60" s="28"/>
      <c r="F60" s="139" t="e">
        <f>SUM(#REF!)</f>
        <v>#REF!</v>
      </c>
      <c r="G60" s="138" t="s">
        <v>233</v>
      </c>
      <c r="H60" s="28"/>
      <c r="I60" s="139" t="e">
        <f>SUM(#REF!)</f>
        <v>#REF!</v>
      </c>
      <c r="J60" s="138" t="s">
        <v>233</v>
      </c>
      <c r="K60" s="28"/>
      <c r="L60" s="140" t="e">
        <f>SUM(N57+I60)</f>
        <v>#REF!</v>
      </c>
      <c r="M60" s="28" t="s">
        <v>245</v>
      </c>
      <c r="N60" s="28" t="e">
        <f>SUM(L60+F60)</f>
        <v>#REF!</v>
      </c>
      <c r="O60" s="141"/>
      <c r="R60" s="138" t="s">
        <v>233</v>
      </c>
      <c r="S60" s="28"/>
      <c r="T60" s="139" t="e">
        <f>SUM(#REF!)</f>
        <v>#REF!</v>
      </c>
      <c r="U60" s="138" t="s">
        <v>233</v>
      </c>
      <c r="V60" s="28"/>
      <c r="W60" s="139" t="e">
        <f>SUM(#REF!)</f>
        <v>#REF!</v>
      </c>
      <c r="X60" s="138" t="s">
        <v>233</v>
      </c>
      <c r="Y60" s="28"/>
      <c r="Z60" s="140" t="e">
        <f>SUM(AB57+W60)</f>
        <v>#REF!</v>
      </c>
      <c r="AA60" s="28" t="s">
        <v>245</v>
      </c>
      <c r="AB60" s="28" t="e">
        <f>SUM(Z60+T60)</f>
        <v>#REF!</v>
      </c>
      <c r="AC60" s="141"/>
      <c r="AD60" s="28"/>
      <c r="AE60" s="28"/>
      <c r="AF60" s="28"/>
      <c r="AH60" t="s">
        <v>233</v>
      </c>
      <c r="AJ60" t="e">
        <f>SUM(#REF!)</f>
        <v>#REF!</v>
      </c>
      <c r="AK60" t="s">
        <v>233</v>
      </c>
      <c r="AM60">
        <f>SUM(F42)</f>
        <v>0</v>
      </c>
      <c r="AN60" t="s">
        <v>233</v>
      </c>
      <c r="AP60">
        <f>SUM(AM60+AI54)</f>
        <v>1681</v>
      </c>
      <c r="AQ60" t="s">
        <v>245</v>
      </c>
      <c r="AR60" t="e">
        <f>SUM(AJ60+AP60)</f>
        <v>#REF!</v>
      </c>
      <c r="AX60" t="s">
        <v>233</v>
      </c>
      <c r="AZ60" t="e">
        <f>SUM(#REF!)</f>
        <v>#REF!</v>
      </c>
      <c r="BA60" s="236" t="s">
        <v>233</v>
      </c>
      <c r="BC60">
        <f>SUM(S44)</f>
        <v>9</v>
      </c>
      <c r="BD60" t="s">
        <v>233</v>
      </c>
      <c r="BF60">
        <f>SUM(BC60+AY54)</f>
        <v>3022</v>
      </c>
      <c r="BG60" t="s">
        <v>245</v>
      </c>
      <c r="BH60" t="e">
        <f>SUM(AZ60+BF60)</f>
        <v>#REF!</v>
      </c>
      <c r="BM60" s="28"/>
      <c r="BN60" s="196" t="s">
        <v>956</v>
      </c>
      <c r="BO60" s="138">
        <v>0</v>
      </c>
      <c r="BP60" s="141">
        <v>12</v>
      </c>
      <c r="BQ60" s="138">
        <v>0</v>
      </c>
      <c r="BR60" s="43">
        <v>0</v>
      </c>
      <c r="BS60" s="141">
        <v>0</v>
      </c>
      <c r="BT60" s="43">
        <v>0</v>
      </c>
      <c r="BU60" s="141">
        <v>0</v>
      </c>
      <c r="BV60" s="138"/>
      <c r="BW60" s="258"/>
      <c r="BX60" s="141"/>
      <c r="BY60" s="28"/>
    </row>
    <row r="61" spans="4:77" ht="16.2" thickBot="1" x14ac:dyDescent="0.35">
      <c r="D61" s="142" t="s">
        <v>236</v>
      </c>
      <c r="E61" s="143"/>
      <c r="F61" s="144" t="e">
        <f>SUM(#REF!)</f>
        <v>#REF!</v>
      </c>
      <c r="G61" s="142" t="s">
        <v>236</v>
      </c>
      <c r="H61" s="143"/>
      <c r="I61" s="144" t="e">
        <f>SUM(#REF!)</f>
        <v>#REF!</v>
      </c>
      <c r="J61" s="142" t="s">
        <v>236</v>
      </c>
      <c r="K61" s="143"/>
      <c r="L61" s="145" t="e">
        <f>SUM(N58+I61)</f>
        <v>#REF!</v>
      </c>
      <c r="M61" s="143"/>
      <c r="N61" s="143" t="e">
        <f>SUM(L61+F61)</f>
        <v>#REF!</v>
      </c>
      <c r="O61" s="146"/>
      <c r="R61" s="142" t="s">
        <v>236</v>
      </c>
      <c r="S61" s="143"/>
      <c r="T61" s="144" t="e">
        <f>SUM(#REF!)</f>
        <v>#REF!</v>
      </c>
      <c r="U61" s="142" t="s">
        <v>236</v>
      </c>
      <c r="V61" s="143"/>
      <c r="W61" s="144" t="e">
        <f>SUM(#REF!)</f>
        <v>#REF!</v>
      </c>
      <c r="X61" s="142" t="s">
        <v>236</v>
      </c>
      <c r="Y61" s="143"/>
      <c r="Z61" s="145" t="e">
        <f>SUM(AB58+W61)</f>
        <v>#REF!</v>
      </c>
      <c r="AA61" s="143"/>
      <c r="AB61" s="143" t="e">
        <f>SUM(Z61+T61)</f>
        <v>#REF!</v>
      </c>
      <c r="AC61" s="146"/>
      <c r="AD61" s="28"/>
      <c r="AE61" s="28"/>
      <c r="AF61" s="28"/>
      <c r="AH61" t="s">
        <v>236</v>
      </c>
      <c r="AJ61" t="e">
        <f>SUM(#REF!)</f>
        <v>#REF!</v>
      </c>
      <c r="AK61" t="s">
        <v>236</v>
      </c>
      <c r="AM61">
        <f>SUM(G42)</f>
        <v>0</v>
      </c>
      <c r="AN61" t="s">
        <v>236</v>
      </c>
      <c r="AP61">
        <f>SUM(AM61+AJ54)</f>
        <v>1730</v>
      </c>
      <c r="AR61" t="e">
        <f>SUM(AJ61+AP61)</f>
        <v>#REF!</v>
      </c>
      <c r="AX61" t="s">
        <v>236</v>
      </c>
      <c r="AZ61" t="e">
        <f>SUM(#REF!)</f>
        <v>#REF!</v>
      </c>
      <c r="BA61" s="236" t="s">
        <v>236</v>
      </c>
      <c r="BC61">
        <f>SUM(T44)</f>
        <v>0</v>
      </c>
      <c r="BD61" t="s">
        <v>236</v>
      </c>
      <c r="BF61">
        <f>SUM(BC61+AZ54)</f>
        <v>2875</v>
      </c>
      <c r="BH61" t="e">
        <f>SUM(AZ61+BF61)</f>
        <v>#REF!</v>
      </c>
      <c r="BI61" t="e">
        <f>SUM(BH60:BH61)</f>
        <v>#REF!</v>
      </c>
      <c r="BM61" s="28"/>
      <c r="BN61" s="196" t="s">
        <v>133</v>
      </c>
      <c r="BO61" s="138">
        <v>0</v>
      </c>
      <c r="BP61" s="141">
        <v>5</v>
      </c>
      <c r="BQ61" s="138">
        <v>0</v>
      </c>
      <c r="BR61" s="43">
        <v>0</v>
      </c>
      <c r="BS61" s="141">
        <v>0</v>
      </c>
      <c r="BT61" s="43">
        <v>0</v>
      </c>
      <c r="BU61" s="141">
        <v>0</v>
      </c>
      <c r="BV61" s="138"/>
      <c r="BW61" s="258"/>
      <c r="BX61" s="141"/>
      <c r="BY61" s="28"/>
    </row>
    <row r="62" spans="4:77" x14ac:dyDescent="0.3">
      <c r="AV62" t="e">
        <f>SUM(AR60:AR61)</f>
        <v>#REF!</v>
      </c>
      <c r="AX62" s="319" t="s">
        <v>1532</v>
      </c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5"/>
      <c r="BM62" s="28"/>
      <c r="BN62" s="211" t="s">
        <v>85</v>
      </c>
      <c r="BO62" s="212">
        <v>0</v>
      </c>
      <c r="BP62" s="261">
        <v>0</v>
      </c>
      <c r="BQ62" s="138">
        <v>0</v>
      </c>
      <c r="BR62" s="43">
        <v>0</v>
      </c>
      <c r="BS62" s="141">
        <v>0</v>
      </c>
      <c r="BT62" s="43">
        <v>0</v>
      </c>
      <c r="BU62" s="209">
        <v>0</v>
      </c>
      <c r="BV62" s="138"/>
      <c r="BW62" s="28"/>
      <c r="BX62" s="141"/>
      <c r="BY62" s="28"/>
    </row>
    <row r="63" spans="4:77" x14ac:dyDescent="0.3">
      <c r="AX63" s="42" t="s">
        <v>238</v>
      </c>
      <c r="AY63" s="28" t="s">
        <v>239</v>
      </c>
      <c r="AZ63" s="28"/>
      <c r="BA63" s="28" t="s">
        <v>240</v>
      </c>
      <c r="BB63" s="28" t="s">
        <v>241</v>
      </c>
      <c r="BC63" s="28"/>
      <c r="BD63" s="28"/>
      <c r="BE63" s="28" t="s">
        <v>242</v>
      </c>
      <c r="BF63" s="257" t="s">
        <v>243</v>
      </c>
      <c r="BG63" s="28"/>
      <c r="BH63" s="28"/>
      <c r="BI63" s="40"/>
      <c r="BM63" s="28"/>
      <c r="BN63" s="211" t="s">
        <v>574</v>
      </c>
      <c r="BO63" s="212">
        <v>0</v>
      </c>
      <c r="BP63" s="261">
        <v>3</v>
      </c>
      <c r="BQ63" s="262">
        <v>0</v>
      </c>
      <c r="BR63" s="186">
        <v>0</v>
      </c>
      <c r="BS63" s="141">
        <v>0</v>
      </c>
      <c r="BT63" s="43">
        <v>0</v>
      </c>
      <c r="BU63" s="209">
        <v>0</v>
      </c>
      <c r="BV63" s="138"/>
      <c r="BW63" s="28"/>
      <c r="BX63" s="141"/>
      <c r="BY63" s="28"/>
    </row>
    <row r="64" spans="4:77" x14ac:dyDescent="0.3">
      <c r="AX64" s="42" t="s">
        <v>233</v>
      </c>
      <c r="AY64" s="28"/>
      <c r="AZ64" s="28">
        <v>46014</v>
      </c>
      <c r="BA64" s="218" t="s">
        <v>233</v>
      </c>
      <c r="BB64" s="28"/>
      <c r="BC64" s="28">
        <v>2266</v>
      </c>
      <c r="BD64" s="28" t="s">
        <v>233</v>
      </c>
      <c r="BE64" s="28"/>
      <c r="BF64" s="28">
        <v>3963</v>
      </c>
      <c r="BG64" s="28" t="s">
        <v>245</v>
      </c>
      <c r="BH64" s="28">
        <f>SUM(AZ64+BF64)</f>
        <v>49977</v>
      </c>
      <c r="BI64" s="40"/>
      <c r="BM64" s="28"/>
      <c r="BN64" s="211" t="s">
        <v>1339</v>
      </c>
      <c r="BO64" s="263">
        <v>0</v>
      </c>
      <c r="BP64" s="264">
        <v>0</v>
      </c>
      <c r="BQ64" s="142">
        <v>0</v>
      </c>
      <c r="BR64" s="143">
        <v>0</v>
      </c>
      <c r="BS64" s="146">
        <v>0</v>
      </c>
      <c r="BT64" s="43">
        <v>0</v>
      </c>
      <c r="BU64" s="209">
        <v>0</v>
      </c>
      <c r="BV64" s="142"/>
      <c r="BW64" s="143"/>
      <c r="BX64" s="146">
        <v>47</v>
      </c>
      <c r="BY64" s="28"/>
    </row>
    <row r="65" spans="3:77" ht="15" thickBot="1" x14ac:dyDescent="0.35">
      <c r="AX65" s="47" t="s">
        <v>236</v>
      </c>
      <c r="AY65" s="48"/>
      <c r="AZ65" s="48">
        <v>52960</v>
      </c>
      <c r="BA65" s="320" t="s">
        <v>236</v>
      </c>
      <c r="BB65" s="48"/>
      <c r="BC65" s="48">
        <v>2007</v>
      </c>
      <c r="BD65" s="48" t="s">
        <v>236</v>
      </c>
      <c r="BE65" s="48"/>
      <c r="BF65" s="48">
        <v>3552</v>
      </c>
      <c r="BG65" s="48"/>
      <c r="BH65" s="48">
        <f>SUM(AZ65+BF65)</f>
        <v>56512</v>
      </c>
      <c r="BI65" s="49">
        <f>SUM(BH64:BH65)</f>
        <v>106489</v>
      </c>
      <c r="BM65" s="28"/>
      <c r="BN65" s="265" t="s">
        <v>84</v>
      </c>
      <c r="BO65" s="247">
        <f>SUM(BO39:BO64)</f>
        <v>134</v>
      </c>
      <c r="BP65" s="266">
        <f>SUM(BP39:BP64)</f>
        <v>159</v>
      </c>
      <c r="BQ65" s="197">
        <v>0</v>
      </c>
      <c r="BR65" s="249">
        <v>0</v>
      </c>
      <c r="BS65" s="146">
        <v>0</v>
      </c>
      <c r="BT65" s="197">
        <v>779222</v>
      </c>
      <c r="BU65" s="249">
        <v>18180</v>
      </c>
      <c r="BV65" s="198" t="s">
        <v>939</v>
      </c>
      <c r="BW65" s="198"/>
      <c r="BX65" s="249">
        <v>423</v>
      </c>
      <c r="BY65" s="28"/>
    </row>
    <row r="66" spans="3:77" x14ac:dyDescent="0.3">
      <c r="BM66" s="28"/>
      <c r="BN66" s="28" t="s">
        <v>223</v>
      </c>
      <c r="BO66" s="212">
        <v>5925</v>
      </c>
      <c r="BP66" s="261">
        <v>11821</v>
      </c>
      <c r="BQ66" s="184"/>
      <c r="BY66" s="28"/>
    </row>
    <row r="67" spans="3:77" ht="15.6" x14ac:dyDescent="0.3">
      <c r="G67" s="1"/>
      <c r="H67" s="1" t="s">
        <v>5</v>
      </c>
      <c r="I67" s="1"/>
      <c r="J67" s="1"/>
      <c r="K67" s="1"/>
      <c r="L67" s="1"/>
      <c r="AL67" t="s">
        <v>5</v>
      </c>
      <c r="BM67" s="28"/>
      <c r="BN67" s="28" t="s">
        <v>1340</v>
      </c>
      <c r="BO67" s="28"/>
      <c r="BP67" s="186">
        <v>47</v>
      </c>
      <c r="BY67" s="28"/>
    </row>
    <row r="68" spans="3:77" x14ac:dyDescent="0.3">
      <c r="I68" t="s">
        <v>2</v>
      </c>
      <c r="AM68" t="s">
        <v>2</v>
      </c>
      <c r="BM68" s="28"/>
      <c r="BN68" s="28" t="s">
        <v>229</v>
      </c>
      <c r="BO68" s="28"/>
      <c r="BP68" s="186">
        <v>2</v>
      </c>
      <c r="BY68" s="28"/>
    </row>
    <row r="69" spans="3:77" x14ac:dyDescent="0.3">
      <c r="G69" t="s">
        <v>13</v>
      </c>
      <c r="AK69" t="s">
        <v>13</v>
      </c>
      <c r="BM69" s="28"/>
      <c r="BN69" t="s">
        <v>232</v>
      </c>
      <c r="BP69" s="178" t="s">
        <v>233</v>
      </c>
      <c r="BR69">
        <v>1681</v>
      </c>
      <c r="BT69" t="s">
        <v>234</v>
      </c>
      <c r="BV69" t="s">
        <v>233</v>
      </c>
      <c r="BX69">
        <v>5925</v>
      </c>
      <c r="BY69" s="28"/>
    </row>
    <row r="70" spans="3:77" ht="15" thickBot="1" x14ac:dyDescent="0.35">
      <c r="I70" t="s">
        <v>248</v>
      </c>
      <c r="M70" s="5" t="s">
        <v>16</v>
      </c>
      <c r="AM70" t="s">
        <v>973</v>
      </c>
      <c r="AQ70" s="194" t="s">
        <v>950</v>
      </c>
      <c r="BM70" s="28"/>
      <c r="BP70" t="s">
        <v>236</v>
      </c>
      <c r="BR70">
        <v>1777</v>
      </c>
      <c r="BV70" t="s">
        <v>236</v>
      </c>
      <c r="BX70">
        <v>11821</v>
      </c>
      <c r="BY70" s="28"/>
    </row>
    <row r="71" spans="3:77" x14ac:dyDescent="0.3">
      <c r="D71" s="6" t="s">
        <v>17</v>
      </c>
      <c r="E71" s="6" t="s">
        <v>27</v>
      </c>
      <c r="F71" s="7"/>
      <c r="G71" s="8" t="s">
        <v>28</v>
      </c>
      <c r="H71" s="8"/>
      <c r="I71" s="8"/>
      <c r="J71" s="6" t="s">
        <v>29</v>
      </c>
      <c r="K71" s="7" t="s">
        <v>30</v>
      </c>
      <c r="L71" s="8" t="s">
        <v>31</v>
      </c>
      <c r="M71" s="8"/>
      <c r="N71" s="7"/>
      <c r="AH71" s="195" t="s">
        <v>17</v>
      </c>
      <c r="AI71" s="134" t="s">
        <v>27</v>
      </c>
      <c r="AJ71" s="136"/>
      <c r="AK71" s="135" t="s">
        <v>28</v>
      </c>
      <c r="AL71" s="135"/>
      <c r="AM71" s="135"/>
      <c r="AN71" s="135" t="s">
        <v>29</v>
      </c>
      <c r="AO71" s="135" t="s">
        <v>30</v>
      </c>
      <c r="AP71" s="135" t="s">
        <v>31</v>
      </c>
      <c r="AQ71" s="135"/>
      <c r="AR71" s="136"/>
      <c r="AS71" s="28"/>
      <c r="AT71" s="28"/>
      <c r="AU71" s="28"/>
      <c r="BB71" t="s">
        <v>5</v>
      </c>
      <c r="BM71" s="28"/>
      <c r="BN71" t="s">
        <v>238</v>
      </c>
      <c r="BO71" t="s">
        <v>239</v>
      </c>
      <c r="BQ71" t="s">
        <v>240</v>
      </c>
      <c r="BR71" t="s">
        <v>241</v>
      </c>
      <c r="BU71" t="s">
        <v>242</v>
      </c>
      <c r="BV71" s="131" t="s">
        <v>243</v>
      </c>
      <c r="BY71" s="28"/>
    </row>
    <row r="72" spans="3:77" ht="15.6" x14ac:dyDescent="0.3">
      <c r="D72" s="10"/>
      <c r="E72" s="10"/>
      <c r="F72" s="11"/>
      <c r="G72" s="3"/>
      <c r="H72" s="3"/>
      <c r="I72" s="3"/>
      <c r="J72" s="10"/>
      <c r="K72" s="11" t="s">
        <v>6</v>
      </c>
      <c r="L72" s="3" t="s">
        <v>41</v>
      </c>
      <c r="M72" s="3"/>
      <c r="N72" s="11"/>
      <c r="U72" s="1"/>
      <c r="V72" s="1" t="s">
        <v>5</v>
      </c>
      <c r="W72" s="1"/>
      <c r="X72" s="1"/>
      <c r="Y72" s="1"/>
      <c r="Z72" s="1"/>
      <c r="AH72" s="196"/>
      <c r="AI72" s="138"/>
      <c r="AJ72" s="141"/>
      <c r="AK72" s="28"/>
      <c r="AL72" s="28"/>
      <c r="AM72" s="28"/>
      <c r="AN72" s="28"/>
      <c r="AO72" s="28" t="s">
        <v>6</v>
      </c>
      <c r="AP72" s="28" t="s">
        <v>41</v>
      </c>
      <c r="AQ72" s="28"/>
      <c r="AR72" s="141"/>
      <c r="AS72" s="28"/>
      <c r="AT72" s="28"/>
      <c r="AU72" s="28"/>
      <c r="BC72" t="s">
        <v>2</v>
      </c>
      <c r="BM72" s="28"/>
      <c r="BN72" t="s">
        <v>233</v>
      </c>
      <c r="BP72">
        <v>49366</v>
      </c>
      <c r="BQ72" s="236" t="s">
        <v>233</v>
      </c>
      <c r="BS72">
        <v>4691</v>
      </c>
      <c r="BT72" t="s">
        <v>233</v>
      </c>
      <c r="BV72">
        <v>17746</v>
      </c>
      <c r="BW72" t="s">
        <v>245</v>
      </c>
      <c r="BX72">
        <v>33319</v>
      </c>
      <c r="BY72" s="28"/>
    </row>
    <row r="73" spans="3:77" ht="15" thickBot="1" x14ac:dyDescent="0.35">
      <c r="D73" s="13" t="s">
        <v>42</v>
      </c>
      <c r="E73" s="13" t="s">
        <v>43</v>
      </c>
      <c r="F73" s="26" t="s">
        <v>44</v>
      </c>
      <c r="G73" s="27" t="s">
        <v>45</v>
      </c>
      <c r="H73" s="27" t="s">
        <v>46</v>
      </c>
      <c r="I73" s="27" t="s">
        <v>52</v>
      </c>
      <c r="J73" s="13" t="s">
        <v>43</v>
      </c>
      <c r="K73" s="26" t="s">
        <v>44</v>
      </c>
      <c r="L73" s="27" t="s">
        <v>54</v>
      </c>
      <c r="M73" s="27"/>
      <c r="N73" s="26"/>
      <c r="W73" t="s">
        <v>2</v>
      </c>
      <c r="AH73" s="199" t="s">
        <v>42</v>
      </c>
      <c r="AI73" s="142" t="s">
        <v>43</v>
      </c>
      <c r="AJ73" s="146" t="s">
        <v>44</v>
      </c>
      <c r="AK73" s="143" t="s">
        <v>45</v>
      </c>
      <c r="AL73" s="143" t="s">
        <v>46</v>
      </c>
      <c r="AM73" s="143" t="s">
        <v>52</v>
      </c>
      <c r="AN73" s="143" t="s">
        <v>43</v>
      </c>
      <c r="AO73" s="143" t="s">
        <v>44</v>
      </c>
      <c r="AP73" s="143" t="s">
        <v>54</v>
      </c>
      <c r="AQ73" s="143"/>
      <c r="AR73" s="146"/>
      <c r="AS73" s="28"/>
      <c r="AT73" s="28"/>
      <c r="AU73" s="28"/>
      <c r="BA73" t="s">
        <v>13</v>
      </c>
      <c r="BM73" s="28"/>
      <c r="BN73" t="s">
        <v>236</v>
      </c>
      <c r="BP73">
        <v>58938</v>
      </c>
      <c r="BQ73" s="236" t="s">
        <v>236</v>
      </c>
      <c r="BS73">
        <v>10882</v>
      </c>
      <c r="BT73" t="s">
        <v>236</v>
      </c>
      <c r="BV73">
        <v>15573</v>
      </c>
      <c r="BX73">
        <v>108304</v>
      </c>
      <c r="BY73" s="28"/>
    </row>
    <row r="74" spans="3:77" x14ac:dyDescent="0.3">
      <c r="D74" s="32"/>
      <c r="G74" s="33"/>
      <c r="H74" s="34"/>
      <c r="I74" s="34"/>
      <c r="J74" s="33"/>
      <c r="K74" s="35"/>
      <c r="L74" s="34" t="s">
        <v>58</v>
      </c>
      <c r="M74" s="8"/>
      <c r="N74" s="7"/>
      <c r="U74" t="s">
        <v>13</v>
      </c>
      <c r="AH74" s="195" t="s">
        <v>85</v>
      </c>
      <c r="AI74" s="135">
        <v>21</v>
      </c>
      <c r="AJ74" s="135">
        <v>28</v>
      </c>
      <c r="AK74" s="134"/>
      <c r="AL74" s="135"/>
      <c r="AM74" s="135"/>
      <c r="AN74" s="134"/>
      <c r="AO74" s="136"/>
      <c r="AP74" s="135" t="s">
        <v>58</v>
      </c>
      <c r="AQ74" s="135"/>
      <c r="AR74" s="136"/>
      <c r="AS74" s="28"/>
      <c r="AT74" s="28"/>
      <c r="AU74" s="28"/>
      <c r="BC74" t="s">
        <v>1533</v>
      </c>
      <c r="BG74" s="194" t="s">
        <v>950</v>
      </c>
      <c r="BM74" s="28"/>
      <c r="BY74" s="28"/>
    </row>
    <row r="75" spans="3:77" ht="15" thickBot="1" x14ac:dyDescent="0.35">
      <c r="D75" s="44" t="s">
        <v>64</v>
      </c>
      <c r="E75" s="18">
        <v>22</v>
      </c>
      <c r="F75" s="18">
        <v>20</v>
      </c>
      <c r="G75" s="10">
        <v>0</v>
      </c>
      <c r="H75" s="18">
        <v>0</v>
      </c>
      <c r="I75" s="18">
        <v>0</v>
      </c>
      <c r="J75" s="10">
        <v>0</v>
      </c>
      <c r="K75" s="11">
        <v>0</v>
      </c>
      <c r="L75" s="45">
        <v>1</v>
      </c>
      <c r="M75" s="28" t="s">
        <v>249</v>
      </c>
      <c r="N75" s="11"/>
      <c r="W75" t="s">
        <v>683</v>
      </c>
      <c r="AA75" s="5" t="s">
        <v>16</v>
      </c>
      <c r="AH75" s="196" t="s">
        <v>64</v>
      </c>
      <c r="AI75" s="28">
        <v>87</v>
      </c>
      <c r="AJ75" s="28">
        <v>83</v>
      </c>
      <c r="AK75" s="138">
        <v>0</v>
      </c>
      <c r="AL75" s="28">
        <v>0</v>
      </c>
      <c r="AM75" s="28">
        <v>0</v>
      </c>
      <c r="AN75" s="138">
        <v>0</v>
      </c>
      <c r="AO75" s="141">
        <v>0</v>
      </c>
      <c r="AP75" s="43">
        <v>8</v>
      </c>
      <c r="AQ75" s="28" t="s">
        <v>474</v>
      </c>
      <c r="AR75" s="141" t="s">
        <v>6</v>
      </c>
      <c r="AS75" s="28"/>
      <c r="AT75" s="28"/>
      <c r="AU75" s="28"/>
      <c r="AX75" s="195" t="s">
        <v>17</v>
      </c>
      <c r="AY75" s="134" t="s">
        <v>27</v>
      </c>
      <c r="AZ75" s="136"/>
      <c r="BA75" s="135" t="s">
        <v>28</v>
      </c>
      <c r="BB75" s="135"/>
      <c r="BC75" s="135"/>
      <c r="BD75" s="135" t="s">
        <v>29</v>
      </c>
      <c r="BE75" s="135" t="s">
        <v>30</v>
      </c>
      <c r="BF75" s="135" t="s">
        <v>31</v>
      </c>
      <c r="BG75" s="135"/>
      <c r="BH75" s="136"/>
      <c r="BM75" s="28"/>
      <c r="BY75" s="28"/>
    </row>
    <row r="76" spans="3:77" ht="15" thickBot="1" x14ac:dyDescent="0.35">
      <c r="C76" s="28"/>
      <c r="D76" s="46"/>
      <c r="G76" s="47"/>
      <c r="H76" s="48"/>
      <c r="I76" s="48"/>
      <c r="J76" s="47"/>
      <c r="K76" s="49"/>
      <c r="L76" s="48">
        <v>3</v>
      </c>
      <c r="M76" s="48" t="s">
        <v>69</v>
      </c>
      <c r="N76" s="49">
        <f>SUM(L75:L76)</f>
        <v>4</v>
      </c>
      <c r="R76" s="6" t="s">
        <v>17</v>
      </c>
      <c r="S76" s="6" t="s">
        <v>27</v>
      </c>
      <c r="T76" s="7"/>
      <c r="U76" s="8" t="s">
        <v>28</v>
      </c>
      <c r="V76" s="8"/>
      <c r="W76" s="8"/>
      <c r="X76" s="6" t="s">
        <v>29</v>
      </c>
      <c r="Y76" s="7" t="s">
        <v>30</v>
      </c>
      <c r="Z76" s="8" t="s">
        <v>31</v>
      </c>
      <c r="AA76" s="8"/>
      <c r="AB76" s="7"/>
      <c r="AH76" s="196" t="s">
        <v>108</v>
      </c>
      <c r="AI76">
        <v>29</v>
      </c>
      <c r="AJ76">
        <v>22</v>
      </c>
      <c r="AK76" s="138"/>
      <c r="AL76" s="28"/>
      <c r="AM76" s="28"/>
      <c r="AN76" s="138"/>
      <c r="AO76" s="141"/>
      <c r="AP76" s="28"/>
      <c r="AQ76" s="28"/>
      <c r="AR76" s="141"/>
      <c r="AS76" s="28"/>
      <c r="AT76" s="28"/>
      <c r="AU76" s="28"/>
      <c r="AX76" s="196"/>
      <c r="AY76" s="138"/>
      <c r="AZ76" s="141"/>
      <c r="BA76" s="28"/>
      <c r="BB76" s="28"/>
      <c r="BC76" s="28"/>
      <c r="BD76" s="28"/>
      <c r="BE76" s="28" t="s">
        <v>6</v>
      </c>
      <c r="BF76" s="28" t="s">
        <v>41</v>
      </c>
      <c r="BG76" s="28"/>
      <c r="BH76" s="141"/>
      <c r="BY76" s="28"/>
    </row>
    <row r="77" spans="3:77" x14ac:dyDescent="0.3">
      <c r="C77" s="28"/>
      <c r="D77" s="33"/>
      <c r="E77" s="33"/>
      <c r="F77" s="35"/>
      <c r="G77" s="34"/>
      <c r="H77" s="34"/>
      <c r="I77" s="34"/>
      <c r="J77" s="33"/>
      <c r="K77" s="35"/>
      <c r="L77" s="8" t="s">
        <v>6</v>
      </c>
      <c r="M77" s="34"/>
      <c r="N77" s="35"/>
      <c r="R77" s="10"/>
      <c r="S77" s="10"/>
      <c r="T77" s="11"/>
      <c r="U77" s="3"/>
      <c r="V77" s="3"/>
      <c r="W77" s="3"/>
      <c r="X77" s="10"/>
      <c r="Y77" s="11" t="s">
        <v>6</v>
      </c>
      <c r="Z77" s="3" t="s">
        <v>41</v>
      </c>
      <c r="AA77" s="3"/>
      <c r="AB77" s="11"/>
      <c r="AH77" s="199" t="s">
        <v>84</v>
      </c>
      <c r="AI77" s="143">
        <f>SUM(AI74:AI76)</f>
        <v>137</v>
      </c>
      <c r="AJ77" s="143">
        <f>SUM(AJ74:AJ76)</f>
        <v>133</v>
      </c>
      <c r="AK77" s="142"/>
      <c r="AL77" s="143"/>
      <c r="AM77" s="143"/>
      <c r="AN77" s="142"/>
      <c r="AO77" s="146"/>
      <c r="AP77" s="143">
        <v>19</v>
      </c>
      <c r="AQ77" s="143" t="s">
        <v>69</v>
      </c>
      <c r="AR77" s="146">
        <f>SUM(AP75:AP77)</f>
        <v>27</v>
      </c>
      <c r="AS77" s="28"/>
      <c r="AT77" s="28"/>
      <c r="AU77" s="28"/>
      <c r="AX77" s="199" t="s">
        <v>42</v>
      </c>
      <c r="AY77" s="142" t="s">
        <v>43</v>
      </c>
      <c r="AZ77" s="146" t="s">
        <v>44</v>
      </c>
      <c r="BA77" s="143" t="s">
        <v>45</v>
      </c>
      <c r="BB77" s="143" t="s">
        <v>46</v>
      </c>
      <c r="BC77" s="143" t="s">
        <v>52</v>
      </c>
      <c r="BD77" s="143" t="s">
        <v>43</v>
      </c>
      <c r="BE77" s="143" t="s">
        <v>44</v>
      </c>
      <c r="BF77" s="143" t="s">
        <v>54</v>
      </c>
      <c r="BG77" s="143"/>
      <c r="BH77" s="146"/>
      <c r="BN77" s="28" t="s">
        <v>1340</v>
      </c>
      <c r="BO77" s="28"/>
      <c r="BP77" s="186">
        <v>39</v>
      </c>
      <c r="BQ77" s="28"/>
      <c r="BY77" s="28"/>
    </row>
    <row r="78" spans="3:77" ht="15" thickBot="1" x14ac:dyDescent="0.35">
      <c r="C78" s="28"/>
      <c r="D78" s="47" t="s">
        <v>6</v>
      </c>
      <c r="E78" s="47"/>
      <c r="F78" s="49"/>
      <c r="G78" s="48">
        <v>0</v>
      </c>
      <c r="H78" s="48">
        <v>0</v>
      </c>
      <c r="I78" s="48">
        <v>0</v>
      </c>
      <c r="J78" s="47">
        <v>0</v>
      </c>
      <c r="K78" s="49">
        <v>0</v>
      </c>
      <c r="L78" s="51"/>
      <c r="M78" s="48" t="s">
        <v>6</v>
      </c>
      <c r="N78" s="49">
        <f>SUM(L78)</f>
        <v>0</v>
      </c>
      <c r="R78" s="13" t="s">
        <v>42</v>
      </c>
      <c r="S78" s="13" t="s">
        <v>43</v>
      </c>
      <c r="T78" s="26" t="s">
        <v>44</v>
      </c>
      <c r="U78" s="27" t="s">
        <v>45</v>
      </c>
      <c r="V78" s="27" t="s">
        <v>46</v>
      </c>
      <c r="W78" s="27" t="s">
        <v>52</v>
      </c>
      <c r="X78" s="13" t="s">
        <v>43</v>
      </c>
      <c r="Y78" s="26" t="s">
        <v>44</v>
      </c>
      <c r="Z78" s="27" t="s">
        <v>54</v>
      </c>
      <c r="AA78" s="27"/>
      <c r="AB78" s="26"/>
      <c r="AH78" s="195"/>
      <c r="AI78" s="134"/>
      <c r="AJ78" s="136"/>
      <c r="AK78" s="135"/>
      <c r="AL78" s="135"/>
      <c r="AM78" s="135"/>
      <c r="AN78" s="134"/>
      <c r="AO78" s="136"/>
      <c r="AP78" s="135" t="s">
        <v>82</v>
      </c>
      <c r="AQ78" s="135"/>
      <c r="AR78" s="136"/>
      <c r="AS78" s="28"/>
      <c r="AT78" s="28"/>
      <c r="AU78" s="28"/>
      <c r="AX78" s="195" t="s">
        <v>6</v>
      </c>
      <c r="AY78" s="135"/>
      <c r="AZ78" s="135"/>
      <c r="BA78" s="134"/>
      <c r="BB78" s="135"/>
      <c r="BC78" s="135"/>
      <c r="BD78" s="134"/>
      <c r="BE78" s="136"/>
      <c r="BF78" s="135" t="s">
        <v>58</v>
      </c>
      <c r="BG78" s="135"/>
      <c r="BH78" s="136"/>
      <c r="BN78" s="28" t="s">
        <v>229</v>
      </c>
      <c r="BO78" s="28"/>
      <c r="BP78" s="186">
        <v>2</v>
      </c>
      <c r="BY78" s="28"/>
    </row>
    <row r="79" spans="3:77" x14ac:dyDescent="0.3">
      <c r="C79" s="28"/>
      <c r="D79" s="33"/>
      <c r="E79" s="33"/>
      <c r="F79" s="35"/>
      <c r="G79" s="34"/>
      <c r="H79" s="34"/>
      <c r="I79" s="34"/>
      <c r="J79" s="33"/>
      <c r="K79" s="35"/>
      <c r="L79" s="53" t="s">
        <v>82</v>
      </c>
      <c r="M79" s="34"/>
      <c r="N79" s="35"/>
      <c r="R79" s="32" t="s">
        <v>85</v>
      </c>
      <c r="S79">
        <v>27</v>
      </c>
      <c r="T79">
        <v>22</v>
      </c>
      <c r="U79" s="33"/>
      <c r="V79" s="34"/>
      <c r="W79" s="34"/>
      <c r="X79" s="33"/>
      <c r="Y79" s="35"/>
      <c r="Z79" s="34" t="s">
        <v>58</v>
      </c>
      <c r="AA79" s="8"/>
      <c r="AB79" s="7"/>
      <c r="AH79" s="199" t="s">
        <v>85</v>
      </c>
      <c r="AI79" s="142">
        <v>0</v>
      </c>
      <c r="AJ79" s="146">
        <v>0</v>
      </c>
      <c r="AK79" s="143"/>
      <c r="AL79" s="143">
        <v>0</v>
      </c>
      <c r="AM79" s="143">
        <v>0</v>
      </c>
      <c r="AN79" s="142">
        <v>0</v>
      </c>
      <c r="AO79" s="146">
        <v>0</v>
      </c>
      <c r="AP79" s="143"/>
      <c r="AQ79" s="143" t="s">
        <v>86</v>
      </c>
      <c r="AR79" s="146">
        <f>SUM(AP79)</f>
        <v>0</v>
      </c>
      <c r="AS79" s="28"/>
      <c r="AT79" s="28"/>
      <c r="AU79" s="28"/>
      <c r="AX79" s="196" t="s">
        <v>64</v>
      </c>
      <c r="AY79" s="28">
        <f>75+33</f>
        <v>108</v>
      </c>
      <c r="AZ79" s="28">
        <v>120</v>
      </c>
      <c r="BA79" s="138">
        <v>0</v>
      </c>
      <c r="BB79" s="28">
        <v>0</v>
      </c>
      <c r="BC79" s="28">
        <v>0</v>
      </c>
      <c r="BD79" s="138">
        <v>0</v>
      </c>
      <c r="BE79" s="141">
        <v>0</v>
      </c>
      <c r="BF79" s="43">
        <v>18</v>
      </c>
      <c r="BG79" s="28" t="s">
        <v>474</v>
      </c>
      <c r="BH79" s="141" t="s">
        <v>6</v>
      </c>
      <c r="BN79" t="s">
        <v>232</v>
      </c>
      <c r="BP79" s="178" t="s">
        <v>233</v>
      </c>
      <c r="BR79">
        <v>1681</v>
      </c>
      <c r="BT79" t="s">
        <v>234</v>
      </c>
      <c r="BV79" t="s">
        <v>233</v>
      </c>
      <c r="BX79">
        <v>5925</v>
      </c>
      <c r="BY79" s="28"/>
    </row>
    <row r="80" spans="3:77" ht="15" thickBot="1" x14ac:dyDescent="0.35">
      <c r="C80" s="28"/>
      <c r="D80" s="47" t="s">
        <v>85</v>
      </c>
      <c r="E80" s="47">
        <v>7</v>
      </c>
      <c r="F80" s="49">
        <v>7</v>
      </c>
      <c r="G80" s="48">
        <v>0</v>
      </c>
      <c r="H80" s="48">
        <v>0</v>
      </c>
      <c r="I80" s="48">
        <v>0</v>
      </c>
      <c r="J80" s="47">
        <v>0</v>
      </c>
      <c r="K80" s="49">
        <v>0</v>
      </c>
      <c r="L80" s="51">
        <v>3</v>
      </c>
      <c r="M80" s="48" t="s">
        <v>86</v>
      </c>
      <c r="N80" s="49">
        <f>SUM(L80)</f>
        <v>3</v>
      </c>
      <c r="R80" s="44" t="s">
        <v>64</v>
      </c>
      <c r="S80" s="18">
        <v>90</v>
      </c>
      <c r="T80" s="18">
        <v>96</v>
      </c>
      <c r="U80" s="10">
        <v>0</v>
      </c>
      <c r="V80" s="18">
        <v>0</v>
      </c>
      <c r="W80" s="18">
        <v>0</v>
      </c>
      <c r="X80" s="10">
        <v>0</v>
      </c>
      <c r="Y80" s="11">
        <v>0</v>
      </c>
      <c r="Z80" s="45">
        <v>11</v>
      </c>
      <c r="AA80" s="28" t="s">
        <v>474</v>
      </c>
      <c r="AB80" s="11" t="s">
        <v>6</v>
      </c>
      <c r="AH80" s="195" t="s">
        <v>107</v>
      </c>
      <c r="AI80" s="134">
        <v>0</v>
      </c>
      <c r="AJ80" s="136">
        <v>0</v>
      </c>
      <c r="AK80" s="135"/>
      <c r="AL80" s="135"/>
      <c r="AM80" s="135"/>
      <c r="AN80" s="134"/>
      <c r="AO80" s="136"/>
      <c r="AP80" s="135"/>
      <c r="AQ80" s="135" t="s">
        <v>92</v>
      </c>
      <c r="AR80" s="136"/>
      <c r="AS80" s="28"/>
      <c r="AT80" s="28"/>
      <c r="AU80" s="28"/>
      <c r="AX80" s="196" t="s">
        <v>108</v>
      </c>
      <c r="AY80">
        <v>20</v>
      </c>
      <c r="AZ80">
        <v>16</v>
      </c>
      <c r="BA80" s="138">
        <v>0</v>
      </c>
      <c r="BB80" s="28">
        <v>0</v>
      </c>
      <c r="BC80" s="28">
        <v>0</v>
      </c>
      <c r="BD80" s="138">
        <v>0</v>
      </c>
      <c r="BE80" s="141">
        <v>0</v>
      </c>
      <c r="BF80" s="43">
        <v>1</v>
      </c>
      <c r="BG80" s="28" t="s">
        <v>1045</v>
      </c>
      <c r="BH80" s="141"/>
      <c r="BP80" t="s">
        <v>236</v>
      </c>
      <c r="BR80">
        <v>1777</v>
      </c>
      <c r="BV80" t="s">
        <v>236</v>
      </c>
      <c r="BX80">
        <v>11821</v>
      </c>
      <c r="BY80" s="28"/>
    </row>
    <row r="81" spans="1:77" ht="15" thickBot="1" x14ac:dyDescent="0.35">
      <c r="C81" s="28"/>
      <c r="D81" s="50"/>
      <c r="E81" s="31"/>
      <c r="F81" s="31"/>
      <c r="G81" s="29"/>
      <c r="H81" s="31"/>
      <c r="I81" s="30"/>
      <c r="J81" s="55"/>
      <c r="K81" s="8"/>
      <c r="L81" s="29"/>
      <c r="M81" s="34" t="s">
        <v>92</v>
      </c>
      <c r="N81" s="35"/>
      <c r="Q81" s="28"/>
      <c r="R81" s="46" t="s">
        <v>84</v>
      </c>
      <c r="S81">
        <f>SUM(S79:S80)</f>
        <v>117</v>
      </c>
      <c r="T81">
        <f>SUM(T79:T80)</f>
        <v>118</v>
      </c>
      <c r="U81" s="47"/>
      <c r="V81" s="48"/>
      <c r="W81" s="48"/>
      <c r="X81" s="47"/>
      <c r="Y81" s="49"/>
      <c r="Z81" s="48"/>
      <c r="AA81" s="48" t="s">
        <v>69</v>
      </c>
      <c r="AB81" s="49">
        <f>SUM(Z80:Z81)</f>
        <v>11</v>
      </c>
      <c r="AH81" s="196" t="s">
        <v>99</v>
      </c>
      <c r="AI81" s="138">
        <v>0</v>
      </c>
      <c r="AJ81" s="141">
        <v>0</v>
      </c>
      <c r="AK81" s="28">
        <v>0</v>
      </c>
      <c r="AL81" s="28">
        <v>0</v>
      </c>
      <c r="AM81" s="28">
        <v>0</v>
      </c>
      <c r="AN81" s="138">
        <v>56171</v>
      </c>
      <c r="AO81" s="141">
        <v>14544</v>
      </c>
      <c r="AP81" s="43">
        <v>27</v>
      </c>
      <c r="AQ81" s="28" t="s">
        <v>100</v>
      </c>
      <c r="AR81" s="141"/>
      <c r="AS81" s="28"/>
      <c r="AT81" s="28"/>
      <c r="AU81" s="28"/>
      <c r="AX81" s="199" t="s">
        <v>84</v>
      </c>
      <c r="AY81" s="143">
        <f>SUM(AY78:AY80)</f>
        <v>128</v>
      </c>
      <c r="AZ81" s="143">
        <f>SUM(AZ78:AZ80)</f>
        <v>136</v>
      </c>
      <c r="BA81" s="138">
        <v>0</v>
      </c>
      <c r="BB81" s="28">
        <v>0</v>
      </c>
      <c r="BC81" s="28">
        <v>0</v>
      </c>
      <c r="BD81" s="138">
        <v>0</v>
      </c>
      <c r="BE81" s="141">
        <v>0</v>
      </c>
      <c r="BF81" s="143"/>
      <c r="BG81" s="143" t="s">
        <v>69</v>
      </c>
      <c r="BH81" s="146">
        <f>SUM(BF79:BF81)</f>
        <v>19</v>
      </c>
      <c r="BN81" t="s">
        <v>238</v>
      </c>
      <c r="BO81" t="s">
        <v>239</v>
      </c>
      <c r="BQ81" t="s">
        <v>240</v>
      </c>
      <c r="BR81" t="s">
        <v>241</v>
      </c>
      <c r="BU81" t="s">
        <v>242</v>
      </c>
      <c r="BV81" s="131" t="s">
        <v>243</v>
      </c>
      <c r="BY81" s="28"/>
    </row>
    <row r="82" spans="1:77" x14ac:dyDescent="0.3">
      <c r="C82" s="28"/>
      <c r="D82" s="41" t="s">
        <v>99</v>
      </c>
      <c r="E82" s="45">
        <v>0</v>
      </c>
      <c r="F82" s="45">
        <v>0</v>
      </c>
      <c r="G82" s="42">
        <v>0</v>
      </c>
      <c r="H82" s="45">
        <v>0</v>
      </c>
      <c r="I82" s="40">
        <v>0</v>
      </c>
      <c r="J82" s="45">
        <v>41681</v>
      </c>
      <c r="K82" s="56">
        <v>12498</v>
      </c>
      <c r="L82" s="52">
        <v>24</v>
      </c>
      <c r="M82" s="37" t="s">
        <v>100</v>
      </c>
      <c r="N82" s="40"/>
      <c r="Q82" s="28"/>
      <c r="R82" s="33"/>
      <c r="S82" s="33"/>
      <c r="T82" s="35"/>
      <c r="U82" s="34"/>
      <c r="V82" s="34"/>
      <c r="W82" s="34"/>
      <c r="X82" s="33"/>
      <c r="Y82" s="35"/>
      <c r="Z82" s="53" t="s">
        <v>82</v>
      </c>
      <c r="AA82" s="34"/>
      <c r="AB82" s="35"/>
      <c r="AH82" s="199" t="s">
        <v>84</v>
      </c>
      <c r="AI82" s="142">
        <f>SUM(AI80:AI81)</f>
        <v>0</v>
      </c>
      <c r="AJ82" s="146">
        <f>SUM(AJ80:AJ81)</f>
        <v>0</v>
      </c>
      <c r="AK82" s="143"/>
      <c r="AL82" s="143"/>
      <c r="AM82" s="143"/>
      <c r="AN82" s="142"/>
      <c r="AO82" s="146"/>
      <c r="AP82" s="143">
        <v>0</v>
      </c>
      <c r="AQ82" s="143" t="s">
        <v>506</v>
      </c>
      <c r="AR82" s="146">
        <f>SUM(AP81:AP82)</f>
        <v>27</v>
      </c>
      <c r="AS82" s="28"/>
      <c r="AT82" s="28"/>
      <c r="AU82" s="28"/>
      <c r="AX82" s="195" t="s">
        <v>6</v>
      </c>
      <c r="AY82" s="134" t="s">
        <v>6</v>
      </c>
      <c r="AZ82" s="136"/>
      <c r="BA82" s="135"/>
      <c r="BB82" s="135">
        <v>0</v>
      </c>
      <c r="BC82" s="135"/>
      <c r="BD82" s="134"/>
      <c r="BE82" s="136"/>
      <c r="BF82" s="135" t="s">
        <v>1092</v>
      </c>
      <c r="BG82" s="135"/>
      <c r="BH82" s="136"/>
      <c r="BN82" t="s">
        <v>233</v>
      </c>
      <c r="BP82">
        <v>49366</v>
      </c>
      <c r="BQ82" s="236" t="s">
        <v>233</v>
      </c>
      <c r="BS82">
        <v>4588</v>
      </c>
      <c r="BT82" t="s">
        <v>233</v>
      </c>
      <c r="BV82">
        <v>17746</v>
      </c>
      <c r="BW82" t="s">
        <v>245</v>
      </c>
      <c r="BX82">
        <v>32935</v>
      </c>
      <c r="BY82" s="28"/>
    </row>
    <row r="83" spans="1:77" ht="15" thickBot="1" x14ac:dyDescent="0.35">
      <c r="C83" s="28"/>
      <c r="D83" s="17" t="s">
        <v>84</v>
      </c>
      <c r="E83" s="18">
        <f>SUM(E81:E82)</f>
        <v>0</v>
      </c>
      <c r="F83" s="18">
        <f>SUM(F81:F82)</f>
        <v>0</v>
      </c>
      <c r="G83" s="13"/>
      <c r="H83" s="27"/>
      <c r="I83" s="26"/>
      <c r="J83" s="58"/>
      <c r="K83" s="27"/>
      <c r="L83" s="59"/>
      <c r="M83" s="48" t="s">
        <v>6</v>
      </c>
      <c r="N83" s="60">
        <f>SUM(L82:L83)</f>
        <v>24</v>
      </c>
      <c r="Q83" s="28"/>
      <c r="R83" s="47" t="s">
        <v>85</v>
      </c>
      <c r="S83" s="47">
        <v>0</v>
      </c>
      <c r="T83" s="49">
        <v>0</v>
      </c>
      <c r="U83" s="48"/>
      <c r="V83" s="48">
        <v>0</v>
      </c>
      <c r="W83" s="48">
        <v>0</v>
      </c>
      <c r="X83" s="47">
        <v>0</v>
      </c>
      <c r="Y83" s="49">
        <v>0</v>
      </c>
      <c r="Z83" s="51"/>
      <c r="AA83" s="48" t="s">
        <v>86</v>
      </c>
      <c r="AB83" s="49">
        <f>SUM(Z83)</f>
        <v>0</v>
      </c>
      <c r="AE83" s="28" t="s">
        <v>91</v>
      </c>
      <c r="AF83">
        <v>2016</v>
      </c>
      <c r="AG83">
        <v>2</v>
      </c>
      <c r="AH83" s="196"/>
      <c r="AI83" s="138"/>
      <c r="AJ83" s="141"/>
      <c r="AN83" s="138"/>
      <c r="AO83" s="141"/>
      <c r="AP83" s="134"/>
      <c r="AQ83" s="135"/>
      <c r="AR83" s="136"/>
      <c r="AS83" s="28"/>
      <c r="AT83" s="28"/>
      <c r="AU83" s="135" t="s">
        <v>1092</v>
      </c>
      <c r="AV83">
        <v>2017</v>
      </c>
      <c r="AW83">
        <v>2</v>
      </c>
      <c r="AX83" s="199" t="s">
        <v>108</v>
      </c>
      <c r="AY83" s="142">
        <v>511</v>
      </c>
      <c r="AZ83" s="146">
        <v>584</v>
      </c>
      <c r="BA83" s="143"/>
      <c r="BB83" s="143">
        <v>0</v>
      </c>
      <c r="BC83" s="143">
        <v>0</v>
      </c>
      <c r="BD83" s="142">
        <v>0</v>
      </c>
      <c r="BE83" s="146">
        <v>0</v>
      </c>
      <c r="BF83" s="143">
        <v>16</v>
      </c>
      <c r="BG83" s="143" t="s">
        <v>780</v>
      </c>
      <c r="BH83" s="146">
        <f>SUM(BF83)</f>
        <v>16</v>
      </c>
      <c r="BN83" t="s">
        <v>236</v>
      </c>
      <c r="BP83">
        <v>58938</v>
      </c>
      <c r="BQ83" s="236" t="s">
        <v>236</v>
      </c>
      <c r="BS83">
        <v>10601</v>
      </c>
      <c r="BT83" t="s">
        <v>236</v>
      </c>
      <c r="BV83">
        <v>15189</v>
      </c>
      <c r="BX83">
        <v>108304</v>
      </c>
    </row>
    <row r="84" spans="1:77" ht="15" thickBot="1" x14ac:dyDescent="0.35">
      <c r="C84" s="28" t="s">
        <v>6</v>
      </c>
      <c r="D84" s="32" t="s">
        <v>6</v>
      </c>
      <c r="E84" s="63"/>
      <c r="F84" s="64"/>
      <c r="G84" s="33"/>
      <c r="H84" s="8"/>
      <c r="I84" s="35"/>
      <c r="J84" s="65"/>
      <c r="K84" s="66"/>
      <c r="L84" s="29"/>
      <c r="M84" s="31" t="s">
        <v>57</v>
      </c>
      <c r="N84" s="35"/>
      <c r="Q84" s="28"/>
      <c r="R84" s="50" t="s">
        <v>107</v>
      </c>
      <c r="S84" s="31">
        <v>75</v>
      </c>
      <c r="T84" s="31">
        <v>71</v>
      </c>
      <c r="U84" s="29"/>
      <c r="V84" s="31"/>
      <c r="W84" s="30"/>
      <c r="X84" s="55"/>
      <c r="Y84" s="8"/>
      <c r="Z84" s="29"/>
      <c r="AA84" s="34" t="s">
        <v>92</v>
      </c>
      <c r="AB84" s="35"/>
      <c r="AE84" s="28" t="s">
        <v>91</v>
      </c>
      <c r="AF84">
        <v>2016</v>
      </c>
      <c r="AG84">
        <v>2</v>
      </c>
      <c r="AH84" s="196" t="s">
        <v>89</v>
      </c>
      <c r="AI84" s="138">
        <v>437</v>
      </c>
      <c r="AJ84" s="141">
        <v>403</v>
      </c>
      <c r="AN84" s="138"/>
      <c r="AO84" s="141"/>
      <c r="AP84" s="138"/>
      <c r="AQ84" s="28" t="s">
        <v>91</v>
      </c>
      <c r="AR84" s="141"/>
      <c r="AS84" s="28"/>
      <c r="AT84" s="28"/>
      <c r="AU84" s="28"/>
      <c r="AX84" s="195" t="s">
        <v>107</v>
      </c>
      <c r="AY84" s="134">
        <v>0</v>
      </c>
      <c r="AZ84" s="136">
        <v>0</v>
      </c>
      <c r="BA84" s="135"/>
      <c r="BB84" s="135"/>
      <c r="BC84" s="135"/>
      <c r="BD84" s="134"/>
      <c r="BE84" s="136"/>
      <c r="BF84" s="135"/>
      <c r="BG84" s="135" t="s">
        <v>92</v>
      </c>
      <c r="BH84" s="136"/>
    </row>
    <row r="85" spans="1:77" ht="15" thickBot="1" x14ac:dyDescent="0.35">
      <c r="A85" s="31" t="s">
        <v>57</v>
      </c>
      <c r="B85">
        <v>2014</v>
      </c>
      <c r="C85" s="28">
        <v>2</v>
      </c>
      <c r="D85" s="68" t="s">
        <v>107</v>
      </c>
      <c r="E85">
        <v>5</v>
      </c>
      <c r="F85">
        <v>48</v>
      </c>
      <c r="G85" s="42"/>
      <c r="H85" s="28"/>
      <c r="I85" s="40"/>
      <c r="J85" s="42"/>
      <c r="K85" s="40"/>
      <c r="L85" s="42"/>
      <c r="M85" s="28"/>
      <c r="N85" s="40"/>
      <c r="Q85" s="28"/>
      <c r="R85" s="41" t="s">
        <v>99</v>
      </c>
      <c r="S85" s="45">
        <v>0</v>
      </c>
      <c r="T85" s="45">
        <v>0</v>
      </c>
      <c r="U85" s="42">
        <v>0</v>
      </c>
      <c r="V85" s="45">
        <v>0</v>
      </c>
      <c r="W85" s="40">
        <v>0</v>
      </c>
      <c r="X85" s="45">
        <v>43510</v>
      </c>
      <c r="Y85" s="56">
        <f>9314+1136</f>
        <v>10450</v>
      </c>
      <c r="Z85" s="52">
        <v>25</v>
      </c>
      <c r="AA85" s="37" t="s">
        <v>100</v>
      </c>
      <c r="AB85" s="40"/>
      <c r="AE85" s="28" t="s">
        <v>91</v>
      </c>
      <c r="AF85">
        <v>2016</v>
      </c>
      <c r="AG85">
        <v>2</v>
      </c>
      <c r="AH85" s="196" t="s">
        <v>137</v>
      </c>
      <c r="AI85" s="138">
        <v>5</v>
      </c>
      <c r="AJ85" s="141">
        <v>12</v>
      </c>
      <c r="AN85" s="138"/>
      <c r="AO85" s="141"/>
      <c r="AP85" s="138"/>
      <c r="AQ85" s="28"/>
      <c r="AR85" s="141"/>
      <c r="AS85" s="28"/>
      <c r="AT85" s="28"/>
      <c r="AU85" s="28"/>
      <c r="AX85" s="196" t="s">
        <v>99</v>
      </c>
      <c r="AY85" s="138">
        <v>0</v>
      </c>
      <c r="AZ85" s="141">
        <v>0</v>
      </c>
      <c r="BA85" s="28">
        <v>0</v>
      </c>
      <c r="BB85" s="28">
        <v>0</v>
      </c>
      <c r="BC85" s="28">
        <v>0</v>
      </c>
      <c r="BD85" s="138">
        <v>64543</v>
      </c>
      <c r="BE85" s="141">
        <v>16353</v>
      </c>
      <c r="BF85" s="43">
        <v>22</v>
      </c>
      <c r="BG85" s="28" t="s">
        <v>100</v>
      </c>
      <c r="BH85" s="141"/>
    </row>
    <row r="86" spans="1:77" ht="15" thickBot="1" x14ac:dyDescent="0.35">
      <c r="A86" s="31" t="s">
        <v>57</v>
      </c>
      <c r="B86">
        <v>2014</v>
      </c>
      <c r="C86" s="28">
        <v>2</v>
      </c>
      <c r="D86" s="41" t="s">
        <v>113</v>
      </c>
      <c r="E86" s="70">
        <v>560</v>
      </c>
      <c r="F86" s="71">
        <v>587</v>
      </c>
      <c r="G86" s="42"/>
      <c r="H86" s="28"/>
      <c r="I86" s="40"/>
      <c r="J86" s="42"/>
      <c r="K86" s="40"/>
      <c r="L86" s="42"/>
      <c r="M86" s="43" t="s">
        <v>6</v>
      </c>
      <c r="N86" s="40"/>
      <c r="Q86" s="28"/>
      <c r="R86" s="17" t="s">
        <v>84</v>
      </c>
      <c r="S86" s="18">
        <f>SUM(S84:S85)</f>
        <v>75</v>
      </c>
      <c r="T86" s="18">
        <f>SUM(T84:T85)</f>
        <v>71</v>
      </c>
      <c r="U86" s="13"/>
      <c r="V86" s="27"/>
      <c r="W86" s="26"/>
      <c r="X86" s="58"/>
      <c r="Y86" s="27"/>
      <c r="Z86" s="59"/>
      <c r="AA86" s="48" t="s">
        <v>506</v>
      </c>
      <c r="AB86" s="60">
        <f>SUM(Z85:Z86)</f>
        <v>25</v>
      </c>
      <c r="AE86" s="28" t="s">
        <v>91</v>
      </c>
      <c r="AF86">
        <v>2016</v>
      </c>
      <c r="AG86">
        <v>2</v>
      </c>
      <c r="AH86" s="196" t="s">
        <v>113</v>
      </c>
      <c r="AI86" s="138">
        <v>862</v>
      </c>
      <c r="AJ86" s="141">
        <v>908</v>
      </c>
      <c r="AN86" s="138"/>
      <c r="AO86" s="141"/>
      <c r="AP86" s="138">
        <v>111</v>
      </c>
      <c r="AQ86" s="28" t="s">
        <v>73</v>
      </c>
      <c r="AR86" s="141"/>
      <c r="AS86" s="28"/>
      <c r="AT86" s="28"/>
      <c r="AU86" s="28"/>
      <c r="AX86" s="199" t="s">
        <v>84</v>
      </c>
      <c r="AY86" s="138">
        <f>SUM(AY84:AY85)</f>
        <v>0</v>
      </c>
      <c r="AZ86" s="141">
        <f>SUM(AZ84:AZ85)</f>
        <v>0</v>
      </c>
      <c r="BA86" s="143"/>
      <c r="BB86" s="143"/>
      <c r="BC86" s="143"/>
      <c r="BD86" s="142"/>
      <c r="BE86" s="146"/>
      <c r="BF86" s="143">
        <v>0</v>
      </c>
      <c r="BG86" s="143" t="s">
        <v>506</v>
      </c>
      <c r="BH86" s="146">
        <f>SUM(BF85:BF86)</f>
        <v>22</v>
      </c>
      <c r="BY86">
        <v>141623</v>
      </c>
    </row>
    <row r="87" spans="1:77" ht="15" thickBot="1" x14ac:dyDescent="0.35">
      <c r="A87" s="31" t="s">
        <v>57</v>
      </c>
      <c r="B87">
        <v>2014</v>
      </c>
      <c r="C87" s="28">
        <v>2</v>
      </c>
      <c r="D87" s="68" t="s">
        <v>84</v>
      </c>
      <c r="E87">
        <f>SUM(E84:E86)</f>
        <v>565</v>
      </c>
      <c r="F87">
        <f>SUM(F84:F86)</f>
        <v>635</v>
      </c>
      <c r="G87" s="47">
        <v>0</v>
      </c>
      <c r="H87" s="27">
        <v>0</v>
      </c>
      <c r="I87" s="49">
        <v>0</v>
      </c>
      <c r="J87" s="75">
        <v>0</v>
      </c>
      <c r="K87" s="49">
        <v>0</v>
      </c>
      <c r="L87" s="47">
        <v>43</v>
      </c>
      <c r="M87" s="51" t="s">
        <v>73</v>
      </c>
      <c r="N87" s="49">
        <f>SUM(L85:L87)</f>
        <v>43</v>
      </c>
      <c r="Q87" s="28"/>
      <c r="R87" s="32" t="s">
        <v>107</v>
      </c>
      <c r="S87" s="63">
        <v>0</v>
      </c>
      <c r="T87" s="64">
        <v>0</v>
      </c>
      <c r="U87" s="33"/>
      <c r="V87" s="8"/>
      <c r="W87" s="35"/>
      <c r="X87" s="65"/>
      <c r="Y87" s="66"/>
      <c r="Z87" s="29"/>
      <c r="AA87" s="31" t="s">
        <v>57</v>
      </c>
      <c r="AB87" s="35"/>
      <c r="AE87" s="28" t="s">
        <v>91</v>
      </c>
      <c r="AF87">
        <v>2016</v>
      </c>
      <c r="AG87">
        <v>2</v>
      </c>
      <c r="AH87" s="196" t="s">
        <v>84</v>
      </c>
      <c r="AI87" s="138">
        <f>SUM(AI84:AI86)</f>
        <v>1304</v>
      </c>
      <c r="AJ87" s="141">
        <f>SUM(AJ84:AJ86)</f>
        <v>1323</v>
      </c>
      <c r="AK87">
        <v>0</v>
      </c>
      <c r="AL87">
        <v>0</v>
      </c>
      <c r="AM87">
        <v>0</v>
      </c>
      <c r="AN87" s="138">
        <v>0</v>
      </c>
      <c r="AO87" s="141">
        <v>0</v>
      </c>
      <c r="AP87" s="142"/>
      <c r="AQ87" s="143"/>
      <c r="AR87" s="146">
        <f>SUM(AP86)</f>
        <v>111</v>
      </c>
      <c r="AS87" s="28"/>
      <c r="AT87" s="28"/>
      <c r="AU87" s="135" t="s">
        <v>91</v>
      </c>
      <c r="AV87">
        <v>2017</v>
      </c>
      <c r="AW87">
        <v>2</v>
      </c>
      <c r="AX87" s="138" t="s">
        <v>89</v>
      </c>
      <c r="AY87" s="134">
        <v>671</v>
      </c>
      <c r="AZ87" s="136">
        <v>821</v>
      </c>
      <c r="BD87" s="134"/>
      <c r="BE87" s="135"/>
      <c r="BF87" s="134"/>
      <c r="BG87" s="135" t="s">
        <v>91</v>
      </c>
      <c r="BH87" s="136"/>
    </row>
    <row r="88" spans="1:77" ht="15" thickBot="1" x14ac:dyDescent="0.35">
      <c r="A88" s="31"/>
      <c r="B88">
        <v>2014</v>
      </c>
      <c r="C88" s="28">
        <v>2</v>
      </c>
      <c r="D88" s="33" t="s">
        <v>64</v>
      </c>
      <c r="E88" s="78">
        <v>0</v>
      </c>
      <c r="F88" s="79">
        <v>0</v>
      </c>
      <c r="G88" s="34"/>
      <c r="H88" s="8"/>
      <c r="I88" s="35"/>
      <c r="J88" s="80"/>
      <c r="K88" s="34"/>
      <c r="L88" s="33"/>
      <c r="M88" s="34" t="s">
        <v>91</v>
      </c>
      <c r="N88" s="35"/>
      <c r="Q88" s="28"/>
      <c r="R88" s="41" t="s">
        <v>657</v>
      </c>
      <c r="S88" s="70">
        <v>0</v>
      </c>
      <c r="T88" s="71">
        <v>0</v>
      </c>
      <c r="U88" s="42"/>
      <c r="V88" s="28"/>
      <c r="W88" s="40"/>
      <c r="X88" s="42"/>
      <c r="Y88" s="40"/>
      <c r="Z88" s="42"/>
      <c r="AA88" s="54" t="s">
        <v>530</v>
      </c>
      <c r="AB88" s="40"/>
      <c r="AH88" s="134"/>
      <c r="AI88" s="134"/>
      <c r="AJ88" s="136"/>
      <c r="AK88" s="135"/>
      <c r="AL88" s="135"/>
      <c r="AM88" s="135"/>
      <c r="AN88" s="134"/>
      <c r="AO88" s="136"/>
      <c r="AP88" s="135"/>
      <c r="AQ88" s="135"/>
      <c r="AR88" s="136"/>
      <c r="AS88" s="28"/>
      <c r="AT88" s="28"/>
      <c r="AU88" s="135" t="s">
        <v>91</v>
      </c>
      <c r="AV88">
        <v>2017</v>
      </c>
      <c r="AW88">
        <v>2</v>
      </c>
      <c r="AX88" s="138" t="s">
        <v>137</v>
      </c>
      <c r="AY88" s="138">
        <v>351</v>
      </c>
      <c r="AZ88" s="141">
        <v>324</v>
      </c>
      <c r="BD88" s="138"/>
      <c r="BE88" s="28"/>
      <c r="BF88" s="212">
        <v>15</v>
      </c>
      <c r="BG88" s="43" t="s">
        <v>101</v>
      </c>
      <c r="BH88" s="141"/>
    </row>
    <row r="89" spans="1:77" ht="15" thickBot="1" x14ac:dyDescent="0.35">
      <c r="A89" s="34" t="s">
        <v>91</v>
      </c>
      <c r="B89">
        <v>2014</v>
      </c>
      <c r="C89" s="28">
        <v>2</v>
      </c>
      <c r="D89" s="52" t="s">
        <v>85</v>
      </c>
      <c r="E89" s="42">
        <v>8</v>
      </c>
      <c r="F89" s="40">
        <v>18</v>
      </c>
      <c r="G89" s="28"/>
      <c r="H89" s="28"/>
      <c r="I89" s="40"/>
      <c r="L89" s="42"/>
      <c r="M89" s="28"/>
      <c r="N89" s="40"/>
      <c r="Q89" s="28" t="s">
        <v>6</v>
      </c>
      <c r="R89" s="68" t="s">
        <v>84</v>
      </c>
      <c r="S89">
        <f>SUM(S87:S88)</f>
        <v>0</v>
      </c>
      <c r="T89">
        <f>SUM(T87:T88)</f>
        <v>0</v>
      </c>
      <c r="U89" s="47">
        <v>0</v>
      </c>
      <c r="V89" s="27">
        <v>0</v>
      </c>
      <c r="W89" s="49">
        <v>0</v>
      </c>
      <c r="X89" s="75">
        <v>0</v>
      </c>
      <c r="Y89" s="49">
        <v>0</v>
      </c>
      <c r="Z89" s="47"/>
      <c r="AA89" s="51" t="s">
        <v>73</v>
      </c>
      <c r="AB89" s="49">
        <f>SUM(Z88:Z89)</f>
        <v>0</v>
      </c>
      <c r="AE89" s="28"/>
      <c r="AH89" s="138" t="s">
        <v>113</v>
      </c>
      <c r="AI89" s="138">
        <v>0</v>
      </c>
      <c r="AJ89" s="141">
        <v>0</v>
      </c>
      <c r="AK89" s="28"/>
      <c r="AL89" s="28"/>
      <c r="AM89" s="28"/>
      <c r="AN89" s="138"/>
      <c r="AO89" s="141"/>
      <c r="AP89" s="28"/>
      <c r="AQ89" s="28"/>
      <c r="AR89" s="141"/>
      <c r="AS89" s="28"/>
      <c r="AT89" s="28"/>
      <c r="AU89" s="135" t="s">
        <v>91</v>
      </c>
      <c r="AV89">
        <v>2017</v>
      </c>
      <c r="AW89">
        <v>2</v>
      </c>
      <c r="AX89" s="138" t="s">
        <v>113</v>
      </c>
      <c r="AY89" s="138">
        <v>607</v>
      </c>
      <c r="AZ89" s="141">
        <v>692</v>
      </c>
      <c r="BD89" s="138"/>
      <c r="BE89" s="28"/>
      <c r="BF89" s="212">
        <v>53</v>
      </c>
      <c r="BG89" s="28" t="s">
        <v>73</v>
      </c>
      <c r="BH89" s="141"/>
    </row>
    <row r="90" spans="1:77" ht="15" thickBot="1" x14ac:dyDescent="0.35">
      <c r="A90" s="34" t="s">
        <v>91</v>
      </c>
      <c r="B90">
        <v>2014</v>
      </c>
      <c r="C90" s="28">
        <v>2</v>
      </c>
      <c r="D90" s="67" t="s">
        <v>113</v>
      </c>
      <c r="E90" s="42">
        <v>327</v>
      </c>
      <c r="F90" s="40">
        <v>356</v>
      </c>
      <c r="G90" s="28"/>
      <c r="H90" s="28"/>
      <c r="I90" s="40"/>
      <c r="J90" s="28"/>
      <c r="K90" s="28"/>
      <c r="L90" s="67">
        <v>34</v>
      </c>
      <c r="M90" s="43" t="s">
        <v>73</v>
      </c>
      <c r="N90" s="40"/>
      <c r="O90" s="34" t="s">
        <v>91</v>
      </c>
      <c r="P90">
        <v>2015</v>
      </c>
      <c r="Q90" s="28">
        <v>2</v>
      </c>
      <c r="R90" s="33" t="s">
        <v>89</v>
      </c>
      <c r="S90" s="78">
        <v>177</v>
      </c>
      <c r="T90" s="79">
        <v>208</v>
      </c>
      <c r="U90" s="34"/>
      <c r="V90" s="8"/>
      <c r="W90" s="35"/>
      <c r="X90" s="80"/>
      <c r="Y90" s="34"/>
      <c r="Z90" s="33"/>
      <c r="AA90" s="34" t="s">
        <v>91</v>
      </c>
      <c r="AB90" s="35"/>
      <c r="AH90" s="138" t="s">
        <v>475</v>
      </c>
      <c r="AI90" s="138">
        <v>0</v>
      </c>
      <c r="AJ90" s="141">
        <v>0</v>
      </c>
      <c r="AK90" s="28"/>
      <c r="AL90" s="28"/>
      <c r="AM90" s="28"/>
      <c r="AN90" s="138"/>
      <c r="AO90" s="141"/>
      <c r="AP90" s="28"/>
      <c r="AQ90" s="28"/>
      <c r="AR90" s="141"/>
      <c r="AS90" s="28"/>
      <c r="AT90" s="28"/>
      <c r="AU90" s="135" t="s">
        <v>91</v>
      </c>
      <c r="AV90">
        <v>2017</v>
      </c>
      <c r="AW90">
        <v>2</v>
      </c>
      <c r="AX90" s="212" t="s">
        <v>97</v>
      </c>
      <c r="AY90" s="212">
        <v>109</v>
      </c>
      <c r="AZ90" s="209">
        <v>120</v>
      </c>
      <c r="BD90" s="138"/>
      <c r="BE90" s="28"/>
      <c r="BF90" s="138">
        <v>1</v>
      </c>
      <c r="BG90" s="43" t="s">
        <v>433</v>
      </c>
      <c r="BH90" s="141"/>
      <c r="BR90" t="s">
        <v>5</v>
      </c>
      <c r="BU90" s="28"/>
      <c r="BV90" s="28"/>
      <c r="BW90" s="28"/>
      <c r="BX90" s="28"/>
      <c r="BY90" s="28"/>
    </row>
    <row r="91" spans="1:77" ht="15" thickBot="1" x14ac:dyDescent="0.35">
      <c r="A91" s="34" t="s">
        <v>91</v>
      </c>
      <c r="B91">
        <v>2014</v>
      </c>
      <c r="C91" s="28">
        <v>2</v>
      </c>
      <c r="D91" s="47" t="s">
        <v>84</v>
      </c>
      <c r="E91" s="47">
        <f>SUM(E88:E90)</f>
        <v>335</v>
      </c>
      <c r="F91" s="49">
        <f>SUM(F88:F90)</f>
        <v>374</v>
      </c>
      <c r="G91" s="81">
        <v>0</v>
      </c>
      <c r="H91" s="27">
        <v>0</v>
      </c>
      <c r="I91" s="82">
        <v>0</v>
      </c>
      <c r="J91" s="74">
        <v>0</v>
      </c>
      <c r="K91" s="74">
        <v>0</v>
      </c>
      <c r="L91" s="47"/>
      <c r="M91" s="51"/>
      <c r="N91" s="49">
        <f>SUM(L90)</f>
        <v>34</v>
      </c>
      <c r="O91" s="34" t="s">
        <v>91</v>
      </c>
      <c r="P91">
        <v>2015</v>
      </c>
      <c r="Q91" s="28">
        <v>2</v>
      </c>
      <c r="R91" s="52" t="s">
        <v>108</v>
      </c>
      <c r="S91" s="42">
        <v>0</v>
      </c>
      <c r="T91" s="40">
        <v>0</v>
      </c>
      <c r="U91" s="28"/>
      <c r="V91" s="28"/>
      <c r="W91" s="40"/>
      <c r="Z91" s="42"/>
      <c r="AA91" s="28"/>
      <c r="AB91" s="40"/>
      <c r="AH91" s="142" t="s">
        <v>84</v>
      </c>
      <c r="AI91" s="142">
        <f>SUM(AI89:AI90)</f>
        <v>0</v>
      </c>
      <c r="AJ91" s="146">
        <f>SUM(AJ89:AJ90)</f>
        <v>0</v>
      </c>
      <c r="AK91" s="143">
        <v>0</v>
      </c>
      <c r="AL91" s="143">
        <v>0</v>
      </c>
      <c r="AM91" s="143">
        <v>0</v>
      </c>
      <c r="AN91" s="142">
        <v>0</v>
      </c>
      <c r="AO91" s="146">
        <v>0</v>
      </c>
      <c r="AP91" s="143"/>
      <c r="AQ91" s="143"/>
      <c r="AR91" s="146">
        <f>SUM(AP90)</f>
        <v>0</v>
      </c>
      <c r="AS91" s="28"/>
      <c r="AT91" s="28"/>
      <c r="AU91" s="28"/>
      <c r="AW91" t="s">
        <v>6</v>
      </c>
      <c r="AX91" s="212" t="s">
        <v>250</v>
      </c>
      <c r="AY91" s="212">
        <v>18</v>
      </c>
      <c r="AZ91" s="209">
        <v>0</v>
      </c>
      <c r="BD91" s="138"/>
      <c r="BE91" s="28"/>
      <c r="BF91" s="138">
        <v>1</v>
      </c>
      <c r="BG91" s="43" t="s">
        <v>145</v>
      </c>
      <c r="BH91" s="28"/>
      <c r="BI91" s="138"/>
      <c r="BS91" t="s">
        <v>2</v>
      </c>
      <c r="BU91" s="28"/>
      <c r="BV91" s="28"/>
      <c r="BW91" s="28"/>
      <c r="BX91" s="28"/>
      <c r="BY91" s="28"/>
    </row>
    <row r="92" spans="1:77" ht="15" thickBot="1" x14ac:dyDescent="0.35">
      <c r="A92" s="34" t="s">
        <v>130</v>
      </c>
      <c r="B92">
        <v>2014</v>
      </c>
      <c r="C92" s="28">
        <v>2</v>
      </c>
      <c r="D92" s="52" t="s">
        <v>113</v>
      </c>
      <c r="E92" s="42">
        <v>541</v>
      </c>
      <c r="F92" s="85">
        <v>491</v>
      </c>
      <c r="G92" s="37"/>
      <c r="H92" s="18"/>
      <c r="I92" s="54"/>
      <c r="J92" s="52"/>
      <c r="K92" s="40"/>
      <c r="L92" s="67"/>
      <c r="M92" s="34" t="s">
        <v>130</v>
      </c>
      <c r="N92" s="40"/>
      <c r="O92" s="34" t="s">
        <v>91</v>
      </c>
      <c r="P92">
        <v>2015</v>
      </c>
      <c r="Q92" s="28">
        <v>2</v>
      </c>
      <c r="R92" s="67" t="s">
        <v>113</v>
      </c>
      <c r="S92" s="42">
        <v>554</v>
      </c>
      <c r="T92" s="40">
        <v>583</v>
      </c>
      <c r="U92" s="28"/>
      <c r="V92" s="28"/>
      <c r="W92" s="40"/>
      <c r="X92" s="28"/>
      <c r="Y92" s="28"/>
      <c r="Z92" s="67">
        <v>56</v>
      </c>
      <c r="AA92" s="43" t="s">
        <v>73</v>
      </c>
      <c r="AB92" s="40"/>
      <c r="AH92" s="196" t="s">
        <v>102</v>
      </c>
      <c r="AI92" s="138">
        <v>0</v>
      </c>
      <c r="AJ92" s="141">
        <v>2</v>
      </c>
      <c r="AK92" s="134"/>
      <c r="AL92" s="135"/>
      <c r="AM92" s="136"/>
      <c r="AN92" s="138"/>
      <c r="AO92" s="141"/>
      <c r="AP92" s="134" t="s">
        <v>140</v>
      </c>
      <c r="AQ92" s="135"/>
      <c r="AR92" s="136"/>
      <c r="AS92" s="28"/>
      <c r="AT92" s="28"/>
      <c r="AU92" s="28"/>
      <c r="AX92" s="138" t="s">
        <v>84</v>
      </c>
      <c r="AY92" s="138">
        <f>SUM(AY87:AY91)</f>
        <v>1756</v>
      </c>
      <c r="AZ92" s="141">
        <f>SUM(AZ87:AZ91)</f>
        <v>1957</v>
      </c>
      <c r="BA92">
        <v>0</v>
      </c>
      <c r="BB92">
        <v>0</v>
      </c>
      <c r="BC92">
        <v>0</v>
      </c>
      <c r="BD92" s="142">
        <v>0</v>
      </c>
      <c r="BE92" s="143">
        <v>0</v>
      </c>
      <c r="BF92" s="142"/>
      <c r="BG92" s="143" t="s">
        <v>780</v>
      </c>
      <c r="BH92" s="146">
        <f>SUM(BF88:BF92)</f>
        <v>70</v>
      </c>
      <c r="BQ92" t="s">
        <v>13</v>
      </c>
      <c r="BU92" s="28"/>
      <c r="BV92" s="28"/>
      <c r="BW92" s="28"/>
      <c r="BX92" s="28"/>
      <c r="BY92" s="28"/>
    </row>
    <row r="93" spans="1:77" ht="15" thickBot="1" x14ac:dyDescent="0.35">
      <c r="A93" s="34" t="s">
        <v>130</v>
      </c>
      <c r="B93">
        <v>2014</v>
      </c>
      <c r="C93" s="28">
        <v>2</v>
      </c>
      <c r="D93" s="42" t="s">
        <v>133</v>
      </c>
      <c r="E93" s="67">
        <v>0</v>
      </c>
      <c r="F93" s="85">
        <v>0</v>
      </c>
      <c r="G93" s="28"/>
      <c r="H93" s="18"/>
      <c r="I93" s="28"/>
      <c r="J93" s="52"/>
      <c r="K93" s="86"/>
      <c r="L93" s="52">
        <v>43</v>
      </c>
      <c r="M93" s="43" t="s">
        <v>73</v>
      </c>
      <c r="N93" s="40"/>
      <c r="Q93" s="43">
        <v>2</v>
      </c>
      <c r="R93" s="47" t="s">
        <v>84</v>
      </c>
      <c r="S93" s="47">
        <f>SUM(S90:S92)</f>
        <v>731</v>
      </c>
      <c r="T93" s="49">
        <f>SUM(T90:T92)</f>
        <v>791</v>
      </c>
      <c r="U93" s="81">
        <v>0</v>
      </c>
      <c r="V93" s="27">
        <v>0</v>
      </c>
      <c r="W93" s="82">
        <f>+W90</f>
        <v>0</v>
      </c>
      <c r="X93" s="74">
        <v>0</v>
      </c>
      <c r="Y93" s="74">
        <v>0</v>
      </c>
      <c r="Z93" s="47"/>
      <c r="AA93" s="51"/>
      <c r="AB93" s="49">
        <f>SUM(Z92)</f>
        <v>56</v>
      </c>
      <c r="AH93" s="196" t="s">
        <v>158</v>
      </c>
      <c r="AI93" s="138">
        <v>0</v>
      </c>
      <c r="AJ93" s="141">
        <v>2</v>
      </c>
      <c r="AK93" s="138"/>
      <c r="AL93" s="28"/>
      <c r="AM93" s="141"/>
      <c r="AN93" s="138"/>
      <c r="AO93" s="141"/>
      <c r="AP93" s="138"/>
      <c r="AQ93" s="28"/>
      <c r="AR93" s="141"/>
      <c r="AS93" s="28"/>
      <c r="AT93" s="28"/>
      <c r="AU93" s="28"/>
      <c r="AX93" s="134"/>
      <c r="AY93" s="134"/>
      <c r="AZ93" s="136"/>
      <c r="BA93" s="135"/>
      <c r="BB93" s="135"/>
      <c r="BC93" s="135"/>
      <c r="BD93" s="134"/>
      <c r="BE93" s="136"/>
      <c r="BF93" s="135" t="s">
        <v>1025</v>
      </c>
      <c r="BG93" s="135"/>
      <c r="BH93" s="136"/>
      <c r="BR93" s="409" t="s">
        <v>1341</v>
      </c>
      <c r="BS93" s="409"/>
      <c r="BT93" s="409"/>
      <c r="BU93" s="28"/>
      <c r="BV93" s="28"/>
      <c r="BW93" s="238" t="s">
        <v>950</v>
      </c>
      <c r="BX93" s="28"/>
    </row>
    <row r="94" spans="1:77" ht="15" thickBot="1" x14ac:dyDescent="0.35">
      <c r="A94" s="34" t="s">
        <v>130</v>
      </c>
      <c r="B94">
        <v>2014</v>
      </c>
      <c r="C94" s="28">
        <v>2</v>
      </c>
      <c r="D94" s="59" t="s">
        <v>84</v>
      </c>
      <c r="E94" s="13">
        <f>SUM(E92:E93)</f>
        <v>541</v>
      </c>
      <c r="F94" s="60">
        <f>SUM(F92:F93)</f>
        <v>491</v>
      </c>
      <c r="G94" s="81">
        <v>0</v>
      </c>
      <c r="H94" s="27">
        <v>0</v>
      </c>
      <c r="I94" s="27">
        <v>0</v>
      </c>
      <c r="J94" s="13">
        <v>0</v>
      </c>
      <c r="K94" s="26">
        <v>0</v>
      </c>
      <c r="L94" s="13"/>
      <c r="M94" s="43"/>
      <c r="N94" s="26">
        <f>SUM(L92:L93)</f>
        <v>43</v>
      </c>
      <c r="O94" s="34" t="s">
        <v>130</v>
      </c>
      <c r="P94">
        <v>2015</v>
      </c>
      <c r="Q94" s="43">
        <v>2</v>
      </c>
      <c r="R94" s="52" t="s">
        <v>113</v>
      </c>
      <c r="S94" s="42">
        <v>603</v>
      </c>
      <c r="T94" s="85">
        <v>602</v>
      </c>
      <c r="U94" s="37"/>
      <c r="V94" s="18"/>
      <c r="W94" s="54"/>
      <c r="X94" s="52"/>
      <c r="Y94" s="40"/>
      <c r="Z94" s="67"/>
      <c r="AA94" s="34" t="s">
        <v>130</v>
      </c>
      <c r="AB94" s="40"/>
      <c r="AH94" s="196" t="s">
        <v>133</v>
      </c>
      <c r="AI94" s="138">
        <v>10</v>
      </c>
      <c r="AJ94" s="141">
        <v>7</v>
      </c>
      <c r="AK94" s="138"/>
      <c r="AL94" s="28"/>
      <c r="AM94" s="141"/>
      <c r="AN94" s="138"/>
      <c r="AO94" s="141"/>
      <c r="AP94" s="138"/>
      <c r="AQ94" s="28"/>
      <c r="AR94" s="141"/>
      <c r="AS94" s="28"/>
      <c r="AT94" s="28"/>
      <c r="AU94" s="28"/>
      <c r="AX94" s="142" t="s">
        <v>64</v>
      </c>
      <c r="AY94" s="142">
        <v>52</v>
      </c>
      <c r="AZ94" s="146">
        <v>45</v>
      </c>
      <c r="BA94" s="143">
        <v>0</v>
      </c>
      <c r="BB94" s="143">
        <v>0</v>
      </c>
      <c r="BC94" s="143">
        <v>0</v>
      </c>
      <c r="BD94" s="142">
        <v>0</v>
      </c>
      <c r="BE94" s="146">
        <v>0</v>
      </c>
      <c r="BF94" s="143">
        <v>7</v>
      </c>
      <c r="BG94" s="143" t="s">
        <v>1026</v>
      </c>
      <c r="BH94" s="146">
        <f>SUM(BF94)</f>
        <v>7</v>
      </c>
      <c r="BI94" t="s">
        <v>6</v>
      </c>
      <c r="BN94" s="195" t="s">
        <v>17</v>
      </c>
      <c r="BO94" s="134" t="s">
        <v>27</v>
      </c>
      <c r="BP94" s="135"/>
      <c r="BQ94" s="134" t="s">
        <v>28</v>
      </c>
      <c r="BR94" s="135"/>
      <c r="BS94" s="136"/>
      <c r="BT94" s="134" t="s">
        <v>1289</v>
      </c>
      <c r="BU94" s="136"/>
      <c r="BV94" s="135" t="s">
        <v>31</v>
      </c>
      <c r="BW94" s="135"/>
      <c r="BX94" s="136"/>
    </row>
    <row r="95" spans="1:77" x14ac:dyDescent="0.3">
      <c r="A95" s="34"/>
      <c r="C95" s="28"/>
      <c r="D95" s="88" t="s">
        <v>139</v>
      </c>
      <c r="E95" s="33">
        <v>12</v>
      </c>
      <c r="F95" s="35">
        <v>13</v>
      </c>
      <c r="G95" s="89"/>
      <c r="H95" s="89"/>
      <c r="I95" s="80"/>
      <c r="J95" s="6"/>
      <c r="K95" s="35"/>
      <c r="L95" s="33" t="s">
        <v>140</v>
      </c>
      <c r="M95" s="34"/>
      <c r="N95" s="35"/>
      <c r="Q95" s="28"/>
      <c r="R95" s="42" t="s">
        <v>475</v>
      </c>
      <c r="S95" s="67">
        <v>0</v>
      </c>
      <c r="T95" s="85">
        <v>0</v>
      </c>
      <c r="U95" s="28"/>
      <c r="V95" s="18"/>
      <c r="W95" s="28"/>
      <c r="X95" s="52"/>
      <c r="Y95" s="86"/>
      <c r="Z95" s="52">
        <v>48</v>
      </c>
      <c r="AA95" s="43" t="s">
        <v>73</v>
      </c>
      <c r="AB95" s="40"/>
      <c r="AC95" t="s">
        <v>6</v>
      </c>
      <c r="AH95" s="196" t="s">
        <v>113</v>
      </c>
      <c r="AI95" s="138">
        <v>81</v>
      </c>
      <c r="AJ95" s="141">
        <v>79</v>
      </c>
      <c r="AK95" s="138"/>
      <c r="AL95" s="28"/>
      <c r="AM95" s="141"/>
      <c r="AN95" s="138"/>
      <c r="AO95" s="141"/>
      <c r="AP95" s="138" t="s">
        <v>142</v>
      </c>
      <c r="AQ95" s="28"/>
      <c r="AR95" s="141" t="s">
        <v>954</v>
      </c>
      <c r="AS95" s="28"/>
      <c r="AT95" s="28"/>
      <c r="AU95" s="28" t="s">
        <v>994</v>
      </c>
      <c r="AV95">
        <v>2017</v>
      </c>
      <c r="AX95" s="138" t="s">
        <v>113</v>
      </c>
      <c r="AY95" s="138">
        <v>438</v>
      </c>
      <c r="AZ95" s="141">
        <v>440</v>
      </c>
      <c r="BA95" s="28"/>
      <c r="BB95" s="28"/>
      <c r="BC95" s="28"/>
      <c r="BD95" s="138"/>
      <c r="BE95" s="141"/>
      <c r="BF95" s="28" t="s">
        <v>994</v>
      </c>
      <c r="BG95" s="28"/>
      <c r="BH95" s="141"/>
      <c r="BN95" s="196"/>
      <c r="BO95" s="138"/>
      <c r="BP95" s="28"/>
      <c r="BQ95" s="138"/>
      <c r="BR95" s="28"/>
      <c r="BS95" s="141"/>
      <c r="BT95" s="138"/>
      <c r="BU95" s="141"/>
      <c r="BV95" s="28" t="s">
        <v>41</v>
      </c>
      <c r="BW95" s="28"/>
      <c r="BX95" s="141"/>
    </row>
    <row r="96" spans="1:77" ht="15" thickBot="1" x14ac:dyDescent="0.35">
      <c r="C96" s="28"/>
      <c r="D96" s="92" t="s">
        <v>113</v>
      </c>
      <c r="E96" s="67">
        <f>26+1+3+5+10+48</f>
        <v>93</v>
      </c>
      <c r="F96" s="56">
        <f>30+1+6+2+15+45</f>
        <v>99</v>
      </c>
      <c r="G96" s="54"/>
      <c r="H96" s="54"/>
      <c r="I96" s="45"/>
      <c r="J96" s="10"/>
      <c r="K96" s="40"/>
      <c r="L96" s="10" t="s">
        <v>142</v>
      </c>
      <c r="M96" s="18"/>
      <c r="N96" s="39" t="s">
        <v>251</v>
      </c>
      <c r="Q96" s="28"/>
      <c r="R96" s="59" t="s">
        <v>84</v>
      </c>
      <c r="S96" s="13">
        <f>SUM(S94:S95)</f>
        <v>603</v>
      </c>
      <c r="T96" s="60">
        <f>SUM(T94:T95)</f>
        <v>602</v>
      </c>
      <c r="U96" s="81">
        <v>0</v>
      </c>
      <c r="V96" s="27">
        <v>0</v>
      </c>
      <c r="W96" s="27">
        <v>0</v>
      </c>
      <c r="X96" s="13">
        <v>0</v>
      </c>
      <c r="Y96" s="26">
        <v>0</v>
      </c>
      <c r="Z96" s="13"/>
      <c r="AA96" s="43"/>
      <c r="AB96" s="26">
        <f>SUM(Z94:Z95)</f>
        <v>48</v>
      </c>
      <c r="AH96" s="196" t="s">
        <v>214</v>
      </c>
      <c r="AI96" s="138">
        <v>0</v>
      </c>
      <c r="AJ96" s="141">
        <v>8</v>
      </c>
      <c r="AK96" s="138"/>
      <c r="AL96" s="28"/>
      <c r="AM96" s="141"/>
      <c r="AN96" s="138"/>
      <c r="AO96" s="141"/>
      <c r="AP96" s="138" t="s">
        <v>146</v>
      </c>
      <c r="AQ96" s="28"/>
      <c r="AR96" s="141" t="s">
        <v>975</v>
      </c>
      <c r="AS96" s="28"/>
      <c r="AT96" s="28"/>
      <c r="AU96" s="28"/>
      <c r="AX96" s="138" t="s">
        <v>93</v>
      </c>
      <c r="AY96" s="138">
        <v>0</v>
      </c>
      <c r="AZ96" s="141">
        <v>0</v>
      </c>
      <c r="BA96" s="28"/>
      <c r="BB96" s="28"/>
      <c r="BC96" s="28"/>
      <c r="BD96" s="138"/>
      <c r="BE96" s="141"/>
      <c r="BF96" s="28">
        <v>17</v>
      </c>
      <c r="BG96" s="28" t="s">
        <v>100</v>
      </c>
      <c r="BH96" s="141"/>
      <c r="BN96" s="199" t="s">
        <v>42</v>
      </c>
      <c r="BO96" s="142" t="s">
        <v>43</v>
      </c>
      <c r="BP96" s="143" t="s">
        <v>44</v>
      </c>
      <c r="BQ96" s="142" t="s">
        <v>45</v>
      </c>
      <c r="BR96" s="143" t="s">
        <v>46</v>
      </c>
      <c r="BS96" s="146" t="s">
        <v>52</v>
      </c>
      <c r="BT96" s="142" t="s">
        <v>43</v>
      </c>
      <c r="BU96" s="146"/>
      <c r="BV96" s="143" t="s">
        <v>54</v>
      </c>
      <c r="BW96" s="143"/>
      <c r="BX96" s="146"/>
      <c r="BY96">
        <v>141239</v>
      </c>
    </row>
    <row r="97" spans="3:77" x14ac:dyDescent="0.3">
      <c r="C97" s="28" t="s">
        <v>6</v>
      </c>
      <c r="D97" s="92" t="s">
        <v>252</v>
      </c>
      <c r="E97" s="67">
        <v>13</v>
      </c>
      <c r="F97" s="56">
        <v>13</v>
      </c>
      <c r="G97" s="54"/>
      <c r="H97" s="54"/>
      <c r="I97" s="45"/>
      <c r="J97" s="10"/>
      <c r="K97" s="40"/>
      <c r="L97" s="93" t="s">
        <v>146</v>
      </c>
      <c r="M97" s="28"/>
      <c r="N97" s="94" t="s">
        <v>253</v>
      </c>
      <c r="Q97" s="28"/>
      <c r="R97" s="88" t="s">
        <v>164</v>
      </c>
      <c r="S97" s="33">
        <v>1</v>
      </c>
      <c r="T97" s="34">
        <v>2</v>
      </c>
      <c r="U97" s="152"/>
      <c r="V97" s="89"/>
      <c r="W97" s="66"/>
      <c r="X97" s="8"/>
      <c r="Y97" s="35"/>
      <c r="Z97" s="34" t="s">
        <v>140</v>
      </c>
      <c r="AA97" s="34"/>
      <c r="AB97" s="35"/>
      <c r="AG97" t="s">
        <v>6</v>
      </c>
      <c r="AH97" s="196" t="s">
        <v>200</v>
      </c>
      <c r="AI97" s="138">
        <v>5</v>
      </c>
      <c r="AJ97" s="141">
        <v>0</v>
      </c>
      <c r="AK97" s="138"/>
      <c r="AL97" s="28"/>
      <c r="AM97" s="141"/>
      <c r="AN97" s="138"/>
      <c r="AO97" s="141"/>
      <c r="AP97" s="138"/>
      <c r="AQ97" s="28"/>
      <c r="AR97" s="141"/>
      <c r="AS97" s="28"/>
      <c r="AT97" s="28"/>
      <c r="AU97" s="28"/>
      <c r="AX97" s="142" t="s">
        <v>84</v>
      </c>
      <c r="AY97" s="142">
        <f>SUM(AY95:AY96)</f>
        <v>438</v>
      </c>
      <c r="AZ97" s="146">
        <f>SUM(AZ95:AZ96)</f>
        <v>440</v>
      </c>
      <c r="BA97" s="143">
        <v>0</v>
      </c>
      <c r="BB97" s="143">
        <v>0</v>
      </c>
      <c r="BC97" s="143">
        <v>0</v>
      </c>
      <c r="BD97" s="142">
        <v>0</v>
      </c>
      <c r="BE97" s="146">
        <v>0</v>
      </c>
      <c r="BF97" s="43">
        <v>23</v>
      </c>
      <c r="BG97" s="43" t="s">
        <v>73</v>
      </c>
      <c r="BH97" s="146">
        <f>SUM(BF96:BF97)</f>
        <v>40</v>
      </c>
      <c r="BN97" s="195"/>
      <c r="BO97" s="134"/>
      <c r="BP97" s="136"/>
      <c r="BQ97" s="134">
        <v>0</v>
      </c>
      <c r="BR97" s="135">
        <v>0</v>
      </c>
      <c r="BS97" s="136">
        <v>0</v>
      </c>
      <c r="BT97" s="134">
        <v>0</v>
      </c>
      <c r="BU97" s="136">
        <v>0</v>
      </c>
      <c r="BV97" s="134" t="s">
        <v>58</v>
      </c>
      <c r="BW97" s="135"/>
      <c r="BX97" s="136"/>
    </row>
    <row r="98" spans="3:77" x14ac:dyDescent="0.3">
      <c r="C98" s="28"/>
      <c r="D98" s="52" t="s">
        <v>133</v>
      </c>
      <c r="E98" s="67">
        <f>7+45+11</f>
        <v>63</v>
      </c>
      <c r="F98" s="56">
        <f>7+35+2+3</f>
        <v>47</v>
      </c>
      <c r="G98" s="54" t="s">
        <v>150</v>
      </c>
      <c r="H98" s="54"/>
      <c r="I98" s="45"/>
      <c r="J98" s="10"/>
      <c r="K98" s="40"/>
      <c r="L98" s="42" t="s">
        <v>151</v>
      </c>
      <c r="M98" s="28"/>
      <c r="N98" s="96"/>
      <c r="Q98" s="28"/>
      <c r="R98" s="42" t="s">
        <v>658</v>
      </c>
      <c r="S98" s="42">
        <v>20</v>
      </c>
      <c r="T98" s="43">
        <f>13+6</f>
        <v>19</v>
      </c>
      <c r="U98" s="42"/>
      <c r="V98" s="28"/>
      <c r="W98" s="40"/>
      <c r="X98" s="28"/>
      <c r="Y98" s="40"/>
      <c r="Z98" s="28"/>
      <c r="AA98" s="28"/>
      <c r="AB98" s="40"/>
      <c r="AH98" s="196" t="s">
        <v>976</v>
      </c>
      <c r="AI98" s="138">
        <v>0</v>
      </c>
      <c r="AJ98" s="141">
        <v>5</v>
      </c>
      <c r="AK98" s="138" t="s">
        <v>150</v>
      </c>
      <c r="AL98" s="28"/>
      <c r="AM98" s="141"/>
      <c r="AN98" s="138"/>
      <c r="AO98" s="141"/>
      <c r="AP98" s="138" t="s">
        <v>151</v>
      </c>
      <c r="AQ98" s="28"/>
      <c r="AR98" s="141"/>
      <c r="AS98" s="28"/>
      <c r="AT98" s="28"/>
      <c r="AU98" s="28"/>
      <c r="AX98" s="196" t="s">
        <v>214</v>
      </c>
      <c r="AY98" s="138">
        <v>1</v>
      </c>
      <c r="AZ98" s="141">
        <v>0</v>
      </c>
      <c r="BA98" s="134"/>
      <c r="BB98" s="135"/>
      <c r="BC98" s="136"/>
      <c r="BD98" s="138"/>
      <c r="BE98" s="141"/>
      <c r="BF98" s="134" t="s">
        <v>140</v>
      </c>
      <c r="BG98" s="135"/>
      <c r="BH98" s="136"/>
      <c r="BN98" s="196" t="s">
        <v>56</v>
      </c>
      <c r="BO98" s="138">
        <v>26</v>
      </c>
      <c r="BP98" s="141">
        <v>0</v>
      </c>
      <c r="BQ98" s="138">
        <v>0</v>
      </c>
      <c r="BR98" s="43">
        <v>0</v>
      </c>
      <c r="BS98" s="209">
        <v>0</v>
      </c>
      <c r="BT98" s="138">
        <v>0</v>
      </c>
      <c r="BU98" s="141">
        <v>0</v>
      </c>
      <c r="BV98" s="212">
        <v>5</v>
      </c>
      <c r="BW98" s="28" t="s">
        <v>65</v>
      </c>
      <c r="BX98" s="141" t="s">
        <v>1342</v>
      </c>
    </row>
    <row r="99" spans="3:77" x14ac:dyDescent="0.3">
      <c r="C99" s="28"/>
      <c r="D99" s="52" t="s">
        <v>85</v>
      </c>
      <c r="E99" s="42">
        <v>10</v>
      </c>
      <c r="F99" s="56">
        <v>0</v>
      </c>
      <c r="G99" s="28"/>
      <c r="H99" s="54"/>
      <c r="I99" s="28"/>
      <c r="J99" s="84"/>
      <c r="K99" s="56"/>
      <c r="L99" s="42" t="s">
        <v>254</v>
      </c>
      <c r="M99" s="28" t="s">
        <v>255</v>
      </c>
      <c r="N99" s="40" t="s">
        <v>256</v>
      </c>
      <c r="Q99" s="28"/>
      <c r="R99" s="153" t="s">
        <v>108</v>
      </c>
      <c r="S99" s="42">
        <v>3</v>
      </c>
      <c r="T99" s="43">
        <v>3</v>
      </c>
      <c r="U99" s="42"/>
      <c r="V99" s="28"/>
      <c r="W99" s="40"/>
      <c r="X99" s="28"/>
      <c r="Y99" s="40"/>
      <c r="Z99" s="28"/>
      <c r="AA99" s="28"/>
      <c r="AB99" s="40"/>
      <c r="AH99" s="196" t="s">
        <v>977</v>
      </c>
      <c r="AI99" s="138">
        <v>1</v>
      </c>
      <c r="AJ99" s="141">
        <v>0</v>
      </c>
      <c r="AK99" s="138"/>
      <c r="AL99" s="28"/>
      <c r="AM99" s="141"/>
      <c r="AN99" s="138"/>
      <c r="AO99" s="141"/>
      <c r="AP99" s="138" t="s">
        <v>621</v>
      </c>
      <c r="AQ99" s="28" t="s">
        <v>451</v>
      </c>
      <c r="AR99" s="141" t="s">
        <v>865</v>
      </c>
      <c r="AS99" s="28"/>
      <c r="AT99" s="28"/>
      <c r="AU99" s="28"/>
      <c r="AX99" s="196" t="s">
        <v>1255</v>
      </c>
      <c r="AY99" s="138">
        <v>2</v>
      </c>
      <c r="AZ99" s="141">
        <v>2</v>
      </c>
      <c r="BA99" s="138"/>
      <c r="BB99" s="28"/>
      <c r="BC99" s="141"/>
      <c r="BD99" s="138"/>
      <c r="BE99" s="141"/>
      <c r="BF99" s="138"/>
      <c r="BG99" s="28"/>
      <c r="BH99" s="141"/>
      <c r="BN99" s="196" t="s">
        <v>64</v>
      </c>
      <c r="BO99" s="138">
        <v>59</v>
      </c>
      <c r="BP99" s="141">
        <v>98</v>
      </c>
      <c r="BQ99" s="138">
        <v>0</v>
      </c>
      <c r="BR99" s="43">
        <v>0</v>
      </c>
      <c r="BS99" s="209">
        <v>0</v>
      </c>
      <c r="BT99" s="138">
        <v>0</v>
      </c>
      <c r="BU99" s="141">
        <v>0</v>
      </c>
      <c r="BV99" s="138">
        <v>4</v>
      </c>
      <c r="BW99" s="28" t="s">
        <v>69</v>
      </c>
      <c r="BX99" s="141"/>
    </row>
    <row r="100" spans="3:77" ht="15.6" x14ac:dyDescent="0.3">
      <c r="C100" s="28"/>
      <c r="D100" s="36" t="s">
        <v>158</v>
      </c>
      <c r="E100" s="36">
        <v>6</v>
      </c>
      <c r="F100" s="39">
        <v>2</v>
      </c>
      <c r="G100" s="18"/>
      <c r="H100" s="18"/>
      <c r="I100" s="18"/>
      <c r="J100" s="10"/>
      <c r="K100" s="11"/>
      <c r="L100" s="98" t="s">
        <v>257</v>
      </c>
      <c r="M100" s="28" t="s">
        <v>258</v>
      </c>
      <c r="N100" s="99" t="s">
        <v>259</v>
      </c>
      <c r="Q100" s="28"/>
      <c r="R100" s="92" t="s">
        <v>113</v>
      </c>
      <c r="S100" s="67">
        <f>3+1+58+8+3+2</f>
        <v>75</v>
      </c>
      <c r="T100" s="43">
        <f>17+33+10+1+3</f>
        <v>64</v>
      </c>
      <c r="U100" s="52"/>
      <c r="V100" s="54"/>
      <c r="W100" s="85"/>
      <c r="X100" s="18"/>
      <c r="Y100" s="40"/>
      <c r="Z100" s="18" t="s">
        <v>142</v>
      </c>
      <c r="AA100" s="18"/>
      <c r="AB100" s="39" t="s">
        <v>251</v>
      </c>
      <c r="AH100" s="196" t="s">
        <v>358</v>
      </c>
      <c r="AI100" s="138">
        <v>17</v>
      </c>
      <c r="AJ100" s="141">
        <v>9</v>
      </c>
      <c r="AK100" s="138"/>
      <c r="AL100" s="28"/>
      <c r="AM100" s="141"/>
      <c r="AN100" s="138"/>
      <c r="AO100" s="141"/>
      <c r="AP100" s="138" t="s">
        <v>625</v>
      </c>
      <c r="AQ100" s="28" t="s">
        <v>366</v>
      </c>
      <c r="AR100" s="141"/>
      <c r="AS100" s="28"/>
      <c r="AT100" s="28"/>
      <c r="AU100" s="28"/>
      <c r="AX100" s="196" t="s">
        <v>211</v>
      </c>
      <c r="AY100" s="138">
        <v>8</v>
      </c>
      <c r="AZ100" s="141">
        <v>0</v>
      </c>
      <c r="BA100" s="138"/>
      <c r="BB100" s="28"/>
      <c r="BC100" s="141"/>
      <c r="BD100" s="138"/>
      <c r="BE100" s="141"/>
      <c r="BF100" s="138"/>
      <c r="BG100" s="28"/>
      <c r="BH100" s="141"/>
      <c r="BN100" s="239" t="s">
        <v>84</v>
      </c>
      <c r="BO100" s="142">
        <f>SUM(BO98:BO99)</f>
        <v>85</v>
      </c>
      <c r="BP100" s="146">
        <v>98</v>
      </c>
      <c r="BQ100" s="142">
        <v>0</v>
      </c>
      <c r="BR100" s="143">
        <v>0</v>
      </c>
      <c r="BS100" s="146">
        <v>0</v>
      </c>
      <c r="BT100" s="142">
        <v>0</v>
      </c>
      <c r="BU100" s="146">
        <v>0</v>
      </c>
      <c r="BV100" s="142"/>
      <c r="BW100" s="143"/>
      <c r="BX100" s="146">
        <v>12</v>
      </c>
    </row>
    <row r="101" spans="3:77" ht="15.6" x14ac:dyDescent="0.3">
      <c r="C101" s="28"/>
      <c r="D101" s="92" t="s">
        <v>164</v>
      </c>
      <c r="E101" s="42">
        <v>5</v>
      </c>
      <c r="F101" s="40">
        <v>0</v>
      </c>
      <c r="G101" s="18"/>
      <c r="H101" s="18"/>
      <c r="I101" s="18"/>
      <c r="J101" s="10"/>
      <c r="K101" s="11"/>
      <c r="L101" s="98" t="s">
        <v>260</v>
      </c>
      <c r="M101" s="100" t="s">
        <v>261</v>
      </c>
      <c r="N101" s="39" t="s">
        <v>262</v>
      </c>
      <c r="Q101" s="28"/>
      <c r="R101" s="42" t="s">
        <v>250</v>
      </c>
      <c r="S101" s="67">
        <v>0</v>
      </c>
      <c r="T101" s="43">
        <f>1+2</f>
        <v>3</v>
      </c>
      <c r="U101" s="52"/>
      <c r="V101" s="54"/>
      <c r="W101" s="85"/>
      <c r="X101" s="18"/>
      <c r="Y101" s="40"/>
      <c r="Z101" s="154" t="s">
        <v>146</v>
      </c>
      <c r="AA101" s="28"/>
      <c r="AB101" s="94" t="s">
        <v>591</v>
      </c>
      <c r="AH101" s="196" t="s">
        <v>107</v>
      </c>
      <c r="AI101" s="138">
        <v>4</v>
      </c>
      <c r="AJ101" s="141">
        <v>8</v>
      </c>
      <c r="AK101" s="138"/>
      <c r="AL101" s="28"/>
      <c r="AM101" s="141"/>
      <c r="AN101" s="138"/>
      <c r="AO101" s="141"/>
      <c r="AP101" s="138" t="s">
        <v>180</v>
      </c>
      <c r="AQ101" s="28" t="s">
        <v>978</v>
      </c>
      <c r="AR101" s="141" t="s">
        <v>254</v>
      </c>
      <c r="AS101" s="28"/>
      <c r="AT101" s="28"/>
      <c r="AU101" s="28"/>
      <c r="AW101" t="s">
        <v>6</v>
      </c>
      <c r="AX101" s="196" t="s">
        <v>113</v>
      </c>
      <c r="AY101" s="138">
        <f>1+22</f>
        <v>23</v>
      </c>
      <c r="AZ101" s="141">
        <f>16+1+1</f>
        <v>18</v>
      </c>
      <c r="BA101" s="138"/>
      <c r="BB101" s="28"/>
      <c r="BC101" s="141" t="s">
        <v>6</v>
      </c>
      <c r="BD101" s="138"/>
      <c r="BE101" s="141"/>
      <c r="BF101" s="138" t="s">
        <v>142</v>
      </c>
      <c r="BG101" s="28"/>
      <c r="BH101" s="141" t="s">
        <v>730</v>
      </c>
      <c r="BN101" s="195"/>
      <c r="BO101" s="134"/>
      <c r="BP101" s="136"/>
      <c r="BQ101" s="240"/>
      <c r="BR101" s="241"/>
      <c r="BS101" s="242"/>
      <c r="BT101" s="134"/>
      <c r="BU101" s="136"/>
      <c r="BV101" s="135"/>
      <c r="BW101" s="135" t="s">
        <v>92</v>
      </c>
      <c r="BX101" s="136"/>
    </row>
    <row r="102" spans="3:77" x14ac:dyDescent="0.3">
      <c r="C102" s="28"/>
      <c r="D102" s="36" t="s">
        <v>263</v>
      </c>
      <c r="E102" s="36">
        <v>6</v>
      </c>
      <c r="F102" s="39">
        <v>2</v>
      </c>
      <c r="G102" s="18"/>
      <c r="H102" s="18"/>
      <c r="I102" s="18"/>
      <c r="J102" s="10"/>
      <c r="K102" s="11"/>
      <c r="L102" s="98" t="s">
        <v>264</v>
      </c>
      <c r="M102" s="37" t="s">
        <v>265</v>
      </c>
      <c r="N102" s="39"/>
      <c r="Q102" s="28" t="s">
        <v>6</v>
      </c>
      <c r="R102" s="127" t="s">
        <v>200</v>
      </c>
      <c r="S102" s="67">
        <f>5+8</f>
        <v>13</v>
      </c>
      <c r="T102" s="43">
        <v>8</v>
      </c>
      <c r="U102" s="42"/>
      <c r="V102" s="28"/>
      <c r="W102" s="40"/>
      <c r="X102" s="28"/>
      <c r="Y102" s="40"/>
      <c r="Z102" s="28"/>
      <c r="AA102" s="28"/>
      <c r="AB102" s="40"/>
      <c r="AH102" s="196" t="s">
        <v>169</v>
      </c>
      <c r="AI102" s="138">
        <v>1</v>
      </c>
      <c r="AJ102" s="141">
        <v>2</v>
      </c>
      <c r="AK102" s="138"/>
      <c r="AL102" s="28"/>
      <c r="AM102" s="141"/>
      <c r="AN102" s="138"/>
      <c r="AO102" s="141"/>
      <c r="AP102" s="138" t="s">
        <v>310</v>
      </c>
      <c r="AQ102" s="43" t="s">
        <v>283</v>
      </c>
      <c r="AR102" s="141" t="s">
        <v>979</v>
      </c>
      <c r="AS102" s="28"/>
      <c r="AT102" s="28"/>
      <c r="AU102" s="28"/>
      <c r="AX102" s="196" t="s">
        <v>108</v>
      </c>
      <c r="AY102" s="138">
        <v>2</v>
      </c>
      <c r="AZ102" s="141">
        <v>2</v>
      </c>
      <c r="BA102" s="138"/>
      <c r="BB102" s="28"/>
      <c r="BC102" s="141">
        <v>2</v>
      </c>
      <c r="BD102" s="138"/>
      <c r="BE102" s="141"/>
      <c r="BF102" s="138" t="s">
        <v>146</v>
      </c>
      <c r="BG102" s="28"/>
      <c r="BH102" s="141" t="s">
        <v>955</v>
      </c>
      <c r="BN102" s="196"/>
      <c r="BO102" s="138"/>
      <c r="BP102" s="141"/>
      <c r="BQ102" s="138"/>
      <c r="BR102" s="43"/>
      <c r="BS102" s="141"/>
      <c r="BT102" s="138"/>
      <c r="BU102" s="141"/>
      <c r="BV102" s="43">
        <v>22</v>
      </c>
      <c r="BW102" s="28" t="s">
        <v>1297</v>
      </c>
      <c r="BX102" s="141"/>
    </row>
    <row r="103" spans="3:77" x14ac:dyDescent="0.3">
      <c r="C103" s="28"/>
      <c r="D103" s="36" t="s">
        <v>266</v>
      </c>
      <c r="E103" s="36">
        <v>7</v>
      </c>
      <c r="F103" s="39">
        <v>7</v>
      </c>
      <c r="G103" s="18"/>
      <c r="H103" s="18"/>
      <c r="I103" s="18"/>
      <c r="J103" s="10"/>
      <c r="K103" s="11"/>
      <c r="L103" s="52" t="s">
        <v>267</v>
      </c>
      <c r="M103" s="37" t="s">
        <v>268</v>
      </c>
      <c r="N103" s="39" t="s">
        <v>269</v>
      </c>
      <c r="Q103" s="28"/>
      <c r="R103" s="52" t="s">
        <v>133</v>
      </c>
      <c r="S103" s="67">
        <f>15+3</f>
        <v>18</v>
      </c>
      <c r="T103" s="43">
        <f>30+1</f>
        <v>31</v>
      </c>
      <c r="U103" s="52" t="s">
        <v>150</v>
      </c>
      <c r="V103" s="54"/>
      <c r="W103" s="85"/>
      <c r="X103" s="18"/>
      <c r="Y103" s="40"/>
      <c r="Z103" s="28" t="s">
        <v>151</v>
      </c>
      <c r="AA103" s="28"/>
      <c r="AB103" s="96"/>
      <c r="AH103" s="196" t="s">
        <v>384</v>
      </c>
      <c r="AI103" s="138">
        <v>0</v>
      </c>
      <c r="AJ103" s="141">
        <v>3</v>
      </c>
      <c r="AK103" s="138"/>
      <c r="AL103" s="28"/>
      <c r="AM103" s="141"/>
      <c r="AN103" s="138"/>
      <c r="AO103" s="141"/>
      <c r="AP103" s="138" t="s">
        <v>626</v>
      </c>
      <c r="AQ103" s="43" t="s">
        <v>980</v>
      </c>
      <c r="AR103" s="141" t="s">
        <v>500</v>
      </c>
      <c r="AS103" s="28"/>
      <c r="AT103" s="28"/>
      <c r="AU103" s="28"/>
      <c r="AX103" s="196" t="s">
        <v>133</v>
      </c>
      <c r="AY103" s="138">
        <f>8+6+5</f>
        <v>19</v>
      </c>
      <c r="AZ103" s="141">
        <f>9+6+3</f>
        <v>18</v>
      </c>
      <c r="BA103" s="138"/>
      <c r="BB103" s="28"/>
      <c r="BC103" s="141"/>
      <c r="BD103" s="138"/>
      <c r="BE103" s="141"/>
      <c r="BF103" s="138"/>
      <c r="BG103" s="28"/>
      <c r="BH103" s="141"/>
      <c r="BN103" s="211" t="s">
        <v>64</v>
      </c>
      <c r="BO103" s="138">
        <v>0</v>
      </c>
      <c r="BP103" s="141">
        <v>0</v>
      </c>
      <c r="BQ103" s="212">
        <v>0</v>
      </c>
      <c r="BR103" s="43">
        <v>0</v>
      </c>
      <c r="BS103" s="209">
        <v>0</v>
      </c>
      <c r="BT103" s="138">
        <v>0</v>
      </c>
      <c r="BU103" s="141">
        <v>0</v>
      </c>
      <c r="BV103" s="43"/>
      <c r="BW103" s="28"/>
      <c r="BX103" s="141"/>
      <c r="BY103" s="28"/>
    </row>
    <row r="104" spans="3:77" x14ac:dyDescent="0.3">
      <c r="C104" s="28"/>
      <c r="D104" s="150" t="s">
        <v>270</v>
      </c>
      <c r="E104" s="36">
        <v>0</v>
      </c>
      <c r="F104" s="39">
        <v>6</v>
      </c>
      <c r="G104" s="18"/>
      <c r="H104" s="37"/>
      <c r="I104" s="18"/>
      <c r="J104" s="10"/>
      <c r="K104" s="11"/>
      <c r="L104" s="98" t="s">
        <v>271</v>
      </c>
      <c r="M104" s="54" t="s">
        <v>272</v>
      </c>
      <c r="N104" s="39" t="s">
        <v>273</v>
      </c>
      <c r="Q104" s="28"/>
      <c r="R104" s="52" t="s">
        <v>120</v>
      </c>
      <c r="S104" s="42">
        <v>1</v>
      </c>
      <c r="T104" s="43">
        <v>0</v>
      </c>
      <c r="U104" s="42"/>
      <c r="V104" s="54"/>
      <c r="W104" s="40"/>
      <c r="X104" s="45"/>
      <c r="Y104" s="56"/>
      <c r="Z104" s="43" t="s">
        <v>345</v>
      </c>
      <c r="AA104" s="28" t="s">
        <v>684</v>
      </c>
      <c r="AB104" s="40" t="s">
        <v>685</v>
      </c>
      <c r="AH104" s="196" t="s">
        <v>97</v>
      </c>
      <c r="AI104" s="138">
        <v>5</v>
      </c>
      <c r="AJ104" s="141">
        <v>0</v>
      </c>
      <c r="AK104" s="138"/>
      <c r="AL104" s="28"/>
      <c r="AM104" s="141"/>
      <c r="AN104" s="138"/>
      <c r="AO104" s="141"/>
      <c r="AP104" s="28" t="s">
        <v>373</v>
      </c>
      <c r="AQ104" s="43" t="s">
        <v>584</v>
      </c>
      <c r="AR104" s="141" t="s">
        <v>520</v>
      </c>
      <c r="AS104" s="28"/>
      <c r="AT104" s="28"/>
      <c r="AU104" s="28"/>
      <c r="AX104" s="196" t="s">
        <v>99</v>
      </c>
      <c r="AY104" s="138">
        <v>1</v>
      </c>
      <c r="AZ104" s="141">
        <f>2+3</f>
        <v>5</v>
      </c>
      <c r="BA104" s="138" t="s">
        <v>150</v>
      </c>
      <c r="BB104" s="28"/>
      <c r="BC104" s="141" t="s">
        <v>6</v>
      </c>
      <c r="BD104" s="138"/>
      <c r="BE104" s="141"/>
      <c r="BF104" s="138" t="s">
        <v>151</v>
      </c>
      <c r="BG104" s="28"/>
      <c r="BH104" s="141"/>
      <c r="BN104" s="196" t="s">
        <v>1247</v>
      </c>
      <c r="BO104" s="138">
        <v>0</v>
      </c>
      <c r="BP104" s="141">
        <v>0</v>
      </c>
      <c r="BQ104" s="138">
        <v>0</v>
      </c>
      <c r="BR104" s="43">
        <v>0</v>
      </c>
      <c r="BS104" s="141">
        <v>0</v>
      </c>
      <c r="BT104" s="138">
        <v>3005</v>
      </c>
      <c r="BU104" s="141">
        <v>909</v>
      </c>
      <c r="BV104" s="43"/>
      <c r="BW104" s="28"/>
      <c r="BX104" s="141"/>
      <c r="BY104" s="28"/>
    </row>
    <row r="105" spans="3:77" ht="15.6" x14ac:dyDescent="0.3">
      <c r="C105" s="37"/>
      <c r="D105" s="36" t="s">
        <v>184</v>
      </c>
      <c r="E105" s="36">
        <f>1+2+7</f>
        <v>10</v>
      </c>
      <c r="F105" s="39">
        <f>9+5+6</f>
        <v>20</v>
      </c>
      <c r="G105" s="18"/>
      <c r="H105" s="18"/>
      <c r="I105" s="18"/>
      <c r="J105" s="10"/>
      <c r="K105" s="11"/>
      <c r="L105" s="36" t="s">
        <v>274</v>
      </c>
      <c r="M105" s="37" t="s">
        <v>275</v>
      </c>
      <c r="N105" s="40" t="s">
        <v>276</v>
      </c>
      <c r="Q105" s="28"/>
      <c r="R105" s="151" t="s">
        <v>596</v>
      </c>
      <c r="S105" s="36">
        <v>0</v>
      </c>
      <c r="T105" s="37">
        <v>1</v>
      </c>
      <c r="U105" s="10"/>
      <c r="V105" s="18"/>
      <c r="W105" s="11"/>
      <c r="X105" s="18"/>
      <c r="Y105" s="11"/>
      <c r="Z105" s="158" t="s">
        <v>686</v>
      </c>
      <c r="AA105" s="178" t="s">
        <v>283</v>
      </c>
      <c r="AB105" s="39" t="s">
        <v>482</v>
      </c>
      <c r="AH105" s="196" t="s">
        <v>658</v>
      </c>
      <c r="AI105" s="138">
        <v>3</v>
      </c>
      <c r="AJ105" s="141">
        <v>3</v>
      </c>
      <c r="AK105" s="138"/>
      <c r="AL105" s="28"/>
      <c r="AM105" s="141"/>
      <c r="AN105" s="138"/>
      <c r="AO105" s="141"/>
      <c r="AP105" s="138" t="s">
        <v>981</v>
      </c>
      <c r="AQ105" s="28"/>
      <c r="AR105" s="141" t="s">
        <v>982</v>
      </c>
      <c r="AS105" s="28"/>
      <c r="AT105" s="28"/>
      <c r="AU105" s="28"/>
      <c r="AX105" s="196" t="s">
        <v>85</v>
      </c>
      <c r="AY105" s="138">
        <v>4</v>
      </c>
      <c r="AZ105" s="141">
        <v>4</v>
      </c>
      <c r="BA105" s="138"/>
      <c r="BB105" s="28"/>
      <c r="BC105" s="141"/>
      <c r="BD105" s="138"/>
      <c r="BE105" s="141"/>
      <c r="BF105" s="316" t="s">
        <v>980</v>
      </c>
      <c r="BG105" s="257" t="s">
        <v>1534</v>
      </c>
      <c r="BH105" s="141" t="s">
        <v>264</v>
      </c>
      <c r="BN105" s="211" t="s">
        <v>107</v>
      </c>
      <c r="BO105" s="138">
        <v>0</v>
      </c>
      <c r="BP105" s="141">
        <v>0</v>
      </c>
      <c r="BQ105" s="138">
        <v>0</v>
      </c>
      <c r="BR105" s="43">
        <v>0</v>
      </c>
      <c r="BS105" s="141">
        <v>0</v>
      </c>
      <c r="BT105" s="138">
        <v>0</v>
      </c>
      <c r="BU105" s="141">
        <v>0</v>
      </c>
      <c r="BV105" s="28"/>
      <c r="BW105" s="28"/>
      <c r="BX105" s="141"/>
      <c r="BY105" s="28"/>
    </row>
    <row r="106" spans="3:77" x14ac:dyDescent="0.3">
      <c r="C106" s="28"/>
      <c r="D106" s="150" t="s">
        <v>277</v>
      </c>
      <c r="E106" s="36">
        <v>6</v>
      </c>
      <c r="F106" s="39">
        <v>6</v>
      </c>
      <c r="G106" s="18"/>
      <c r="H106" s="18"/>
      <c r="I106" s="18"/>
      <c r="J106" s="10"/>
      <c r="K106" s="11"/>
      <c r="L106" s="112" t="s">
        <v>278</v>
      </c>
      <c r="M106" s="37" t="s">
        <v>279</v>
      </c>
      <c r="N106" s="39" t="s">
        <v>280</v>
      </c>
      <c r="Q106" s="28"/>
      <c r="R106" s="42" t="s">
        <v>613</v>
      </c>
      <c r="S106" s="42">
        <v>0</v>
      </c>
      <c r="T106" s="54">
        <v>1</v>
      </c>
      <c r="U106" s="10"/>
      <c r="V106" s="18"/>
      <c r="W106" s="11"/>
      <c r="X106" s="18"/>
      <c r="Y106" s="11"/>
      <c r="Z106" s="158" t="s">
        <v>687</v>
      </c>
      <c r="AA106" s="178" t="s">
        <v>666</v>
      </c>
      <c r="AB106" s="39" t="s">
        <v>688</v>
      </c>
      <c r="AH106" s="196" t="s">
        <v>64</v>
      </c>
      <c r="AI106" s="138">
        <v>0</v>
      </c>
      <c r="AJ106" s="141">
        <v>5</v>
      </c>
      <c r="AK106" s="138"/>
      <c r="AL106" s="28"/>
      <c r="AM106" s="141"/>
      <c r="AN106" s="138"/>
      <c r="AO106" s="141"/>
      <c r="AP106" s="138" t="s">
        <v>984</v>
      </c>
      <c r="AQ106" s="28"/>
      <c r="AR106" s="209" t="s">
        <v>725</v>
      </c>
      <c r="AS106" s="43"/>
      <c r="AT106" s="43"/>
      <c r="AU106" s="28"/>
      <c r="AX106" s="196" t="s">
        <v>1535</v>
      </c>
      <c r="AY106" s="138">
        <v>1</v>
      </c>
      <c r="AZ106" s="141">
        <v>1</v>
      </c>
      <c r="BA106" s="138"/>
      <c r="BB106" s="28"/>
      <c r="BC106" s="141"/>
      <c r="BD106" s="138"/>
      <c r="BE106" s="141"/>
      <c r="BF106" s="138" t="s">
        <v>819</v>
      </c>
      <c r="BG106" s="28" t="s">
        <v>1536</v>
      </c>
      <c r="BH106" s="141" t="s">
        <v>1323</v>
      </c>
      <c r="BN106" s="211" t="s">
        <v>99</v>
      </c>
      <c r="BO106" s="138">
        <v>0</v>
      </c>
      <c r="BP106" s="141">
        <v>0</v>
      </c>
      <c r="BQ106" s="138">
        <v>0</v>
      </c>
      <c r="BR106" s="43">
        <v>0</v>
      </c>
      <c r="BS106" s="141">
        <v>0</v>
      </c>
      <c r="BT106" s="138">
        <v>59539</v>
      </c>
      <c r="BU106" s="209">
        <v>16362</v>
      </c>
      <c r="BV106" s="43"/>
      <c r="BW106" s="43"/>
      <c r="BX106" s="141"/>
      <c r="BY106" s="28"/>
    </row>
    <row r="107" spans="3:77" x14ac:dyDescent="0.3">
      <c r="D107" s="98" t="s">
        <v>107</v>
      </c>
      <c r="E107" s="36">
        <v>3</v>
      </c>
      <c r="F107" s="39">
        <v>12</v>
      </c>
      <c r="G107" s="18"/>
      <c r="H107" s="18"/>
      <c r="I107" s="18"/>
      <c r="J107" s="10"/>
      <c r="K107" s="11"/>
      <c r="L107" s="36" t="s">
        <v>281</v>
      </c>
      <c r="M107" s="37" t="s">
        <v>282</v>
      </c>
      <c r="N107" s="114" t="s">
        <v>283</v>
      </c>
      <c r="Q107" s="28"/>
      <c r="R107" s="36" t="s">
        <v>169</v>
      </c>
      <c r="S107" s="36">
        <v>5</v>
      </c>
      <c r="T107" s="37">
        <v>1</v>
      </c>
      <c r="U107" s="10"/>
      <c r="V107" s="18"/>
      <c r="W107" s="11"/>
      <c r="X107" s="18"/>
      <c r="Y107" s="11"/>
      <c r="Z107" s="158" t="s">
        <v>639</v>
      </c>
      <c r="AA107" s="37" t="s">
        <v>689</v>
      </c>
      <c r="AB107" s="39" t="s">
        <v>385</v>
      </c>
      <c r="AH107" s="196" t="s">
        <v>403</v>
      </c>
      <c r="AI107" s="138">
        <v>2</v>
      </c>
      <c r="AJ107" s="141">
        <v>2</v>
      </c>
      <c r="AK107" s="138"/>
      <c r="AL107" s="28"/>
      <c r="AM107" s="141"/>
      <c r="AN107" s="138"/>
      <c r="AO107" s="141"/>
      <c r="AP107" s="138" t="s">
        <v>379</v>
      </c>
      <c r="AQ107" s="43" t="s">
        <v>985</v>
      </c>
      <c r="AR107" s="209" t="s">
        <v>544</v>
      </c>
      <c r="AS107" s="43"/>
      <c r="AT107" s="43"/>
      <c r="AU107" s="43"/>
      <c r="AX107" s="196" t="s">
        <v>164</v>
      </c>
      <c r="AY107" s="138">
        <v>1</v>
      </c>
      <c r="AZ107" s="141">
        <v>1</v>
      </c>
      <c r="BA107" s="138"/>
      <c r="BB107" s="28"/>
      <c r="BC107" s="141"/>
      <c r="BD107" s="138"/>
      <c r="BE107" s="141"/>
      <c r="BF107" s="138" t="s">
        <v>1040</v>
      </c>
      <c r="BG107" s="28" t="s">
        <v>651</v>
      </c>
      <c r="BH107" s="141" t="s">
        <v>1537</v>
      </c>
      <c r="BN107" s="211" t="s">
        <v>84</v>
      </c>
      <c r="BO107" s="212">
        <v>0</v>
      </c>
      <c r="BP107" s="209">
        <f>SUM(BP102:BP106)</f>
        <v>0</v>
      </c>
      <c r="BQ107" s="138">
        <v>0</v>
      </c>
      <c r="BR107" s="43">
        <v>0</v>
      </c>
      <c r="BS107" s="141"/>
      <c r="BT107" s="138">
        <v>62544</v>
      </c>
      <c r="BU107" s="209">
        <v>17271</v>
      </c>
      <c r="BV107" s="28"/>
      <c r="BW107" s="43"/>
      <c r="BX107" s="141">
        <v>22</v>
      </c>
      <c r="BY107" s="28"/>
    </row>
    <row r="108" spans="3:77" x14ac:dyDescent="0.3">
      <c r="D108" s="36" t="s">
        <v>196</v>
      </c>
      <c r="E108" s="36">
        <v>2</v>
      </c>
      <c r="F108" s="39">
        <v>0</v>
      </c>
      <c r="G108" s="18"/>
      <c r="H108" s="18"/>
      <c r="I108" s="18"/>
      <c r="J108" s="10"/>
      <c r="K108" s="11"/>
      <c r="L108" s="36" t="s">
        <v>285</v>
      </c>
      <c r="M108" s="37" t="s">
        <v>286</v>
      </c>
      <c r="N108" s="39" t="s">
        <v>287</v>
      </c>
      <c r="Q108" s="28"/>
      <c r="R108" s="36" t="s">
        <v>99</v>
      </c>
      <c r="S108" s="36">
        <v>0</v>
      </c>
      <c r="T108" s="37">
        <v>0</v>
      </c>
      <c r="U108" s="10"/>
      <c r="V108" s="18"/>
      <c r="W108" s="11"/>
      <c r="X108" s="18"/>
      <c r="Y108" s="11"/>
      <c r="Z108" s="179" t="s">
        <v>313</v>
      </c>
      <c r="AA108" s="37" t="s">
        <v>324</v>
      </c>
      <c r="AB108" s="39" t="s">
        <v>690</v>
      </c>
      <c r="AH108" s="196" t="s">
        <v>966</v>
      </c>
      <c r="AI108" s="138">
        <v>5</v>
      </c>
      <c r="AJ108" s="141">
        <v>4</v>
      </c>
      <c r="AK108" s="138"/>
      <c r="AL108" s="28"/>
      <c r="AM108" s="141"/>
      <c r="AN108" s="138"/>
      <c r="AO108" s="141"/>
      <c r="AP108" s="138" t="s">
        <v>986</v>
      </c>
      <c r="AQ108" s="43" t="s">
        <v>698</v>
      </c>
      <c r="AR108" s="141" t="s">
        <v>446</v>
      </c>
      <c r="AS108" s="28"/>
      <c r="AT108" s="28"/>
      <c r="AU108" s="43"/>
      <c r="AX108" s="196" t="s">
        <v>169</v>
      </c>
      <c r="AY108" s="138">
        <f>1+0+14</f>
        <v>15</v>
      </c>
      <c r="AZ108" s="141">
        <f>3+2+14</f>
        <v>19</v>
      </c>
      <c r="BA108" s="138"/>
      <c r="BB108" s="28"/>
      <c r="BC108" s="141"/>
      <c r="BD108" s="138"/>
      <c r="BE108" s="141"/>
      <c r="BF108" s="138" t="s">
        <v>1538</v>
      </c>
      <c r="BG108" s="43" t="s">
        <v>522</v>
      </c>
      <c r="BH108" s="141" t="s">
        <v>254</v>
      </c>
      <c r="BK108" s="135" t="s">
        <v>91</v>
      </c>
      <c r="BL108">
        <v>2018</v>
      </c>
      <c r="BM108">
        <v>2</v>
      </c>
      <c r="BN108" s="134" t="s">
        <v>1345</v>
      </c>
      <c r="BO108" s="134">
        <v>930</v>
      </c>
      <c r="BP108" s="136">
        <v>909</v>
      </c>
      <c r="BQ108" s="134">
        <v>0</v>
      </c>
      <c r="BR108" s="135">
        <v>0</v>
      </c>
      <c r="BS108" s="136">
        <v>0</v>
      </c>
      <c r="BT108" s="134">
        <v>0</v>
      </c>
      <c r="BU108" s="135">
        <v>0</v>
      </c>
      <c r="BV108" s="134"/>
      <c r="BW108" s="135" t="s">
        <v>91</v>
      </c>
      <c r="BX108" s="136"/>
      <c r="BY108" s="28"/>
    </row>
    <row r="109" spans="3:77" x14ac:dyDescent="0.3">
      <c r="D109" s="36" t="s">
        <v>288</v>
      </c>
      <c r="E109" s="10">
        <v>5</v>
      </c>
      <c r="F109" s="39">
        <v>5</v>
      </c>
      <c r="G109" s="18"/>
      <c r="H109" s="18"/>
      <c r="I109" s="37"/>
      <c r="J109" s="10"/>
      <c r="K109" s="11"/>
      <c r="L109" s="124" t="s">
        <v>289</v>
      </c>
      <c r="M109" s="37"/>
      <c r="N109" s="39" t="s">
        <v>290</v>
      </c>
      <c r="Q109" s="28"/>
      <c r="R109" s="150" t="s">
        <v>64</v>
      </c>
      <c r="S109" s="36">
        <v>0</v>
      </c>
      <c r="T109" s="37">
        <v>3</v>
      </c>
      <c r="U109" s="10"/>
      <c r="V109" s="37"/>
      <c r="W109" s="11"/>
      <c r="X109" s="18"/>
      <c r="Y109" s="11"/>
      <c r="Z109" s="158" t="s">
        <v>691</v>
      </c>
      <c r="AA109" s="54" t="s">
        <v>692</v>
      </c>
      <c r="AB109" s="39" t="s">
        <v>279</v>
      </c>
      <c r="AH109" s="196" t="s">
        <v>987</v>
      </c>
      <c r="AI109" s="138">
        <v>7</v>
      </c>
      <c r="AJ109" s="141">
        <v>0</v>
      </c>
      <c r="AK109" s="138"/>
      <c r="AL109" s="28"/>
      <c r="AM109" s="141"/>
      <c r="AN109" s="138"/>
      <c r="AO109" s="141"/>
      <c r="AP109" s="138" t="s">
        <v>988</v>
      </c>
      <c r="AQ109" s="43" t="s">
        <v>969</v>
      </c>
      <c r="AR109" s="141" t="s">
        <v>989</v>
      </c>
      <c r="AS109" s="28"/>
      <c r="AT109" s="28"/>
      <c r="AU109" s="28"/>
      <c r="AX109" s="196" t="s">
        <v>1539</v>
      </c>
      <c r="AY109" s="138">
        <v>2</v>
      </c>
      <c r="AZ109" s="141">
        <v>0</v>
      </c>
      <c r="BA109" s="138"/>
      <c r="BB109" s="28"/>
      <c r="BC109" s="141"/>
      <c r="BD109" s="138"/>
      <c r="BE109" s="141"/>
      <c r="BF109" s="138" t="s">
        <v>269</v>
      </c>
      <c r="BG109" s="43" t="s">
        <v>1540</v>
      </c>
      <c r="BH109" s="141" t="s">
        <v>563</v>
      </c>
      <c r="BK109" s="135" t="s">
        <v>91</v>
      </c>
      <c r="BL109">
        <v>2018</v>
      </c>
      <c r="BM109">
        <v>2</v>
      </c>
      <c r="BN109" s="138" t="s">
        <v>88</v>
      </c>
      <c r="BO109" s="138">
        <v>202</v>
      </c>
      <c r="BP109" s="141">
        <v>400</v>
      </c>
      <c r="BQ109" s="138">
        <v>0</v>
      </c>
      <c r="BR109" s="43">
        <v>0</v>
      </c>
      <c r="BS109" s="141">
        <v>0</v>
      </c>
      <c r="BT109" s="138">
        <v>0</v>
      </c>
      <c r="BU109" s="43">
        <v>0</v>
      </c>
      <c r="BV109" s="212"/>
      <c r="BW109" s="43"/>
      <c r="BX109" s="141"/>
      <c r="BY109" s="28"/>
    </row>
    <row r="110" spans="3:77" x14ac:dyDescent="0.3">
      <c r="D110" s="98" t="s">
        <v>102</v>
      </c>
      <c r="E110" s="10">
        <v>0</v>
      </c>
      <c r="F110" s="39">
        <v>4</v>
      </c>
      <c r="G110" s="18"/>
      <c r="H110" s="18"/>
      <c r="I110" s="18"/>
      <c r="J110" s="10"/>
      <c r="K110" s="11"/>
      <c r="L110" s="52" t="s">
        <v>291</v>
      </c>
      <c r="M110" s="37"/>
      <c r="N110" s="39" t="s">
        <v>292</v>
      </c>
      <c r="Q110" s="37"/>
      <c r="R110" s="36" t="s">
        <v>523</v>
      </c>
      <c r="S110" s="36">
        <v>3</v>
      </c>
      <c r="T110" s="37">
        <v>5</v>
      </c>
      <c r="U110" s="10"/>
      <c r="V110" s="18"/>
      <c r="W110" s="11"/>
      <c r="X110" s="18"/>
      <c r="Y110" s="11"/>
      <c r="Z110" s="128" t="s">
        <v>325</v>
      </c>
      <c r="AA110" s="37" t="s">
        <v>693</v>
      </c>
      <c r="AB110" s="180" t="s">
        <v>694</v>
      </c>
      <c r="AH110" s="196" t="s">
        <v>108</v>
      </c>
      <c r="AI110" s="138">
        <v>0</v>
      </c>
      <c r="AJ110" s="141">
        <v>1</v>
      </c>
      <c r="AK110" s="138"/>
      <c r="AL110" s="28"/>
      <c r="AM110" s="141"/>
      <c r="AN110" s="138"/>
      <c r="AO110" s="141"/>
      <c r="AP110" s="138" t="s">
        <v>165</v>
      </c>
      <c r="AQ110" s="43" t="s">
        <v>714</v>
      </c>
      <c r="AR110" s="141"/>
      <c r="AS110" s="28"/>
      <c r="AT110" s="28"/>
      <c r="AU110" s="28"/>
      <c r="AX110" s="196" t="s">
        <v>523</v>
      </c>
      <c r="AY110" s="138">
        <v>3</v>
      </c>
      <c r="AZ110" s="141">
        <v>2</v>
      </c>
      <c r="BA110" s="138"/>
      <c r="BB110" s="28"/>
      <c r="BC110" s="141"/>
      <c r="BD110" s="138"/>
      <c r="BE110" s="141"/>
      <c r="BF110" s="315" t="s">
        <v>1214</v>
      </c>
      <c r="BG110" s="215" t="s">
        <v>207</v>
      </c>
      <c r="BH110" s="141" t="s">
        <v>890</v>
      </c>
      <c r="BK110" s="135" t="s">
        <v>91</v>
      </c>
      <c r="BL110">
        <v>2018</v>
      </c>
      <c r="BM110">
        <v>2</v>
      </c>
      <c r="BN110" s="212" t="s">
        <v>636</v>
      </c>
      <c r="BO110" s="212">
        <v>0</v>
      </c>
      <c r="BP110" s="209">
        <v>188</v>
      </c>
      <c r="BQ110" s="138">
        <v>0</v>
      </c>
      <c r="BR110" s="43">
        <v>0</v>
      </c>
      <c r="BS110" s="141">
        <v>0</v>
      </c>
      <c r="BT110" s="138">
        <v>0</v>
      </c>
      <c r="BU110" s="43">
        <v>0</v>
      </c>
      <c r="BV110" s="138">
        <v>15</v>
      </c>
      <c r="BW110" s="43" t="s">
        <v>1134</v>
      </c>
      <c r="BX110" s="141"/>
    </row>
    <row r="111" spans="3:77" x14ac:dyDescent="0.3">
      <c r="D111" s="92" t="s">
        <v>211</v>
      </c>
      <c r="E111" s="84">
        <v>13</v>
      </c>
      <c r="F111" s="86">
        <v>0</v>
      </c>
      <c r="G111" s="45"/>
      <c r="H111" s="45"/>
      <c r="I111" s="45"/>
      <c r="J111" s="10"/>
      <c r="K111" s="11"/>
      <c r="L111" s="112" t="s">
        <v>293</v>
      </c>
      <c r="M111" s="54" t="s">
        <v>294</v>
      </c>
      <c r="N111" s="86" t="s">
        <v>295</v>
      </c>
      <c r="Q111" s="28"/>
      <c r="R111" s="150" t="s">
        <v>358</v>
      </c>
      <c r="S111" s="36">
        <v>6</v>
      </c>
      <c r="T111" s="37">
        <v>9</v>
      </c>
      <c r="U111" s="10"/>
      <c r="V111" s="18"/>
      <c r="W111" s="11"/>
      <c r="X111" s="18"/>
      <c r="Y111" s="11"/>
      <c r="Z111" s="159" t="s">
        <v>695</v>
      </c>
      <c r="AA111" s="37" t="s">
        <v>696</v>
      </c>
      <c r="AB111" s="39" t="s">
        <v>697</v>
      </c>
      <c r="AH111" s="196" t="s">
        <v>971</v>
      </c>
      <c r="AI111" s="138">
        <v>0</v>
      </c>
      <c r="AJ111" s="141">
        <v>0</v>
      </c>
      <c r="AK111" s="138"/>
      <c r="AL111" s="28"/>
      <c r="AM111" s="141"/>
      <c r="AN111" s="138"/>
      <c r="AO111" s="141"/>
      <c r="AP111" s="138"/>
      <c r="AQ111" s="28"/>
      <c r="AR111" s="141"/>
      <c r="AS111" s="28"/>
      <c r="AT111" s="28"/>
      <c r="AU111" s="28"/>
      <c r="AX111" s="196" t="s">
        <v>64</v>
      </c>
      <c r="AY111" s="138">
        <v>6</v>
      </c>
      <c r="AZ111" s="141">
        <v>0</v>
      </c>
      <c r="BA111" s="138"/>
      <c r="BB111" s="28"/>
      <c r="BC111" s="141"/>
      <c r="BD111" s="138"/>
      <c r="BE111" s="141"/>
      <c r="BF111" s="316" t="s">
        <v>1541</v>
      </c>
      <c r="BG111" s="43" t="s">
        <v>1522</v>
      </c>
      <c r="BH111" s="209" t="s">
        <v>362</v>
      </c>
      <c r="BK111" s="135" t="s">
        <v>91</v>
      </c>
      <c r="BL111">
        <v>2018</v>
      </c>
      <c r="BM111">
        <v>2</v>
      </c>
      <c r="BN111" s="138" t="s">
        <v>97</v>
      </c>
      <c r="BO111" s="138">
        <v>1973</v>
      </c>
      <c r="BP111" s="141">
        <v>2081</v>
      </c>
      <c r="BQ111" s="138">
        <v>0</v>
      </c>
      <c r="BR111" s="43">
        <v>0</v>
      </c>
      <c r="BS111" s="141">
        <v>0</v>
      </c>
      <c r="BT111" s="138">
        <v>0</v>
      </c>
      <c r="BU111" s="43">
        <v>0</v>
      </c>
      <c r="BV111" s="212">
        <v>53</v>
      </c>
      <c r="BW111" s="28" t="s">
        <v>1303</v>
      </c>
      <c r="BX111" s="141"/>
    </row>
    <row r="112" spans="3:77" x14ac:dyDescent="0.3">
      <c r="D112" s="127" t="s">
        <v>296</v>
      </c>
      <c r="E112" s="84">
        <v>2</v>
      </c>
      <c r="F112" s="86">
        <v>2</v>
      </c>
      <c r="G112" s="45"/>
      <c r="H112" s="45"/>
      <c r="I112" s="45"/>
      <c r="J112" s="84"/>
      <c r="K112" s="85"/>
      <c r="L112" s="52"/>
      <c r="M112" s="54"/>
      <c r="N112" s="40"/>
      <c r="R112" s="150" t="s">
        <v>331</v>
      </c>
      <c r="S112" s="36">
        <v>0</v>
      </c>
      <c r="T112" s="37">
        <v>12</v>
      </c>
      <c r="U112" s="10"/>
      <c r="V112" s="18"/>
      <c r="W112" s="11"/>
      <c r="X112" s="18"/>
      <c r="Y112" s="11"/>
      <c r="Z112" s="128" t="s">
        <v>584</v>
      </c>
      <c r="AA112" s="37" t="s">
        <v>330</v>
      </c>
      <c r="AB112" s="39" t="s">
        <v>698</v>
      </c>
      <c r="AH112" s="196" t="s">
        <v>564</v>
      </c>
      <c r="AI112" s="138">
        <v>0</v>
      </c>
      <c r="AJ112" s="141">
        <v>0</v>
      </c>
      <c r="AK112" s="138"/>
      <c r="AL112" s="28"/>
      <c r="AM112" s="141"/>
      <c r="AN112" s="138"/>
      <c r="AO112" s="141"/>
      <c r="AP112" s="138"/>
      <c r="AQ112" s="28"/>
      <c r="AR112" s="141"/>
      <c r="AS112" s="28"/>
      <c r="AT112" s="28"/>
      <c r="AU112" s="28"/>
      <c r="AX112" s="196" t="s">
        <v>137</v>
      </c>
      <c r="AY112" s="138">
        <v>36</v>
      </c>
      <c r="AZ112" s="141">
        <v>119</v>
      </c>
      <c r="BA112" s="138"/>
      <c r="BB112" s="28"/>
      <c r="BC112" s="141"/>
      <c r="BD112" s="138"/>
      <c r="BE112" s="141"/>
      <c r="BF112" s="138" t="s">
        <v>1542</v>
      </c>
      <c r="BG112" s="43" t="s">
        <v>1097</v>
      </c>
      <c r="BH112" s="261" t="s">
        <v>1543</v>
      </c>
      <c r="BK112" s="135" t="s">
        <v>91</v>
      </c>
      <c r="BL112">
        <v>2018</v>
      </c>
      <c r="BM112">
        <v>2</v>
      </c>
      <c r="BN112" s="212" t="s">
        <v>113</v>
      </c>
      <c r="BO112" s="212">
        <v>538</v>
      </c>
      <c r="BP112" s="209">
        <v>540</v>
      </c>
      <c r="BQ112" s="138">
        <v>0</v>
      </c>
      <c r="BR112" s="43">
        <v>0</v>
      </c>
      <c r="BS112" s="141">
        <v>0</v>
      </c>
      <c r="BT112" s="138">
        <v>0</v>
      </c>
      <c r="BU112" s="43">
        <v>0</v>
      </c>
      <c r="BV112" s="138">
        <v>1</v>
      </c>
      <c r="BW112" s="43" t="s">
        <v>1346</v>
      </c>
      <c r="BX112" s="141"/>
    </row>
    <row r="113" spans="4:77" x14ac:dyDescent="0.3">
      <c r="D113" s="127" t="s">
        <v>297</v>
      </c>
      <c r="E113" s="84">
        <v>2</v>
      </c>
      <c r="F113" s="86">
        <v>1</v>
      </c>
      <c r="G113" s="45"/>
      <c r="H113" s="45"/>
      <c r="I113" s="45"/>
      <c r="J113" s="84"/>
      <c r="K113" s="85"/>
      <c r="L113" s="52"/>
      <c r="M113" s="28"/>
      <c r="N113" s="40"/>
      <c r="R113" s="36" t="s">
        <v>467</v>
      </c>
      <c r="S113" s="36">
        <f>1+2</f>
        <v>3</v>
      </c>
      <c r="T113" s="37">
        <v>0</v>
      </c>
      <c r="U113" s="10"/>
      <c r="V113" s="18"/>
      <c r="W113" s="11"/>
      <c r="X113" s="18"/>
      <c r="Y113" s="11"/>
      <c r="Z113" s="128" t="s">
        <v>496</v>
      </c>
      <c r="AA113" s="37"/>
      <c r="AB113" s="39" t="s">
        <v>317</v>
      </c>
      <c r="AH113" s="196" t="s">
        <v>196</v>
      </c>
      <c r="AI113" s="138">
        <v>4</v>
      </c>
      <c r="AJ113" s="141">
        <v>6</v>
      </c>
      <c r="AK113" s="138"/>
      <c r="AL113" s="28"/>
      <c r="AM113" s="141"/>
      <c r="AN113" s="138"/>
      <c r="AO113" s="141"/>
      <c r="AP113" s="138"/>
      <c r="AQ113" s="28"/>
      <c r="AR113" s="141"/>
      <c r="AS113" s="28"/>
      <c r="AT113" s="28"/>
      <c r="AU113" s="28"/>
      <c r="AX113" s="196" t="s">
        <v>89</v>
      </c>
      <c r="AY113" s="138">
        <v>0</v>
      </c>
      <c r="AZ113" s="141">
        <v>7</v>
      </c>
      <c r="BA113" s="138"/>
      <c r="BB113" s="28"/>
      <c r="BC113" s="141"/>
      <c r="BD113" s="138"/>
      <c r="BE113" s="141"/>
      <c r="BF113" s="138" t="s">
        <v>1034</v>
      </c>
      <c r="BG113" s="228" t="s">
        <v>918</v>
      </c>
      <c r="BH113" s="141" t="s">
        <v>820</v>
      </c>
      <c r="BK113" s="135" t="s">
        <v>91</v>
      </c>
      <c r="BL113">
        <v>2018</v>
      </c>
      <c r="BM113">
        <v>2</v>
      </c>
      <c r="BN113" s="212" t="s">
        <v>817</v>
      </c>
      <c r="BO113" s="212">
        <v>100</v>
      </c>
      <c r="BP113" s="209">
        <v>718</v>
      </c>
      <c r="BQ113" s="138">
        <v>0</v>
      </c>
      <c r="BR113" s="43">
        <v>0</v>
      </c>
      <c r="BS113" s="141">
        <v>0</v>
      </c>
      <c r="BT113" s="138">
        <v>0</v>
      </c>
      <c r="BU113" s="43">
        <v>0</v>
      </c>
      <c r="BV113" s="138">
        <v>1</v>
      </c>
      <c r="BW113" s="43" t="s">
        <v>1305</v>
      </c>
      <c r="BX113" s="141"/>
      <c r="BY113" s="28"/>
    </row>
    <row r="114" spans="4:77" ht="15.6" x14ac:dyDescent="0.3">
      <c r="D114" s="127" t="s">
        <v>99</v>
      </c>
      <c r="E114" s="84">
        <v>0</v>
      </c>
      <c r="F114" s="86">
        <v>5</v>
      </c>
      <c r="G114" s="28"/>
      <c r="H114" s="45"/>
      <c r="I114" s="28"/>
      <c r="J114" s="84"/>
      <c r="K114" s="85"/>
      <c r="L114" s="98"/>
      <c r="M114" s="54"/>
      <c r="N114" s="86"/>
      <c r="R114" s="36" t="s">
        <v>699</v>
      </c>
      <c r="S114" s="10">
        <v>3</v>
      </c>
      <c r="T114" s="37">
        <v>3</v>
      </c>
      <c r="U114" s="10"/>
      <c r="V114" s="18"/>
      <c r="W114" s="39"/>
      <c r="X114" s="18"/>
      <c r="Y114" s="11"/>
      <c r="Z114" s="159" t="s">
        <v>700</v>
      </c>
      <c r="AA114" s="37"/>
      <c r="AB114" s="39" t="s">
        <v>477</v>
      </c>
      <c r="AH114" s="196" t="s">
        <v>990</v>
      </c>
      <c r="AI114" s="138">
        <v>9</v>
      </c>
      <c r="AJ114" s="141">
        <v>0</v>
      </c>
      <c r="AK114" s="138"/>
      <c r="AL114" s="28"/>
      <c r="AM114" s="141"/>
      <c r="AN114" s="138"/>
      <c r="AO114" s="141"/>
      <c r="AP114" s="138"/>
      <c r="AQ114" s="28"/>
      <c r="AR114" s="141"/>
      <c r="AS114" s="28"/>
      <c r="AT114" s="28"/>
      <c r="AU114" s="28"/>
      <c r="AX114" s="259" t="s">
        <v>1118</v>
      </c>
      <c r="AY114" s="138">
        <v>11</v>
      </c>
      <c r="AZ114" s="141">
        <v>12</v>
      </c>
      <c r="BA114" s="138"/>
      <c r="BB114" s="28"/>
      <c r="BC114" s="141">
        <v>12</v>
      </c>
      <c r="BD114" s="138"/>
      <c r="BE114" s="141"/>
      <c r="BF114" s="138" t="s">
        <v>891</v>
      </c>
      <c r="BG114" s="228" t="s">
        <v>1545</v>
      </c>
      <c r="BH114" s="141" t="s">
        <v>1546</v>
      </c>
      <c r="BK114" s="135" t="s">
        <v>91</v>
      </c>
      <c r="BL114">
        <v>2018</v>
      </c>
      <c r="BM114">
        <v>2</v>
      </c>
      <c r="BN114" s="212" t="s">
        <v>429</v>
      </c>
      <c r="BO114" s="212">
        <v>154</v>
      </c>
      <c r="BP114" s="209">
        <v>149</v>
      </c>
      <c r="BQ114" s="138">
        <v>0</v>
      </c>
      <c r="BR114" s="43">
        <v>0</v>
      </c>
      <c r="BS114" s="141">
        <v>0</v>
      </c>
      <c r="BT114" s="138">
        <v>0</v>
      </c>
      <c r="BU114" s="43">
        <v>0</v>
      </c>
      <c r="BV114" s="138">
        <v>1</v>
      </c>
      <c r="BW114" s="43" t="s">
        <v>1026</v>
      </c>
      <c r="BX114" s="141"/>
    </row>
    <row r="115" spans="4:77" x14ac:dyDescent="0.3">
      <c r="D115" s="127" t="s">
        <v>218</v>
      </c>
      <c r="E115" s="84">
        <v>8</v>
      </c>
      <c r="F115" s="86">
        <f>28+2</f>
        <v>30</v>
      </c>
      <c r="G115" s="28"/>
      <c r="H115" s="45"/>
      <c r="I115" s="28"/>
      <c r="J115" s="84"/>
      <c r="K115" s="85"/>
      <c r="L115" s="52"/>
      <c r="M115" s="54"/>
      <c r="N115" s="40"/>
      <c r="R115" s="150" t="s">
        <v>701</v>
      </c>
      <c r="S115" s="10">
        <v>7</v>
      </c>
      <c r="T115" s="37">
        <v>6</v>
      </c>
      <c r="U115" s="10"/>
      <c r="V115" s="18"/>
      <c r="W115" s="11"/>
      <c r="X115" s="18"/>
      <c r="Y115" s="11"/>
      <c r="Z115" s="179" t="s">
        <v>316</v>
      </c>
      <c r="AA115" s="37"/>
      <c r="AB115" s="39" t="s">
        <v>702</v>
      </c>
      <c r="AH115" s="196" t="s">
        <v>218</v>
      </c>
      <c r="AI115" s="138">
        <v>0</v>
      </c>
      <c r="AJ115" s="141">
        <v>14</v>
      </c>
      <c r="AK115" s="138"/>
      <c r="AL115" s="28">
        <v>0</v>
      </c>
      <c r="AM115" s="141"/>
      <c r="AN115" s="138"/>
      <c r="AO115" s="141"/>
      <c r="AP115" s="138"/>
      <c r="AQ115" s="28"/>
      <c r="AR115" s="141"/>
      <c r="AS115" s="28"/>
      <c r="AT115" s="28"/>
      <c r="AU115" s="28"/>
      <c r="AX115" s="196" t="s">
        <v>1547</v>
      </c>
      <c r="AY115" s="138">
        <v>3</v>
      </c>
      <c r="AZ115" s="141">
        <v>0</v>
      </c>
      <c r="BA115" s="138"/>
      <c r="BB115" s="28"/>
      <c r="BC115" s="141"/>
      <c r="BD115" s="138"/>
      <c r="BE115" s="141"/>
      <c r="BF115" s="138" t="s">
        <v>180</v>
      </c>
      <c r="BG115" s="186" t="s">
        <v>886</v>
      </c>
      <c r="BH115" s="141" t="s">
        <v>172</v>
      </c>
      <c r="BK115" s="135" t="s">
        <v>91</v>
      </c>
      <c r="BL115">
        <v>2018</v>
      </c>
      <c r="BM115">
        <v>2</v>
      </c>
      <c r="BN115" s="212" t="s">
        <v>99</v>
      </c>
      <c r="BO115" s="212">
        <v>0</v>
      </c>
      <c r="BP115" s="209">
        <v>0</v>
      </c>
      <c r="BQ115" s="212">
        <v>0</v>
      </c>
      <c r="BR115" s="43">
        <v>0</v>
      </c>
      <c r="BS115" s="209">
        <v>0</v>
      </c>
      <c r="BT115" s="212">
        <v>0</v>
      </c>
      <c r="BU115" s="43">
        <v>0</v>
      </c>
      <c r="BV115" s="138"/>
      <c r="BW115" s="28"/>
      <c r="BX115" s="141"/>
    </row>
    <row r="116" spans="4:77" x14ac:dyDescent="0.3">
      <c r="D116" s="98" t="s">
        <v>220</v>
      </c>
      <c r="E116" s="10">
        <v>7</v>
      </c>
      <c r="F116" s="11">
        <v>15</v>
      </c>
      <c r="G116" s="18"/>
      <c r="H116" s="18"/>
      <c r="I116" s="18"/>
      <c r="J116" s="10"/>
      <c r="K116" s="11"/>
      <c r="L116" s="52"/>
      <c r="M116" s="37"/>
      <c r="N116" s="129"/>
      <c r="R116" s="92" t="s">
        <v>97</v>
      </c>
      <c r="S116" s="84">
        <v>0</v>
      </c>
      <c r="T116" s="54">
        <v>2</v>
      </c>
      <c r="U116" s="84"/>
      <c r="V116" s="45"/>
      <c r="W116" s="85"/>
      <c r="X116" s="18"/>
      <c r="Y116" s="11"/>
      <c r="Z116" s="179"/>
      <c r="AA116" s="54"/>
      <c r="AB116" s="86"/>
      <c r="AH116" s="196" t="s">
        <v>93</v>
      </c>
      <c r="AI116" s="138">
        <v>0</v>
      </c>
      <c r="AJ116" s="141">
        <v>8</v>
      </c>
      <c r="AK116" s="138"/>
      <c r="AL116" s="28"/>
      <c r="AM116" s="141"/>
      <c r="AN116" s="138"/>
      <c r="AO116" s="141"/>
      <c r="AP116" s="138"/>
      <c r="AQ116" s="28"/>
      <c r="AR116" s="141"/>
      <c r="AS116" s="28"/>
      <c r="AT116" s="28"/>
      <c r="AU116" s="28"/>
      <c r="AX116" s="196" t="s">
        <v>1041</v>
      </c>
      <c r="AY116" s="138">
        <v>2</v>
      </c>
      <c r="AZ116" s="141">
        <v>0</v>
      </c>
      <c r="BA116" s="138"/>
      <c r="BB116" s="28"/>
      <c r="BC116" s="141"/>
      <c r="BD116" s="138"/>
      <c r="BE116" s="141"/>
      <c r="BF116" s="138" t="s">
        <v>1548</v>
      </c>
      <c r="BG116" s="28"/>
      <c r="BH116" s="141"/>
      <c r="BK116" s="135" t="s">
        <v>91</v>
      </c>
      <c r="BL116">
        <v>2018</v>
      </c>
      <c r="BM116">
        <v>2</v>
      </c>
      <c r="BN116" s="212" t="s">
        <v>158</v>
      </c>
      <c r="BO116" s="212">
        <v>0</v>
      </c>
      <c r="BP116" s="209">
        <v>0</v>
      </c>
      <c r="BQ116" s="138">
        <v>0</v>
      </c>
      <c r="BR116" s="43">
        <v>0</v>
      </c>
      <c r="BS116" s="141">
        <v>0</v>
      </c>
      <c r="BT116" s="138">
        <v>0</v>
      </c>
      <c r="BU116" s="28">
        <v>0</v>
      </c>
      <c r="BV116" s="138"/>
      <c r="BW116" s="28"/>
      <c r="BX116" s="141"/>
      <c r="BY116" s="28"/>
    </row>
    <row r="117" spans="4:77" ht="15" thickBot="1" x14ac:dyDescent="0.35">
      <c r="D117" s="13" t="s">
        <v>84</v>
      </c>
      <c r="E117" s="13">
        <f>SUM(E95:E116)</f>
        <v>273</v>
      </c>
      <c r="F117" s="26">
        <f>SUM(F95:F116)</f>
        <v>289</v>
      </c>
      <c r="G117" s="27">
        <v>0</v>
      </c>
      <c r="H117" s="27">
        <f>SUM(H95:H116)</f>
        <v>0</v>
      </c>
      <c r="I117" s="27">
        <v>0</v>
      </c>
      <c r="J117" s="130">
        <v>0</v>
      </c>
      <c r="K117" s="26">
        <v>0</v>
      </c>
      <c r="L117" s="59"/>
      <c r="M117" s="27"/>
      <c r="N117" s="26">
        <f>8+4+5+9+18+10+18+13</f>
        <v>85</v>
      </c>
      <c r="R117" s="67" t="s">
        <v>564</v>
      </c>
      <c r="S117" s="84">
        <v>5</v>
      </c>
      <c r="T117" s="54">
        <v>0</v>
      </c>
      <c r="U117" s="84"/>
      <c r="V117" s="45"/>
      <c r="W117" s="85"/>
      <c r="X117" s="45"/>
      <c r="Y117" s="85"/>
      <c r="Z117" s="179"/>
      <c r="AA117" s="54"/>
      <c r="AB117" s="180"/>
      <c r="AH117" s="199" t="s">
        <v>84</v>
      </c>
      <c r="AI117" s="142">
        <f>SUM(AI92:AI116)</f>
        <v>154</v>
      </c>
      <c r="AJ117" s="146">
        <f>SUM(AJ92:AJ116)</f>
        <v>168</v>
      </c>
      <c r="AK117" s="142">
        <v>0</v>
      </c>
      <c r="AL117" s="143">
        <f>SUM(AL92:AL116)</f>
        <v>0</v>
      </c>
      <c r="AM117" s="146">
        <v>0</v>
      </c>
      <c r="AN117" s="142">
        <v>0</v>
      </c>
      <c r="AO117" s="146">
        <v>0</v>
      </c>
      <c r="AP117" s="142"/>
      <c r="AQ117" s="143"/>
      <c r="AR117" s="146">
        <f>5+11+2+5+6+3+7+5+6+2+9+10+3+3</f>
        <v>77</v>
      </c>
      <c r="AS117" s="28"/>
      <c r="AT117" s="28"/>
      <c r="AU117" s="28"/>
      <c r="AX117" s="196" t="s">
        <v>200</v>
      </c>
      <c r="AY117" s="138">
        <v>2</v>
      </c>
      <c r="AZ117" s="141">
        <v>5</v>
      </c>
      <c r="BA117" s="138"/>
      <c r="BB117" s="28"/>
      <c r="BC117" s="141"/>
      <c r="BD117" s="138"/>
      <c r="BE117" s="141"/>
      <c r="BF117" s="138"/>
      <c r="BG117" s="28"/>
      <c r="BH117" s="141"/>
      <c r="BK117" s="135" t="s">
        <v>91</v>
      </c>
      <c r="BL117">
        <v>2018</v>
      </c>
      <c r="BM117">
        <v>2</v>
      </c>
      <c r="BN117" s="212" t="s">
        <v>1245</v>
      </c>
      <c r="BO117" s="138">
        <v>0</v>
      </c>
      <c r="BP117" s="141">
        <v>0</v>
      </c>
      <c r="BQ117" s="138">
        <v>0</v>
      </c>
      <c r="BR117" s="43">
        <v>0</v>
      </c>
      <c r="BS117" s="141">
        <v>0</v>
      </c>
      <c r="BT117" s="138">
        <v>0</v>
      </c>
      <c r="BU117" s="28">
        <v>0</v>
      </c>
      <c r="BV117" s="138"/>
      <c r="BW117" s="43"/>
      <c r="BX117" s="141"/>
    </row>
    <row r="118" spans="4:77" ht="15" thickBot="1" x14ac:dyDescent="0.35">
      <c r="D118" s="13" t="s">
        <v>223</v>
      </c>
      <c r="E118" s="13">
        <f>SUM(E117+E94+E91+E87+E83+E80+E78+E75)</f>
        <v>1743</v>
      </c>
      <c r="F118" s="26">
        <f>SUM(F117+F94+F91+F87+F83+F80+F78+F75)</f>
        <v>1816</v>
      </c>
      <c r="G118" s="27">
        <f>SUM(G117+G94+G87+G82+G80+G78+G75)</f>
        <v>0</v>
      </c>
      <c r="H118" s="27">
        <f>SUM(H95:H116)</f>
        <v>0</v>
      </c>
      <c r="I118" s="27">
        <f>SUM(I117+I94+I87+I82+I80+I78+I75)</f>
        <v>0</v>
      </c>
      <c r="J118" s="13">
        <f>SUM(J117+J94+J87+J82+J80+J78+J75)</f>
        <v>41681</v>
      </c>
      <c r="K118" s="26">
        <f>SUM(K117+K94+K87+K82+K80+K78+K75)</f>
        <v>12498</v>
      </c>
      <c r="L118" s="81"/>
      <c r="M118" s="27" t="s">
        <v>189</v>
      </c>
      <c r="N118" s="26">
        <f>SUM(N75:N116)</f>
        <v>151</v>
      </c>
      <c r="R118" s="67" t="s">
        <v>703</v>
      </c>
      <c r="S118" s="84">
        <v>0</v>
      </c>
      <c r="T118" s="54">
        <v>8</v>
      </c>
      <c r="U118" s="84"/>
      <c r="V118" s="45"/>
      <c r="W118" s="85"/>
      <c r="X118" s="45"/>
      <c r="Y118" s="85"/>
      <c r="Z118" s="179"/>
      <c r="AA118" s="54"/>
      <c r="AB118" s="180"/>
      <c r="AH118" t="s">
        <v>223</v>
      </c>
      <c r="AI118">
        <f>SUM(AI117+AI91+AI87+AI82+AI79+AI77)</f>
        <v>1595</v>
      </c>
      <c r="AJ118">
        <v>1730</v>
      </c>
      <c r="AK118">
        <v>0</v>
      </c>
      <c r="AL118">
        <f>SUM(AL117+AL91+AL87+AL82+AL79+AL75)</f>
        <v>0</v>
      </c>
      <c r="AM118">
        <v>0</v>
      </c>
      <c r="AN118">
        <f>SUM(AN117+AN91+AN87+AN81+AN79+AN75)</f>
        <v>56171</v>
      </c>
      <c r="AO118">
        <f>SUM(AO117+AO91+AO87+AO81+AO79+AO75)</f>
        <v>14544</v>
      </c>
      <c r="AQ118" t="s">
        <v>247</v>
      </c>
      <c r="AR118">
        <f>SUM(+AR91+AR87+AR82+AR79+AR77)</f>
        <v>165</v>
      </c>
      <c r="AU118" s="28"/>
      <c r="AX118" s="196" t="s">
        <v>564</v>
      </c>
      <c r="AY118" s="138">
        <v>3</v>
      </c>
      <c r="AZ118" s="141">
        <v>0</v>
      </c>
      <c r="BA118" s="138"/>
      <c r="BB118" s="28"/>
      <c r="BC118" s="141"/>
      <c r="BD118" s="138"/>
      <c r="BE118" s="141"/>
      <c r="BF118" s="138"/>
      <c r="BG118" s="28"/>
      <c r="BH118" s="141"/>
      <c r="BK118" s="135" t="s">
        <v>91</v>
      </c>
      <c r="BL118">
        <v>2018</v>
      </c>
      <c r="BM118">
        <v>2</v>
      </c>
      <c r="BN118" s="212" t="s">
        <v>1120</v>
      </c>
      <c r="BO118" s="138">
        <v>3</v>
      </c>
      <c r="BP118" s="141">
        <v>424</v>
      </c>
      <c r="BQ118" s="138">
        <v>0</v>
      </c>
      <c r="BR118" s="43">
        <v>0</v>
      </c>
      <c r="BS118" s="141">
        <v>0</v>
      </c>
      <c r="BT118" s="138">
        <v>0</v>
      </c>
      <c r="BU118" s="28">
        <v>0</v>
      </c>
      <c r="BV118" s="138"/>
      <c r="BW118" s="28"/>
      <c r="BX118" s="141"/>
      <c r="BY118" s="28"/>
    </row>
    <row r="119" spans="4:77" x14ac:dyDescent="0.3">
      <c r="D119" s="131" t="s">
        <v>225</v>
      </c>
      <c r="F119">
        <f>SUM(N117)</f>
        <v>85</v>
      </c>
      <c r="I119" s="132"/>
      <c r="J119" t="s">
        <v>298</v>
      </c>
      <c r="R119" s="127" t="s">
        <v>704</v>
      </c>
      <c r="S119" s="84">
        <v>9</v>
      </c>
      <c r="T119" s="54">
        <v>0</v>
      </c>
      <c r="U119" s="42"/>
      <c r="V119" s="45"/>
      <c r="W119" s="40"/>
      <c r="X119" s="45"/>
      <c r="Y119" s="85"/>
      <c r="Z119" s="158"/>
      <c r="AA119" s="54"/>
      <c r="AB119" s="86"/>
      <c r="AH119" t="s">
        <v>225</v>
      </c>
      <c r="AJ119">
        <f>SUM(AR117)</f>
        <v>77</v>
      </c>
      <c r="AX119" s="196" t="s">
        <v>613</v>
      </c>
      <c r="AY119" s="138">
        <v>0</v>
      </c>
      <c r="AZ119" s="141">
        <v>8</v>
      </c>
      <c r="BA119" s="138"/>
      <c r="BB119" s="28"/>
      <c r="BC119" s="141"/>
      <c r="BD119" s="138"/>
      <c r="BE119" s="141"/>
      <c r="BF119" s="138"/>
      <c r="BG119" s="28"/>
      <c r="BH119" s="141"/>
      <c r="BK119" s="135" t="s">
        <v>91</v>
      </c>
      <c r="BL119">
        <v>2018</v>
      </c>
      <c r="BM119">
        <v>2</v>
      </c>
      <c r="BN119" s="212" t="s">
        <v>89</v>
      </c>
      <c r="BO119" s="138">
        <v>1360</v>
      </c>
      <c r="BP119" s="141">
        <v>1270</v>
      </c>
      <c r="BQ119" s="138">
        <v>0</v>
      </c>
      <c r="BR119" s="28">
        <v>0</v>
      </c>
      <c r="BS119" s="141">
        <v>0</v>
      </c>
      <c r="BT119" s="138">
        <v>0</v>
      </c>
      <c r="BU119" s="28">
        <v>0</v>
      </c>
      <c r="BV119" s="138"/>
      <c r="BW119" s="28"/>
      <c r="BX119" s="141"/>
      <c r="BY119" s="28"/>
    </row>
    <row r="120" spans="4:77" x14ac:dyDescent="0.3">
      <c r="D120" t="s">
        <v>229</v>
      </c>
      <c r="F120">
        <v>21</v>
      </c>
      <c r="R120" s="127" t="s">
        <v>218</v>
      </c>
      <c r="S120" s="84">
        <v>0</v>
      </c>
      <c r="T120" s="54">
        <v>20</v>
      </c>
      <c r="U120" s="42"/>
      <c r="V120" s="45">
        <v>0</v>
      </c>
      <c r="W120" s="40"/>
      <c r="X120" s="45"/>
      <c r="Y120" s="85"/>
      <c r="Z120" s="179"/>
      <c r="AA120" s="54"/>
      <c r="AB120" s="180"/>
      <c r="AH120" t="s">
        <v>229</v>
      </c>
      <c r="AJ120">
        <v>15</v>
      </c>
      <c r="AX120" s="196" t="s">
        <v>218</v>
      </c>
      <c r="AY120" s="138">
        <v>0</v>
      </c>
      <c r="AZ120" s="141">
        <v>24</v>
      </c>
      <c r="BA120" s="138"/>
      <c r="BB120" s="28">
        <v>0</v>
      </c>
      <c r="BC120" s="141"/>
      <c r="BD120" s="138"/>
      <c r="BE120" s="141"/>
      <c r="BF120" s="138"/>
      <c r="BG120" s="28"/>
      <c r="BH120" s="141"/>
      <c r="BN120" s="212" t="s">
        <v>108</v>
      </c>
      <c r="BO120" s="212">
        <v>0</v>
      </c>
      <c r="BP120" s="209">
        <v>0</v>
      </c>
      <c r="BQ120" s="138">
        <v>0</v>
      </c>
      <c r="BR120" s="43">
        <v>0</v>
      </c>
      <c r="BS120" s="141">
        <v>0</v>
      </c>
      <c r="BT120" s="138">
        <v>0</v>
      </c>
      <c r="BU120" s="28">
        <v>0</v>
      </c>
      <c r="BV120" s="138"/>
      <c r="BW120" s="28"/>
      <c r="BX120" s="141"/>
      <c r="BY120" s="28"/>
    </row>
    <row r="121" spans="4:77" x14ac:dyDescent="0.3">
      <c r="D121" t="s">
        <v>232</v>
      </c>
      <c r="F121" t="s">
        <v>233</v>
      </c>
      <c r="H121" t="e">
        <f>SUM(#REF!)</f>
        <v>#REF!</v>
      </c>
      <c r="J121" t="s">
        <v>234</v>
      </c>
      <c r="L121" t="s">
        <v>233</v>
      </c>
      <c r="N121">
        <f>SUM(E118)</f>
        <v>1743</v>
      </c>
      <c r="R121" s="181" t="s">
        <v>705</v>
      </c>
      <c r="S121" s="10">
        <v>2</v>
      </c>
      <c r="T121" s="18">
        <v>1</v>
      </c>
      <c r="U121" s="10"/>
      <c r="V121" s="18"/>
      <c r="W121" s="11"/>
      <c r="X121" s="18"/>
      <c r="Y121" s="11"/>
      <c r="Z121" s="179"/>
      <c r="AA121" s="37"/>
      <c r="AB121" s="182"/>
      <c r="AH121" t="s">
        <v>232</v>
      </c>
      <c r="AJ121" t="s">
        <v>233</v>
      </c>
      <c r="AL121">
        <f>SUM(T119)</f>
        <v>0</v>
      </c>
      <c r="AN121" t="s">
        <v>234</v>
      </c>
      <c r="AP121" t="s">
        <v>233</v>
      </c>
      <c r="AR121">
        <f>SUM(AI118)</f>
        <v>1595</v>
      </c>
      <c r="AX121" s="196" t="s">
        <v>93</v>
      </c>
      <c r="AY121" s="138">
        <v>0</v>
      </c>
      <c r="AZ121" s="141">
        <v>0</v>
      </c>
      <c r="BA121" s="138"/>
      <c r="BB121" s="28"/>
      <c r="BC121" s="141"/>
      <c r="BD121" s="138"/>
      <c r="BE121" s="141"/>
      <c r="BF121" s="138"/>
      <c r="BG121" s="28"/>
      <c r="BH121" s="141"/>
      <c r="BK121" s="135" t="s">
        <v>91</v>
      </c>
      <c r="BL121">
        <v>2018</v>
      </c>
      <c r="BM121">
        <v>2</v>
      </c>
      <c r="BN121" s="212" t="s">
        <v>1348</v>
      </c>
      <c r="BO121" s="138">
        <v>77</v>
      </c>
      <c r="BP121" s="141">
        <v>1051</v>
      </c>
      <c r="BQ121" s="138">
        <v>0</v>
      </c>
      <c r="BR121" s="28">
        <v>0</v>
      </c>
      <c r="BS121" s="141">
        <v>0</v>
      </c>
      <c r="BT121" s="138">
        <v>0</v>
      </c>
      <c r="BU121" s="28">
        <v>0</v>
      </c>
      <c r="BV121" s="138"/>
      <c r="BW121" s="28"/>
      <c r="BX121" s="141"/>
      <c r="BY121" s="28"/>
    </row>
    <row r="122" spans="4:77" ht="15" thickBot="1" x14ac:dyDescent="0.35">
      <c r="F122" t="s">
        <v>236</v>
      </c>
      <c r="H122" t="e">
        <f>SUM(#REF!)</f>
        <v>#REF!</v>
      </c>
      <c r="L122" t="s">
        <v>236</v>
      </c>
      <c r="N122">
        <f>SUM(F118)</f>
        <v>1816</v>
      </c>
      <c r="R122" s="13" t="s">
        <v>84</v>
      </c>
      <c r="S122" s="13">
        <f>SUM(S97:S121)</f>
        <v>174</v>
      </c>
      <c r="T122" s="27">
        <f>SUM(T97:T121)</f>
        <v>202</v>
      </c>
      <c r="U122" s="13">
        <v>0</v>
      </c>
      <c r="V122" s="27">
        <f>SUM(V97:V121)</f>
        <v>0</v>
      </c>
      <c r="W122" s="26">
        <v>0</v>
      </c>
      <c r="X122" s="58">
        <v>0</v>
      </c>
      <c r="Y122" s="26">
        <v>0</v>
      </c>
      <c r="Z122" s="81"/>
      <c r="AA122" s="27"/>
      <c r="AB122" s="26">
        <f>8+10+3+3+8+6+9+3+4+5+3+6+4+6</f>
        <v>78</v>
      </c>
      <c r="AG122" t="s">
        <v>6</v>
      </c>
      <c r="AJ122" t="s">
        <v>236</v>
      </c>
      <c r="AL122">
        <f>SUM(U119)</f>
        <v>0</v>
      </c>
      <c r="AP122" t="s">
        <v>236</v>
      </c>
      <c r="AR122">
        <f>SUM(AJ118)</f>
        <v>1730</v>
      </c>
      <c r="AX122" s="199" t="s">
        <v>84</v>
      </c>
      <c r="AY122" s="142">
        <f>SUM(AY98:AY121)</f>
        <v>145</v>
      </c>
      <c r="AZ122" s="146">
        <f>SUM(AZ98:AZ121)</f>
        <v>247</v>
      </c>
      <c r="BA122" s="142">
        <v>0</v>
      </c>
      <c r="BB122" s="143">
        <f>SUM(BB98:BB121)</f>
        <v>0</v>
      </c>
      <c r="BC122" s="146">
        <f>SUM(BC98:BC121)</f>
        <v>14</v>
      </c>
      <c r="BD122" s="142">
        <v>0</v>
      </c>
      <c r="BE122" s="146">
        <v>0</v>
      </c>
      <c r="BF122" s="142"/>
      <c r="BG122" s="143"/>
      <c r="BH122" s="146">
        <f>5+4+9+3+4+3+3+5+7+4+3+7+4+1</f>
        <v>62</v>
      </c>
      <c r="BN122" s="212" t="s">
        <v>1350</v>
      </c>
      <c r="BO122" s="212">
        <v>0</v>
      </c>
      <c r="BP122" s="209">
        <v>0</v>
      </c>
      <c r="BQ122" s="212">
        <v>0</v>
      </c>
      <c r="BR122" s="43">
        <v>0</v>
      </c>
      <c r="BS122" s="209">
        <v>0</v>
      </c>
      <c r="BT122" s="212">
        <v>0</v>
      </c>
      <c r="BU122" s="43">
        <v>0</v>
      </c>
      <c r="BV122" s="142"/>
      <c r="BW122" s="143"/>
      <c r="BX122" s="251">
        <v>71</v>
      </c>
      <c r="BY122" s="28"/>
    </row>
    <row r="123" spans="4:77" ht="15" thickBot="1" x14ac:dyDescent="0.35">
      <c r="D123" s="134" t="s">
        <v>238</v>
      </c>
      <c r="E123" s="135" t="s">
        <v>239</v>
      </c>
      <c r="F123" s="136"/>
      <c r="G123" s="134" t="s">
        <v>240</v>
      </c>
      <c r="H123" s="135" t="s">
        <v>241</v>
      </c>
      <c r="I123" s="136"/>
      <c r="J123" s="134"/>
      <c r="K123" s="135" t="s">
        <v>242</v>
      </c>
      <c r="L123" s="137" t="s">
        <v>243</v>
      </c>
      <c r="M123" s="135"/>
      <c r="N123" s="135"/>
      <c r="O123" s="136"/>
      <c r="R123" s="13" t="s">
        <v>223</v>
      </c>
      <c r="S123" s="13">
        <f>SUM(S122+S96+S93+S89+S86+S83+S81)</f>
        <v>1700</v>
      </c>
      <c r="T123" s="26">
        <f>SUM(T122+T96+T93+T89+T86+T83+T81)</f>
        <v>1784</v>
      </c>
      <c r="U123" s="26">
        <f>SUM(U122+U96+U93+U89+U86+U83+U81)</f>
        <v>0</v>
      </c>
      <c r="V123" s="26">
        <f>SUM(V122+V96+V93+V89+V86+V83+V81)</f>
        <v>0</v>
      </c>
      <c r="W123" s="26">
        <f>SUM(W122+W96+W93+W89+W86+W83+W81)</f>
        <v>0</v>
      </c>
      <c r="X123" s="160">
        <f>SUM(X122+X96+X93+X89+X85+X83+X81)</f>
        <v>43510</v>
      </c>
      <c r="Y123" s="26">
        <f>SUM(Y122+Y96+Y93+Y89+Y85+Y83+Y81)</f>
        <v>10450</v>
      </c>
      <c r="Z123" s="81"/>
      <c r="AA123" s="27" t="s">
        <v>247</v>
      </c>
      <c r="AB123" s="26">
        <f>SUM(AB81:AB122)</f>
        <v>218</v>
      </c>
      <c r="AH123" t="s">
        <v>238</v>
      </c>
      <c r="AI123" t="s">
        <v>239</v>
      </c>
      <c r="AK123" t="s">
        <v>240</v>
      </c>
      <c r="AL123" t="s">
        <v>241</v>
      </c>
      <c r="AO123" t="s">
        <v>242</v>
      </c>
      <c r="AP123" t="s">
        <v>243</v>
      </c>
      <c r="AX123" t="s">
        <v>223</v>
      </c>
      <c r="AY123">
        <f>SUM(AY122+AY97+AY92+AY86+AY83+AY81+AY94)</f>
        <v>3030</v>
      </c>
      <c r="AZ123">
        <f>SUM(AZ122+AZ97+AZ92+AZ86+AZ81+AZ83+AZ94)</f>
        <v>3409</v>
      </c>
      <c r="BA123">
        <v>0</v>
      </c>
      <c r="BB123">
        <f>SUM(BB122+BB97+BB92+BB86+BB83+BB79)</f>
        <v>0</v>
      </c>
      <c r="BC123">
        <f>SUM(BC122)</f>
        <v>14</v>
      </c>
      <c r="BD123">
        <f>SUM(BD122+BD97+BD92+BD85+BD83+BD79)</f>
        <v>64543</v>
      </c>
      <c r="BE123">
        <f>SUM(BE122+BE97+BE92+BE85+BE83+BE79)</f>
        <v>16353</v>
      </c>
      <c r="BG123" t="s">
        <v>939</v>
      </c>
      <c r="BH123">
        <f>SUM(+BH97+BH92+BH86+BH83+BH81)</f>
        <v>167</v>
      </c>
      <c r="BN123" s="247" t="s">
        <v>84</v>
      </c>
      <c r="BO123" s="247">
        <f>SUM(BO108:BO122)</f>
        <v>5337</v>
      </c>
      <c r="BP123" s="248">
        <f>SUM(BP108:BP122)</f>
        <v>7730</v>
      </c>
      <c r="BQ123" s="197">
        <v>0</v>
      </c>
      <c r="BR123" s="198">
        <v>0</v>
      </c>
      <c r="BS123" s="249">
        <v>0</v>
      </c>
      <c r="BT123" s="197">
        <v>0</v>
      </c>
      <c r="BU123" s="249">
        <v>0</v>
      </c>
      <c r="BV123" s="142"/>
      <c r="BW123" s="143"/>
      <c r="BX123" s="146"/>
      <c r="BY123" s="28"/>
    </row>
    <row r="124" spans="4:77" x14ac:dyDescent="0.3">
      <c r="D124" s="138" t="s">
        <v>233</v>
      </c>
      <c r="E124" s="28"/>
      <c r="F124" s="139" t="e">
        <f>SUM(#REF!)</f>
        <v>#REF!</v>
      </c>
      <c r="G124" s="138" t="s">
        <v>233</v>
      </c>
      <c r="H124" s="28"/>
      <c r="I124" s="139" t="e">
        <f>SUM(#REF!)</f>
        <v>#REF!</v>
      </c>
      <c r="J124" s="138" t="s">
        <v>233</v>
      </c>
      <c r="K124" s="28"/>
      <c r="L124" s="140" t="e">
        <f>SUM(N121+I124)</f>
        <v>#REF!</v>
      </c>
      <c r="M124" s="28" t="s">
        <v>245</v>
      </c>
      <c r="N124" s="28" t="e">
        <f>SUM(L124+F124)</f>
        <v>#REF!</v>
      </c>
      <c r="O124" s="141"/>
      <c r="R124" s="131" t="s">
        <v>225</v>
      </c>
      <c r="T124">
        <f>SUM(AB122)</f>
        <v>78</v>
      </c>
      <c r="W124" s="132"/>
      <c r="AH124" t="s">
        <v>233</v>
      </c>
      <c r="AJ124" t="e">
        <f>SUM(#REF!)</f>
        <v>#REF!</v>
      </c>
      <c r="AK124" t="s">
        <v>233</v>
      </c>
      <c r="AM124">
        <f>SUM(F106)</f>
        <v>6</v>
      </c>
      <c r="AN124" t="s">
        <v>233</v>
      </c>
      <c r="AP124">
        <f>SUM(AM124+AI118)</f>
        <v>1601</v>
      </c>
      <c r="AQ124" t="s">
        <v>245</v>
      </c>
      <c r="AR124" t="e">
        <f>SUM(AJ124+AP124)</f>
        <v>#REF!</v>
      </c>
      <c r="AX124" t="s">
        <v>1340</v>
      </c>
      <c r="AZ124">
        <f>SUM(BH122)</f>
        <v>62</v>
      </c>
      <c r="BN124" s="134"/>
      <c r="BO124" s="134"/>
      <c r="BP124" s="136"/>
      <c r="BQ124" s="135"/>
      <c r="BR124" s="135"/>
      <c r="BS124" s="135"/>
      <c r="BT124" s="138"/>
      <c r="BU124" s="141"/>
      <c r="BV124" s="28" t="s">
        <v>1025</v>
      </c>
      <c r="BW124" s="28"/>
      <c r="BX124" s="141"/>
      <c r="BY124" s="28"/>
    </row>
    <row r="125" spans="4:77" x14ac:dyDescent="0.3">
      <c r="D125" s="142" t="s">
        <v>236</v>
      </c>
      <c r="E125" s="143"/>
      <c r="F125" s="144" t="e">
        <f>SUM(#REF!)</f>
        <v>#REF!</v>
      </c>
      <c r="G125" s="142" t="s">
        <v>236</v>
      </c>
      <c r="H125" s="143"/>
      <c r="I125" s="144" t="e">
        <f>SUM(#REF!)</f>
        <v>#REF!</v>
      </c>
      <c r="J125" s="142" t="s">
        <v>236</v>
      </c>
      <c r="K125" s="143"/>
      <c r="L125" s="145" t="e">
        <f>SUM(N122+I125)</f>
        <v>#REF!</v>
      </c>
      <c r="M125" s="143"/>
      <c r="N125" s="143" t="e">
        <f>SUM(L125+F125)</f>
        <v>#REF!</v>
      </c>
      <c r="O125" s="146"/>
      <c r="R125" t="s">
        <v>229</v>
      </c>
      <c r="T125">
        <f>2+1+7+1+2+1+2+1</f>
        <v>17</v>
      </c>
      <c r="AH125" t="s">
        <v>236</v>
      </c>
      <c r="AJ125" t="e">
        <f>SUM(#REF!)</f>
        <v>#REF!</v>
      </c>
      <c r="AK125" t="s">
        <v>236</v>
      </c>
      <c r="AM125">
        <f>SUM(G106)</f>
        <v>0</v>
      </c>
      <c r="AN125" t="s">
        <v>236</v>
      </c>
      <c r="AP125">
        <f>SUM(AM125+AJ118)</f>
        <v>1730</v>
      </c>
      <c r="AR125" t="e">
        <f>SUM(AJ125+AP125)</f>
        <v>#REF!</v>
      </c>
      <c r="AX125" t="s">
        <v>229</v>
      </c>
      <c r="AZ125">
        <v>17</v>
      </c>
      <c r="BN125" s="142" t="s">
        <v>64</v>
      </c>
      <c r="BO125" s="142">
        <v>64</v>
      </c>
      <c r="BP125" s="146">
        <v>77</v>
      </c>
      <c r="BQ125" s="28">
        <v>0</v>
      </c>
      <c r="BR125" s="43">
        <v>0</v>
      </c>
      <c r="BS125" s="43">
        <v>0</v>
      </c>
      <c r="BT125" s="142">
        <v>0</v>
      </c>
      <c r="BU125" s="146">
        <v>0</v>
      </c>
      <c r="BV125" s="143">
        <v>9</v>
      </c>
      <c r="BW125" s="143" t="s">
        <v>1026</v>
      </c>
      <c r="BX125" s="146">
        <v>9</v>
      </c>
      <c r="BY125" s="28"/>
    </row>
    <row r="126" spans="4:77" x14ac:dyDescent="0.3">
      <c r="R126" t="s">
        <v>232</v>
      </c>
      <c r="T126" t="s">
        <v>233</v>
      </c>
      <c r="V126">
        <f>SUM(G131)</f>
        <v>0</v>
      </c>
      <c r="X126" t="s">
        <v>234</v>
      </c>
      <c r="Z126" t="s">
        <v>233</v>
      </c>
      <c r="AB126">
        <f>SUM(S123)</f>
        <v>1700</v>
      </c>
      <c r="AW126" t="s">
        <v>6</v>
      </c>
      <c r="AX126" t="s">
        <v>232</v>
      </c>
      <c r="AZ126" t="s">
        <v>233</v>
      </c>
      <c r="BB126">
        <f>SUM(AJ123)</f>
        <v>0</v>
      </c>
      <c r="BD126" t="s">
        <v>234</v>
      </c>
      <c r="BF126" t="s">
        <v>233</v>
      </c>
      <c r="BH126">
        <f>SUM(AY123)</f>
        <v>3030</v>
      </c>
      <c r="BN126" s="138" t="s">
        <v>158</v>
      </c>
      <c r="BO126" s="134">
        <v>0</v>
      </c>
      <c r="BP126" s="136">
        <v>0</v>
      </c>
      <c r="BQ126" s="134">
        <v>0</v>
      </c>
      <c r="BR126" s="135">
        <v>0</v>
      </c>
      <c r="BS126" s="136">
        <v>0</v>
      </c>
      <c r="BT126" s="138">
        <v>0</v>
      </c>
      <c r="BU126" s="141">
        <v>0</v>
      </c>
      <c r="BV126" s="28" t="s">
        <v>994</v>
      </c>
      <c r="BW126" s="28"/>
      <c r="BX126" s="141"/>
      <c r="BY126" s="28"/>
    </row>
    <row r="127" spans="4:77" x14ac:dyDescent="0.3">
      <c r="Q127" t="s">
        <v>6</v>
      </c>
      <c r="T127" t="s">
        <v>236</v>
      </c>
      <c r="V127">
        <f>SUM(H131)</f>
        <v>0</v>
      </c>
      <c r="Z127" t="s">
        <v>236</v>
      </c>
      <c r="AB127">
        <f>SUM(T123)</f>
        <v>1784</v>
      </c>
      <c r="AZ127" t="s">
        <v>236</v>
      </c>
      <c r="BB127">
        <f>SUM(AK123)</f>
        <v>0</v>
      </c>
      <c r="BF127" t="s">
        <v>236</v>
      </c>
      <c r="BH127">
        <f>SUM(AZ123)</f>
        <v>3409</v>
      </c>
      <c r="BK127" s="28" t="s">
        <v>994</v>
      </c>
      <c r="BL127">
        <v>2018</v>
      </c>
      <c r="BM127">
        <v>2</v>
      </c>
      <c r="BN127" s="138" t="s">
        <v>113</v>
      </c>
      <c r="BO127" s="138">
        <v>474</v>
      </c>
      <c r="BP127" s="141">
        <v>438</v>
      </c>
      <c r="BQ127" s="138">
        <v>0</v>
      </c>
      <c r="BR127" s="43">
        <v>0</v>
      </c>
      <c r="BS127" s="209">
        <v>0</v>
      </c>
      <c r="BT127" s="138">
        <v>0</v>
      </c>
      <c r="BU127" s="141">
        <v>0</v>
      </c>
      <c r="BV127" s="43">
        <v>17</v>
      </c>
      <c r="BW127" s="28" t="s">
        <v>100</v>
      </c>
      <c r="BX127" s="141"/>
      <c r="BY127" s="28"/>
    </row>
    <row r="128" spans="4:77" ht="15" thickBot="1" x14ac:dyDescent="0.35">
      <c r="R128" s="134" t="s">
        <v>238</v>
      </c>
      <c r="S128" s="135" t="s">
        <v>239</v>
      </c>
      <c r="T128" s="136"/>
      <c r="U128" s="134" t="s">
        <v>240</v>
      </c>
      <c r="V128" s="135" t="s">
        <v>241</v>
      </c>
      <c r="W128" s="136"/>
      <c r="X128" s="134"/>
      <c r="Y128" s="135" t="s">
        <v>242</v>
      </c>
      <c r="Z128" s="137" t="s">
        <v>243</v>
      </c>
      <c r="AA128" s="135"/>
      <c r="AB128" s="135"/>
      <c r="AC128" s="136"/>
      <c r="AD128" s="28"/>
      <c r="AE128" s="28"/>
      <c r="AF128" s="28"/>
      <c r="AL128" t="s">
        <v>5</v>
      </c>
      <c r="AX128" t="s">
        <v>238</v>
      </c>
      <c r="AY128" t="s">
        <v>239</v>
      </c>
      <c r="BA128" t="s">
        <v>240</v>
      </c>
      <c r="BB128" t="s">
        <v>241</v>
      </c>
      <c r="BE128" t="s">
        <v>242</v>
      </c>
      <c r="BF128" s="131" t="s">
        <v>243</v>
      </c>
      <c r="BN128" s="142" t="s">
        <v>84</v>
      </c>
      <c r="BO128" s="142">
        <v>474</v>
      </c>
      <c r="BP128" s="146">
        <v>438</v>
      </c>
      <c r="BQ128" s="138">
        <v>0</v>
      </c>
      <c r="BR128" s="43">
        <v>0</v>
      </c>
      <c r="BS128" s="209">
        <v>0</v>
      </c>
      <c r="BT128" s="142">
        <v>0</v>
      </c>
      <c r="BU128" s="146">
        <v>0</v>
      </c>
      <c r="BV128" s="43">
        <v>24</v>
      </c>
      <c r="BW128" s="43" t="s">
        <v>1292</v>
      </c>
      <c r="BX128" s="146">
        <v>41</v>
      </c>
      <c r="BY128" s="28"/>
    </row>
    <row r="129" spans="3:77" x14ac:dyDescent="0.3">
      <c r="R129" s="138" t="s">
        <v>233</v>
      </c>
      <c r="S129" s="28"/>
      <c r="T129" s="139" t="e">
        <f>SUM(#REF!)</f>
        <v>#REF!</v>
      </c>
      <c r="U129" s="138" t="s">
        <v>233</v>
      </c>
      <c r="V129" s="28"/>
      <c r="W129" s="139" t="e">
        <f>SUM(#REF!)</f>
        <v>#REF!</v>
      </c>
      <c r="X129" s="138" t="s">
        <v>233</v>
      </c>
      <c r="Y129" s="28"/>
      <c r="Z129" s="140" t="e">
        <f>SUM(AB126+W129)</f>
        <v>#REF!</v>
      </c>
      <c r="AA129" s="28" t="s">
        <v>245</v>
      </c>
      <c r="AB129" s="28" t="e">
        <f>SUM(Z129+T129)</f>
        <v>#REF!</v>
      </c>
      <c r="AC129" s="141"/>
      <c r="AD129" s="28"/>
      <c r="AE129" s="28"/>
      <c r="AF129" s="28"/>
      <c r="AM129" t="s">
        <v>2</v>
      </c>
      <c r="AX129" t="s">
        <v>233</v>
      </c>
      <c r="AZ129" t="e">
        <f>SUM(#REF!)</f>
        <v>#REF!</v>
      </c>
      <c r="BA129" s="236" t="s">
        <v>233</v>
      </c>
      <c r="BC129">
        <f>SUM(S113)</f>
        <v>3</v>
      </c>
      <c r="BD129" t="s">
        <v>233</v>
      </c>
      <c r="BF129">
        <f>SUM(BC129+AY123)</f>
        <v>3033</v>
      </c>
      <c r="BG129" t="s">
        <v>245</v>
      </c>
      <c r="BH129" t="e">
        <f>SUM(AZ129+BF129)</f>
        <v>#REF!</v>
      </c>
      <c r="BN129" s="195" t="s">
        <v>133</v>
      </c>
      <c r="BO129" s="134">
        <v>16</v>
      </c>
      <c r="BP129" s="135">
        <v>16</v>
      </c>
      <c r="BQ129" s="32" t="s">
        <v>17</v>
      </c>
      <c r="BR129" s="411" t="s">
        <v>1357</v>
      </c>
      <c r="BS129" s="412"/>
      <c r="BT129" s="135">
        <v>0</v>
      </c>
      <c r="BU129" s="136">
        <v>0</v>
      </c>
      <c r="BV129" s="134" t="s">
        <v>140</v>
      </c>
      <c r="BW129" s="135"/>
      <c r="BX129" s="136"/>
      <c r="BY129" s="28"/>
    </row>
    <row r="130" spans="3:77" ht="15" thickBot="1" x14ac:dyDescent="0.35">
      <c r="R130" s="142" t="s">
        <v>236</v>
      </c>
      <c r="S130" s="143"/>
      <c r="T130" s="144" t="e">
        <f>SUM(#REF!)</f>
        <v>#REF!</v>
      </c>
      <c r="U130" s="142" t="s">
        <v>236</v>
      </c>
      <c r="V130" s="143"/>
      <c r="W130" s="144" t="e">
        <f>SUM(#REF!)</f>
        <v>#REF!</v>
      </c>
      <c r="X130" s="142" t="s">
        <v>236</v>
      </c>
      <c r="Y130" s="143"/>
      <c r="Z130" s="145" t="e">
        <f>SUM(AB127+W130)</f>
        <v>#REF!</v>
      </c>
      <c r="AA130" s="143"/>
      <c r="AB130" s="143" t="e">
        <f>SUM(Z130+T130)</f>
        <v>#REF!</v>
      </c>
      <c r="AC130" s="146"/>
      <c r="AD130" s="28"/>
      <c r="AE130" s="28"/>
      <c r="AF130" s="28"/>
      <c r="AK130" t="s">
        <v>13</v>
      </c>
      <c r="AX130" t="s">
        <v>236</v>
      </c>
      <c r="AZ130" t="e">
        <f>SUM(#REF!)</f>
        <v>#REF!</v>
      </c>
      <c r="BA130" s="236" t="s">
        <v>236</v>
      </c>
      <c r="BC130">
        <f>SUM(T113)</f>
        <v>0</v>
      </c>
      <c r="BD130" t="s">
        <v>236</v>
      </c>
      <c r="BF130">
        <f>SUM(BC130+AZ123)</f>
        <v>3409</v>
      </c>
      <c r="BH130" t="e">
        <f>SUM(AZ130+BF130)</f>
        <v>#REF!</v>
      </c>
      <c r="BI130" t="e">
        <f>SUM(BH129:BH130)</f>
        <v>#REF!</v>
      </c>
      <c r="BN130" s="196" t="s">
        <v>230</v>
      </c>
      <c r="BO130" s="138">
        <v>0</v>
      </c>
      <c r="BP130" s="43">
        <v>1</v>
      </c>
      <c r="BQ130" s="41"/>
      <c r="BR130" s="67"/>
      <c r="BS130" s="40"/>
      <c r="BT130" s="43">
        <v>0</v>
      </c>
      <c r="BU130" s="141">
        <v>0</v>
      </c>
      <c r="BV130" s="138"/>
      <c r="BW130" s="28"/>
      <c r="BX130" s="141"/>
      <c r="BY130" s="28"/>
    </row>
    <row r="131" spans="3:77" ht="16.2" thickBot="1" x14ac:dyDescent="0.35">
      <c r="AM131" t="s">
        <v>993</v>
      </c>
      <c r="AQ131" s="194" t="s">
        <v>950</v>
      </c>
      <c r="AX131" s="321" t="s">
        <v>1532</v>
      </c>
      <c r="AY131" s="34"/>
      <c r="AZ131" s="34"/>
      <c r="BA131" s="34"/>
      <c r="BB131" s="34"/>
      <c r="BC131" s="34"/>
      <c r="BD131" s="34"/>
      <c r="BE131" s="34"/>
      <c r="BF131" s="34"/>
      <c r="BG131" s="34"/>
      <c r="BH131" s="34"/>
      <c r="BI131" s="35"/>
      <c r="BN131" s="196" t="s">
        <v>218</v>
      </c>
      <c r="BO131" s="138">
        <v>11</v>
      </c>
      <c r="BP131" s="43">
        <v>7</v>
      </c>
      <c r="BQ131" s="46" t="s">
        <v>1361</v>
      </c>
      <c r="BR131" s="72" t="s">
        <v>1362</v>
      </c>
      <c r="BS131" s="49" t="s">
        <v>1363</v>
      </c>
      <c r="BT131" s="43">
        <v>0</v>
      </c>
      <c r="BU131" s="141">
        <v>0</v>
      </c>
      <c r="BV131" s="138"/>
      <c r="BW131" s="28"/>
      <c r="BX131" s="141"/>
      <c r="BY131" s="28"/>
    </row>
    <row r="132" spans="3:77" x14ac:dyDescent="0.3">
      <c r="AH132" s="195" t="s">
        <v>17</v>
      </c>
      <c r="AI132" s="134" t="s">
        <v>27</v>
      </c>
      <c r="AJ132" s="136"/>
      <c r="AK132" s="135" t="s">
        <v>28</v>
      </c>
      <c r="AL132" s="135"/>
      <c r="AM132" s="135"/>
      <c r="AN132" s="135" t="s">
        <v>29</v>
      </c>
      <c r="AO132" s="135" t="s">
        <v>30</v>
      </c>
      <c r="AP132" s="135" t="s">
        <v>31</v>
      </c>
      <c r="AQ132" s="135"/>
      <c r="AR132" s="136"/>
      <c r="AS132" s="28"/>
      <c r="AT132" s="28"/>
      <c r="AX132" s="42" t="s">
        <v>238</v>
      </c>
      <c r="AY132" s="28" t="s">
        <v>239</v>
      </c>
      <c r="AZ132" s="28"/>
      <c r="BA132" s="28" t="s">
        <v>240</v>
      </c>
      <c r="BB132" s="28" t="s">
        <v>241</v>
      </c>
      <c r="BC132" s="28"/>
      <c r="BD132" s="28"/>
      <c r="BE132" s="28" t="s">
        <v>242</v>
      </c>
      <c r="BF132" s="257" t="s">
        <v>243</v>
      </c>
      <c r="BG132" s="28"/>
      <c r="BH132" s="28"/>
      <c r="BI132" s="40"/>
      <c r="BN132" s="196" t="s">
        <v>211</v>
      </c>
      <c r="BO132" s="138">
        <v>15</v>
      </c>
      <c r="BP132" s="141">
        <v>0</v>
      </c>
      <c r="BQ132" s="268" t="s">
        <v>564</v>
      </c>
      <c r="BR132" s="43">
        <v>0</v>
      </c>
      <c r="BS132" s="141">
        <v>3</v>
      </c>
      <c r="BT132" s="43">
        <v>0</v>
      </c>
      <c r="BU132" s="141">
        <v>0</v>
      </c>
      <c r="BV132" s="138" t="s">
        <v>142</v>
      </c>
      <c r="BW132" s="43"/>
      <c r="BX132" s="141" t="s">
        <v>1365</v>
      </c>
      <c r="BY132" s="28"/>
    </row>
    <row r="133" spans="3:77" x14ac:dyDescent="0.3">
      <c r="AH133" s="196"/>
      <c r="AI133" s="138"/>
      <c r="AJ133" s="141"/>
      <c r="AK133" s="28"/>
      <c r="AL133" s="28"/>
      <c r="AM133" s="28"/>
      <c r="AN133" s="28"/>
      <c r="AO133" s="28" t="s">
        <v>6</v>
      </c>
      <c r="AP133" s="28" t="s">
        <v>41</v>
      </c>
      <c r="AQ133" s="28"/>
      <c r="AR133" s="141"/>
      <c r="AS133" s="28"/>
      <c r="AT133" s="28"/>
      <c r="AU133" s="28"/>
      <c r="AX133" s="42" t="s">
        <v>233</v>
      </c>
      <c r="AY133" s="28"/>
      <c r="AZ133" s="28">
        <v>38463</v>
      </c>
      <c r="BA133" s="218" t="s">
        <v>233</v>
      </c>
      <c r="BB133" s="28"/>
      <c r="BC133" s="28">
        <v>2269</v>
      </c>
      <c r="BD133" s="28" t="s">
        <v>233</v>
      </c>
      <c r="BE133" s="28"/>
      <c r="BF133" s="28">
        <f>2269+1595</f>
        <v>3864</v>
      </c>
      <c r="BG133" s="28" t="s">
        <v>245</v>
      </c>
      <c r="BH133" s="28">
        <f>SUM(AZ133+BF133)</f>
        <v>42327</v>
      </c>
      <c r="BI133" s="40"/>
      <c r="BN133" s="196" t="s">
        <v>214</v>
      </c>
      <c r="BO133" s="138">
        <v>0</v>
      </c>
      <c r="BP133" s="141">
        <v>0</v>
      </c>
      <c r="BQ133" s="268" t="s">
        <v>526</v>
      </c>
      <c r="BR133" s="255">
        <v>3</v>
      </c>
      <c r="BS133" s="141">
        <v>3</v>
      </c>
      <c r="BT133" s="43">
        <v>0</v>
      </c>
      <c r="BU133" s="141">
        <v>0</v>
      </c>
      <c r="BV133" s="138" t="s">
        <v>146</v>
      </c>
      <c r="BW133" s="28"/>
      <c r="BX133" s="256" t="s">
        <v>1366</v>
      </c>
      <c r="BY133" s="28"/>
    </row>
    <row r="134" spans="3:77" ht="16.2" thickBot="1" x14ac:dyDescent="0.35">
      <c r="G134" s="1"/>
      <c r="H134" s="1" t="s">
        <v>5</v>
      </c>
      <c r="I134" s="1"/>
      <c r="J134" s="1"/>
      <c r="K134" s="1"/>
      <c r="L134" s="1"/>
      <c r="U134" s="1"/>
      <c r="V134" s="1" t="s">
        <v>5</v>
      </c>
      <c r="W134" s="1"/>
      <c r="X134" s="1"/>
      <c r="Y134" s="1"/>
      <c r="Z134" s="1"/>
      <c r="AH134" s="199" t="s">
        <v>42</v>
      </c>
      <c r="AI134" s="142" t="s">
        <v>43</v>
      </c>
      <c r="AJ134" s="146" t="s">
        <v>44</v>
      </c>
      <c r="AK134" s="143" t="s">
        <v>45</v>
      </c>
      <c r="AL134" s="143" t="s">
        <v>46</v>
      </c>
      <c r="AM134" s="143" t="s">
        <v>52</v>
      </c>
      <c r="AN134" s="143" t="s">
        <v>43</v>
      </c>
      <c r="AO134" s="143" t="s">
        <v>44</v>
      </c>
      <c r="AP134" s="143" t="s">
        <v>54</v>
      </c>
      <c r="AQ134" s="143"/>
      <c r="AR134" s="146"/>
      <c r="AS134" s="28"/>
      <c r="AT134" s="28"/>
      <c r="AU134" s="28"/>
      <c r="AX134" s="47" t="s">
        <v>236</v>
      </c>
      <c r="AY134" s="48"/>
      <c r="AZ134" s="48">
        <v>43973</v>
      </c>
      <c r="BA134" s="320" t="s">
        <v>236</v>
      </c>
      <c r="BB134" s="48"/>
      <c r="BC134" s="48">
        <v>2291</v>
      </c>
      <c r="BD134" s="48" t="s">
        <v>236</v>
      </c>
      <c r="BE134" s="48"/>
      <c r="BF134" s="48">
        <f>2291+1730</f>
        <v>4021</v>
      </c>
      <c r="BG134" s="48"/>
      <c r="BH134" s="48">
        <f>SUM(AZ134+BF134)</f>
        <v>47994</v>
      </c>
      <c r="BI134" s="49">
        <f>SUM(BH133:BH134)</f>
        <v>90321</v>
      </c>
      <c r="BN134" s="196" t="s">
        <v>1367</v>
      </c>
      <c r="BO134" s="138">
        <v>6</v>
      </c>
      <c r="BP134" s="141">
        <v>0</v>
      </c>
      <c r="BQ134" s="268" t="s">
        <v>64</v>
      </c>
      <c r="BR134" s="43">
        <v>0</v>
      </c>
      <c r="BS134" s="141">
        <v>6</v>
      </c>
      <c r="BT134" s="43">
        <v>0</v>
      </c>
      <c r="BU134" s="141">
        <v>0</v>
      </c>
      <c r="BV134" s="138"/>
      <c r="BW134" s="28"/>
      <c r="BX134" s="141" t="s">
        <v>1368</v>
      </c>
      <c r="BY134" s="28"/>
    </row>
    <row r="135" spans="3:77" x14ac:dyDescent="0.3">
      <c r="I135" t="s">
        <v>2</v>
      </c>
      <c r="W135" t="s">
        <v>2</v>
      </c>
      <c r="AH135" s="195" t="s">
        <v>85</v>
      </c>
      <c r="AI135" s="135">
        <v>31</v>
      </c>
      <c r="AJ135" s="135">
        <v>22</v>
      </c>
      <c r="AK135" s="134"/>
      <c r="AL135" s="135"/>
      <c r="AM135" s="135"/>
      <c r="AN135" s="134"/>
      <c r="AO135" s="136"/>
      <c r="AP135" s="135" t="s">
        <v>58</v>
      </c>
      <c r="AQ135" s="135"/>
      <c r="AR135" s="136"/>
      <c r="AS135" s="28"/>
      <c r="AT135" s="28"/>
      <c r="AU135" s="28"/>
      <c r="BN135" s="196" t="s">
        <v>1118</v>
      </c>
      <c r="BO135" s="138">
        <v>4</v>
      </c>
      <c r="BP135" s="141">
        <v>0</v>
      </c>
      <c r="BQ135" s="268" t="s">
        <v>93</v>
      </c>
      <c r="BR135" s="43">
        <v>0</v>
      </c>
      <c r="BS135" s="141">
        <v>1</v>
      </c>
      <c r="BT135" s="43">
        <v>0</v>
      </c>
      <c r="BU135" s="141">
        <v>0</v>
      </c>
      <c r="BV135" s="138" t="s">
        <v>151</v>
      </c>
      <c r="BW135" s="28" t="s">
        <v>333</v>
      </c>
      <c r="BX135" s="141"/>
      <c r="BY135" s="28"/>
    </row>
    <row r="136" spans="3:77" x14ac:dyDescent="0.3">
      <c r="G136" t="s">
        <v>13</v>
      </c>
      <c r="U136" t="s">
        <v>13</v>
      </c>
      <c r="AH136" s="196" t="s">
        <v>64</v>
      </c>
      <c r="AI136" s="28">
        <v>90</v>
      </c>
      <c r="AJ136" s="28">
        <v>101</v>
      </c>
      <c r="AK136" s="138">
        <v>0</v>
      </c>
      <c r="AL136" s="28">
        <v>0</v>
      </c>
      <c r="AM136" s="28">
        <v>0</v>
      </c>
      <c r="AN136" s="138">
        <v>0</v>
      </c>
      <c r="AO136" s="141">
        <v>0</v>
      </c>
      <c r="AP136" s="43">
        <v>16</v>
      </c>
      <c r="AQ136" s="28" t="s">
        <v>474</v>
      </c>
      <c r="AR136" s="141" t="s">
        <v>6</v>
      </c>
      <c r="AS136" s="28"/>
      <c r="AT136" s="28"/>
      <c r="AU136" s="28"/>
      <c r="BN136" s="196" t="s">
        <v>113</v>
      </c>
      <c r="BO136" s="138">
        <v>82</v>
      </c>
      <c r="BP136" s="141">
        <v>49</v>
      </c>
      <c r="BQ136" s="268" t="s">
        <v>74</v>
      </c>
      <c r="BR136" s="43">
        <v>0</v>
      </c>
      <c r="BS136" s="141">
        <v>0</v>
      </c>
      <c r="BT136" s="43">
        <v>0</v>
      </c>
      <c r="BU136" s="141">
        <v>0</v>
      </c>
      <c r="BV136" s="269" t="s">
        <v>873</v>
      </c>
      <c r="BW136" s="257" t="s">
        <v>1369</v>
      </c>
      <c r="BX136" s="141" t="s">
        <v>1370</v>
      </c>
      <c r="BY136" s="28"/>
    </row>
    <row r="137" spans="3:77" ht="15" thickBot="1" x14ac:dyDescent="0.35">
      <c r="I137" t="s">
        <v>299</v>
      </c>
      <c r="M137" s="5" t="s">
        <v>16</v>
      </c>
      <c r="W137" t="s">
        <v>707</v>
      </c>
      <c r="AA137" s="5" t="s">
        <v>16</v>
      </c>
      <c r="AH137" s="196" t="s">
        <v>108</v>
      </c>
      <c r="AI137">
        <v>27</v>
      </c>
      <c r="AJ137">
        <v>36</v>
      </c>
      <c r="AK137" s="138"/>
      <c r="AL137" s="28"/>
      <c r="AM137" s="28"/>
      <c r="AN137" s="138"/>
      <c r="AO137" s="141"/>
      <c r="AP137" s="28"/>
      <c r="AQ137" s="28"/>
      <c r="AR137" s="141"/>
      <c r="AS137" s="28"/>
      <c r="AT137" s="28"/>
      <c r="AU137" s="28"/>
      <c r="BN137" s="196" t="s">
        <v>85</v>
      </c>
      <c r="BO137" s="138">
        <v>0</v>
      </c>
      <c r="BP137" s="141">
        <v>0</v>
      </c>
      <c r="BQ137" s="268" t="s">
        <v>169</v>
      </c>
      <c r="BR137" s="43">
        <v>0</v>
      </c>
      <c r="BS137" s="141">
        <v>3</v>
      </c>
      <c r="BT137" s="43">
        <v>0</v>
      </c>
      <c r="BU137" s="141">
        <v>0</v>
      </c>
      <c r="BV137" s="212" t="s">
        <v>507</v>
      </c>
      <c r="BW137" s="28" t="s">
        <v>1371</v>
      </c>
      <c r="BX137" s="141" t="s">
        <v>1372</v>
      </c>
      <c r="BY137" s="28"/>
    </row>
    <row r="138" spans="3:77" x14ac:dyDescent="0.3">
      <c r="D138" s="6" t="s">
        <v>17</v>
      </c>
      <c r="E138" s="6" t="s">
        <v>27</v>
      </c>
      <c r="F138" s="7"/>
      <c r="G138" s="8" t="s">
        <v>28</v>
      </c>
      <c r="H138" s="8"/>
      <c r="I138" s="8"/>
      <c r="J138" s="6" t="s">
        <v>29</v>
      </c>
      <c r="K138" s="7" t="s">
        <v>30</v>
      </c>
      <c r="L138" s="8" t="s">
        <v>31</v>
      </c>
      <c r="M138" s="8"/>
      <c r="N138" s="7"/>
      <c r="R138" s="6" t="s">
        <v>17</v>
      </c>
      <c r="S138" s="6" t="s">
        <v>27</v>
      </c>
      <c r="T138" s="7"/>
      <c r="U138" s="8" t="s">
        <v>28</v>
      </c>
      <c r="V138" s="8"/>
      <c r="W138" s="8"/>
      <c r="X138" s="6" t="s">
        <v>29</v>
      </c>
      <c r="Y138" s="7" t="s">
        <v>30</v>
      </c>
      <c r="Z138" s="8" t="s">
        <v>31</v>
      </c>
      <c r="AA138" s="8"/>
      <c r="AB138" s="7"/>
      <c r="AH138" s="199" t="s">
        <v>84</v>
      </c>
      <c r="AI138" s="143">
        <f>SUM(AI135:AI137)</f>
        <v>148</v>
      </c>
      <c r="AJ138" s="143">
        <f>SUM(AJ135:AJ137)</f>
        <v>159</v>
      </c>
      <c r="AK138" s="142"/>
      <c r="AL138" s="143"/>
      <c r="AM138" s="143"/>
      <c r="AN138" s="142"/>
      <c r="AO138" s="146"/>
      <c r="AP138" s="143">
        <v>5</v>
      </c>
      <c r="AQ138" s="143" t="s">
        <v>69</v>
      </c>
      <c r="AR138" s="146">
        <f>SUM(AP136:AP138)</f>
        <v>21</v>
      </c>
      <c r="AS138" s="28"/>
      <c r="AT138" s="28"/>
      <c r="AU138" s="28"/>
      <c r="BN138" s="196" t="s">
        <v>1373</v>
      </c>
      <c r="BO138" s="138">
        <v>3</v>
      </c>
      <c r="BP138" s="141">
        <v>0</v>
      </c>
      <c r="BQ138" s="268" t="s">
        <v>1374</v>
      </c>
      <c r="BR138" s="43">
        <v>0</v>
      </c>
      <c r="BS138" s="141">
        <v>5</v>
      </c>
      <c r="BT138" s="43">
        <v>0</v>
      </c>
      <c r="BU138" s="141">
        <v>0</v>
      </c>
      <c r="BV138" s="212" t="s">
        <v>768</v>
      </c>
      <c r="BW138" s="43" t="s">
        <v>842</v>
      </c>
      <c r="BX138" s="141" t="s">
        <v>1375</v>
      </c>
      <c r="BY138" s="28"/>
    </row>
    <row r="139" spans="3:77" x14ac:dyDescent="0.3">
      <c r="D139" s="10"/>
      <c r="E139" s="10"/>
      <c r="F139" s="11"/>
      <c r="G139" s="3"/>
      <c r="H139" s="3"/>
      <c r="I139" s="3"/>
      <c r="J139" s="10"/>
      <c r="K139" s="11" t="s">
        <v>6</v>
      </c>
      <c r="L139" s="3" t="s">
        <v>41</v>
      </c>
      <c r="M139" s="3"/>
      <c r="N139" s="11"/>
      <c r="R139" s="10"/>
      <c r="S139" s="10"/>
      <c r="T139" s="11"/>
      <c r="U139" s="3"/>
      <c r="V139" s="3"/>
      <c r="W139" s="3"/>
      <c r="X139" s="10"/>
      <c r="Y139" s="11" t="s">
        <v>6</v>
      </c>
      <c r="Z139" s="3" t="s">
        <v>41</v>
      </c>
      <c r="AA139" s="3"/>
      <c r="AB139" s="11"/>
      <c r="AH139" s="195"/>
      <c r="AI139" s="134"/>
      <c r="AJ139" s="136"/>
      <c r="AK139" s="135"/>
      <c r="AL139" s="135"/>
      <c r="AM139" s="135"/>
      <c r="AN139" s="134"/>
      <c r="AO139" s="136"/>
      <c r="AP139" s="135" t="s">
        <v>82</v>
      </c>
      <c r="AQ139" s="135"/>
      <c r="AR139" s="136"/>
      <c r="AS139" s="28"/>
      <c r="AT139" s="28"/>
      <c r="AU139" s="28"/>
      <c r="BN139" s="196" t="s">
        <v>1041</v>
      </c>
      <c r="BO139" s="138">
        <v>0</v>
      </c>
      <c r="BP139" s="141">
        <v>0</v>
      </c>
      <c r="BQ139" s="268" t="s">
        <v>1376</v>
      </c>
      <c r="BR139" s="270">
        <v>0</v>
      </c>
      <c r="BS139" s="141">
        <v>1</v>
      </c>
      <c r="BT139" s="43">
        <v>0</v>
      </c>
      <c r="BU139" s="141">
        <v>0</v>
      </c>
      <c r="BV139" s="138" t="s">
        <v>1377</v>
      </c>
      <c r="BW139" s="43" t="s">
        <v>627</v>
      </c>
      <c r="BX139" s="141"/>
      <c r="BY139" s="28"/>
    </row>
    <row r="140" spans="3:77" ht="15" thickBot="1" x14ac:dyDescent="0.35">
      <c r="D140" s="13" t="s">
        <v>42</v>
      </c>
      <c r="E140" s="13" t="s">
        <v>43</v>
      </c>
      <c r="F140" s="26" t="s">
        <v>44</v>
      </c>
      <c r="G140" s="27" t="s">
        <v>45</v>
      </c>
      <c r="H140" s="27" t="s">
        <v>46</v>
      </c>
      <c r="I140" s="27" t="s">
        <v>52</v>
      </c>
      <c r="J140" s="13" t="s">
        <v>43</v>
      </c>
      <c r="K140" s="26" t="s">
        <v>44</v>
      </c>
      <c r="L140" s="27" t="s">
        <v>54</v>
      </c>
      <c r="M140" s="27"/>
      <c r="N140" s="26"/>
      <c r="R140" s="13" t="s">
        <v>42</v>
      </c>
      <c r="S140" s="13" t="s">
        <v>43</v>
      </c>
      <c r="T140" s="26" t="s">
        <v>44</v>
      </c>
      <c r="U140" s="27" t="s">
        <v>45</v>
      </c>
      <c r="V140" s="27" t="s">
        <v>46</v>
      </c>
      <c r="W140" s="27" t="s">
        <v>52</v>
      </c>
      <c r="X140" s="13" t="s">
        <v>43</v>
      </c>
      <c r="Y140" s="26" t="s">
        <v>44</v>
      </c>
      <c r="Z140" s="27" t="s">
        <v>54</v>
      </c>
      <c r="AA140" s="27"/>
      <c r="AB140" s="26"/>
      <c r="AH140" s="199" t="s">
        <v>85</v>
      </c>
      <c r="AI140" s="142">
        <v>3</v>
      </c>
      <c r="AJ140" s="146">
        <v>2</v>
      </c>
      <c r="AK140" s="143"/>
      <c r="AL140" s="143">
        <v>0</v>
      </c>
      <c r="AM140" s="143">
        <v>0</v>
      </c>
      <c r="AN140" s="142">
        <v>0</v>
      </c>
      <c r="AO140" s="146">
        <v>0</v>
      </c>
      <c r="AP140" s="143">
        <v>1</v>
      </c>
      <c r="AQ140" s="143" t="s">
        <v>86</v>
      </c>
      <c r="AR140" s="146">
        <f>SUM(AP140)</f>
        <v>1</v>
      </c>
      <c r="AS140" s="28"/>
      <c r="AT140" s="28"/>
      <c r="AU140" s="28"/>
      <c r="BB140" t="s">
        <v>5</v>
      </c>
      <c r="BN140" s="196" t="s">
        <v>760</v>
      </c>
      <c r="BO140" s="138">
        <v>7</v>
      </c>
      <c r="BP140" s="141">
        <v>5</v>
      </c>
      <c r="BQ140" s="268" t="s">
        <v>108</v>
      </c>
      <c r="BR140" s="43">
        <v>0</v>
      </c>
      <c r="BS140" s="141">
        <v>0</v>
      </c>
      <c r="BT140" s="43">
        <v>0</v>
      </c>
      <c r="BU140" s="141">
        <v>0</v>
      </c>
      <c r="BV140" s="138" t="s">
        <v>1378</v>
      </c>
      <c r="BW140" s="43" t="s">
        <v>1379</v>
      </c>
      <c r="BX140" s="141"/>
      <c r="BY140" s="28"/>
    </row>
    <row r="141" spans="3:77" x14ac:dyDescent="0.3">
      <c r="D141" s="32" t="s">
        <v>85</v>
      </c>
      <c r="E141">
        <v>27</v>
      </c>
      <c r="F141">
        <v>27</v>
      </c>
      <c r="G141" s="33"/>
      <c r="H141" s="34"/>
      <c r="I141" s="34"/>
      <c r="J141" s="33"/>
      <c r="K141" s="35"/>
      <c r="L141" s="34" t="s">
        <v>58</v>
      </c>
      <c r="M141" s="8"/>
      <c r="N141" s="7"/>
      <c r="R141" s="32" t="s">
        <v>85</v>
      </c>
      <c r="S141">
        <v>20</v>
      </c>
      <c r="T141">
        <v>22</v>
      </c>
      <c r="U141" s="33"/>
      <c r="V141" s="34"/>
      <c r="W141" s="34"/>
      <c r="X141" s="33"/>
      <c r="Y141" s="35"/>
      <c r="Z141" s="34" t="s">
        <v>58</v>
      </c>
      <c r="AA141" s="8"/>
      <c r="AB141" s="7"/>
      <c r="AH141" s="195" t="s">
        <v>107</v>
      </c>
      <c r="AI141" s="134">
        <v>0</v>
      </c>
      <c r="AJ141" s="136">
        <v>0</v>
      </c>
      <c r="AK141" s="135"/>
      <c r="AL141" s="135"/>
      <c r="AM141" s="135"/>
      <c r="AN141" s="134"/>
      <c r="AO141" s="136"/>
      <c r="AP141" s="135"/>
      <c r="AQ141" s="135" t="s">
        <v>92</v>
      </c>
      <c r="AR141" s="136"/>
      <c r="AS141" s="28"/>
      <c r="AT141" s="28"/>
      <c r="AU141" s="28"/>
      <c r="BC141" t="s">
        <v>2</v>
      </c>
      <c r="BN141" s="196" t="s">
        <v>200</v>
      </c>
      <c r="BO141" s="138">
        <v>12</v>
      </c>
      <c r="BP141" s="141">
        <v>13</v>
      </c>
      <c r="BQ141" s="268" t="s">
        <v>89</v>
      </c>
      <c r="BR141" s="43">
        <v>1</v>
      </c>
      <c r="BS141" s="141">
        <v>1</v>
      </c>
      <c r="BT141" s="43">
        <v>0</v>
      </c>
      <c r="BU141" s="141">
        <v>0</v>
      </c>
      <c r="BV141" s="212" t="s">
        <v>292</v>
      </c>
      <c r="BW141" s="43" t="s">
        <v>515</v>
      </c>
      <c r="BX141" s="141"/>
      <c r="BY141" s="28"/>
    </row>
    <row r="142" spans="3:77" x14ac:dyDescent="0.3">
      <c r="D142" s="44" t="s">
        <v>64</v>
      </c>
      <c r="E142" s="18">
        <v>39</v>
      </c>
      <c r="F142" s="18">
        <v>24</v>
      </c>
      <c r="G142" s="10">
        <v>0</v>
      </c>
      <c r="H142" s="18">
        <v>0</v>
      </c>
      <c r="I142" s="18">
        <v>0</v>
      </c>
      <c r="J142" s="10">
        <v>0</v>
      </c>
      <c r="K142" s="11">
        <v>0</v>
      </c>
      <c r="L142" s="45">
        <v>2</v>
      </c>
      <c r="M142" s="28" t="s">
        <v>249</v>
      </c>
      <c r="N142" s="11" t="s">
        <v>300</v>
      </c>
      <c r="R142" s="44" t="s">
        <v>64</v>
      </c>
      <c r="S142" s="18">
        <v>90</v>
      </c>
      <c r="T142" s="18">
        <v>102</v>
      </c>
      <c r="U142" s="10">
        <v>0</v>
      </c>
      <c r="V142" s="18">
        <v>0</v>
      </c>
      <c r="W142" s="18">
        <v>0</v>
      </c>
      <c r="X142" s="10">
        <v>0</v>
      </c>
      <c r="Y142" s="11">
        <v>0</v>
      </c>
      <c r="Z142" s="45">
        <v>11</v>
      </c>
      <c r="AA142" s="28" t="s">
        <v>474</v>
      </c>
      <c r="AB142" s="11" t="s">
        <v>6</v>
      </c>
      <c r="AH142" s="196" t="s">
        <v>99</v>
      </c>
      <c r="AI142" s="138">
        <v>0</v>
      </c>
      <c r="AJ142" s="141">
        <v>0</v>
      </c>
      <c r="AK142" s="28">
        <v>0</v>
      </c>
      <c r="AL142" s="28">
        <v>0</v>
      </c>
      <c r="AM142" s="28">
        <v>0</v>
      </c>
      <c r="AN142" s="138">
        <v>62599</v>
      </c>
      <c r="AO142" s="141">
        <v>16362</v>
      </c>
      <c r="AP142" s="43">
        <v>31</v>
      </c>
      <c r="AQ142" s="28" t="s">
        <v>100</v>
      </c>
      <c r="AR142" s="141"/>
      <c r="AS142" s="28"/>
      <c r="AT142" s="28"/>
      <c r="AU142" s="28"/>
      <c r="BA142" t="s">
        <v>13</v>
      </c>
      <c r="BN142" s="196" t="s">
        <v>596</v>
      </c>
      <c r="BO142" s="138">
        <v>0</v>
      </c>
      <c r="BP142" s="141">
        <v>1</v>
      </c>
      <c r="BQ142" s="268" t="s">
        <v>1380</v>
      </c>
      <c r="BR142" s="270">
        <v>2</v>
      </c>
      <c r="BS142" s="141">
        <v>2</v>
      </c>
      <c r="BT142" s="43">
        <v>0</v>
      </c>
      <c r="BU142" s="141">
        <v>0</v>
      </c>
      <c r="BV142" s="138" t="s">
        <v>938</v>
      </c>
      <c r="BW142" s="43" t="s">
        <v>1381</v>
      </c>
      <c r="BX142" s="209"/>
      <c r="BY142" s="28"/>
    </row>
    <row r="143" spans="3:77" ht="16.2" thickBot="1" x14ac:dyDescent="0.35">
      <c r="C143" s="28"/>
      <c r="D143" s="46" t="s">
        <v>84</v>
      </c>
      <c r="E143">
        <f>SUM(E141:E142)</f>
        <v>66</v>
      </c>
      <c r="F143">
        <f>SUM(F141:F142)</f>
        <v>51</v>
      </c>
      <c r="G143" s="47"/>
      <c r="H143" s="48"/>
      <c r="I143" s="48"/>
      <c r="J143" s="47"/>
      <c r="K143" s="49"/>
      <c r="L143" s="48">
        <v>3</v>
      </c>
      <c r="M143" s="48" t="s">
        <v>69</v>
      </c>
      <c r="N143" s="49">
        <f>SUM(L142:L143)+2</f>
        <v>7</v>
      </c>
      <c r="Q143" s="28"/>
      <c r="R143" s="46" t="s">
        <v>84</v>
      </c>
      <c r="S143">
        <f>SUM(S141:S142)</f>
        <v>110</v>
      </c>
      <c r="T143">
        <f>SUM(T141:T142)</f>
        <v>124</v>
      </c>
      <c r="U143" s="47"/>
      <c r="V143" s="48"/>
      <c r="W143" s="48"/>
      <c r="X143" s="47"/>
      <c r="Y143" s="49"/>
      <c r="Z143" s="48"/>
      <c r="AA143" s="48" t="s">
        <v>69</v>
      </c>
      <c r="AB143" s="49">
        <f>SUM(Z142:Z143)</f>
        <v>11</v>
      </c>
      <c r="AH143" s="199" t="s">
        <v>84</v>
      </c>
      <c r="AI143" s="142">
        <f>SUM(AI141:AI142)</f>
        <v>0</v>
      </c>
      <c r="AJ143" s="146">
        <f>SUM(AJ141:AJ142)</f>
        <v>0</v>
      </c>
      <c r="AK143" s="143"/>
      <c r="AL143" s="143"/>
      <c r="AM143" s="143"/>
      <c r="AN143" s="142"/>
      <c r="AO143" s="146"/>
      <c r="AP143" s="143">
        <v>0</v>
      </c>
      <c r="AQ143" s="143" t="s">
        <v>506</v>
      </c>
      <c r="AR143" s="146">
        <f>SUM(AP142:AP143)</f>
        <v>31</v>
      </c>
      <c r="AS143" s="28"/>
      <c r="AT143" s="28"/>
      <c r="AU143" s="28"/>
      <c r="BC143" t="s">
        <v>1549</v>
      </c>
      <c r="BG143" s="194" t="s">
        <v>950</v>
      </c>
      <c r="BN143" s="196" t="s">
        <v>657</v>
      </c>
      <c r="BO143" s="138">
        <v>0</v>
      </c>
      <c r="BP143" s="141">
        <v>3</v>
      </c>
      <c r="BQ143" s="252"/>
      <c r="BR143" s="38"/>
      <c r="BS143" s="141"/>
      <c r="BT143" s="43">
        <v>0</v>
      </c>
      <c r="BU143" s="141">
        <v>0</v>
      </c>
      <c r="BV143" s="138" t="s">
        <v>513</v>
      </c>
      <c r="BW143" s="258" t="s">
        <v>1382</v>
      </c>
      <c r="BX143" s="209"/>
      <c r="BY143" s="28"/>
    </row>
    <row r="144" spans="3:77" x14ac:dyDescent="0.3">
      <c r="C144" s="28"/>
      <c r="D144" s="33"/>
      <c r="E144" s="33"/>
      <c r="F144" s="35"/>
      <c r="G144" s="34"/>
      <c r="H144" s="34"/>
      <c r="I144" s="34"/>
      <c r="J144" s="33"/>
      <c r="K144" s="35"/>
      <c r="L144" s="8" t="s">
        <v>6</v>
      </c>
      <c r="M144" s="34"/>
      <c r="N144" s="35"/>
      <c r="Q144" s="28"/>
      <c r="R144" s="33"/>
      <c r="S144" s="33"/>
      <c r="T144" s="35"/>
      <c r="U144" s="34"/>
      <c r="V144" s="34"/>
      <c r="W144" s="34"/>
      <c r="X144" s="33"/>
      <c r="Y144" s="35"/>
      <c r="Z144" s="53" t="s">
        <v>82</v>
      </c>
      <c r="AA144" s="34"/>
      <c r="AB144" s="35"/>
      <c r="AE144" s="28" t="s">
        <v>91</v>
      </c>
      <c r="AF144">
        <v>2016</v>
      </c>
      <c r="AG144">
        <v>3</v>
      </c>
      <c r="AH144" s="196"/>
      <c r="AI144" s="138"/>
      <c r="AJ144" s="141"/>
      <c r="AN144" s="138"/>
      <c r="AO144" s="141"/>
      <c r="AP144" s="134"/>
      <c r="AQ144" s="135"/>
      <c r="AR144" s="136"/>
      <c r="AS144" s="28"/>
      <c r="AT144" s="28"/>
      <c r="AU144" s="28"/>
      <c r="AX144" s="195" t="s">
        <v>17</v>
      </c>
      <c r="AY144" s="134" t="s">
        <v>27</v>
      </c>
      <c r="AZ144" s="136"/>
      <c r="BA144" s="135" t="s">
        <v>28</v>
      </c>
      <c r="BB144" s="135"/>
      <c r="BC144" s="135"/>
      <c r="BD144" s="135" t="s">
        <v>29</v>
      </c>
      <c r="BE144" s="135" t="s">
        <v>30</v>
      </c>
      <c r="BF144" s="135" t="s">
        <v>31</v>
      </c>
      <c r="BG144" s="135"/>
      <c r="BH144" s="136"/>
      <c r="BN144" s="196" t="s">
        <v>99</v>
      </c>
      <c r="BO144" s="138">
        <v>0</v>
      </c>
      <c r="BP144" s="141">
        <v>3</v>
      </c>
      <c r="BQ144" s="252"/>
      <c r="BR144" s="43"/>
      <c r="BS144" s="141"/>
      <c r="BT144" s="43">
        <v>0</v>
      </c>
      <c r="BU144" s="141">
        <v>0</v>
      </c>
      <c r="BV144" s="138" t="s">
        <v>544</v>
      </c>
      <c r="BW144" s="43" t="s">
        <v>304</v>
      </c>
      <c r="BX144" s="141"/>
      <c r="BY144" s="28"/>
    </row>
    <row r="145" spans="1:77" ht="16.2" thickBot="1" x14ac:dyDescent="0.35">
      <c r="C145" s="28"/>
      <c r="D145" s="47" t="s">
        <v>6</v>
      </c>
      <c r="E145" s="47"/>
      <c r="F145" s="49"/>
      <c r="G145" s="48">
        <v>0</v>
      </c>
      <c r="H145" s="48">
        <v>0</v>
      </c>
      <c r="I145" s="48">
        <v>0</v>
      </c>
      <c r="J145" s="47">
        <v>0</v>
      </c>
      <c r="K145" s="49">
        <v>0</v>
      </c>
      <c r="L145" s="51"/>
      <c r="M145" s="48" t="s">
        <v>6</v>
      </c>
      <c r="N145" s="49">
        <f>SUM(L145)</f>
        <v>0</v>
      </c>
      <c r="Q145" s="28"/>
      <c r="R145" s="47" t="s">
        <v>85</v>
      </c>
      <c r="S145" s="47">
        <v>5</v>
      </c>
      <c r="T145" s="49">
        <v>5</v>
      </c>
      <c r="U145" s="48"/>
      <c r="V145" s="48">
        <v>0</v>
      </c>
      <c r="W145" s="48">
        <v>0</v>
      </c>
      <c r="X145" s="47">
        <v>0</v>
      </c>
      <c r="Y145" s="49">
        <v>0</v>
      </c>
      <c r="Z145" s="51">
        <v>1</v>
      </c>
      <c r="AA145" s="48" t="s">
        <v>86</v>
      </c>
      <c r="AB145" s="49">
        <f>SUM(Z145)</f>
        <v>1</v>
      </c>
      <c r="AE145" s="28" t="s">
        <v>91</v>
      </c>
      <c r="AF145">
        <v>2016</v>
      </c>
      <c r="AG145">
        <v>3</v>
      </c>
      <c r="AH145" s="196" t="s">
        <v>89</v>
      </c>
      <c r="AI145" s="138">
        <v>665</v>
      </c>
      <c r="AJ145" s="141">
        <v>564</v>
      </c>
      <c r="AN145" s="138"/>
      <c r="AO145" s="141"/>
      <c r="AP145" s="138"/>
      <c r="AQ145" s="28" t="s">
        <v>91</v>
      </c>
      <c r="AR145" s="141"/>
      <c r="AS145" s="28"/>
      <c r="AT145" s="28"/>
      <c r="AU145" s="28"/>
      <c r="AX145" s="196"/>
      <c r="AY145" s="138"/>
      <c r="AZ145" s="141"/>
      <c r="BA145" s="28"/>
      <c r="BB145" s="28"/>
      <c r="BC145" s="28"/>
      <c r="BD145" s="28"/>
      <c r="BE145" s="28" t="s">
        <v>6</v>
      </c>
      <c r="BF145" s="28" t="s">
        <v>41</v>
      </c>
      <c r="BG145" s="28"/>
      <c r="BH145" s="141"/>
      <c r="BN145" s="259" t="s">
        <v>502</v>
      </c>
      <c r="BO145" s="138">
        <v>0</v>
      </c>
      <c r="BP145" s="141">
        <v>0</v>
      </c>
      <c r="BQ145" s="252"/>
      <c r="BR145" s="43"/>
      <c r="BS145" s="141"/>
      <c r="BT145" s="43">
        <v>0</v>
      </c>
      <c r="BU145" s="141">
        <v>0</v>
      </c>
      <c r="BV145" s="138" t="s">
        <v>490</v>
      </c>
      <c r="BW145" s="258" t="s">
        <v>1383</v>
      </c>
      <c r="BX145" s="260"/>
      <c r="BY145" s="28"/>
    </row>
    <row r="146" spans="1:77" ht="15.6" x14ac:dyDescent="0.3">
      <c r="C146" s="28"/>
      <c r="D146" s="33"/>
      <c r="E146" s="33"/>
      <c r="F146" s="35"/>
      <c r="G146" s="34"/>
      <c r="H146" s="34"/>
      <c r="I146" s="34"/>
      <c r="J146" s="33"/>
      <c r="K146" s="35"/>
      <c r="L146" s="53" t="s">
        <v>82</v>
      </c>
      <c r="M146" s="34"/>
      <c r="N146" s="35"/>
      <c r="Q146" s="28"/>
      <c r="R146" s="50" t="s">
        <v>107</v>
      </c>
      <c r="S146" s="31">
        <v>112</v>
      </c>
      <c r="T146" s="31">
        <v>105</v>
      </c>
      <c r="U146" s="29"/>
      <c r="V146" s="31"/>
      <c r="W146" s="30"/>
      <c r="X146" s="55">
        <v>0</v>
      </c>
      <c r="Y146" s="8">
        <v>0</v>
      </c>
      <c r="Z146" s="29"/>
      <c r="AA146" s="34" t="s">
        <v>92</v>
      </c>
      <c r="AB146" s="35"/>
      <c r="AE146" s="28" t="s">
        <v>91</v>
      </c>
      <c r="AF146">
        <v>2016</v>
      </c>
      <c r="AG146">
        <v>3</v>
      </c>
      <c r="AH146" s="196" t="s">
        <v>137</v>
      </c>
      <c r="AI146" s="138">
        <v>12</v>
      </c>
      <c r="AJ146" s="141">
        <v>64</v>
      </c>
      <c r="AN146" s="138"/>
      <c r="AO146" s="141"/>
      <c r="AP146" s="138">
        <v>38</v>
      </c>
      <c r="AQ146" s="43" t="s">
        <v>145</v>
      </c>
      <c r="AR146" s="141"/>
      <c r="AS146" s="28"/>
      <c r="AT146" s="28"/>
      <c r="AU146" s="28"/>
      <c r="AX146" s="199" t="s">
        <v>42</v>
      </c>
      <c r="AY146" s="142" t="s">
        <v>43</v>
      </c>
      <c r="AZ146" s="146" t="s">
        <v>44</v>
      </c>
      <c r="BA146" s="143" t="s">
        <v>45</v>
      </c>
      <c r="BB146" s="143" t="s">
        <v>46</v>
      </c>
      <c r="BC146" s="143" t="s">
        <v>52</v>
      </c>
      <c r="BD146" s="143" t="s">
        <v>43</v>
      </c>
      <c r="BE146" s="143" t="s">
        <v>44</v>
      </c>
      <c r="BF146" s="143" t="s">
        <v>54</v>
      </c>
      <c r="BG146" s="143"/>
      <c r="BH146" s="146"/>
      <c r="BN146" s="196" t="s">
        <v>174</v>
      </c>
      <c r="BO146" s="138">
        <v>0</v>
      </c>
      <c r="BP146" s="141">
        <v>0</v>
      </c>
      <c r="BQ146" s="252"/>
      <c r="BR146" s="43"/>
      <c r="BS146" s="141"/>
      <c r="BT146" s="43">
        <v>0</v>
      </c>
      <c r="BU146" s="141">
        <v>0</v>
      </c>
      <c r="BV146" s="138" t="s">
        <v>1384</v>
      </c>
      <c r="BW146" s="258" t="s">
        <v>1336</v>
      </c>
      <c r="BX146" s="141"/>
      <c r="BY146" s="28"/>
    </row>
    <row r="147" spans="1:77" ht="16.2" thickBot="1" x14ac:dyDescent="0.35">
      <c r="C147" s="28"/>
      <c r="D147" s="47" t="s">
        <v>85</v>
      </c>
      <c r="E147" s="47">
        <v>3</v>
      </c>
      <c r="F147" s="49">
        <v>5</v>
      </c>
      <c r="G147" s="48">
        <v>0</v>
      </c>
      <c r="H147" s="48">
        <v>0</v>
      </c>
      <c r="I147" s="48">
        <v>0</v>
      </c>
      <c r="J147" s="47">
        <v>0</v>
      </c>
      <c r="K147" s="49">
        <v>0</v>
      </c>
      <c r="L147" s="51">
        <v>1</v>
      </c>
      <c r="M147" s="48" t="s">
        <v>86</v>
      </c>
      <c r="N147" s="49">
        <f>SUM(L147)</f>
        <v>1</v>
      </c>
      <c r="Q147" s="28"/>
      <c r="R147" s="41" t="s">
        <v>99</v>
      </c>
      <c r="S147" s="45">
        <v>0</v>
      </c>
      <c r="T147" s="45">
        <v>0</v>
      </c>
      <c r="U147" s="42">
        <v>0</v>
      </c>
      <c r="V147" s="45">
        <v>0</v>
      </c>
      <c r="W147" s="40">
        <v>0</v>
      </c>
      <c r="X147" s="45">
        <v>53860</v>
      </c>
      <c r="Y147" s="56">
        <f>1818+12498</f>
        <v>14316</v>
      </c>
      <c r="Z147" s="52">
        <f>56/2</f>
        <v>28</v>
      </c>
      <c r="AA147" s="37" t="s">
        <v>100</v>
      </c>
      <c r="AB147" s="40"/>
      <c r="AE147" s="28" t="s">
        <v>91</v>
      </c>
      <c r="AF147">
        <v>2016</v>
      </c>
      <c r="AG147">
        <v>3</v>
      </c>
      <c r="AH147" s="196" t="s">
        <v>113</v>
      </c>
      <c r="AI147" s="138">
        <v>793</v>
      </c>
      <c r="AJ147" s="141">
        <v>834</v>
      </c>
      <c r="AN147" s="138"/>
      <c r="AO147" s="141"/>
      <c r="AP147" s="138">
        <v>45</v>
      </c>
      <c r="AQ147" s="28" t="s">
        <v>73</v>
      </c>
      <c r="AR147" s="141"/>
      <c r="AS147" s="28"/>
      <c r="AT147" s="28"/>
      <c r="AU147" s="28"/>
      <c r="AX147" s="195" t="s">
        <v>6</v>
      </c>
      <c r="AY147" s="135"/>
      <c r="AZ147" s="135"/>
      <c r="BA147" s="134"/>
      <c r="BB147" s="135"/>
      <c r="BC147" s="135"/>
      <c r="BD147" s="134"/>
      <c r="BE147" s="136"/>
      <c r="BF147" s="135" t="s">
        <v>58</v>
      </c>
      <c r="BG147" s="135"/>
      <c r="BH147" s="136"/>
      <c r="BN147" s="196" t="s">
        <v>1385</v>
      </c>
      <c r="BO147" s="138">
        <v>0</v>
      </c>
      <c r="BP147" s="141">
        <v>5</v>
      </c>
      <c r="BQ147" s="252"/>
      <c r="BR147" s="43"/>
      <c r="BS147" s="141"/>
      <c r="BT147" s="43">
        <v>0</v>
      </c>
      <c r="BU147" s="141">
        <v>0</v>
      </c>
      <c r="BV147" s="138" t="s">
        <v>273</v>
      </c>
      <c r="BW147" s="258" t="s">
        <v>1386</v>
      </c>
      <c r="BX147" s="141"/>
      <c r="BY147" s="28"/>
    </row>
    <row r="148" spans="1:77" ht="16.2" thickBot="1" x14ac:dyDescent="0.35">
      <c r="C148" s="28"/>
      <c r="D148" s="50"/>
      <c r="E148" s="31"/>
      <c r="F148" s="31"/>
      <c r="G148" s="29"/>
      <c r="H148" s="31"/>
      <c r="I148" s="30"/>
      <c r="J148" s="55"/>
      <c r="K148" s="8"/>
      <c r="L148" s="29"/>
      <c r="M148" s="34" t="s">
        <v>92</v>
      </c>
      <c r="N148" s="35"/>
      <c r="Q148" s="28"/>
      <c r="R148" s="17" t="s">
        <v>84</v>
      </c>
      <c r="S148" s="18">
        <f>SUM(S146:S147)</f>
        <v>112</v>
      </c>
      <c r="T148" s="18">
        <f>SUM(T146:T147)</f>
        <v>105</v>
      </c>
      <c r="U148" s="13"/>
      <c r="V148" s="27"/>
      <c r="W148" s="26"/>
      <c r="X148" s="58">
        <f>+X147+X146</f>
        <v>53860</v>
      </c>
      <c r="Y148" s="27">
        <f>+Y147+Y146</f>
        <v>14316</v>
      </c>
      <c r="Z148" s="59">
        <v>1</v>
      </c>
      <c r="AA148" s="48" t="s">
        <v>506</v>
      </c>
      <c r="AB148" s="60">
        <f>SUM(Z147:Z148)</f>
        <v>29</v>
      </c>
      <c r="AE148" s="28" t="s">
        <v>91</v>
      </c>
      <c r="AF148">
        <v>2016</v>
      </c>
      <c r="AG148">
        <v>3</v>
      </c>
      <c r="AH148" s="196" t="s">
        <v>84</v>
      </c>
      <c r="AI148" s="138">
        <f>SUM(AI145:AI147)</f>
        <v>1470</v>
      </c>
      <c r="AJ148" s="141">
        <f>SUM(AJ145:AJ147)</f>
        <v>1462</v>
      </c>
      <c r="AK148">
        <v>0</v>
      </c>
      <c r="AL148">
        <v>0</v>
      </c>
      <c r="AM148">
        <v>0</v>
      </c>
      <c r="AN148" s="138">
        <v>0</v>
      </c>
      <c r="AO148" s="141">
        <v>0</v>
      </c>
      <c r="AP148" s="142"/>
      <c r="AQ148" s="143"/>
      <c r="AR148" s="146">
        <f>SUM(AP147)</f>
        <v>45</v>
      </c>
      <c r="AS148" s="28"/>
      <c r="AT148" s="28"/>
      <c r="AU148" s="28"/>
      <c r="AX148" s="196" t="s">
        <v>64</v>
      </c>
      <c r="AY148" s="28">
        <v>101</v>
      </c>
      <c r="AZ148" s="28">
        <v>92</v>
      </c>
      <c r="BA148" s="138">
        <v>0</v>
      </c>
      <c r="BB148" s="28">
        <v>0</v>
      </c>
      <c r="BC148" s="28">
        <v>0</v>
      </c>
      <c r="BD148" s="138">
        <v>0</v>
      </c>
      <c r="BE148" s="141">
        <v>0</v>
      </c>
      <c r="BF148" s="43">
        <v>12</v>
      </c>
      <c r="BG148" s="28" t="s">
        <v>474</v>
      </c>
      <c r="BH148" s="141" t="s">
        <v>6</v>
      </c>
      <c r="BN148" s="196" t="s">
        <v>574</v>
      </c>
      <c r="BO148" s="138">
        <v>5</v>
      </c>
      <c r="BP148" s="141">
        <v>0</v>
      </c>
      <c r="BQ148" s="252"/>
      <c r="BR148" s="43"/>
      <c r="BS148" s="141"/>
      <c r="BT148" s="43">
        <v>0</v>
      </c>
      <c r="BU148" s="141">
        <v>0</v>
      </c>
      <c r="BV148" s="138" t="s">
        <v>180</v>
      </c>
      <c r="BW148" s="258" t="s">
        <v>1387</v>
      </c>
      <c r="BX148" s="141"/>
      <c r="BY148" s="28"/>
    </row>
    <row r="149" spans="1:77" ht="16.2" thickBot="1" x14ac:dyDescent="0.35">
      <c r="C149" s="28"/>
      <c r="D149" s="41" t="s">
        <v>99</v>
      </c>
      <c r="E149" s="45">
        <v>0</v>
      </c>
      <c r="F149" s="45">
        <v>0</v>
      </c>
      <c r="G149" s="42">
        <v>0</v>
      </c>
      <c r="H149" s="45">
        <v>0</v>
      </c>
      <c r="I149" s="40">
        <v>0</v>
      </c>
      <c r="J149" s="45">
        <v>38668</v>
      </c>
      <c r="K149" s="56">
        <v>9314</v>
      </c>
      <c r="L149" s="52">
        <v>23</v>
      </c>
      <c r="M149" s="37" t="s">
        <v>100</v>
      </c>
      <c r="N149" s="40"/>
      <c r="Q149" s="28"/>
      <c r="R149" s="32" t="s">
        <v>107</v>
      </c>
      <c r="S149" s="63">
        <v>0</v>
      </c>
      <c r="T149" s="64">
        <v>0</v>
      </c>
      <c r="U149" s="33"/>
      <c r="V149" s="8"/>
      <c r="W149" s="35"/>
      <c r="X149" s="65"/>
      <c r="Y149" s="66"/>
      <c r="Z149" s="29"/>
      <c r="AA149" s="31" t="s">
        <v>57</v>
      </c>
      <c r="AB149" s="35"/>
      <c r="AE149" s="135" t="s">
        <v>994</v>
      </c>
      <c r="AF149">
        <v>2016</v>
      </c>
      <c r="AG149">
        <v>3</v>
      </c>
      <c r="AH149" s="134"/>
      <c r="AI149" s="134"/>
      <c r="AJ149" s="136"/>
      <c r="AK149" s="135"/>
      <c r="AL149" s="135"/>
      <c r="AM149" s="135"/>
      <c r="AN149" s="134"/>
      <c r="AO149" s="136"/>
      <c r="AP149" s="135" t="s">
        <v>994</v>
      </c>
      <c r="AQ149" s="135"/>
      <c r="AR149" s="136"/>
      <c r="AS149" s="28"/>
      <c r="AT149" s="28"/>
      <c r="AU149" s="28"/>
      <c r="AX149" s="196" t="s">
        <v>108</v>
      </c>
      <c r="BA149" s="138">
        <v>0</v>
      </c>
      <c r="BB149" s="28">
        <v>0</v>
      </c>
      <c r="BC149" s="28">
        <v>0</v>
      </c>
      <c r="BD149" s="138">
        <v>0</v>
      </c>
      <c r="BE149" s="141">
        <v>0</v>
      </c>
      <c r="BF149" s="43">
        <v>2</v>
      </c>
      <c r="BG149" s="28" t="s">
        <v>1045</v>
      </c>
      <c r="BH149" s="141"/>
      <c r="BN149" s="196" t="s">
        <v>1380</v>
      </c>
      <c r="BO149" s="138">
        <v>2</v>
      </c>
      <c r="BP149" s="141">
        <v>2</v>
      </c>
      <c r="BQ149" s="252"/>
      <c r="BR149" s="43"/>
      <c r="BS149" s="141"/>
      <c r="BT149" s="43">
        <v>0</v>
      </c>
      <c r="BU149" s="141">
        <v>0</v>
      </c>
      <c r="BV149" s="138" t="s">
        <v>1098</v>
      </c>
      <c r="BW149" s="258" t="s">
        <v>1388</v>
      </c>
      <c r="BX149" s="141">
        <v>95</v>
      </c>
      <c r="BY149" s="28"/>
    </row>
    <row r="150" spans="1:77" ht="15" thickBot="1" x14ac:dyDescent="0.35">
      <c r="C150" s="28"/>
      <c r="D150" s="17" t="s">
        <v>84</v>
      </c>
      <c r="E150" s="18">
        <f>SUM(E148:E149)</f>
        <v>0</v>
      </c>
      <c r="F150" s="18">
        <f>SUM(F148:F149)</f>
        <v>0</v>
      </c>
      <c r="G150" s="13"/>
      <c r="H150" s="27"/>
      <c r="I150" s="26"/>
      <c r="J150" s="58"/>
      <c r="K150" s="27"/>
      <c r="L150" s="59"/>
      <c r="M150" s="48" t="s">
        <v>6</v>
      </c>
      <c r="N150" s="60">
        <f>SUM(L149:L150)</f>
        <v>23</v>
      </c>
      <c r="Q150" s="28"/>
      <c r="R150" s="41" t="s">
        <v>657</v>
      </c>
      <c r="S150" s="70">
        <v>0</v>
      </c>
      <c r="T150" s="71">
        <v>0</v>
      </c>
      <c r="U150" s="42"/>
      <c r="V150" s="28"/>
      <c r="W150" s="40"/>
      <c r="X150" s="42"/>
      <c r="Y150" s="40"/>
      <c r="Z150" s="42"/>
      <c r="AA150" s="54" t="s">
        <v>530</v>
      </c>
      <c r="AB150" s="40"/>
      <c r="AE150" s="135" t="s">
        <v>994</v>
      </c>
      <c r="AF150">
        <v>2016</v>
      </c>
      <c r="AG150">
        <v>3</v>
      </c>
      <c r="AH150" s="138" t="s">
        <v>113</v>
      </c>
      <c r="AI150" s="138">
        <v>20</v>
      </c>
      <c r="AJ150" s="141">
        <v>9</v>
      </c>
      <c r="AK150" s="28"/>
      <c r="AL150" s="28"/>
      <c r="AM150" s="28"/>
      <c r="AN150" s="138"/>
      <c r="AO150" s="141"/>
      <c r="AP150" s="28">
        <v>3</v>
      </c>
      <c r="AQ150" s="28" t="s">
        <v>100</v>
      </c>
      <c r="AR150" s="141"/>
      <c r="AS150" s="28"/>
      <c r="AT150" s="28"/>
      <c r="AU150" s="28"/>
      <c r="AX150" s="199" t="s">
        <v>84</v>
      </c>
      <c r="AY150" s="143">
        <f>SUM(AY147:AY149)</f>
        <v>101</v>
      </c>
      <c r="AZ150" s="143">
        <f>SUM(AZ147:AZ149)</f>
        <v>92</v>
      </c>
      <c r="BA150" s="138">
        <v>0</v>
      </c>
      <c r="BB150" s="28">
        <v>0</v>
      </c>
      <c r="BC150" s="28">
        <v>0</v>
      </c>
      <c r="BD150" s="138">
        <v>0</v>
      </c>
      <c r="BE150" s="141">
        <v>0</v>
      </c>
      <c r="BF150" s="143">
        <v>3</v>
      </c>
      <c r="BG150" s="143" t="s">
        <v>69</v>
      </c>
      <c r="BH150" s="146">
        <f>SUM(BF148:BF150)</f>
        <v>17</v>
      </c>
      <c r="BN150" s="271" t="s">
        <v>84</v>
      </c>
      <c r="BO150" s="271">
        <v>169</v>
      </c>
      <c r="BP150" s="272">
        <v>133</v>
      </c>
      <c r="BQ150" s="170" t="s">
        <v>84</v>
      </c>
      <c r="BR150" s="170" t="s">
        <v>1389</v>
      </c>
      <c r="BS150" s="170" t="s">
        <v>1390</v>
      </c>
      <c r="BT150" s="171"/>
      <c r="BU150" s="172"/>
      <c r="BV150" s="170" t="s">
        <v>939</v>
      </c>
      <c r="BW150" s="170"/>
      <c r="BX150" s="172">
        <v>250</v>
      </c>
      <c r="BY150" s="28"/>
    </row>
    <row r="151" spans="1:77" ht="15" thickBot="1" x14ac:dyDescent="0.35">
      <c r="C151" s="28" t="s">
        <v>6</v>
      </c>
      <c r="D151" s="32" t="s">
        <v>6</v>
      </c>
      <c r="E151" s="63"/>
      <c r="F151" s="64"/>
      <c r="G151" s="33"/>
      <c r="H151" s="8"/>
      <c r="I151" s="35"/>
      <c r="J151" s="65"/>
      <c r="K151" s="66"/>
      <c r="L151" s="29"/>
      <c r="M151" s="31" t="s">
        <v>57</v>
      </c>
      <c r="N151" s="35"/>
      <c r="Q151" s="28" t="s">
        <v>6</v>
      </c>
      <c r="R151" s="68" t="s">
        <v>84</v>
      </c>
      <c r="S151">
        <f>SUM(S149:S150)</f>
        <v>0</v>
      </c>
      <c r="T151">
        <f>SUM(T149:T150)</f>
        <v>0</v>
      </c>
      <c r="U151" s="47">
        <v>0</v>
      </c>
      <c r="V151" s="27">
        <v>0</v>
      </c>
      <c r="W151" s="49">
        <v>0</v>
      </c>
      <c r="X151" s="75">
        <v>0</v>
      </c>
      <c r="Y151" s="49">
        <v>0</v>
      </c>
      <c r="Z151" s="47"/>
      <c r="AA151" s="51" t="s">
        <v>73</v>
      </c>
      <c r="AB151" s="49">
        <f>SUM(Z150:Z151)</f>
        <v>0</v>
      </c>
      <c r="AE151" s="135" t="s">
        <v>994</v>
      </c>
      <c r="AF151">
        <v>2016</v>
      </c>
      <c r="AG151">
        <v>3</v>
      </c>
      <c r="AH151" s="138" t="s">
        <v>475</v>
      </c>
      <c r="AI151" s="138">
        <v>0</v>
      </c>
      <c r="AJ151" s="141">
        <v>0</v>
      </c>
      <c r="AK151" s="28"/>
      <c r="AL151" s="28"/>
      <c r="AM151" s="28"/>
      <c r="AN151" s="138"/>
      <c r="AO151" s="141"/>
      <c r="AP151" s="43">
        <v>3</v>
      </c>
      <c r="AQ151" s="43" t="s">
        <v>73</v>
      </c>
      <c r="AR151" s="141"/>
      <c r="AS151" s="28"/>
      <c r="AT151" s="28"/>
      <c r="AU151" s="28"/>
      <c r="AX151" s="195" t="s">
        <v>6</v>
      </c>
      <c r="AY151" s="134" t="s">
        <v>6</v>
      </c>
      <c r="AZ151" s="136"/>
      <c r="BA151" s="135"/>
      <c r="BB151" s="135">
        <v>0</v>
      </c>
      <c r="BC151" s="135"/>
      <c r="BD151" s="134"/>
      <c r="BE151" s="136"/>
      <c r="BF151" s="135" t="s">
        <v>1092</v>
      </c>
      <c r="BG151" s="135"/>
      <c r="BH151" s="136"/>
      <c r="BN151" s="28" t="s">
        <v>223</v>
      </c>
      <c r="BO151" s="43">
        <v>6129</v>
      </c>
      <c r="BP151" s="186">
        <v>8476</v>
      </c>
      <c r="BQ151" s="273" t="s">
        <v>1391</v>
      </c>
      <c r="BY151" s="28"/>
    </row>
    <row r="152" spans="1:77" ht="15" thickBot="1" x14ac:dyDescent="0.35">
      <c r="A152" s="31" t="s">
        <v>57</v>
      </c>
      <c r="B152">
        <v>2014</v>
      </c>
      <c r="C152" s="28">
        <v>3</v>
      </c>
      <c r="D152" s="68" t="s">
        <v>301</v>
      </c>
      <c r="E152">
        <v>2</v>
      </c>
      <c r="F152">
        <v>0</v>
      </c>
      <c r="G152" s="42"/>
      <c r="H152" s="28"/>
      <c r="I152" s="40"/>
      <c r="J152" s="42"/>
      <c r="K152" s="40"/>
      <c r="L152" s="42"/>
      <c r="M152" s="28"/>
      <c r="N152" s="40"/>
      <c r="O152" s="34" t="s">
        <v>91</v>
      </c>
      <c r="P152">
        <v>2015</v>
      </c>
      <c r="Q152" s="28">
        <v>3</v>
      </c>
      <c r="R152" s="33" t="s">
        <v>89</v>
      </c>
      <c r="S152" s="78">
        <v>184</v>
      </c>
      <c r="T152" s="79">
        <v>229</v>
      </c>
      <c r="U152" s="34"/>
      <c r="V152" s="8"/>
      <c r="W152" s="35"/>
      <c r="X152" s="80"/>
      <c r="Y152" s="34"/>
      <c r="Z152" s="33"/>
      <c r="AA152" s="34" t="s">
        <v>91</v>
      </c>
      <c r="AB152" s="35"/>
      <c r="AE152" s="135" t="s">
        <v>994</v>
      </c>
      <c r="AF152">
        <v>2016</v>
      </c>
      <c r="AG152">
        <v>3</v>
      </c>
      <c r="AH152" s="142" t="s">
        <v>84</v>
      </c>
      <c r="AI152" s="142">
        <f>SUM(AI150:AI151)</f>
        <v>20</v>
      </c>
      <c r="AJ152" s="146">
        <f>SUM(AJ150:AJ151)</f>
        <v>9</v>
      </c>
      <c r="AK152" s="143">
        <v>0</v>
      </c>
      <c r="AL152" s="143">
        <v>0</v>
      </c>
      <c r="AM152" s="143">
        <v>0</v>
      </c>
      <c r="AN152" s="142">
        <v>0</v>
      </c>
      <c r="AO152" s="146">
        <v>0</v>
      </c>
      <c r="AP152" s="143"/>
      <c r="AQ152" s="143"/>
      <c r="AR152" s="146">
        <f>SUM(AP151)</f>
        <v>3</v>
      </c>
      <c r="AS152" s="28"/>
      <c r="AT152" s="28"/>
      <c r="AU152" s="135" t="s">
        <v>1092</v>
      </c>
      <c r="AV152">
        <v>2017</v>
      </c>
      <c r="AW152">
        <v>3</v>
      </c>
      <c r="AX152" s="199" t="s">
        <v>108</v>
      </c>
      <c r="AY152" s="142">
        <v>637</v>
      </c>
      <c r="AZ152" s="146">
        <v>525</v>
      </c>
      <c r="BA152" s="143"/>
      <c r="BB152" s="143">
        <v>0</v>
      </c>
      <c r="BC152" s="143">
        <v>0</v>
      </c>
      <c r="BD152" s="142">
        <v>0</v>
      </c>
      <c r="BE152" s="146">
        <v>0</v>
      </c>
      <c r="BF152" s="143">
        <v>13</v>
      </c>
      <c r="BG152" s="143" t="s">
        <v>780</v>
      </c>
      <c r="BH152" s="146">
        <f>SUM(BF152)</f>
        <v>13</v>
      </c>
      <c r="BN152" s="28" t="s">
        <v>1340</v>
      </c>
      <c r="BO152" s="28"/>
      <c r="BP152" s="186">
        <v>95</v>
      </c>
      <c r="BY152" s="28"/>
    </row>
    <row r="153" spans="1:77" ht="15" thickBot="1" x14ac:dyDescent="0.35">
      <c r="A153" s="31" t="s">
        <v>57</v>
      </c>
      <c r="B153">
        <v>2014</v>
      </c>
      <c r="C153" s="28">
        <v>3</v>
      </c>
      <c r="D153" s="41" t="s">
        <v>113</v>
      </c>
      <c r="E153" s="70">
        <v>520</v>
      </c>
      <c r="F153" s="71">
        <v>559</v>
      </c>
      <c r="G153" s="42"/>
      <c r="H153" s="28"/>
      <c r="I153" s="40"/>
      <c r="J153" s="42"/>
      <c r="K153" s="40"/>
      <c r="L153" s="42"/>
      <c r="M153" s="43" t="s">
        <v>6</v>
      </c>
      <c r="N153" s="40"/>
      <c r="O153" s="34" t="s">
        <v>91</v>
      </c>
      <c r="P153">
        <v>2015</v>
      </c>
      <c r="Q153" s="28">
        <v>3</v>
      </c>
      <c r="R153" s="52" t="s">
        <v>85</v>
      </c>
      <c r="S153" s="42">
        <v>84</v>
      </c>
      <c r="T153" s="40">
        <v>84</v>
      </c>
      <c r="U153" s="28"/>
      <c r="V153" s="28"/>
      <c r="W153" s="40"/>
      <c r="Z153" s="42">
        <v>2</v>
      </c>
      <c r="AA153" s="43" t="s">
        <v>284</v>
      </c>
      <c r="AB153" s="40"/>
      <c r="AH153" s="196" t="s">
        <v>108</v>
      </c>
      <c r="AI153" s="138">
        <v>12</v>
      </c>
      <c r="AJ153" s="141">
        <v>2</v>
      </c>
      <c r="AK153" s="134"/>
      <c r="AL153" s="135"/>
      <c r="AM153" s="136"/>
      <c r="AN153" s="138"/>
      <c r="AO153" s="141"/>
      <c r="AP153" s="134" t="s">
        <v>140</v>
      </c>
      <c r="AQ153" s="135"/>
      <c r="AR153" s="136"/>
      <c r="AS153" s="28"/>
      <c r="AT153" s="28"/>
      <c r="AU153" s="28"/>
      <c r="AX153" s="195" t="s">
        <v>107</v>
      </c>
      <c r="AY153" s="134">
        <v>0</v>
      </c>
      <c r="AZ153" s="136">
        <v>0</v>
      </c>
      <c r="BA153" s="135"/>
      <c r="BB153" s="135"/>
      <c r="BC153" s="135"/>
      <c r="BD153" s="134"/>
      <c r="BE153" s="136"/>
      <c r="BF153" s="135"/>
      <c r="BG153" s="135" t="s">
        <v>92</v>
      </c>
      <c r="BH153" s="136"/>
      <c r="BN153" s="28" t="s">
        <v>229</v>
      </c>
      <c r="BO153" s="28"/>
      <c r="BP153" s="186">
        <v>2</v>
      </c>
      <c r="BY153" s="28"/>
    </row>
    <row r="154" spans="1:77" ht="15" thickBot="1" x14ac:dyDescent="0.35">
      <c r="A154" s="31" t="s">
        <v>57</v>
      </c>
      <c r="B154">
        <v>2014</v>
      </c>
      <c r="C154" s="28">
        <v>3</v>
      </c>
      <c r="D154" s="68" t="s">
        <v>84</v>
      </c>
      <c r="E154">
        <f>SUM(E151:E153)</f>
        <v>522</v>
      </c>
      <c r="F154">
        <f>SUM(F151:F153)</f>
        <v>559</v>
      </c>
      <c r="G154" s="47">
        <v>0</v>
      </c>
      <c r="H154" s="27">
        <v>0</v>
      </c>
      <c r="I154" s="49">
        <v>0</v>
      </c>
      <c r="J154" s="75">
        <v>0</v>
      </c>
      <c r="K154" s="49">
        <v>0</v>
      </c>
      <c r="L154" s="47">
        <v>44</v>
      </c>
      <c r="M154" s="51" t="s">
        <v>73</v>
      </c>
      <c r="N154" s="49">
        <f>SUM(L152:L154)</f>
        <v>44</v>
      </c>
      <c r="O154" s="34" t="s">
        <v>91</v>
      </c>
      <c r="P154">
        <v>2015</v>
      </c>
      <c r="Q154" s="28">
        <v>3</v>
      </c>
      <c r="R154" s="67" t="s">
        <v>113</v>
      </c>
      <c r="S154" s="42">
        <v>609</v>
      </c>
      <c r="T154" s="40">
        <v>618</v>
      </c>
      <c r="U154" s="28"/>
      <c r="V154" s="28"/>
      <c r="W154" s="40"/>
      <c r="X154" s="28"/>
      <c r="Y154" s="28"/>
      <c r="Z154" s="67">
        <f>124/2</f>
        <v>62</v>
      </c>
      <c r="AA154" s="43" t="s">
        <v>73</v>
      </c>
      <c r="AB154" s="40"/>
      <c r="AH154" s="196" t="s">
        <v>164</v>
      </c>
      <c r="AI154" s="138">
        <v>2</v>
      </c>
      <c r="AJ154" s="141">
        <v>7</v>
      </c>
      <c r="AK154" s="138"/>
      <c r="AL154" s="28"/>
      <c r="AM154" s="141"/>
      <c r="AN154" s="138"/>
      <c r="AO154" s="141"/>
      <c r="AP154" s="138"/>
      <c r="AQ154" s="28"/>
      <c r="AR154" s="141"/>
      <c r="AS154" s="28"/>
      <c r="AT154" s="28"/>
      <c r="AU154" s="28"/>
      <c r="AX154" s="196" t="s">
        <v>99</v>
      </c>
      <c r="AY154" s="138">
        <v>0</v>
      </c>
      <c r="AZ154" s="141">
        <v>0</v>
      </c>
      <c r="BA154" s="28">
        <v>0</v>
      </c>
      <c r="BB154" s="28">
        <v>0</v>
      </c>
      <c r="BC154" s="28">
        <v>0</v>
      </c>
      <c r="BD154" s="138">
        <v>89821</v>
      </c>
      <c r="BE154" s="141">
        <v>20907</v>
      </c>
      <c r="BF154" s="43">
        <v>29</v>
      </c>
      <c r="BG154" s="28" t="s">
        <v>100</v>
      </c>
      <c r="BH154" s="141"/>
      <c r="BN154" t="s">
        <v>232</v>
      </c>
      <c r="BP154" s="178" t="s">
        <v>233</v>
      </c>
      <c r="BR154">
        <v>1891</v>
      </c>
      <c r="BT154" t="s">
        <v>234</v>
      </c>
      <c r="BV154" t="s">
        <v>233</v>
      </c>
      <c r="BX154">
        <v>6129</v>
      </c>
      <c r="BY154" s="28"/>
    </row>
    <row r="155" spans="1:77" ht="15" thickBot="1" x14ac:dyDescent="0.35">
      <c r="A155" s="31"/>
      <c r="B155">
        <v>2014</v>
      </c>
      <c r="C155" s="28">
        <v>3</v>
      </c>
      <c r="D155" s="33" t="s">
        <v>64</v>
      </c>
      <c r="E155" s="78">
        <v>0</v>
      </c>
      <c r="F155" s="79">
        <v>0</v>
      </c>
      <c r="G155" s="34"/>
      <c r="H155" s="8"/>
      <c r="I155" s="35"/>
      <c r="J155" s="80"/>
      <c r="K155" s="34"/>
      <c r="L155" s="33"/>
      <c r="M155" s="34" t="s">
        <v>91</v>
      </c>
      <c r="N155" s="35"/>
      <c r="Q155" s="43">
        <v>3</v>
      </c>
      <c r="R155" s="47" t="s">
        <v>84</v>
      </c>
      <c r="S155" s="47">
        <f>SUM(S152:S154)</f>
        <v>877</v>
      </c>
      <c r="T155" s="49">
        <f>SUM(T152:T154)</f>
        <v>931</v>
      </c>
      <c r="U155" s="81">
        <v>0</v>
      </c>
      <c r="V155" s="27">
        <v>0</v>
      </c>
      <c r="W155" s="82">
        <f>+W152</f>
        <v>0</v>
      </c>
      <c r="X155" s="74">
        <v>0</v>
      </c>
      <c r="Y155" s="74">
        <v>0</v>
      </c>
      <c r="Z155" s="47"/>
      <c r="AA155" s="51"/>
      <c r="AB155" s="49">
        <f>SUM(Z154)</f>
        <v>62</v>
      </c>
      <c r="AH155" s="196" t="s">
        <v>133</v>
      </c>
      <c r="AI155" s="138">
        <v>16</v>
      </c>
      <c r="AJ155" s="141">
        <v>22</v>
      </c>
      <c r="AK155" s="138"/>
      <c r="AL155" s="28"/>
      <c r="AM155" s="141"/>
      <c r="AN155" s="138"/>
      <c r="AO155" s="141"/>
      <c r="AP155" s="138"/>
      <c r="AQ155" s="28"/>
      <c r="AR155" s="141"/>
      <c r="AS155" s="28"/>
      <c r="AT155" s="28"/>
      <c r="AU155" s="28"/>
      <c r="AX155" s="199" t="s">
        <v>84</v>
      </c>
      <c r="AY155" s="138">
        <f>SUM(AY153:AY154)</f>
        <v>0</v>
      </c>
      <c r="AZ155" s="141">
        <f>SUM(AZ153:AZ154)</f>
        <v>0</v>
      </c>
      <c r="BA155" s="143"/>
      <c r="BB155" s="143"/>
      <c r="BC155" s="143"/>
      <c r="BD155" s="142"/>
      <c r="BE155" s="146"/>
      <c r="BF155" s="143">
        <v>0</v>
      </c>
      <c r="BG155" s="143" t="s">
        <v>506</v>
      </c>
      <c r="BH155" s="146">
        <f>SUM(BF154:BF155)</f>
        <v>29</v>
      </c>
      <c r="BP155" t="s">
        <v>236</v>
      </c>
      <c r="BR155">
        <v>1886</v>
      </c>
      <c r="BV155" t="s">
        <v>236</v>
      </c>
      <c r="BX155">
        <v>8476</v>
      </c>
      <c r="BY155" s="28"/>
    </row>
    <row r="156" spans="1:77" ht="15" thickBot="1" x14ac:dyDescent="0.35">
      <c r="A156" s="34" t="s">
        <v>91</v>
      </c>
      <c r="B156">
        <v>2014</v>
      </c>
      <c r="C156" s="28">
        <v>3</v>
      </c>
      <c r="D156" s="52" t="s">
        <v>85</v>
      </c>
      <c r="E156" s="42">
        <v>14</v>
      </c>
      <c r="F156" s="40">
        <v>3</v>
      </c>
      <c r="G156" s="28"/>
      <c r="H156" s="28"/>
      <c r="I156" s="40"/>
      <c r="L156" s="42"/>
      <c r="M156" s="28"/>
      <c r="N156" s="40"/>
      <c r="O156" s="34" t="s">
        <v>130</v>
      </c>
      <c r="P156">
        <v>2015</v>
      </c>
      <c r="Q156" s="43">
        <v>3</v>
      </c>
      <c r="R156" s="52" t="s">
        <v>113</v>
      </c>
      <c r="S156" s="42">
        <v>641</v>
      </c>
      <c r="T156" s="85">
        <v>645</v>
      </c>
      <c r="U156" s="37"/>
      <c r="V156" s="18"/>
      <c r="W156" s="54"/>
      <c r="X156" s="52"/>
      <c r="Y156" s="40"/>
      <c r="Z156" s="67"/>
      <c r="AA156" s="34" t="s">
        <v>130</v>
      </c>
      <c r="AB156" s="40"/>
      <c r="AH156" s="196" t="s">
        <v>113</v>
      </c>
      <c r="AI156" s="138">
        <f>10+20+5+3+3+1</f>
        <v>42</v>
      </c>
      <c r="AJ156" s="141">
        <v>48</v>
      </c>
      <c r="AK156" s="138"/>
      <c r="AL156" s="28"/>
      <c r="AM156" s="141"/>
      <c r="AN156" s="138"/>
      <c r="AO156" s="141"/>
      <c r="AP156" s="138" t="s">
        <v>142</v>
      </c>
      <c r="AQ156" s="28"/>
      <c r="AR156" s="141" t="s">
        <v>251</v>
      </c>
      <c r="AS156" s="28"/>
      <c r="AT156" s="28"/>
      <c r="AU156" s="135" t="s">
        <v>91</v>
      </c>
      <c r="AV156">
        <v>2017</v>
      </c>
      <c r="AW156">
        <v>3</v>
      </c>
      <c r="AX156" s="138" t="s">
        <v>89</v>
      </c>
      <c r="AY156" s="134">
        <v>1001</v>
      </c>
      <c r="AZ156" s="136">
        <v>1074</v>
      </c>
      <c r="BD156" s="134"/>
      <c r="BE156" s="135"/>
      <c r="BF156" s="134"/>
      <c r="BG156" s="135" t="s">
        <v>91</v>
      </c>
      <c r="BH156" s="136"/>
      <c r="BN156" t="s">
        <v>238</v>
      </c>
      <c r="BO156" t="s">
        <v>239</v>
      </c>
      <c r="BQ156" t="s">
        <v>240</v>
      </c>
      <c r="BR156" t="s">
        <v>241</v>
      </c>
      <c r="BU156" t="s">
        <v>242</v>
      </c>
      <c r="BV156" s="131" t="s">
        <v>243</v>
      </c>
      <c r="BY156" s="28"/>
    </row>
    <row r="157" spans="1:77" ht="15" thickBot="1" x14ac:dyDescent="0.35">
      <c r="A157" s="34" t="s">
        <v>91</v>
      </c>
      <c r="B157">
        <v>2014</v>
      </c>
      <c r="C157" s="28">
        <v>3</v>
      </c>
      <c r="D157" s="67" t="s">
        <v>113</v>
      </c>
      <c r="E157" s="42">
        <v>452</v>
      </c>
      <c r="F157" s="40">
        <v>435</v>
      </c>
      <c r="G157" s="28"/>
      <c r="H157" s="28"/>
      <c r="I157" s="40"/>
      <c r="J157" s="28"/>
      <c r="K157" s="28"/>
      <c r="L157" s="67">
        <v>49</v>
      </c>
      <c r="M157" s="43" t="s">
        <v>73</v>
      </c>
      <c r="N157" s="40"/>
      <c r="O157" t="s">
        <v>6</v>
      </c>
      <c r="Q157" s="28"/>
      <c r="R157" s="42" t="s">
        <v>475</v>
      </c>
      <c r="S157" s="67">
        <v>0</v>
      </c>
      <c r="T157" s="85">
        <v>0</v>
      </c>
      <c r="U157" s="28"/>
      <c r="V157" s="18"/>
      <c r="W157" s="28"/>
      <c r="X157" s="52"/>
      <c r="Y157" s="86"/>
      <c r="Z157" s="52">
        <f>106/2</f>
        <v>53</v>
      </c>
      <c r="AA157" s="43" t="s">
        <v>73</v>
      </c>
      <c r="AB157" s="40"/>
      <c r="AC157" t="s">
        <v>6</v>
      </c>
      <c r="AH157" s="196" t="s">
        <v>995</v>
      </c>
      <c r="AI157" s="138">
        <v>0</v>
      </c>
      <c r="AJ157" s="141">
        <v>2</v>
      </c>
      <c r="AK157" s="138"/>
      <c r="AL157" s="28"/>
      <c r="AM157" s="141"/>
      <c r="AN157" s="138"/>
      <c r="AO157" s="141"/>
      <c r="AP157" s="138" t="s">
        <v>146</v>
      </c>
      <c r="AQ157" s="28"/>
      <c r="AR157" s="141" t="s">
        <v>955</v>
      </c>
      <c r="AS157" s="28"/>
      <c r="AT157" s="28"/>
      <c r="AU157" s="135" t="s">
        <v>91</v>
      </c>
      <c r="AV157">
        <v>2017</v>
      </c>
      <c r="AW157">
        <v>3</v>
      </c>
      <c r="AX157" s="138" t="s">
        <v>137</v>
      </c>
      <c r="AY157" s="138">
        <v>394</v>
      </c>
      <c r="AZ157" s="141">
        <v>448</v>
      </c>
      <c r="BD157" s="138"/>
      <c r="BE157" s="28"/>
      <c r="BF157" s="212">
        <v>27</v>
      </c>
      <c r="BG157" s="43" t="s">
        <v>101</v>
      </c>
      <c r="BH157" s="141"/>
      <c r="BN157" t="s">
        <v>233</v>
      </c>
      <c r="BP157">
        <v>43373</v>
      </c>
      <c r="BQ157" s="236" t="s">
        <v>233</v>
      </c>
      <c r="BS157">
        <v>4422</v>
      </c>
      <c r="BT157" t="s">
        <v>233</v>
      </c>
      <c r="BW157" t="s">
        <v>245</v>
      </c>
      <c r="BX157">
        <v>28538</v>
      </c>
      <c r="BY157" s="28"/>
    </row>
    <row r="158" spans="1:77" ht="15" thickBot="1" x14ac:dyDescent="0.35">
      <c r="A158" s="34" t="s">
        <v>91</v>
      </c>
      <c r="B158">
        <v>2014</v>
      </c>
      <c r="C158" s="28">
        <v>3</v>
      </c>
      <c r="D158" s="47" t="s">
        <v>84</v>
      </c>
      <c r="E158" s="47">
        <f>SUM(E155:E157)</f>
        <v>466</v>
      </c>
      <c r="F158" s="49">
        <f>SUM(F155:F157)</f>
        <v>438</v>
      </c>
      <c r="G158" s="81">
        <v>0</v>
      </c>
      <c r="H158" s="27">
        <v>0</v>
      </c>
      <c r="I158" s="82">
        <v>0</v>
      </c>
      <c r="J158" s="74">
        <v>0</v>
      </c>
      <c r="K158" s="74">
        <v>0</v>
      </c>
      <c r="L158" s="47"/>
      <c r="M158" s="51"/>
      <c r="N158" s="49">
        <f>SUM(L157)</f>
        <v>49</v>
      </c>
      <c r="Q158" s="28"/>
      <c r="R158" s="59" t="s">
        <v>84</v>
      </c>
      <c r="S158" s="13">
        <f>SUM(S156:S157)</f>
        <v>641</v>
      </c>
      <c r="T158" s="60">
        <f>SUM(T156:T157)</f>
        <v>645</v>
      </c>
      <c r="U158" s="81">
        <v>0</v>
      </c>
      <c r="V158" s="27">
        <v>0</v>
      </c>
      <c r="W158" s="27">
        <v>0</v>
      </c>
      <c r="X158" s="13">
        <v>0</v>
      </c>
      <c r="Y158" s="26">
        <v>0</v>
      </c>
      <c r="Z158" s="13"/>
      <c r="AA158" s="43"/>
      <c r="AB158" s="26">
        <f>SUM(Z156:Z157)</f>
        <v>53</v>
      </c>
      <c r="AG158" t="s">
        <v>6</v>
      </c>
      <c r="AH158" s="196" t="s">
        <v>200</v>
      </c>
      <c r="AI158" s="138">
        <v>3</v>
      </c>
      <c r="AJ158" s="141">
        <v>3</v>
      </c>
      <c r="AK158" s="138"/>
      <c r="AL158" s="28"/>
      <c r="AM158" s="141"/>
      <c r="AN158" s="138"/>
      <c r="AO158" s="141"/>
      <c r="AP158" s="138"/>
      <c r="AQ158" s="28"/>
      <c r="AR158" s="141"/>
      <c r="AS158" s="28"/>
      <c r="AT158" s="28"/>
      <c r="AU158" s="135" t="s">
        <v>91</v>
      </c>
      <c r="AV158">
        <v>2017</v>
      </c>
      <c r="AW158">
        <v>3</v>
      </c>
      <c r="AX158" s="138" t="s">
        <v>113</v>
      </c>
      <c r="AY158" s="138">
        <v>712</v>
      </c>
      <c r="AZ158" s="141">
        <v>689</v>
      </c>
      <c r="BD158" s="138"/>
      <c r="BE158" s="28"/>
      <c r="BF158" s="212">
        <v>61</v>
      </c>
      <c r="BG158" s="28" t="s">
        <v>73</v>
      </c>
      <c r="BH158" s="141"/>
      <c r="BN158" t="s">
        <v>236</v>
      </c>
      <c r="BP158">
        <v>47731</v>
      </c>
      <c r="BQ158" s="236" t="s">
        <v>236</v>
      </c>
      <c r="BS158">
        <v>9511</v>
      </c>
      <c r="BT158" t="s">
        <v>236</v>
      </c>
      <c r="BX158">
        <v>91104</v>
      </c>
      <c r="BY158" s="28"/>
    </row>
    <row r="159" spans="1:77" ht="15" thickBot="1" x14ac:dyDescent="0.35">
      <c r="A159" s="34" t="s">
        <v>130</v>
      </c>
      <c r="B159">
        <v>2014</v>
      </c>
      <c r="C159" s="28">
        <v>3</v>
      </c>
      <c r="D159" s="52" t="s">
        <v>113</v>
      </c>
      <c r="E159" s="42">
        <v>682</v>
      </c>
      <c r="F159" s="85">
        <v>629</v>
      </c>
      <c r="G159" s="37"/>
      <c r="H159" s="18"/>
      <c r="I159" s="54"/>
      <c r="J159" s="52"/>
      <c r="K159" s="40"/>
      <c r="L159" s="67"/>
      <c r="M159" s="34" t="s">
        <v>130</v>
      </c>
      <c r="N159" s="40"/>
      <c r="Q159" s="28"/>
      <c r="R159" s="88" t="s">
        <v>704</v>
      </c>
      <c r="S159" s="33">
        <v>6</v>
      </c>
      <c r="T159" s="34">
        <v>6</v>
      </c>
      <c r="U159" s="152"/>
      <c r="V159" s="89"/>
      <c r="W159" s="66"/>
      <c r="X159" s="8"/>
      <c r="Y159" s="35"/>
      <c r="Z159" s="34" t="s">
        <v>140</v>
      </c>
      <c r="AA159" s="34"/>
      <c r="AB159" s="35"/>
      <c r="AH159" s="196" t="s">
        <v>99</v>
      </c>
      <c r="AI159" s="138">
        <v>0</v>
      </c>
      <c r="AJ159" s="141">
        <v>6</v>
      </c>
      <c r="AK159" s="138" t="s">
        <v>150</v>
      </c>
      <c r="AL159" s="28"/>
      <c r="AM159" s="141"/>
      <c r="AN159" s="138"/>
      <c r="AO159" s="141"/>
      <c r="AP159" s="138" t="s">
        <v>151</v>
      </c>
      <c r="AQ159" s="28"/>
      <c r="AR159" s="141"/>
      <c r="AS159" s="28"/>
      <c r="AT159" s="28"/>
      <c r="AU159" s="135" t="s">
        <v>91</v>
      </c>
      <c r="AV159">
        <v>2017</v>
      </c>
      <c r="AW159">
        <v>3</v>
      </c>
      <c r="AX159" s="212" t="s">
        <v>97</v>
      </c>
      <c r="AY159" s="212">
        <v>410</v>
      </c>
      <c r="AZ159" s="209">
        <v>454</v>
      </c>
      <c r="BD159" s="138"/>
      <c r="BE159" s="28"/>
      <c r="BF159" s="138"/>
      <c r="BG159" s="43" t="s">
        <v>433</v>
      </c>
      <c r="BH159" s="141"/>
      <c r="BN159" s="28"/>
      <c r="BO159" s="28"/>
      <c r="BP159" s="28"/>
      <c r="BQ159" s="218"/>
      <c r="BR159" s="28"/>
      <c r="BS159" s="28"/>
      <c r="BT159" s="28"/>
      <c r="BU159" s="28"/>
      <c r="BV159" s="28"/>
      <c r="BW159" s="28"/>
      <c r="BX159" s="28"/>
      <c r="BY159" s="28"/>
    </row>
    <row r="160" spans="1:77" ht="15" thickBot="1" x14ac:dyDescent="0.35">
      <c r="A160" s="34" t="s">
        <v>130</v>
      </c>
      <c r="B160">
        <v>2014</v>
      </c>
      <c r="C160" s="28">
        <v>3</v>
      </c>
      <c r="D160" s="42" t="s">
        <v>133</v>
      </c>
      <c r="E160" s="67">
        <v>0</v>
      </c>
      <c r="F160" s="85">
        <v>0</v>
      </c>
      <c r="G160" s="28"/>
      <c r="H160" s="18"/>
      <c r="I160" s="28"/>
      <c r="J160" s="52"/>
      <c r="K160" s="86"/>
      <c r="L160" s="52">
        <f>104/2</f>
        <v>52</v>
      </c>
      <c r="M160" s="43" t="s">
        <v>73</v>
      </c>
      <c r="N160" s="40"/>
      <c r="Q160" s="28"/>
      <c r="R160" s="42" t="s">
        <v>658</v>
      </c>
      <c r="S160" s="42">
        <v>0</v>
      </c>
      <c r="T160" s="43">
        <v>2</v>
      </c>
      <c r="U160" s="42"/>
      <c r="V160" s="28"/>
      <c r="W160" s="40"/>
      <c r="X160" s="28"/>
      <c r="Y160" s="40"/>
      <c r="Z160" s="28"/>
      <c r="AA160" s="28"/>
      <c r="AB160" s="40"/>
      <c r="AH160" s="196" t="s">
        <v>997</v>
      </c>
      <c r="AI160" s="138">
        <v>2</v>
      </c>
      <c r="AJ160" s="141">
        <v>0</v>
      </c>
      <c r="AK160" s="138"/>
      <c r="AL160" s="28"/>
      <c r="AM160" s="141"/>
      <c r="AN160" s="138"/>
      <c r="AO160" s="141"/>
      <c r="AP160" s="138" t="s">
        <v>843</v>
      </c>
      <c r="AQ160" s="28" t="s">
        <v>385</v>
      </c>
      <c r="AR160" s="141" t="s">
        <v>276</v>
      </c>
      <c r="AS160" s="28"/>
      <c r="AT160" s="28"/>
      <c r="AU160" s="28"/>
      <c r="AW160" t="s">
        <v>6</v>
      </c>
      <c r="AX160" s="212" t="s">
        <v>1550</v>
      </c>
      <c r="AY160" s="212">
        <v>0</v>
      </c>
      <c r="AZ160" s="209">
        <v>154</v>
      </c>
      <c r="BD160" s="138"/>
      <c r="BE160" s="28"/>
      <c r="BF160" s="138">
        <v>1</v>
      </c>
      <c r="BG160" s="43" t="s">
        <v>1551</v>
      </c>
      <c r="BH160" s="28"/>
      <c r="BI160" s="138"/>
      <c r="BY160" s="28"/>
    </row>
    <row r="161" spans="1:77" ht="15" thickBot="1" x14ac:dyDescent="0.35">
      <c r="A161" s="34" t="s">
        <v>130</v>
      </c>
      <c r="B161">
        <v>2014</v>
      </c>
      <c r="C161" s="28">
        <v>3</v>
      </c>
      <c r="D161" s="59" t="s">
        <v>84</v>
      </c>
      <c r="E161" s="13">
        <f>SUM(E159:E160)</f>
        <v>682</v>
      </c>
      <c r="F161" s="60">
        <f>SUM(F159:F160)</f>
        <v>629</v>
      </c>
      <c r="G161" s="81">
        <v>0</v>
      </c>
      <c r="H161" s="27">
        <v>0</v>
      </c>
      <c r="I161" s="27">
        <v>0</v>
      </c>
      <c r="J161" s="13">
        <v>0</v>
      </c>
      <c r="K161" s="26">
        <v>0</v>
      </c>
      <c r="L161" s="13"/>
      <c r="M161" s="43"/>
      <c r="N161" s="26">
        <f>SUM(L159:L160)</f>
        <v>52</v>
      </c>
      <c r="Q161" s="28"/>
      <c r="R161" s="153" t="s">
        <v>214</v>
      </c>
      <c r="S161" s="42">
        <v>0</v>
      </c>
      <c r="T161" s="43">
        <v>1</v>
      </c>
      <c r="U161" s="42"/>
      <c r="V161" s="28"/>
      <c r="W161" s="40"/>
      <c r="X161" s="28"/>
      <c r="Y161" s="40"/>
      <c r="Z161" s="28"/>
      <c r="AA161" s="28"/>
      <c r="AB161" s="40"/>
      <c r="AH161" s="196" t="s">
        <v>998</v>
      </c>
      <c r="AI161" s="138">
        <v>0</v>
      </c>
      <c r="AJ161" s="141">
        <v>8</v>
      </c>
      <c r="AK161" s="138"/>
      <c r="AL161" s="28"/>
      <c r="AM161" s="141"/>
      <c r="AN161" s="138"/>
      <c r="AO161" s="141"/>
      <c r="AP161" s="138" t="s">
        <v>511</v>
      </c>
      <c r="AQ161" s="28" t="s">
        <v>719</v>
      </c>
      <c r="AR161" s="141" t="s">
        <v>272</v>
      </c>
      <c r="AS161" s="28"/>
      <c r="AT161" s="28"/>
      <c r="AU161" s="28"/>
      <c r="AX161" s="138" t="s">
        <v>84</v>
      </c>
      <c r="AY161" s="138">
        <f>SUM(AY156:AY160)</f>
        <v>2517</v>
      </c>
      <c r="AZ161" s="141">
        <f>SUM(AZ156:AZ160)</f>
        <v>2819</v>
      </c>
      <c r="BA161">
        <v>0</v>
      </c>
      <c r="BB161">
        <v>0</v>
      </c>
      <c r="BC161">
        <v>0</v>
      </c>
      <c r="BD161" s="142">
        <v>0</v>
      </c>
      <c r="BE161" s="143">
        <v>0</v>
      </c>
      <c r="BF161" s="142"/>
      <c r="BG161" s="143" t="s">
        <v>6</v>
      </c>
      <c r="BH161" s="146">
        <f>SUM(BF157:BF161)</f>
        <v>89</v>
      </c>
      <c r="BY161" s="28"/>
    </row>
    <row r="162" spans="1:77" x14ac:dyDescent="0.3">
      <c r="C162" s="28"/>
      <c r="D162" s="88" t="s">
        <v>139</v>
      </c>
      <c r="E162" s="33">
        <f>2+5+3</f>
        <v>10</v>
      </c>
      <c r="F162" s="35">
        <f>2+5</f>
        <v>7</v>
      </c>
      <c r="G162" s="89"/>
      <c r="H162" s="89"/>
      <c r="I162" s="80"/>
      <c r="J162" s="6"/>
      <c r="K162" s="35"/>
      <c r="L162" s="33" t="s">
        <v>140</v>
      </c>
      <c r="M162" s="34"/>
      <c r="N162" s="35"/>
      <c r="Q162" s="28"/>
      <c r="R162" s="92" t="s">
        <v>113</v>
      </c>
      <c r="S162" s="67">
        <f>6+10+38+5+3</f>
        <v>62</v>
      </c>
      <c r="T162" s="43">
        <f>5+5+2+40+8</f>
        <v>60</v>
      </c>
      <c r="U162" s="52"/>
      <c r="V162" s="54"/>
      <c r="W162" s="85"/>
      <c r="X162" s="18"/>
      <c r="Y162" s="40"/>
      <c r="Z162" s="18" t="s">
        <v>142</v>
      </c>
      <c r="AA162" s="18"/>
      <c r="AB162" s="39" t="s">
        <v>251</v>
      </c>
      <c r="AH162" s="196" t="s">
        <v>107</v>
      </c>
      <c r="AI162" s="138">
        <v>0</v>
      </c>
      <c r="AJ162" s="141">
        <v>0</v>
      </c>
      <c r="AK162" s="138"/>
      <c r="AL162" s="28"/>
      <c r="AM162" s="141"/>
      <c r="AN162" s="138"/>
      <c r="AO162" s="141"/>
      <c r="AP162" s="138" t="s">
        <v>345</v>
      </c>
      <c r="AQ162" s="28" t="s">
        <v>999</v>
      </c>
      <c r="AR162" s="141" t="s">
        <v>625</v>
      </c>
      <c r="AS162" s="28"/>
      <c r="AT162" s="28"/>
      <c r="AU162" s="28"/>
      <c r="AX162" s="134"/>
      <c r="AY162" s="134"/>
      <c r="AZ162" s="136"/>
      <c r="BA162" s="135"/>
      <c r="BB162" s="135"/>
      <c r="BC162" s="135"/>
      <c r="BD162" s="134"/>
      <c r="BE162" s="136"/>
      <c r="BF162" s="135" t="s">
        <v>1025</v>
      </c>
      <c r="BG162" s="135"/>
      <c r="BH162" s="136"/>
      <c r="BY162" s="28"/>
    </row>
    <row r="163" spans="1:77" x14ac:dyDescent="0.3">
      <c r="C163" s="28"/>
      <c r="D163" s="92" t="s">
        <v>113</v>
      </c>
      <c r="E163" s="67">
        <f>2+2+3+7+2+12+18+11+65+3+4+1+12+3+3+4+7+16</f>
        <v>175</v>
      </c>
      <c r="F163" s="56">
        <f>+ 17+19+7+14+10+4+4+5+4+1+8+63+9+4+3</f>
        <v>172</v>
      </c>
      <c r="G163" s="54"/>
      <c r="H163" s="54"/>
      <c r="I163" s="45"/>
      <c r="J163" s="10"/>
      <c r="K163" s="40"/>
      <c r="L163" s="10" t="s">
        <v>142</v>
      </c>
      <c r="M163" s="18"/>
      <c r="N163" s="39" t="s">
        <v>303</v>
      </c>
      <c r="Q163" s="28"/>
      <c r="R163" s="42" t="s">
        <v>108</v>
      </c>
      <c r="S163" s="67">
        <v>1</v>
      </c>
      <c r="T163" s="43">
        <v>5</v>
      </c>
      <c r="U163" s="52"/>
      <c r="V163" s="54"/>
      <c r="W163" s="85"/>
      <c r="X163" s="18"/>
      <c r="Y163" s="40"/>
      <c r="Z163" s="154" t="s">
        <v>146</v>
      </c>
      <c r="AA163" s="28"/>
      <c r="AB163" s="94" t="s">
        <v>659</v>
      </c>
      <c r="AH163" s="196" t="s">
        <v>169</v>
      </c>
      <c r="AI163" s="138">
        <v>2</v>
      </c>
      <c r="AJ163" s="141">
        <v>3</v>
      </c>
      <c r="AK163" s="138"/>
      <c r="AL163" s="28"/>
      <c r="AM163" s="141"/>
      <c r="AN163" s="138"/>
      <c r="AO163" s="141"/>
      <c r="AP163" s="138" t="s">
        <v>736</v>
      </c>
      <c r="AQ163" s="43" t="s">
        <v>1000</v>
      </c>
      <c r="AR163" s="141" t="s">
        <v>936</v>
      </c>
      <c r="AS163" s="28"/>
      <c r="AT163" s="28"/>
      <c r="AU163" s="28"/>
      <c r="AX163" s="142" t="s">
        <v>64</v>
      </c>
      <c r="AY163" s="142">
        <v>47</v>
      </c>
      <c r="AZ163" s="146">
        <v>57</v>
      </c>
      <c r="BA163" s="143">
        <v>0</v>
      </c>
      <c r="BB163" s="143">
        <v>0</v>
      </c>
      <c r="BC163" s="143">
        <v>0</v>
      </c>
      <c r="BD163" s="142">
        <v>0</v>
      </c>
      <c r="BE163" s="146">
        <v>0</v>
      </c>
      <c r="BF163" s="143">
        <v>8</v>
      </c>
      <c r="BG163" s="143" t="s">
        <v>1026</v>
      </c>
      <c r="BH163" s="146">
        <f>SUM(BF163)</f>
        <v>8</v>
      </c>
      <c r="BI163" t="s">
        <v>6</v>
      </c>
      <c r="BR163" t="s">
        <v>5</v>
      </c>
      <c r="BU163" s="28"/>
      <c r="BV163" s="28"/>
      <c r="BW163" s="28"/>
      <c r="BX163" s="28"/>
      <c r="BY163" s="28"/>
    </row>
    <row r="164" spans="1:77" x14ac:dyDescent="0.3">
      <c r="C164" s="28" t="s">
        <v>6</v>
      </c>
      <c r="D164" s="92" t="s">
        <v>252</v>
      </c>
      <c r="E164" s="67">
        <v>0</v>
      </c>
      <c r="F164" s="56">
        <v>7</v>
      </c>
      <c r="G164" s="54"/>
      <c r="H164" s="54"/>
      <c r="I164" s="45"/>
      <c r="J164" s="10"/>
      <c r="K164" s="40"/>
      <c r="L164" s="93" t="s">
        <v>146</v>
      </c>
      <c r="M164" s="28"/>
      <c r="N164" s="94" t="s">
        <v>253</v>
      </c>
      <c r="Q164" s="28" t="s">
        <v>6</v>
      </c>
      <c r="R164" s="127" t="s">
        <v>102</v>
      </c>
      <c r="S164" s="67">
        <v>0</v>
      </c>
      <c r="T164" s="43">
        <v>1</v>
      </c>
      <c r="U164" s="42"/>
      <c r="V164" s="28"/>
      <c r="W164" s="40"/>
      <c r="X164" s="28"/>
      <c r="Y164" s="40"/>
      <c r="Z164" s="28"/>
      <c r="AA164" s="28"/>
      <c r="AB164" s="40"/>
      <c r="AH164" s="196" t="s">
        <v>384</v>
      </c>
      <c r="AI164" s="138">
        <v>6</v>
      </c>
      <c r="AJ164" s="141">
        <v>3</v>
      </c>
      <c r="AK164" s="138"/>
      <c r="AL164" s="28"/>
      <c r="AM164" s="141"/>
      <c r="AN164" s="138"/>
      <c r="AO164" s="141"/>
      <c r="AP164" s="138" t="s">
        <v>1001</v>
      </c>
      <c r="AQ164" s="43"/>
      <c r="AR164" s="141" t="s">
        <v>463</v>
      </c>
      <c r="AS164" s="28"/>
      <c r="AT164" s="28"/>
      <c r="AU164" s="28" t="s">
        <v>994</v>
      </c>
      <c r="AV164">
        <v>2017</v>
      </c>
      <c r="AW164">
        <v>3</v>
      </c>
      <c r="AX164" s="138" t="s">
        <v>113</v>
      </c>
      <c r="AY164" s="138">
        <v>489</v>
      </c>
      <c r="AZ164" s="141">
        <v>462</v>
      </c>
      <c r="BA164" s="28"/>
      <c r="BB164" s="28"/>
      <c r="BC164" s="28"/>
      <c r="BD164" s="138"/>
      <c r="BE164" s="141"/>
      <c r="BF164" s="28" t="s">
        <v>994</v>
      </c>
      <c r="BG164" s="28"/>
      <c r="BH164" s="141"/>
      <c r="BS164" t="s">
        <v>2</v>
      </c>
      <c r="BU164" s="28"/>
      <c r="BV164" s="28"/>
      <c r="BW164" s="28"/>
      <c r="BX164" s="28"/>
      <c r="BY164" s="28"/>
    </row>
    <row r="165" spans="1:77" x14ac:dyDescent="0.3">
      <c r="C165" s="28"/>
      <c r="D165" s="52" t="s">
        <v>133</v>
      </c>
      <c r="E165" s="67">
        <f>4+56+5</f>
        <v>65</v>
      </c>
      <c r="F165" s="56">
        <f>3+61</f>
        <v>64</v>
      </c>
      <c r="G165" s="54" t="s">
        <v>150</v>
      </c>
      <c r="H165" s="54"/>
      <c r="I165" s="45"/>
      <c r="J165" s="10"/>
      <c r="K165" s="40"/>
      <c r="L165" s="42" t="s">
        <v>151</v>
      </c>
      <c r="M165" s="28"/>
      <c r="N165" s="96"/>
      <c r="Q165" s="28"/>
      <c r="R165" s="52" t="s">
        <v>133</v>
      </c>
      <c r="S165" s="67">
        <f>7+32</f>
        <v>39</v>
      </c>
      <c r="T165" s="43">
        <f>13+46</f>
        <v>59</v>
      </c>
      <c r="U165" s="52" t="s">
        <v>150</v>
      </c>
      <c r="V165" s="54"/>
      <c r="W165" s="85"/>
      <c r="X165" s="18"/>
      <c r="Y165" s="40"/>
      <c r="Z165" s="28" t="s">
        <v>151</v>
      </c>
      <c r="AA165" s="28"/>
      <c r="AB165" s="96"/>
      <c r="AH165" s="196" t="s">
        <v>97</v>
      </c>
      <c r="AI165" s="138">
        <v>0</v>
      </c>
      <c r="AJ165" s="141">
        <v>0</v>
      </c>
      <c r="AK165" s="138"/>
      <c r="AL165" s="28"/>
      <c r="AM165" s="141"/>
      <c r="AN165" s="138"/>
      <c r="AO165" s="141"/>
      <c r="AP165" s="212" t="s">
        <v>1002</v>
      </c>
      <c r="AQ165" s="43" t="s">
        <v>1003</v>
      </c>
      <c r="AR165" s="141" t="s">
        <v>333</v>
      </c>
      <c r="AS165" s="28"/>
      <c r="AT165" s="28"/>
      <c r="AU165" s="28"/>
      <c r="AX165" s="138" t="s">
        <v>133</v>
      </c>
      <c r="AY165" s="138">
        <v>0</v>
      </c>
      <c r="AZ165" s="141">
        <v>0</v>
      </c>
      <c r="BA165" s="28"/>
      <c r="BB165" s="28"/>
      <c r="BC165" s="28"/>
      <c r="BD165" s="138"/>
      <c r="BE165" s="141"/>
      <c r="BF165" s="28">
        <v>23</v>
      </c>
      <c r="BG165" s="28" t="s">
        <v>100</v>
      </c>
      <c r="BH165" s="141"/>
      <c r="BQ165" t="s">
        <v>13</v>
      </c>
      <c r="BU165" s="28"/>
      <c r="BV165" s="28"/>
      <c r="BW165" s="28"/>
      <c r="BX165" s="28"/>
      <c r="BY165" s="28"/>
    </row>
    <row r="166" spans="1:77" x14ac:dyDescent="0.3">
      <c r="C166" s="28"/>
      <c r="D166" s="52" t="s">
        <v>85</v>
      </c>
      <c r="E166" s="42">
        <f>4+7+6+4</f>
        <v>21</v>
      </c>
      <c r="F166" s="56">
        <f>11+2</f>
        <v>13</v>
      </c>
      <c r="G166" s="28"/>
      <c r="H166" s="54"/>
      <c r="I166" s="28"/>
      <c r="J166" s="84"/>
      <c r="K166" s="56"/>
      <c r="L166" s="42" t="s">
        <v>304</v>
      </c>
      <c r="M166" s="28" t="s">
        <v>305</v>
      </c>
      <c r="N166" s="40"/>
      <c r="Q166" s="28"/>
      <c r="R166" s="52" t="s">
        <v>85</v>
      </c>
      <c r="S166" s="42">
        <v>5</v>
      </c>
      <c r="T166" s="43">
        <v>2</v>
      </c>
      <c r="U166" s="42"/>
      <c r="V166" s="54"/>
      <c r="W166" s="40"/>
      <c r="X166" s="45"/>
      <c r="Y166" s="56"/>
      <c r="Z166" s="43" t="s">
        <v>710</v>
      </c>
      <c r="AA166" s="28" t="s">
        <v>711</v>
      </c>
      <c r="AB166" s="40" t="s">
        <v>597</v>
      </c>
      <c r="AH166" s="196" t="s">
        <v>658</v>
      </c>
      <c r="AI166" s="138">
        <v>2</v>
      </c>
      <c r="AJ166" s="141">
        <v>1</v>
      </c>
      <c r="AK166" s="138"/>
      <c r="AL166" s="28"/>
      <c r="AM166" s="141"/>
      <c r="AN166" s="138"/>
      <c r="AO166" s="141"/>
      <c r="AP166" s="138" t="s">
        <v>1004</v>
      </c>
      <c r="AQ166" s="43" t="s">
        <v>371</v>
      </c>
      <c r="AR166" s="141" t="s">
        <v>362</v>
      </c>
      <c r="AS166" s="28"/>
      <c r="AT166" s="28"/>
      <c r="AU166" s="28"/>
      <c r="AX166" s="142" t="s">
        <v>84</v>
      </c>
      <c r="AY166" s="142">
        <f>SUM(AY164:AY165)</f>
        <v>489</v>
      </c>
      <c r="AZ166" s="146">
        <f>SUM(AZ164:AZ165)</f>
        <v>462</v>
      </c>
      <c r="BA166" s="143">
        <v>0</v>
      </c>
      <c r="BB166" s="143">
        <v>0</v>
      </c>
      <c r="BC166" s="143">
        <v>0</v>
      </c>
      <c r="BD166" s="142">
        <v>0</v>
      </c>
      <c r="BE166" s="146">
        <v>0</v>
      </c>
      <c r="BF166" s="43">
        <v>23</v>
      </c>
      <c r="BG166" s="43" t="s">
        <v>73</v>
      </c>
      <c r="BH166" s="146">
        <f>SUM(BF165:BF166)</f>
        <v>46</v>
      </c>
      <c r="BR166" s="409" t="s">
        <v>1392</v>
      </c>
      <c r="BS166" s="409"/>
      <c r="BT166" s="409"/>
      <c r="BU166" s="28"/>
      <c r="BV166" s="28"/>
      <c r="BW166" s="238" t="s">
        <v>950</v>
      </c>
      <c r="BX166" s="28"/>
      <c r="BY166" s="28"/>
    </row>
    <row r="167" spans="1:77" ht="15.6" x14ac:dyDescent="0.3">
      <c r="C167" s="28"/>
      <c r="D167" s="151" t="s">
        <v>306</v>
      </c>
      <c r="E167" s="36">
        <v>7</v>
      </c>
      <c r="F167" s="39">
        <v>11</v>
      </c>
      <c r="G167" s="18"/>
      <c r="H167" s="18"/>
      <c r="I167" s="18"/>
      <c r="J167" s="10"/>
      <c r="K167" s="11"/>
      <c r="L167" s="98" t="s">
        <v>307</v>
      </c>
      <c r="M167" s="28" t="s">
        <v>308</v>
      </c>
      <c r="N167" s="99"/>
      <c r="Q167" s="28"/>
      <c r="R167" s="151" t="s">
        <v>93</v>
      </c>
      <c r="S167" s="36">
        <v>0</v>
      </c>
      <c r="T167" s="37">
        <v>3</v>
      </c>
      <c r="U167" s="10"/>
      <c r="V167" s="18"/>
      <c r="W167" s="11"/>
      <c r="X167" s="18"/>
      <c r="Y167" s="11"/>
      <c r="Z167" s="158" t="s">
        <v>712</v>
      </c>
      <c r="AA167" s="178" t="s">
        <v>713</v>
      </c>
      <c r="AB167" s="39" t="s">
        <v>540</v>
      </c>
      <c r="AH167" s="196" t="s">
        <v>64</v>
      </c>
      <c r="AI167" s="138">
        <v>0</v>
      </c>
      <c r="AJ167" s="141">
        <v>0</v>
      </c>
      <c r="AK167" s="138"/>
      <c r="AL167" s="28"/>
      <c r="AM167" s="141"/>
      <c r="AN167" s="138"/>
      <c r="AO167" s="141"/>
      <c r="AP167" s="138" t="s">
        <v>373</v>
      </c>
      <c r="AQ167" s="43" t="s">
        <v>1005</v>
      </c>
      <c r="AR167" s="209" t="s">
        <v>651</v>
      </c>
      <c r="AS167" s="43"/>
      <c r="AT167" s="43"/>
      <c r="AU167" s="28"/>
      <c r="AX167" s="196" t="s">
        <v>214</v>
      </c>
      <c r="AY167" s="138">
        <v>0</v>
      </c>
      <c r="AZ167" s="141">
        <v>2</v>
      </c>
      <c r="BA167" s="134"/>
      <c r="BB167" s="135"/>
      <c r="BC167" s="136"/>
      <c r="BD167" s="138"/>
      <c r="BE167" s="141"/>
      <c r="BF167" s="134" t="s">
        <v>140</v>
      </c>
      <c r="BG167" s="135"/>
      <c r="BH167" s="136"/>
      <c r="BN167" s="195" t="s">
        <v>17</v>
      </c>
      <c r="BO167" s="134" t="s">
        <v>27</v>
      </c>
      <c r="BP167" s="135"/>
      <c r="BQ167" s="134" t="s">
        <v>28</v>
      </c>
      <c r="BR167" s="135"/>
      <c r="BS167" s="136"/>
      <c r="BT167" s="134" t="s">
        <v>1289</v>
      </c>
      <c r="BU167" s="136"/>
      <c r="BV167" s="135" t="s">
        <v>31</v>
      </c>
      <c r="BW167" s="135"/>
      <c r="BX167" s="136"/>
      <c r="BY167" s="28"/>
    </row>
    <row r="168" spans="1:77" ht="15.6" x14ac:dyDescent="0.3">
      <c r="C168" s="28"/>
      <c r="D168" s="92" t="s">
        <v>164</v>
      </c>
      <c r="E168" s="42">
        <v>10</v>
      </c>
      <c r="F168" s="40">
        <v>10</v>
      </c>
      <c r="G168" s="18"/>
      <c r="H168" s="18"/>
      <c r="I168" s="18"/>
      <c r="J168" s="10"/>
      <c r="K168" s="11"/>
      <c r="L168" s="98" t="s">
        <v>309</v>
      </c>
      <c r="M168" s="100" t="s">
        <v>310</v>
      </c>
      <c r="N168" s="39" t="s">
        <v>311</v>
      </c>
      <c r="Q168" s="28"/>
      <c r="R168" s="42" t="s">
        <v>164</v>
      </c>
      <c r="S168" s="42">
        <v>3</v>
      </c>
      <c r="T168" s="54">
        <v>3</v>
      </c>
      <c r="U168" s="10"/>
      <c r="V168" s="18"/>
      <c r="W168" s="11"/>
      <c r="X168" s="18"/>
      <c r="Y168" s="11"/>
      <c r="Z168" s="158" t="s">
        <v>714</v>
      </c>
      <c r="AA168" s="178" t="s">
        <v>715</v>
      </c>
      <c r="AB168" s="39" t="s">
        <v>677</v>
      </c>
      <c r="AH168" s="196" t="s">
        <v>657</v>
      </c>
      <c r="AI168" s="138">
        <v>0</v>
      </c>
      <c r="AJ168" s="141">
        <v>0</v>
      </c>
      <c r="AK168" s="138"/>
      <c r="AL168" s="28"/>
      <c r="AM168" s="141"/>
      <c r="AN168" s="138"/>
      <c r="AO168" s="141"/>
      <c r="AP168" s="138" t="s">
        <v>1006</v>
      </c>
      <c r="AQ168" s="43" t="s">
        <v>582</v>
      </c>
      <c r="AR168" s="213" t="s">
        <v>1007</v>
      </c>
      <c r="AS168" s="228"/>
      <c r="AT168" s="228"/>
      <c r="AU168" s="43"/>
      <c r="AX168" s="196" t="s">
        <v>1552</v>
      </c>
      <c r="AY168" s="138">
        <v>0</v>
      </c>
      <c r="AZ168" s="141">
        <v>1</v>
      </c>
      <c r="BA168" s="138"/>
      <c r="BB168" s="28"/>
      <c r="BC168" s="141"/>
      <c r="BD168" s="138"/>
      <c r="BE168" s="141"/>
      <c r="BF168" s="138"/>
      <c r="BG168" s="28"/>
      <c r="BH168" s="141"/>
      <c r="BN168" s="196"/>
      <c r="BO168" s="138"/>
      <c r="BP168" s="28"/>
      <c r="BQ168" s="138"/>
      <c r="BR168" s="28"/>
      <c r="BS168" s="141"/>
      <c r="BT168" s="138"/>
      <c r="BU168" s="141"/>
      <c r="BV168" s="28" t="s">
        <v>41</v>
      </c>
      <c r="BW168" s="28"/>
      <c r="BX168" s="141"/>
      <c r="BY168" s="28"/>
    </row>
    <row r="169" spans="1:77" x14ac:dyDescent="0.3">
      <c r="C169" s="28"/>
      <c r="D169" s="36" t="s">
        <v>312</v>
      </c>
      <c r="E169" s="36">
        <f>4+4</f>
        <v>8</v>
      </c>
      <c r="F169" s="39">
        <f>4+2+2+3</f>
        <v>11</v>
      </c>
      <c r="G169" s="18"/>
      <c r="H169" s="18"/>
      <c r="I169" s="18"/>
      <c r="J169" s="10"/>
      <c r="K169" s="11"/>
      <c r="L169" s="98" t="s">
        <v>313</v>
      </c>
      <c r="M169" s="37" t="s">
        <v>314</v>
      </c>
      <c r="N169" s="39" t="s">
        <v>315</v>
      </c>
      <c r="Q169" s="28"/>
      <c r="R169" s="36" t="s">
        <v>169</v>
      </c>
      <c r="S169" s="36">
        <v>3</v>
      </c>
      <c r="T169" s="37">
        <v>4</v>
      </c>
      <c r="U169" s="10"/>
      <c r="V169" s="18"/>
      <c r="W169" s="11"/>
      <c r="X169" s="18"/>
      <c r="Y169" s="11"/>
      <c r="Z169" s="158" t="s">
        <v>717</v>
      </c>
      <c r="AA169" s="37" t="s">
        <v>623</v>
      </c>
      <c r="AB169" s="39" t="s">
        <v>718</v>
      </c>
      <c r="AH169" s="196" t="s">
        <v>862</v>
      </c>
      <c r="AI169" s="138">
        <v>0</v>
      </c>
      <c r="AJ169" s="141">
        <v>0</v>
      </c>
      <c r="AK169" s="138"/>
      <c r="AL169" s="28"/>
      <c r="AM169" s="141"/>
      <c r="AN169" s="138"/>
      <c r="AO169" s="141"/>
      <c r="AP169" s="138" t="s">
        <v>510</v>
      </c>
      <c r="AQ169" s="43" t="s">
        <v>175</v>
      </c>
      <c r="AR169" s="141" t="s">
        <v>167</v>
      </c>
      <c r="AS169" s="28"/>
      <c r="AT169" s="28"/>
      <c r="AU169" s="228"/>
      <c r="AX169" s="196" t="s">
        <v>211</v>
      </c>
      <c r="AY169" s="138">
        <v>17</v>
      </c>
      <c r="AZ169" s="141">
        <f>3+35</f>
        <v>38</v>
      </c>
      <c r="BA169" s="138"/>
      <c r="BB169" s="28"/>
      <c r="BC169" s="141"/>
      <c r="BD169" s="138"/>
      <c r="BE169" s="141"/>
      <c r="BF169" s="138"/>
      <c r="BG169" s="28"/>
      <c r="BH169" s="141"/>
      <c r="BN169" s="199" t="s">
        <v>42</v>
      </c>
      <c r="BO169" s="142" t="s">
        <v>43</v>
      </c>
      <c r="BP169" s="143" t="s">
        <v>44</v>
      </c>
      <c r="BQ169" s="142" t="s">
        <v>45</v>
      </c>
      <c r="BR169" s="143" t="s">
        <v>46</v>
      </c>
      <c r="BS169" s="146" t="s">
        <v>52</v>
      </c>
      <c r="BT169" s="142" t="s">
        <v>43</v>
      </c>
      <c r="BU169" s="146"/>
      <c r="BV169" s="143" t="s">
        <v>54</v>
      </c>
      <c r="BW169" s="143"/>
      <c r="BX169" s="146"/>
      <c r="BY169" s="28"/>
    </row>
    <row r="170" spans="1:77" x14ac:dyDescent="0.3">
      <c r="C170" s="28"/>
      <c r="D170" s="36" t="s">
        <v>158</v>
      </c>
      <c r="E170" s="36">
        <v>31</v>
      </c>
      <c r="F170" s="39">
        <v>31</v>
      </c>
      <c r="G170" s="18"/>
      <c r="H170" s="18"/>
      <c r="I170" s="18"/>
      <c r="J170" s="10"/>
      <c r="K170" s="11"/>
      <c r="L170" s="52" t="s">
        <v>316</v>
      </c>
      <c r="M170" s="37" t="s">
        <v>317</v>
      </c>
      <c r="N170" s="39" t="s">
        <v>318</v>
      </c>
      <c r="Q170" s="28"/>
      <c r="R170" s="36" t="s">
        <v>99</v>
      </c>
      <c r="S170" s="36">
        <v>4</v>
      </c>
      <c r="T170" s="37">
        <f>1+3</f>
        <v>4</v>
      </c>
      <c r="U170" s="10"/>
      <c r="V170" s="18"/>
      <c r="W170" s="11"/>
      <c r="X170" s="18"/>
      <c r="Y170" s="11"/>
      <c r="Z170" s="179" t="s">
        <v>719</v>
      </c>
      <c r="AA170" s="37" t="s">
        <v>260</v>
      </c>
      <c r="AB170" s="39" t="s">
        <v>512</v>
      </c>
      <c r="AH170" s="196" t="s">
        <v>1009</v>
      </c>
      <c r="AI170" s="138">
        <v>0</v>
      </c>
      <c r="AJ170" s="141">
        <v>0</v>
      </c>
      <c r="AK170" s="138"/>
      <c r="AL170" s="28"/>
      <c r="AM170" s="141"/>
      <c r="AN170" s="138"/>
      <c r="AO170" s="141"/>
      <c r="AP170" s="138" t="s">
        <v>522</v>
      </c>
      <c r="AQ170" s="43" t="s">
        <v>280</v>
      </c>
      <c r="AR170" s="141" t="s">
        <v>340</v>
      </c>
      <c r="AS170" s="28"/>
      <c r="AT170" s="28"/>
      <c r="AU170" s="28"/>
      <c r="AW170" t="s">
        <v>6</v>
      </c>
      <c r="AX170" s="196" t="s">
        <v>113</v>
      </c>
      <c r="AY170" s="138">
        <f>1+42</f>
        <v>43</v>
      </c>
      <c r="AZ170" s="141">
        <f>5+31</f>
        <v>36</v>
      </c>
      <c r="BA170" s="138"/>
      <c r="BB170" s="28"/>
      <c r="BC170" s="141" t="s">
        <v>6</v>
      </c>
      <c r="BD170" s="138"/>
      <c r="BE170" s="141"/>
      <c r="BF170" s="138" t="s">
        <v>142</v>
      </c>
      <c r="BG170" s="28"/>
      <c r="BH170" s="141" t="s">
        <v>730</v>
      </c>
      <c r="BN170" s="195"/>
      <c r="BO170" s="134"/>
      <c r="BP170" s="136"/>
      <c r="BQ170" s="134">
        <v>0</v>
      </c>
      <c r="BR170" s="135">
        <v>0</v>
      </c>
      <c r="BS170" s="136">
        <v>0</v>
      </c>
      <c r="BT170" s="134">
        <v>0</v>
      </c>
      <c r="BU170" s="136">
        <v>0</v>
      </c>
      <c r="BV170" s="134" t="s">
        <v>58</v>
      </c>
      <c r="BW170" s="135"/>
      <c r="BX170" s="136"/>
      <c r="BY170" s="28"/>
    </row>
    <row r="171" spans="1:77" x14ac:dyDescent="0.3">
      <c r="C171" s="28"/>
      <c r="D171" s="150" t="s">
        <v>270</v>
      </c>
      <c r="E171" s="36">
        <v>4</v>
      </c>
      <c r="F171" s="39">
        <v>4</v>
      </c>
      <c r="G171" s="18"/>
      <c r="H171" s="37"/>
      <c r="I171" s="18"/>
      <c r="J171" s="10"/>
      <c r="K171" s="11"/>
      <c r="L171" s="93" t="s">
        <v>319</v>
      </c>
      <c r="M171" s="54"/>
      <c r="N171" s="39" t="s">
        <v>320</v>
      </c>
      <c r="Q171" s="28"/>
      <c r="R171" s="150" t="s">
        <v>64</v>
      </c>
      <c r="S171" s="36">
        <v>0</v>
      </c>
      <c r="T171" s="37">
        <v>0</v>
      </c>
      <c r="U171" s="10"/>
      <c r="V171" s="37"/>
      <c r="W171" s="11"/>
      <c r="X171" s="18"/>
      <c r="Y171" s="11"/>
      <c r="Z171" s="158" t="s">
        <v>720</v>
      </c>
      <c r="AA171" s="54" t="s">
        <v>721</v>
      </c>
      <c r="AB171" s="39" t="s">
        <v>309</v>
      </c>
      <c r="AH171" s="196" t="s">
        <v>158</v>
      </c>
      <c r="AI171" s="138">
        <v>0</v>
      </c>
      <c r="AJ171" s="141">
        <v>0</v>
      </c>
      <c r="AK171" s="138"/>
      <c r="AL171" s="28"/>
      <c r="AM171" s="141"/>
      <c r="AN171" s="138"/>
      <c r="AO171" s="141"/>
      <c r="AP171" s="138"/>
      <c r="AQ171" s="43"/>
      <c r="AR171" s="141"/>
      <c r="AS171" s="28"/>
      <c r="AT171" s="28"/>
      <c r="AU171" s="28"/>
      <c r="AX171" s="196" t="s">
        <v>108</v>
      </c>
      <c r="AY171" s="138">
        <f>3+2</f>
        <v>5</v>
      </c>
      <c r="AZ171" s="141">
        <v>6</v>
      </c>
      <c r="BA171" s="138"/>
      <c r="BB171" s="28"/>
      <c r="BC171" s="141"/>
      <c r="BD171" s="138"/>
      <c r="BE171" s="141"/>
      <c r="BF171" s="138" t="s">
        <v>146</v>
      </c>
      <c r="BG171" s="28"/>
      <c r="BH171" s="141" t="s">
        <v>1553</v>
      </c>
      <c r="BN171" s="196" t="s">
        <v>56</v>
      </c>
      <c r="BO171" s="138">
        <v>35</v>
      </c>
      <c r="BP171" s="141">
        <v>0</v>
      </c>
      <c r="BQ171" s="138">
        <v>0</v>
      </c>
      <c r="BR171" s="43">
        <v>0</v>
      </c>
      <c r="BS171" s="209">
        <v>0</v>
      </c>
      <c r="BT171" s="138">
        <v>0</v>
      </c>
      <c r="BU171" s="141">
        <v>0</v>
      </c>
      <c r="BV171" s="212">
        <v>9</v>
      </c>
      <c r="BW171" s="28" t="s">
        <v>65</v>
      </c>
      <c r="BX171" s="141"/>
      <c r="BY171" s="28">
        <v>119642</v>
      </c>
    </row>
    <row r="172" spans="1:77" x14ac:dyDescent="0.3">
      <c r="C172" s="37"/>
      <c r="D172" s="36" t="s">
        <v>321</v>
      </c>
      <c r="E172" s="36">
        <v>6</v>
      </c>
      <c r="F172" s="39">
        <v>2</v>
      </c>
      <c r="G172" s="18"/>
      <c r="H172" s="18"/>
      <c r="I172" s="18"/>
      <c r="J172" s="10"/>
      <c r="K172" s="11"/>
      <c r="L172" s="36" t="s">
        <v>322</v>
      </c>
      <c r="M172" s="37" t="s">
        <v>283</v>
      </c>
      <c r="N172" s="40" t="s">
        <v>292</v>
      </c>
      <c r="Q172" s="37"/>
      <c r="R172" s="36" t="s">
        <v>200</v>
      </c>
      <c r="S172" s="36">
        <v>5</v>
      </c>
      <c r="T172" s="37">
        <v>0</v>
      </c>
      <c r="U172" s="10"/>
      <c r="V172" s="18"/>
      <c r="W172" s="11"/>
      <c r="X172" s="18"/>
      <c r="Y172" s="11"/>
      <c r="Z172" s="162" t="s">
        <v>722</v>
      </c>
      <c r="AA172" s="37" t="s">
        <v>723</v>
      </c>
      <c r="AB172" s="180"/>
      <c r="AH172" s="196" t="s">
        <v>971</v>
      </c>
      <c r="AI172" s="138">
        <v>0</v>
      </c>
      <c r="AJ172" s="141">
        <v>0</v>
      </c>
      <c r="AK172" s="138"/>
      <c r="AL172" s="28"/>
      <c r="AM172" s="141"/>
      <c r="AN172" s="138"/>
      <c r="AO172" s="141"/>
      <c r="AP172" s="138"/>
      <c r="AQ172" s="28"/>
      <c r="AR172" s="141"/>
      <c r="AS172" s="28"/>
      <c r="AT172" s="28"/>
      <c r="AU172" s="28"/>
      <c r="AX172" s="196" t="s">
        <v>133</v>
      </c>
      <c r="AY172" s="138">
        <f>10+17</f>
        <v>27</v>
      </c>
      <c r="AZ172" s="141">
        <f>14+17</f>
        <v>31</v>
      </c>
      <c r="BA172" s="138"/>
      <c r="BB172" s="28"/>
      <c r="BC172" s="141"/>
      <c r="BD172" s="138"/>
      <c r="BE172" s="141"/>
      <c r="BF172" s="138"/>
      <c r="BG172" s="28"/>
      <c r="BH172" s="141"/>
      <c r="BN172" s="196" t="s">
        <v>64</v>
      </c>
      <c r="BO172" s="138">
        <v>75</v>
      </c>
      <c r="BP172" s="141">
        <v>97</v>
      </c>
      <c r="BQ172" s="138">
        <v>0</v>
      </c>
      <c r="BR172" s="43">
        <v>0</v>
      </c>
      <c r="BS172" s="209">
        <v>0</v>
      </c>
      <c r="BT172" s="138">
        <v>0</v>
      </c>
      <c r="BU172" s="141">
        <v>0</v>
      </c>
      <c r="BV172" s="138">
        <v>5</v>
      </c>
      <c r="BW172" s="28" t="s">
        <v>69</v>
      </c>
      <c r="BX172" s="141"/>
    </row>
    <row r="173" spans="1:77" x14ac:dyDescent="0.3">
      <c r="C173" s="28"/>
      <c r="D173" s="150" t="s">
        <v>323</v>
      </c>
      <c r="E173" s="36">
        <v>0</v>
      </c>
      <c r="F173" s="39">
        <v>2</v>
      </c>
      <c r="G173" s="18"/>
      <c r="H173" s="18"/>
      <c r="I173" s="18"/>
      <c r="J173" s="10"/>
      <c r="K173" s="11"/>
      <c r="L173" s="112" t="s">
        <v>324</v>
      </c>
      <c r="M173" s="37" t="s">
        <v>325</v>
      </c>
      <c r="N173" s="39"/>
      <c r="Q173" s="28"/>
      <c r="R173" s="150" t="s">
        <v>358</v>
      </c>
      <c r="S173" s="36">
        <v>10</v>
      </c>
      <c r="T173" s="37">
        <f>9+5</f>
        <v>14</v>
      </c>
      <c r="U173" s="10"/>
      <c r="V173" s="18"/>
      <c r="W173" s="11"/>
      <c r="X173" s="18"/>
      <c r="Y173" s="11"/>
      <c r="Z173" s="159" t="s">
        <v>724</v>
      </c>
      <c r="AA173" s="37" t="s">
        <v>725</v>
      </c>
      <c r="AB173" s="39" t="s">
        <v>276</v>
      </c>
      <c r="AH173" s="196" t="s">
        <v>564</v>
      </c>
      <c r="AI173" s="138">
        <v>9</v>
      </c>
      <c r="AJ173" s="141">
        <v>9</v>
      </c>
      <c r="AK173" s="138"/>
      <c r="AL173" s="28"/>
      <c r="AM173" s="141"/>
      <c r="AN173" s="138"/>
      <c r="AO173" s="141"/>
      <c r="AP173" s="138"/>
      <c r="AQ173" s="28"/>
      <c r="AR173" s="141"/>
      <c r="AS173" s="28"/>
      <c r="AT173" s="28"/>
      <c r="AU173" s="28"/>
      <c r="AX173" s="196" t="s">
        <v>99</v>
      </c>
      <c r="AY173" s="138">
        <v>1</v>
      </c>
      <c r="AZ173" s="141">
        <v>1</v>
      </c>
      <c r="BA173" s="138" t="s">
        <v>150</v>
      </c>
      <c r="BB173" s="28"/>
      <c r="BC173" s="141"/>
      <c r="BD173" s="138"/>
      <c r="BE173" s="141"/>
      <c r="BF173" s="138" t="s">
        <v>151</v>
      </c>
      <c r="BG173" s="28"/>
      <c r="BH173" s="141"/>
      <c r="BN173" s="239" t="s">
        <v>84</v>
      </c>
      <c r="BO173" s="142">
        <f>SUM(BO171:BO172)</f>
        <v>110</v>
      </c>
      <c r="BP173" s="146">
        <f>SUM(BP171:BP172)</f>
        <v>97</v>
      </c>
      <c r="BQ173" s="142">
        <v>0</v>
      </c>
      <c r="BR173" s="143">
        <v>0</v>
      </c>
      <c r="BS173" s="146">
        <v>0</v>
      </c>
      <c r="BT173" s="142">
        <v>0</v>
      </c>
      <c r="BU173" s="146">
        <v>0</v>
      </c>
      <c r="BV173" s="142"/>
      <c r="BW173" s="143"/>
      <c r="BX173" s="146">
        <v>14</v>
      </c>
    </row>
    <row r="174" spans="1:77" x14ac:dyDescent="0.3">
      <c r="D174" s="98" t="s">
        <v>107</v>
      </c>
      <c r="E174" s="36">
        <v>2</v>
      </c>
      <c r="F174" s="39">
        <v>8</v>
      </c>
      <c r="G174" s="18"/>
      <c r="H174" s="18"/>
      <c r="I174" s="18"/>
      <c r="J174" s="10"/>
      <c r="K174" s="11"/>
      <c r="L174" s="36" t="s">
        <v>326</v>
      </c>
      <c r="M174" s="37" t="s">
        <v>327</v>
      </c>
      <c r="N174" s="114"/>
      <c r="R174" s="150" t="s">
        <v>331</v>
      </c>
      <c r="S174" s="36">
        <v>0</v>
      </c>
      <c r="T174" s="37">
        <v>0</v>
      </c>
      <c r="U174" s="10"/>
      <c r="V174" s="18"/>
      <c r="W174" s="11"/>
      <c r="X174" s="18"/>
      <c r="Y174" s="11"/>
      <c r="Z174" s="128" t="s">
        <v>726</v>
      </c>
      <c r="AA174" s="37" t="s">
        <v>448</v>
      </c>
      <c r="AB174" s="39" t="s">
        <v>180</v>
      </c>
      <c r="AH174" s="196" t="s">
        <v>196</v>
      </c>
      <c r="AI174" s="138">
        <v>0</v>
      </c>
      <c r="AJ174" s="141">
        <v>0</v>
      </c>
      <c r="AK174" s="138"/>
      <c r="AL174" s="28"/>
      <c r="AM174" s="141"/>
      <c r="AN174" s="138"/>
      <c r="AO174" s="141"/>
      <c r="AP174" s="138"/>
      <c r="AQ174" s="28"/>
      <c r="AR174" s="141"/>
      <c r="AS174" s="28"/>
      <c r="AT174" s="28"/>
      <c r="AU174" s="28"/>
      <c r="AX174" s="196" t="s">
        <v>85</v>
      </c>
      <c r="AY174" s="138">
        <f>12+8</f>
        <v>20</v>
      </c>
      <c r="AZ174" s="141">
        <f>8+7</f>
        <v>15</v>
      </c>
      <c r="BA174" s="138"/>
      <c r="BB174" s="28"/>
      <c r="BC174" s="141"/>
      <c r="BD174" s="138"/>
      <c r="BE174" s="141"/>
      <c r="BF174" s="316" t="s">
        <v>283</v>
      </c>
      <c r="BG174" s="257" t="s">
        <v>1554</v>
      </c>
      <c r="BH174" s="141" t="s">
        <v>1534</v>
      </c>
      <c r="BN174" s="195"/>
      <c r="BO174" s="134"/>
      <c r="BP174" s="136"/>
      <c r="BQ174" s="240"/>
      <c r="BR174" s="241"/>
      <c r="BS174" s="242"/>
      <c r="BT174" s="134"/>
      <c r="BU174" s="136"/>
      <c r="BV174" s="135"/>
      <c r="BW174" s="135" t="s">
        <v>92</v>
      </c>
      <c r="BX174" s="136"/>
    </row>
    <row r="175" spans="1:77" x14ac:dyDescent="0.3">
      <c r="D175" s="36" t="s">
        <v>328</v>
      </c>
      <c r="E175" s="36">
        <v>0</v>
      </c>
      <c r="F175" s="39">
        <v>2</v>
      </c>
      <c r="G175" s="18"/>
      <c r="H175" s="18"/>
      <c r="I175" s="18"/>
      <c r="J175" s="10"/>
      <c r="K175" s="11"/>
      <c r="L175" s="36" t="s">
        <v>329</v>
      </c>
      <c r="M175" s="37" t="s">
        <v>330</v>
      </c>
      <c r="N175" s="39"/>
      <c r="R175" s="36" t="s">
        <v>337</v>
      </c>
      <c r="S175" s="36">
        <v>5</v>
      </c>
      <c r="T175" s="37">
        <v>1</v>
      </c>
      <c r="U175" s="10"/>
      <c r="V175" s="18"/>
      <c r="W175" s="11"/>
      <c r="X175" s="18"/>
      <c r="Y175" s="11"/>
      <c r="Z175" s="128"/>
      <c r="AA175" s="37"/>
      <c r="AB175" s="39"/>
      <c r="AH175" s="196" t="s">
        <v>211</v>
      </c>
      <c r="AI175" s="138">
        <v>34</v>
      </c>
      <c r="AJ175" s="141">
        <v>1</v>
      </c>
      <c r="AK175" s="138"/>
      <c r="AL175" s="28"/>
      <c r="AM175" s="141"/>
      <c r="AN175" s="138"/>
      <c r="AO175" s="141"/>
      <c r="AP175" s="138"/>
      <c r="AQ175" s="28"/>
      <c r="AR175" s="141"/>
      <c r="AS175" s="28"/>
      <c r="AT175" s="28"/>
      <c r="AU175" s="28"/>
      <c r="AX175" s="196" t="s">
        <v>403</v>
      </c>
      <c r="AY175" s="138">
        <v>0</v>
      </c>
      <c r="AZ175" s="141">
        <v>3</v>
      </c>
      <c r="BA175" s="138"/>
      <c r="BB175" s="28"/>
      <c r="BC175" s="141"/>
      <c r="BD175" s="138"/>
      <c r="BE175" s="141"/>
      <c r="BF175" s="138" t="s">
        <v>823</v>
      </c>
      <c r="BG175" s="28" t="s">
        <v>819</v>
      </c>
      <c r="BH175" s="141" t="s">
        <v>1555</v>
      </c>
      <c r="BN175" s="196"/>
      <c r="BO175" s="138"/>
      <c r="BP175" s="141"/>
      <c r="BQ175" s="138"/>
      <c r="BR175" s="43"/>
      <c r="BS175" s="141"/>
      <c r="BT175" s="138"/>
      <c r="BU175" s="141"/>
      <c r="BV175" s="43"/>
      <c r="BW175" s="43" t="s">
        <v>1394</v>
      </c>
      <c r="BX175" s="141"/>
    </row>
    <row r="176" spans="1:77" x14ac:dyDescent="0.3">
      <c r="D176" s="36" t="s">
        <v>331</v>
      </c>
      <c r="E176" s="10">
        <v>2</v>
      </c>
      <c r="F176" s="39">
        <v>5</v>
      </c>
      <c r="G176" s="18"/>
      <c r="H176" s="18"/>
      <c r="I176" s="37"/>
      <c r="J176" s="10"/>
      <c r="K176" s="11"/>
      <c r="L176" s="124" t="s">
        <v>332</v>
      </c>
      <c r="M176" s="37" t="s">
        <v>333</v>
      </c>
      <c r="N176" s="39"/>
      <c r="R176" s="36" t="s">
        <v>574</v>
      </c>
      <c r="S176" s="10">
        <v>0</v>
      </c>
      <c r="T176" s="37">
        <v>5</v>
      </c>
      <c r="U176" s="10"/>
      <c r="V176" s="18"/>
      <c r="W176" s="39"/>
      <c r="X176" s="18"/>
      <c r="Y176" s="11"/>
      <c r="Z176" s="159"/>
      <c r="AA176" s="37"/>
      <c r="AB176" s="39"/>
      <c r="AH176" s="196" t="s">
        <v>218</v>
      </c>
      <c r="AI176" s="138">
        <v>0</v>
      </c>
      <c r="AJ176" s="141">
        <v>28</v>
      </c>
      <c r="AK176" s="138"/>
      <c r="AL176" s="28">
        <v>0</v>
      </c>
      <c r="AM176" s="141"/>
      <c r="AN176" s="138"/>
      <c r="AO176" s="141"/>
      <c r="AP176" s="138"/>
      <c r="AQ176" s="28"/>
      <c r="AR176" s="141"/>
      <c r="AS176" s="28"/>
      <c r="AT176" s="28"/>
      <c r="AU176" s="28"/>
      <c r="AX176" s="196" t="s">
        <v>158</v>
      </c>
      <c r="AY176" s="138">
        <v>23</v>
      </c>
      <c r="AZ176" s="141">
        <v>23</v>
      </c>
      <c r="BA176" s="138"/>
      <c r="BB176" s="28"/>
      <c r="BC176" s="141"/>
      <c r="BD176" s="138"/>
      <c r="BE176" s="141"/>
      <c r="BF176" s="138" t="s">
        <v>287</v>
      </c>
      <c r="BG176" s="28" t="s">
        <v>1556</v>
      </c>
      <c r="BH176" s="141" t="s">
        <v>602</v>
      </c>
      <c r="BN176" s="211"/>
      <c r="BO176" s="138"/>
      <c r="BP176" s="141"/>
      <c r="BQ176" s="212"/>
      <c r="BR176" s="43"/>
      <c r="BS176" s="209"/>
      <c r="BT176" s="138"/>
      <c r="BU176" s="141"/>
      <c r="BV176" s="43"/>
      <c r="BW176" s="43"/>
      <c r="BX176" s="141"/>
      <c r="BY176" s="28"/>
    </row>
    <row r="177" spans="4:77" x14ac:dyDescent="0.3">
      <c r="D177" s="98" t="s">
        <v>105</v>
      </c>
      <c r="E177" s="10">
        <v>0</v>
      </c>
      <c r="F177" s="39">
        <v>1</v>
      </c>
      <c r="G177" s="18"/>
      <c r="H177" s="18"/>
      <c r="I177" s="18"/>
      <c r="J177" s="10"/>
      <c r="K177" s="11"/>
      <c r="L177" s="52" t="s">
        <v>179</v>
      </c>
      <c r="M177" s="37" t="s">
        <v>334</v>
      </c>
      <c r="N177" s="39"/>
      <c r="R177" s="150" t="s">
        <v>669</v>
      </c>
      <c r="S177" s="10">
        <v>10</v>
      </c>
      <c r="T177" s="37">
        <v>7</v>
      </c>
      <c r="U177" s="10"/>
      <c r="V177" s="18"/>
      <c r="W177" s="11"/>
      <c r="X177" s="18"/>
      <c r="Y177" s="11"/>
      <c r="Z177" s="179"/>
      <c r="AA177" s="37"/>
      <c r="AB177" s="39"/>
      <c r="AH177" s="196" t="s">
        <v>93</v>
      </c>
      <c r="AI177" s="138">
        <v>0</v>
      </c>
      <c r="AJ177" s="141">
        <v>3</v>
      </c>
      <c r="AK177" s="138"/>
      <c r="AL177" s="28"/>
      <c r="AM177" s="141"/>
      <c r="AN177" s="138"/>
      <c r="AO177" s="141"/>
      <c r="AP177" s="138"/>
      <c r="AQ177" s="28"/>
      <c r="AR177" s="141"/>
      <c r="AS177" s="28"/>
      <c r="AT177" s="28"/>
      <c r="AU177" s="28"/>
      <c r="AX177" s="196" t="s">
        <v>169</v>
      </c>
      <c r="AY177" s="138">
        <v>9</v>
      </c>
      <c r="AZ177" s="141">
        <v>3</v>
      </c>
      <c r="BA177" s="138"/>
      <c r="BB177" s="28"/>
      <c r="BC177" s="141"/>
      <c r="BD177" s="138"/>
      <c r="BE177" s="141"/>
      <c r="BF177" s="138" t="s">
        <v>500</v>
      </c>
      <c r="BG177" s="43" t="s">
        <v>1557</v>
      </c>
      <c r="BH177" s="141" t="s">
        <v>1558</v>
      </c>
      <c r="BN177" s="196"/>
      <c r="BO177" s="138"/>
      <c r="BP177" s="141"/>
      <c r="BQ177" s="138"/>
      <c r="BR177" s="43"/>
      <c r="BS177" s="141"/>
      <c r="BT177" s="138"/>
      <c r="BU177" s="141"/>
      <c r="BV177" s="43"/>
      <c r="BW177" s="28"/>
      <c r="BX177" s="141"/>
      <c r="BY177" s="28"/>
    </row>
    <row r="178" spans="4:77" x14ac:dyDescent="0.3">
      <c r="D178" s="92" t="s">
        <v>64</v>
      </c>
      <c r="E178" s="84">
        <v>6</v>
      </c>
      <c r="F178" s="86">
        <v>0</v>
      </c>
      <c r="G178" s="45"/>
      <c r="H178" s="45"/>
      <c r="I178" s="45"/>
      <c r="J178" s="10"/>
      <c r="K178" s="11"/>
      <c r="L178" s="112" t="s">
        <v>335</v>
      </c>
      <c r="M178" s="54" t="s">
        <v>336</v>
      </c>
      <c r="N178" s="86"/>
      <c r="R178" s="92" t="s">
        <v>97</v>
      </c>
      <c r="S178" s="84">
        <v>0</v>
      </c>
      <c r="T178" s="54">
        <v>0</v>
      </c>
      <c r="U178" s="84"/>
      <c r="V178" s="45"/>
      <c r="W178" s="85"/>
      <c r="X178" s="18"/>
      <c r="Y178" s="11"/>
      <c r="Z178" s="179"/>
      <c r="AA178" s="54"/>
      <c r="AB178" s="86"/>
      <c r="AH178" s="199" t="s">
        <v>84</v>
      </c>
      <c r="AI178" s="142">
        <f>SUM(AI153:AI177)</f>
        <v>130</v>
      </c>
      <c r="AJ178" s="146">
        <f>SUM(AJ153:AJ177)</f>
        <v>146</v>
      </c>
      <c r="AK178" s="142">
        <v>0</v>
      </c>
      <c r="AL178" s="143">
        <f>SUM(AL153:AL177)</f>
        <v>0</v>
      </c>
      <c r="AM178" s="146">
        <v>0</v>
      </c>
      <c r="AN178" s="142">
        <v>0</v>
      </c>
      <c r="AO178" s="146">
        <v>0</v>
      </c>
      <c r="AP178" s="142"/>
      <c r="AQ178" s="143"/>
      <c r="AR178" s="146">
        <f>8+7+4+9+5+7+5+4+4+4+4+3+6</f>
        <v>70</v>
      </c>
      <c r="AS178" s="28"/>
      <c r="AT178" s="28"/>
      <c r="AU178" s="28"/>
      <c r="AX178" s="196" t="s">
        <v>783</v>
      </c>
      <c r="AY178" s="138">
        <v>0</v>
      </c>
      <c r="AZ178" s="141">
        <v>3</v>
      </c>
      <c r="BA178" s="138"/>
      <c r="BB178" s="28"/>
      <c r="BC178" s="141"/>
      <c r="BD178" s="138"/>
      <c r="BE178" s="141"/>
      <c r="BF178" s="138" t="s">
        <v>1559</v>
      </c>
      <c r="BG178" s="43" t="s">
        <v>456</v>
      </c>
      <c r="BH178" s="141" t="s">
        <v>1274</v>
      </c>
      <c r="BN178" s="211" t="s">
        <v>99</v>
      </c>
      <c r="BO178" s="138">
        <v>0</v>
      </c>
      <c r="BP178" s="141">
        <v>0</v>
      </c>
      <c r="BQ178" s="138">
        <v>0</v>
      </c>
      <c r="BR178" s="43">
        <v>0</v>
      </c>
      <c r="BS178" s="141">
        <v>0</v>
      </c>
      <c r="BT178" s="138">
        <v>69989</v>
      </c>
      <c r="BU178" s="141">
        <v>20907</v>
      </c>
      <c r="BV178" s="28"/>
      <c r="BW178" s="28"/>
      <c r="BX178" s="141"/>
      <c r="BY178" s="28"/>
    </row>
    <row r="179" spans="4:77" x14ac:dyDescent="0.3">
      <c r="D179" s="127" t="s">
        <v>337</v>
      </c>
      <c r="E179" s="84">
        <v>5</v>
      </c>
      <c r="F179" s="86">
        <v>6</v>
      </c>
      <c r="G179" s="45"/>
      <c r="H179" s="45"/>
      <c r="I179" s="45"/>
      <c r="J179" s="84"/>
      <c r="K179" s="85"/>
      <c r="L179" s="52" t="s">
        <v>338</v>
      </c>
      <c r="M179" s="54" t="s">
        <v>339</v>
      </c>
      <c r="N179" s="40"/>
      <c r="R179" s="67" t="s">
        <v>564</v>
      </c>
      <c r="S179" s="84">
        <v>6</v>
      </c>
      <c r="T179" s="54">
        <v>0</v>
      </c>
      <c r="U179" s="84"/>
      <c r="V179" s="45"/>
      <c r="W179" s="85"/>
      <c r="X179" s="45"/>
      <c r="Y179" s="85"/>
      <c r="Z179" s="179"/>
      <c r="AA179" s="54"/>
      <c r="AB179" s="180"/>
      <c r="AH179" t="s">
        <v>223</v>
      </c>
      <c r="AI179">
        <f>SUM(AI178+AI152+AI148+AI143+AI140+AI138)</f>
        <v>1771</v>
      </c>
      <c r="AJ179">
        <v>1730</v>
      </c>
      <c r="AK179">
        <v>0</v>
      </c>
      <c r="AL179">
        <f>SUM(AL178+AL152+AL148+AL143+AL140+AL136)</f>
        <v>0</v>
      </c>
      <c r="AM179">
        <v>0</v>
      </c>
      <c r="AN179">
        <f>SUM(AN178+AN152+AN148+AN142+AN140+AN136)</f>
        <v>62599</v>
      </c>
      <c r="AO179">
        <f>SUM(AO178+AO152+AO148+AO142+AO140+AO136)</f>
        <v>16362</v>
      </c>
      <c r="AQ179" t="s">
        <v>247</v>
      </c>
      <c r="AR179">
        <f>SUM(+AR152+AR148+AR143+AR140+AR138)</f>
        <v>101</v>
      </c>
      <c r="AU179" s="28"/>
      <c r="AW179" t="s">
        <v>6</v>
      </c>
      <c r="AX179" s="196" t="s">
        <v>468</v>
      </c>
      <c r="AY179" s="138">
        <v>5</v>
      </c>
      <c r="AZ179" s="141">
        <v>0</v>
      </c>
      <c r="BA179" s="138"/>
      <c r="BB179" s="28"/>
      <c r="BC179" s="141"/>
      <c r="BD179" s="138"/>
      <c r="BE179" s="141"/>
      <c r="BF179" s="315" t="s">
        <v>1560</v>
      </c>
      <c r="BG179" s="215" t="s">
        <v>1561</v>
      </c>
      <c r="BH179" s="141" t="s">
        <v>1562</v>
      </c>
      <c r="BN179" s="211" t="s">
        <v>64</v>
      </c>
      <c r="BO179" s="138">
        <v>0</v>
      </c>
      <c r="BP179" s="141">
        <v>0</v>
      </c>
      <c r="BQ179" s="138">
        <v>0</v>
      </c>
      <c r="BR179" s="43">
        <v>0</v>
      </c>
      <c r="BS179" s="141">
        <v>0</v>
      </c>
      <c r="BT179" s="138">
        <v>7726</v>
      </c>
      <c r="BU179" s="209">
        <v>1818</v>
      </c>
      <c r="BV179" s="43"/>
      <c r="BW179" s="43"/>
      <c r="BX179" s="141"/>
      <c r="BY179" s="28"/>
    </row>
    <row r="180" spans="4:77" x14ac:dyDescent="0.3">
      <c r="D180" s="127" t="s">
        <v>297</v>
      </c>
      <c r="E180" s="84">
        <v>1</v>
      </c>
      <c r="F180" s="86">
        <v>0</v>
      </c>
      <c r="G180" s="45"/>
      <c r="H180" s="45"/>
      <c r="I180" s="45"/>
      <c r="J180" s="84"/>
      <c r="K180" s="85"/>
      <c r="L180" s="52" t="s">
        <v>340</v>
      </c>
      <c r="M180" s="54" t="s">
        <v>341</v>
      </c>
      <c r="N180" s="40"/>
      <c r="R180" s="67" t="s">
        <v>88</v>
      </c>
      <c r="S180" s="84">
        <v>0</v>
      </c>
      <c r="T180" s="54">
        <v>4</v>
      </c>
      <c r="U180" s="84"/>
      <c r="V180" s="45"/>
      <c r="W180" s="85"/>
      <c r="X180" s="45"/>
      <c r="Y180" s="85"/>
      <c r="Z180" s="179"/>
      <c r="AA180" s="54"/>
      <c r="AB180" s="180"/>
      <c r="AH180" t="s">
        <v>225</v>
      </c>
      <c r="AJ180">
        <f>SUM(AR178)</f>
        <v>70</v>
      </c>
      <c r="AX180" s="196" t="s">
        <v>64</v>
      </c>
      <c r="AY180" s="138">
        <f>1+2</f>
        <v>3</v>
      </c>
      <c r="AZ180" s="141">
        <v>4</v>
      </c>
      <c r="BA180" s="138"/>
      <c r="BB180" s="28"/>
      <c r="BC180" s="141"/>
      <c r="BD180" s="138"/>
      <c r="BE180" s="141"/>
      <c r="BF180" s="316" t="s">
        <v>1563</v>
      </c>
      <c r="BG180" s="43" t="s">
        <v>822</v>
      </c>
      <c r="BH180" s="209" t="s">
        <v>1564</v>
      </c>
      <c r="BN180" s="211" t="s">
        <v>84</v>
      </c>
      <c r="BO180" s="212">
        <v>0</v>
      </c>
      <c r="BP180" s="209">
        <f>SUM(BP175:BP179)</f>
        <v>0</v>
      </c>
      <c r="BQ180" s="138">
        <v>0</v>
      </c>
      <c r="BR180" s="43">
        <v>0</v>
      </c>
      <c r="BS180" s="141"/>
      <c r="BT180" s="138">
        <f>SUM(BT178:BT179)</f>
        <v>77715</v>
      </c>
      <c r="BU180" s="209">
        <f>SUM(BU178:BU179)</f>
        <v>22725</v>
      </c>
      <c r="BV180" s="28"/>
      <c r="BW180" s="43"/>
      <c r="BX180" s="141">
        <v>26</v>
      </c>
      <c r="BY180" s="28"/>
    </row>
    <row r="181" spans="4:77" ht="15.6" x14ac:dyDescent="0.3">
      <c r="D181" s="127" t="s">
        <v>99</v>
      </c>
      <c r="E181" s="84">
        <v>0</v>
      </c>
      <c r="F181" s="86">
        <f>2+1</f>
        <v>3</v>
      </c>
      <c r="G181" s="28"/>
      <c r="H181" s="45"/>
      <c r="I181" s="28"/>
      <c r="J181" s="84"/>
      <c r="K181" s="85"/>
      <c r="L181" s="98" t="s">
        <v>342</v>
      </c>
      <c r="M181" s="54" t="s">
        <v>343</v>
      </c>
      <c r="N181" s="86"/>
      <c r="R181" s="127" t="s">
        <v>403</v>
      </c>
      <c r="S181" s="84">
        <f>11+3</f>
        <v>14</v>
      </c>
      <c r="T181" s="54">
        <f>6+5</f>
        <v>11</v>
      </c>
      <c r="U181" s="42"/>
      <c r="V181" s="45"/>
      <c r="W181" s="40"/>
      <c r="X181" s="45"/>
      <c r="Y181" s="85"/>
      <c r="Z181" s="158"/>
      <c r="AA181" s="54"/>
      <c r="AB181" s="86"/>
      <c r="AH181" t="s">
        <v>229</v>
      </c>
      <c r="AJ181">
        <f>4+5+5</f>
        <v>14</v>
      </c>
      <c r="AX181" s="196" t="s">
        <v>196</v>
      </c>
      <c r="AY181" s="138">
        <v>1</v>
      </c>
      <c r="AZ181" s="141">
        <v>3</v>
      </c>
      <c r="BA181" s="138"/>
      <c r="BB181" s="28"/>
      <c r="BC181" s="141"/>
      <c r="BD181" s="138"/>
      <c r="BE181" s="141"/>
      <c r="BF181" s="138" t="s">
        <v>1521</v>
      </c>
      <c r="BG181" s="258" t="s">
        <v>886</v>
      </c>
      <c r="BH181" s="261" t="s">
        <v>1565</v>
      </c>
      <c r="BN181" s="134"/>
      <c r="BO181" s="134"/>
      <c r="BP181" s="136"/>
      <c r="BQ181" s="134">
        <v>0</v>
      </c>
      <c r="BR181" s="135">
        <v>0</v>
      </c>
      <c r="BS181" s="136">
        <v>0</v>
      </c>
      <c r="BT181" s="134">
        <v>0</v>
      </c>
      <c r="BU181" s="135">
        <v>0</v>
      </c>
      <c r="BV181" s="134"/>
      <c r="BW181" s="135" t="s">
        <v>91</v>
      </c>
      <c r="BX181" s="136"/>
      <c r="BY181" s="28"/>
    </row>
    <row r="182" spans="4:77" ht="15.6" x14ac:dyDescent="0.3">
      <c r="D182" s="127" t="s">
        <v>218</v>
      </c>
      <c r="E182" s="84">
        <v>8</v>
      </c>
      <c r="F182" s="86">
        <f>2+2</f>
        <v>4</v>
      </c>
      <c r="G182" s="28"/>
      <c r="H182" s="45"/>
      <c r="I182" s="28"/>
      <c r="J182" s="84"/>
      <c r="K182" s="85"/>
      <c r="L182" s="52" t="s">
        <v>344</v>
      </c>
      <c r="M182" s="54" t="s">
        <v>345</v>
      </c>
      <c r="N182" s="40"/>
      <c r="R182" s="127" t="s">
        <v>218</v>
      </c>
      <c r="S182" s="84">
        <v>14</v>
      </c>
      <c r="T182" s="54">
        <f>5+43</f>
        <v>48</v>
      </c>
      <c r="U182" s="42"/>
      <c r="V182" s="45">
        <v>0</v>
      </c>
      <c r="W182" s="40"/>
      <c r="X182" s="45"/>
      <c r="Y182" s="85"/>
      <c r="Z182" s="179"/>
      <c r="AA182" s="54"/>
      <c r="AB182" s="180"/>
      <c r="AH182" t="s">
        <v>232</v>
      </c>
      <c r="AJ182" t="s">
        <v>233</v>
      </c>
      <c r="AL182">
        <f>SUM(T180)</f>
        <v>4</v>
      </c>
      <c r="AN182" t="s">
        <v>234</v>
      </c>
      <c r="AP182" t="s">
        <v>233</v>
      </c>
      <c r="AR182">
        <f>SUM(AI179)</f>
        <v>1771</v>
      </c>
      <c r="AX182" s="196" t="s">
        <v>523</v>
      </c>
      <c r="AY182" s="138">
        <v>0</v>
      </c>
      <c r="AZ182" s="141">
        <v>3</v>
      </c>
      <c r="BA182" s="138"/>
      <c r="BB182" s="28"/>
      <c r="BC182" s="141"/>
      <c r="BD182" s="138"/>
      <c r="BE182" s="141"/>
      <c r="BF182" s="138" t="s">
        <v>1097</v>
      </c>
      <c r="BG182" s="258" t="s">
        <v>713</v>
      </c>
      <c r="BH182" s="141" t="s">
        <v>1566</v>
      </c>
      <c r="BN182" s="138"/>
      <c r="BO182" s="138"/>
      <c r="BP182" s="141"/>
      <c r="BQ182" s="138">
        <v>0</v>
      </c>
      <c r="BR182" s="43">
        <v>0</v>
      </c>
      <c r="BS182" s="141">
        <v>0</v>
      </c>
      <c r="BT182" s="138">
        <v>0</v>
      </c>
      <c r="BU182" s="43">
        <v>0</v>
      </c>
      <c r="BV182" s="212"/>
      <c r="BW182" s="43"/>
      <c r="BX182" s="141"/>
      <c r="BY182" s="28"/>
    </row>
    <row r="183" spans="4:77" ht="15.6" x14ac:dyDescent="0.3">
      <c r="D183" s="98" t="s">
        <v>220</v>
      </c>
      <c r="E183" s="10">
        <v>0</v>
      </c>
      <c r="F183" s="11">
        <v>0</v>
      </c>
      <c r="G183" s="18"/>
      <c r="H183" s="18"/>
      <c r="I183" s="18"/>
      <c r="J183" s="10"/>
      <c r="K183" s="11"/>
      <c r="L183" s="52" t="s">
        <v>346</v>
      </c>
      <c r="M183" s="37" t="s">
        <v>347</v>
      </c>
      <c r="N183" s="129"/>
      <c r="R183" s="181" t="s">
        <v>728</v>
      </c>
      <c r="S183" s="10">
        <v>4</v>
      </c>
      <c r="T183" s="18">
        <v>0</v>
      </c>
      <c r="U183" s="10"/>
      <c r="V183" s="18"/>
      <c r="W183" s="11"/>
      <c r="X183" s="18"/>
      <c r="Y183" s="11"/>
      <c r="Z183" s="179"/>
      <c r="AA183" s="37"/>
      <c r="AB183" s="182"/>
      <c r="AG183" t="s">
        <v>6</v>
      </c>
      <c r="AJ183" t="s">
        <v>236</v>
      </c>
      <c r="AL183">
        <f>SUM(U180)</f>
        <v>0</v>
      </c>
      <c r="AP183" t="s">
        <v>236</v>
      </c>
      <c r="AR183">
        <f>SUM(AJ179)</f>
        <v>1730</v>
      </c>
      <c r="AX183" s="259" t="s">
        <v>1567</v>
      </c>
      <c r="AY183" s="138">
        <v>1</v>
      </c>
      <c r="AZ183" s="141">
        <f>3+5</f>
        <v>8</v>
      </c>
      <c r="BA183" s="138"/>
      <c r="BB183" s="28"/>
      <c r="BC183" s="141"/>
      <c r="BD183" s="138"/>
      <c r="BE183" s="141"/>
      <c r="BF183" s="138" t="s">
        <v>1108</v>
      </c>
      <c r="BG183" s="258" t="s">
        <v>1568</v>
      </c>
      <c r="BH183" s="141" t="s">
        <v>1569</v>
      </c>
      <c r="BK183" s="135" t="s">
        <v>91</v>
      </c>
      <c r="BL183">
        <v>2018</v>
      </c>
      <c r="BM183">
        <v>3</v>
      </c>
      <c r="BN183" s="212" t="s">
        <v>137</v>
      </c>
      <c r="BO183" s="212">
        <v>929</v>
      </c>
      <c r="BP183" s="209">
        <v>989</v>
      </c>
      <c r="BQ183" s="138">
        <v>0</v>
      </c>
      <c r="BR183" s="43">
        <v>0</v>
      </c>
      <c r="BS183" s="141">
        <v>0</v>
      </c>
      <c r="BT183" s="138">
        <v>0</v>
      </c>
      <c r="BU183" s="43">
        <v>0</v>
      </c>
      <c r="BV183" s="138">
        <v>31</v>
      </c>
      <c r="BW183" s="43" t="s">
        <v>1134</v>
      </c>
      <c r="BX183" s="141"/>
    </row>
    <row r="184" spans="4:77" ht="16.2" thickBot="1" x14ac:dyDescent="0.35">
      <c r="D184" s="13" t="s">
        <v>84</v>
      </c>
      <c r="E184" s="13">
        <f>SUM(E162:E183)</f>
        <v>361</v>
      </c>
      <c r="F184" s="26">
        <f>SUM(F162:F183)</f>
        <v>363</v>
      </c>
      <c r="G184" s="27">
        <v>0</v>
      </c>
      <c r="H184" s="27">
        <f>SUM(H162:H183)</f>
        <v>0</v>
      </c>
      <c r="I184" s="27">
        <v>0</v>
      </c>
      <c r="J184" s="130">
        <v>0</v>
      </c>
      <c r="K184" s="26">
        <v>0</v>
      </c>
      <c r="L184" s="59" t="s">
        <v>348</v>
      </c>
      <c r="M184" s="27" t="s">
        <v>349</v>
      </c>
      <c r="N184" s="26">
        <f>8+4+3+7+7+4+3+4+2+3+2+4+5+12+11+10+13+6</f>
        <v>108</v>
      </c>
      <c r="R184" s="13" t="s">
        <v>84</v>
      </c>
      <c r="S184" s="13">
        <f>SUM(S159:S183)</f>
        <v>191</v>
      </c>
      <c r="T184" s="27">
        <f>SUM(T159:T183)</f>
        <v>240</v>
      </c>
      <c r="U184" s="13">
        <v>0</v>
      </c>
      <c r="V184" s="27">
        <f>SUM(V159:V183)</f>
        <v>0</v>
      </c>
      <c r="W184" s="26">
        <v>0</v>
      </c>
      <c r="X184" s="58">
        <v>0</v>
      </c>
      <c r="Y184" s="26">
        <v>0</v>
      </c>
      <c r="Z184" s="81"/>
      <c r="AA184" s="27"/>
      <c r="AB184" s="26">
        <f>7+10+6+7+11+2+4+13+4+9+2+5+1+1</f>
        <v>82</v>
      </c>
      <c r="AH184" t="s">
        <v>238</v>
      </c>
      <c r="AI184" t="s">
        <v>239</v>
      </c>
      <c r="AK184" t="s">
        <v>240</v>
      </c>
      <c r="AL184" t="s">
        <v>241</v>
      </c>
      <c r="AO184" t="s">
        <v>242</v>
      </c>
      <c r="AP184" t="s">
        <v>243</v>
      </c>
      <c r="AX184" s="196" t="s">
        <v>445</v>
      </c>
      <c r="AY184" s="138">
        <v>1</v>
      </c>
      <c r="AZ184" s="141">
        <v>0</v>
      </c>
      <c r="BA184" s="138"/>
      <c r="BB184" s="28"/>
      <c r="BC184" s="141"/>
      <c r="BD184" s="138"/>
      <c r="BE184" s="141"/>
      <c r="BF184" s="138" t="s">
        <v>1570</v>
      </c>
      <c r="BG184" s="258" t="s">
        <v>1571</v>
      </c>
      <c r="BH184" s="141"/>
      <c r="BK184" s="135" t="s">
        <v>91</v>
      </c>
      <c r="BL184">
        <v>2018</v>
      </c>
      <c r="BM184">
        <v>3</v>
      </c>
      <c r="BN184" s="138" t="s">
        <v>88</v>
      </c>
      <c r="BO184" s="138">
        <v>329</v>
      </c>
      <c r="BP184" s="141">
        <v>371</v>
      </c>
      <c r="BQ184" s="138">
        <v>0</v>
      </c>
      <c r="BR184" s="43">
        <v>0</v>
      </c>
      <c r="BS184" s="141">
        <v>0</v>
      </c>
      <c r="BT184" s="138">
        <v>0</v>
      </c>
      <c r="BU184" s="43">
        <v>0</v>
      </c>
      <c r="BV184" s="212">
        <v>15</v>
      </c>
      <c r="BW184" s="28" t="s">
        <v>1303</v>
      </c>
      <c r="BX184" s="141"/>
    </row>
    <row r="185" spans="4:77" ht="15" thickBot="1" x14ac:dyDescent="0.35">
      <c r="D185" s="13" t="s">
        <v>223</v>
      </c>
      <c r="E185" s="13">
        <f>SUM(E184+E161+E158+E154+E150+E147+E145+E143)</f>
        <v>2100</v>
      </c>
      <c r="F185" s="26">
        <f>SUM(F184+F161+F158+F154+F150+F147+F145+F143)</f>
        <v>2045</v>
      </c>
      <c r="G185" s="27">
        <f>SUM(G184+G161+G154+G149+G147+G145+G142)</f>
        <v>0</v>
      </c>
      <c r="H185" s="27">
        <f>SUM(H162:H183)</f>
        <v>0</v>
      </c>
      <c r="I185" s="27">
        <f>SUM(I184+I161+I154+I149+I147+I145+I142)</f>
        <v>0</v>
      </c>
      <c r="J185" s="13">
        <f>SUM(J184+J161+J154+J149+J147+J145+J142)</f>
        <v>38668</v>
      </c>
      <c r="K185" s="26">
        <f>SUM(K184+K161+K154+K149+K147+K145+K142)</f>
        <v>9314</v>
      </c>
      <c r="L185" s="81"/>
      <c r="M185" s="27" t="s">
        <v>189</v>
      </c>
      <c r="N185" s="26">
        <f>SUM(N142:N183)</f>
        <v>176</v>
      </c>
      <c r="R185" s="13" t="s">
        <v>223</v>
      </c>
      <c r="S185" s="13">
        <f>SUM(S184+S158+S155+S151+S148+S145+S143)</f>
        <v>1936</v>
      </c>
      <c r="T185" s="26">
        <f>SUM(T184+T158+T155+T151+T148+T145+T143)</f>
        <v>2050</v>
      </c>
      <c r="U185" s="26">
        <f>SUM(U184+U158+U155+U151+U148+U145+U143)</f>
        <v>0</v>
      </c>
      <c r="V185" s="26">
        <f>SUM(V184+V158+V155+V151+V148+V145+V143)</f>
        <v>0</v>
      </c>
      <c r="W185" s="26">
        <f>SUM(W184+W158+W155+W151+W148+W145+W143)</f>
        <v>0</v>
      </c>
      <c r="X185" s="160">
        <f>SUM(X184+X158+X155+X151+X147+X145+X143)</f>
        <v>53860</v>
      </c>
      <c r="Y185" s="26">
        <f>SUM(Y184+Y158+Y155+Y151+Y147+Y145+Y143)</f>
        <v>14316</v>
      </c>
      <c r="Z185" s="81"/>
      <c r="AA185" s="27" t="s">
        <v>247</v>
      </c>
      <c r="AB185" s="26">
        <f>SUM(AB143:AB184)</f>
        <v>238</v>
      </c>
      <c r="AH185" t="s">
        <v>233</v>
      </c>
      <c r="AJ185" t="e">
        <f>SUM(#REF!)</f>
        <v>#REF!</v>
      </c>
      <c r="AK185" t="s">
        <v>233</v>
      </c>
      <c r="AM185">
        <f>SUM(F167)</f>
        <v>11</v>
      </c>
      <c r="AN185" t="s">
        <v>233</v>
      </c>
      <c r="AP185">
        <f>SUM(AM185+AI179)</f>
        <v>1782</v>
      </c>
      <c r="AQ185" t="s">
        <v>245</v>
      </c>
      <c r="AR185" t="e">
        <f>SUM(AJ185+AP185)</f>
        <v>#REF!</v>
      </c>
      <c r="AX185" s="196" t="s">
        <v>862</v>
      </c>
      <c r="AY185" s="138">
        <v>3</v>
      </c>
      <c r="AZ185" s="141">
        <v>0</v>
      </c>
      <c r="BA185" s="138"/>
      <c r="BB185" s="28"/>
      <c r="BC185" s="141"/>
      <c r="BD185" s="138"/>
      <c r="BE185" s="141"/>
      <c r="BF185" s="138" t="s">
        <v>680</v>
      </c>
      <c r="BG185" s="28"/>
      <c r="BH185" s="141"/>
      <c r="BK185" s="135" t="s">
        <v>91</v>
      </c>
      <c r="BL185">
        <v>2018</v>
      </c>
      <c r="BM185">
        <v>3</v>
      </c>
      <c r="BN185" s="212" t="s">
        <v>93</v>
      </c>
      <c r="BO185" s="212">
        <v>0</v>
      </c>
      <c r="BP185" s="209">
        <v>0</v>
      </c>
      <c r="BQ185" s="138">
        <v>0</v>
      </c>
      <c r="BR185" s="43">
        <v>0</v>
      </c>
      <c r="BS185" s="141">
        <v>0</v>
      </c>
      <c r="BT185" s="138">
        <v>0</v>
      </c>
      <c r="BU185" s="43">
        <v>0</v>
      </c>
      <c r="BV185" s="138">
        <v>15</v>
      </c>
      <c r="BW185" s="43" t="s">
        <v>1346</v>
      </c>
      <c r="BX185" s="141"/>
    </row>
    <row r="186" spans="4:77" x14ac:dyDescent="0.3">
      <c r="D186" s="131" t="s">
        <v>225</v>
      </c>
      <c r="F186">
        <f>SUM(N184)</f>
        <v>108</v>
      </c>
      <c r="I186" s="132"/>
      <c r="J186" t="s">
        <v>298</v>
      </c>
      <c r="R186" s="131" t="s">
        <v>225</v>
      </c>
      <c r="T186">
        <f>SUM(AB184)</f>
        <v>82</v>
      </c>
      <c r="W186" s="132"/>
      <c r="AH186" t="s">
        <v>236</v>
      </c>
      <c r="AJ186" t="e">
        <f>SUM(#REF!)</f>
        <v>#REF!</v>
      </c>
      <c r="AK186" t="s">
        <v>236</v>
      </c>
      <c r="AM186">
        <f>SUM(G167)</f>
        <v>0</v>
      </c>
      <c r="AN186" t="s">
        <v>236</v>
      </c>
      <c r="AP186">
        <f>SUM(AM186+AJ179)</f>
        <v>1730</v>
      </c>
      <c r="AR186" t="e">
        <f>SUM(AJ186+AP186)</f>
        <v>#REF!</v>
      </c>
      <c r="AX186" s="196" t="s">
        <v>200</v>
      </c>
      <c r="AY186" s="138">
        <v>3</v>
      </c>
      <c r="AZ186" s="141">
        <v>9</v>
      </c>
      <c r="BA186" s="138"/>
      <c r="BB186" s="28"/>
      <c r="BC186" s="141"/>
      <c r="BD186" s="138"/>
      <c r="BE186" s="141"/>
      <c r="BF186" s="138"/>
      <c r="BG186" s="28"/>
      <c r="BH186" s="141"/>
      <c r="BK186" s="135" t="s">
        <v>91</v>
      </c>
      <c r="BL186">
        <v>2018</v>
      </c>
      <c r="BM186">
        <v>3</v>
      </c>
      <c r="BN186" s="212" t="s">
        <v>97</v>
      </c>
      <c r="BO186" s="212">
        <v>2582</v>
      </c>
      <c r="BP186" s="209">
        <v>2302</v>
      </c>
      <c r="BQ186" s="138">
        <v>0</v>
      </c>
      <c r="BR186" s="43">
        <v>0</v>
      </c>
      <c r="BS186" s="141">
        <v>0</v>
      </c>
      <c r="BT186" s="138">
        <v>0</v>
      </c>
      <c r="BU186" s="43">
        <v>0</v>
      </c>
      <c r="BV186" s="138">
        <v>56</v>
      </c>
      <c r="BW186" s="43" t="s">
        <v>1305</v>
      </c>
      <c r="BX186" s="141"/>
      <c r="BY186" s="28"/>
    </row>
    <row r="187" spans="4:77" x14ac:dyDescent="0.3">
      <c r="D187" t="s">
        <v>229</v>
      </c>
      <c r="F187">
        <v>33</v>
      </c>
      <c r="R187" t="s">
        <v>229</v>
      </c>
      <c r="T187">
        <v>16</v>
      </c>
      <c r="AX187" s="196" t="s">
        <v>1573</v>
      </c>
      <c r="AY187" s="138">
        <v>2</v>
      </c>
      <c r="AZ187" s="141">
        <v>2</v>
      </c>
      <c r="BA187" s="138"/>
      <c r="BB187" s="28"/>
      <c r="BC187" s="141"/>
      <c r="BD187" s="138"/>
      <c r="BE187" s="141"/>
      <c r="BF187" s="138"/>
      <c r="BG187" s="28"/>
      <c r="BH187" s="141"/>
      <c r="BK187" s="135" t="s">
        <v>91</v>
      </c>
      <c r="BL187">
        <v>2018</v>
      </c>
      <c r="BM187">
        <v>3</v>
      </c>
      <c r="BN187" s="212" t="s">
        <v>113</v>
      </c>
      <c r="BO187" s="212">
        <v>613</v>
      </c>
      <c r="BP187" s="209">
        <v>719</v>
      </c>
      <c r="BQ187" s="138">
        <v>0</v>
      </c>
      <c r="BR187" s="43">
        <v>0</v>
      </c>
      <c r="BS187" s="141">
        <v>0</v>
      </c>
      <c r="BT187" s="138">
        <v>0</v>
      </c>
      <c r="BU187" s="43">
        <v>0</v>
      </c>
      <c r="BV187" s="138">
        <v>1</v>
      </c>
      <c r="BW187" s="43" t="s">
        <v>1294</v>
      </c>
      <c r="BX187" s="141"/>
    </row>
    <row r="188" spans="4:77" x14ac:dyDescent="0.3">
      <c r="D188" t="s">
        <v>232</v>
      </c>
      <c r="F188" t="s">
        <v>233</v>
      </c>
      <c r="H188" t="e">
        <f>SUM(#REF!)</f>
        <v>#REF!</v>
      </c>
      <c r="J188" t="s">
        <v>234</v>
      </c>
      <c r="L188" t="s">
        <v>233</v>
      </c>
      <c r="N188">
        <f>SUM(E185)</f>
        <v>2100</v>
      </c>
      <c r="R188" t="s">
        <v>232</v>
      </c>
      <c r="T188" t="s">
        <v>233</v>
      </c>
      <c r="V188">
        <f>SUM(G193)</f>
        <v>0</v>
      </c>
      <c r="X188" t="s">
        <v>234</v>
      </c>
      <c r="Z188" t="s">
        <v>233</v>
      </c>
      <c r="AB188">
        <f>SUM(S185)</f>
        <v>1936</v>
      </c>
      <c r="AX188" s="196" t="s">
        <v>1574</v>
      </c>
      <c r="AY188" s="138">
        <v>1</v>
      </c>
      <c r="AZ188" s="141">
        <v>2</v>
      </c>
      <c r="BA188" s="138"/>
      <c r="BB188" s="28"/>
      <c r="BC188" s="141"/>
      <c r="BD188" s="138"/>
      <c r="BE188" s="141"/>
      <c r="BF188" s="138"/>
      <c r="BG188" s="28"/>
      <c r="BH188" s="141"/>
      <c r="BK188" s="135" t="s">
        <v>91</v>
      </c>
      <c r="BL188">
        <v>2018</v>
      </c>
      <c r="BM188">
        <v>3</v>
      </c>
      <c r="BN188" s="212" t="s">
        <v>817</v>
      </c>
      <c r="BO188" s="212">
        <v>0</v>
      </c>
      <c r="BP188" s="209">
        <v>0</v>
      </c>
      <c r="BQ188" s="212">
        <v>0</v>
      </c>
      <c r="BR188" s="43">
        <v>0</v>
      </c>
      <c r="BS188" s="209">
        <v>0</v>
      </c>
      <c r="BT188" s="212">
        <v>0</v>
      </c>
      <c r="BU188" s="43">
        <v>0</v>
      </c>
      <c r="BV188" s="138"/>
      <c r="BW188" s="28"/>
      <c r="BX188" s="141"/>
    </row>
    <row r="189" spans="4:77" x14ac:dyDescent="0.3">
      <c r="F189" t="s">
        <v>236</v>
      </c>
      <c r="H189" t="e">
        <f>SUM(#REF!)</f>
        <v>#REF!</v>
      </c>
      <c r="L189" t="s">
        <v>236</v>
      </c>
      <c r="N189">
        <f>SUM(F185)</f>
        <v>2045</v>
      </c>
      <c r="Q189" t="s">
        <v>6</v>
      </c>
      <c r="T189" t="s">
        <v>236</v>
      </c>
      <c r="V189">
        <f>SUM(H193)</f>
        <v>0</v>
      </c>
      <c r="Z189" t="s">
        <v>236</v>
      </c>
      <c r="AB189">
        <f>SUM(T185)</f>
        <v>2050</v>
      </c>
      <c r="AX189" s="196" t="s">
        <v>218</v>
      </c>
      <c r="AY189" s="138">
        <v>0</v>
      </c>
      <c r="AZ189" s="141">
        <v>34</v>
      </c>
      <c r="BA189" s="138"/>
      <c r="BB189" s="28">
        <v>0</v>
      </c>
      <c r="BC189" s="141"/>
      <c r="BD189" s="138"/>
      <c r="BE189" s="141"/>
      <c r="BF189" s="138"/>
      <c r="BG189" s="28"/>
      <c r="BH189" s="141"/>
      <c r="BK189" s="135" t="s">
        <v>91</v>
      </c>
      <c r="BL189">
        <v>2018</v>
      </c>
      <c r="BM189">
        <v>3</v>
      </c>
      <c r="BN189" s="212" t="s">
        <v>99</v>
      </c>
      <c r="BO189" s="212">
        <v>0</v>
      </c>
      <c r="BP189" s="209">
        <v>0</v>
      </c>
      <c r="BQ189" s="138">
        <v>0</v>
      </c>
      <c r="BR189" s="43">
        <v>0</v>
      </c>
      <c r="BS189" s="141">
        <v>0</v>
      </c>
      <c r="BT189" s="138">
        <v>0</v>
      </c>
      <c r="BU189" s="28">
        <v>0</v>
      </c>
      <c r="BV189" s="138"/>
      <c r="BW189" s="28"/>
      <c r="BX189" s="141"/>
      <c r="BY189" s="28"/>
    </row>
    <row r="190" spans="4:77" x14ac:dyDescent="0.3">
      <c r="D190" s="134" t="s">
        <v>238</v>
      </c>
      <c r="E190" s="135" t="s">
        <v>239</v>
      </c>
      <c r="F190" s="136"/>
      <c r="G190" s="134" t="s">
        <v>240</v>
      </c>
      <c r="H190" s="135" t="s">
        <v>241</v>
      </c>
      <c r="I190" s="136"/>
      <c r="J190" s="134"/>
      <c r="K190" s="135" t="s">
        <v>242</v>
      </c>
      <c r="L190" s="137" t="s">
        <v>243</v>
      </c>
      <c r="M190" s="135"/>
      <c r="N190" s="135"/>
      <c r="O190" s="136"/>
      <c r="R190" s="134" t="s">
        <v>238</v>
      </c>
      <c r="S190" s="135" t="s">
        <v>239</v>
      </c>
      <c r="T190" s="136"/>
      <c r="U190" s="134" t="s">
        <v>240</v>
      </c>
      <c r="V190" s="135" t="s">
        <v>241</v>
      </c>
      <c r="W190" s="136"/>
      <c r="X190" s="134"/>
      <c r="Y190" s="135" t="s">
        <v>242</v>
      </c>
      <c r="Z190" s="137" t="s">
        <v>243</v>
      </c>
      <c r="AA190" s="135"/>
      <c r="AB190" s="135"/>
      <c r="AC190" s="136"/>
      <c r="AD190" s="28"/>
      <c r="AE190" s="28"/>
      <c r="AF190" s="28"/>
      <c r="AX190" s="196" t="s">
        <v>93</v>
      </c>
      <c r="AY190" s="138">
        <v>6</v>
      </c>
      <c r="AZ190" s="141">
        <f>1+5</f>
        <v>6</v>
      </c>
      <c r="BA190" s="138"/>
      <c r="BB190" s="28"/>
      <c r="BC190" s="141"/>
      <c r="BD190" s="138"/>
      <c r="BE190" s="141"/>
      <c r="BF190" s="138"/>
      <c r="BG190" s="28"/>
      <c r="BH190" s="141"/>
      <c r="BK190" s="135" t="s">
        <v>91</v>
      </c>
      <c r="BL190">
        <v>2018</v>
      </c>
      <c r="BM190">
        <v>3</v>
      </c>
      <c r="BN190" s="212" t="s">
        <v>1398</v>
      </c>
      <c r="BO190" s="138">
        <v>0</v>
      </c>
      <c r="BP190" s="141">
        <v>141</v>
      </c>
      <c r="BQ190" s="138">
        <v>0</v>
      </c>
      <c r="BR190" s="43">
        <v>0</v>
      </c>
      <c r="BS190" s="141">
        <v>0</v>
      </c>
      <c r="BT190" s="138">
        <v>0</v>
      </c>
      <c r="BU190" s="28">
        <v>0</v>
      </c>
      <c r="BV190" s="138"/>
      <c r="BW190" s="43"/>
      <c r="BX190" s="141"/>
    </row>
    <row r="191" spans="4:77" x14ac:dyDescent="0.3">
      <c r="D191" s="138" t="s">
        <v>233</v>
      </c>
      <c r="E191" s="28"/>
      <c r="F191" s="139" t="e">
        <f>SUM(#REF!)</f>
        <v>#REF!</v>
      </c>
      <c r="G191" s="138" t="s">
        <v>233</v>
      </c>
      <c r="H191" s="28"/>
      <c r="I191" s="139" t="e">
        <f>SUM(#REF!)</f>
        <v>#REF!</v>
      </c>
      <c r="J191" s="138" t="s">
        <v>233</v>
      </c>
      <c r="K191" s="28"/>
      <c r="L191" s="140" t="e">
        <f>SUM(N188+I191)</f>
        <v>#REF!</v>
      </c>
      <c r="M191" s="28" t="s">
        <v>245</v>
      </c>
      <c r="N191" s="28" t="e">
        <f>SUM(L191+F191)</f>
        <v>#REF!</v>
      </c>
      <c r="O191" s="141"/>
      <c r="R191" s="138" t="s">
        <v>233</v>
      </c>
      <c r="S191" s="28"/>
      <c r="T191" s="139" t="e">
        <f>SUM(#REF!)</f>
        <v>#REF!</v>
      </c>
      <c r="U191" s="138" t="s">
        <v>233</v>
      </c>
      <c r="V191" s="28"/>
      <c r="W191" s="139" t="e">
        <f>SUM(#REF!)</f>
        <v>#REF!</v>
      </c>
      <c r="X191" s="138" t="s">
        <v>233</v>
      </c>
      <c r="Y191" s="28"/>
      <c r="Z191" s="140" t="e">
        <f>SUM(AB188+W191)</f>
        <v>#REF!</v>
      </c>
      <c r="AA191" s="28" t="s">
        <v>245</v>
      </c>
      <c r="AB191" s="28" t="e">
        <f>SUM(Z191+T191)</f>
        <v>#REF!</v>
      </c>
      <c r="AC191" s="141"/>
      <c r="AD191" s="28"/>
      <c r="AE191" s="28"/>
      <c r="AF191" s="28"/>
      <c r="AL191" t="s">
        <v>5</v>
      </c>
      <c r="AX191" s="199" t="s">
        <v>84</v>
      </c>
      <c r="AY191" s="142">
        <f>SUM(AY167:AY190)</f>
        <v>171</v>
      </c>
      <c r="AZ191" s="146">
        <f>SUM(AZ167:AZ190)</f>
        <v>233</v>
      </c>
      <c r="BA191" s="142">
        <v>0</v>
      </c>
      <c r="BB191" s="143">
        <f>SUM(BB167:BB190)</f>
        <v>0</v>
      </c>
      <c r="BC191" s="146">
        <f>SUM(BC167:BC190)</f>
        <v>0</v>
      </c>
      <c r="BD191" s="142">
        <v>0</v>
      </c>
      <c r="BE191" s="146">
        <v>0</v>
      </c>
      <c r="BF191" s="142"/>
      <c r="BG191" s="143"/>
      <c r="BH191" s="146">
        <f>11+5+7+6+4+8+1+6+6+5+4+3+6+4+1</f>
        <v>77</v>
      </c>
      <c r="BK191" s="135" t="s">
        <v>91</v>
      </c>
      <c r="BL191">
        <v>2018</v>
      </c>
      <c r="BM191">
        <v>3</v>
      </c>
      <c r="BN191" s="212" t="s">
        <v>445</v>
      </c>
      <c r="BO191" s="138">
        <v>0</v>
      </c>
      <c r="BP191" s="141">
        <v>19</v>
      </c>
      <c r="BQ191" s="138">
        <v>0</v>
      </c>
      <c r="BR191" s="43">
        <v>0</v>
      </c>
      <c r="BS191" s="141">
        <v>0</v>
      </c>
      <c r="BT191" s="138">
        <v>0</v>
      </c>
      <c r="BU191" s="28">
        <v>0</v>
      </c>
      <c r="BV191" s="138"/>
      <c r="BW191" s="28"/>
      <c r="BX191" s="141"/>
      <c r="BY191" s="28"/>
    </row>
    <row r="192" spans="4:77" x14ac:dyDescent="0.3">
      <c r="D192" s="142" t="s">
        <v>236</v>
      </c>
      <c r="E192" s="143"/>
      <c r="F192" s="144" t="e">
        <f>SUM(#REF!)</f>
        <v>#REF!</v>
      </c>
      <c r="G192" s="142" t="s">
        <v>236</v>
      </c>
      <c r="H192" s="143"/>
      <c r="I192" s="144" t="e">
        <f>SUM(#REF!)</f>
        <v>#REF!</v>
      </c>
      <c r="J192" s="142" t="s">
        <v>236</v>
      </c>
      <c r="K192" s="143"/>
      <c r="L192" s="145" t="e">
        <f>SUM(N189+I192)</f>
        <v>#REF!</v>
      </c>
      <c r="M192" s="143"/>
      <c r="N192" s="143" t="e">
        <f>SUM(L192+F192)</f>
        <v>#REF!</v>
      </c>
      <c r="O192" s="146"/>
      <c r="R192" s="142" t="s">
        <v>236</v>
      </c>
      <c r="S192" s="143"/>
      <c r="T192" s="144" t="e">
        <f>SUM(#REF!)</f>
        <v>#REF!</v>
      </c>
      <c r="U192" s="142" t="s">
        <v>236</v>
      </c>
      <c r="V192" s="143"/>
      <c r="W192" s="144" t="e">
        <f>SUM(#REF!)</f>
        <v>#REF!</v>
      </c>
      <c r="X192" s="142" t="s">
        <v>236</v>
      </c>
      <c r="Y192" s="143"/>
      <c r="Z192" s="145" t="e">
        <f>SUM(AB189+W192)</f>
        <v>#REF!</v>
      </c>
      <c r="AA192" s="143"/>
      <c r="AB192" s="143" t="e">
        <f>SUM(Z192+T192)</f>
        <v>#REF!</v>
      </c>
      <c r="AC192" s="146"/>
      <c r="AD192" s="28"/>
      <c r="AE192" s="28"/>
      <c r="AF192" s="28"/>
      <c r="AM192" t="s">
        <v>2</v>
      </c>
      <c r="AX192" t="s">
        <v>223</v>
      </c>
      <c r="AY192">
        <f>SUM(AY191+AY166+AY161+AY155+AY152+AY150+AY163)</f>
        <v>3962</v>
      </c>
      <c r="AZ192">
        <f>SUM(AZ191+AZ166+AZ161+AZ155+AZ150+AZ152+AZ163)</f>
        <v>4188</v>
      </c>
      <c r="BA192">
        <v>0</v>
      </c>
      <c r="BB192">
        <f>SUM(BB191+BB166+BB161+BB155+BB152+BB148)</f>
        <v>0</v>
      </c>
      <c r="BC192">
        <f>SUM(BC191)</f>
        <v>0</v>
      </c>
      <c r="BD192">
        <f>SUM(BD191+BD166+BD161+BD154+BD152+BD148)</f>
        <v>89821</v>
      </c>
      <c r="BE192">
        <f>SUM(BE191+BE166+BE161+BE154+BE152+BE148)</f>
        <v>20907</v>
      </c>
      <c r="BG192" t="s">
        <v>939</v>
      </c>
      <c r="BH192">
        <f>SUM(+BH166+BH161+BH155+BH152+BH150)</f>
        <v>194</v>
      </c>
      <c r="BK192" s="135" t="s">
        <v>91</v>
      </c>
      <c r="BL192">
        <v>2018</v>
      </c>
      <c r="BM192">
        <v>3</v>
      </c>
      <c r="BN192" s="212" t="s">
        <v>1400</v>
      </c>
      <c r="BO192" s="138">
        <v>0</v>
      </c>
      <c r="BP192" s="141">
        <v>0</v>
      </c>
      <c r="BQ192" s="138">
        <v>0</v>
      </c>
      <c r="BR192" s="28">
        <v>0</v>
      </c>
      <c r="BS192" s="141">
        <v>0</v>
      </c>
      <c r="BT192" s="138">
        <v>0</v>
      </c>
      <c r="BU192" s="28">
        <v>0</v>
      </c>
      <c r="BV192" s="138"/>
      <c r="BW192" s="28"/>
      <c r="BX192" s="141"/>
      <c r="BY192" s="28"/>
    </row>
    <row r="193" spans="4:77" x14ac:dyDescent="0.3">
      <c r="AK193" t="s">
        <v>13</v>
      </c>
      <c r="AX193" t="s">
        <v>1340</v>
      </c>
      <c r="AZ193">
        <f>SUM(BH191)</f>
        <v>77</v>
      </c>
      <c r="BB193" t="s">
        <v>1575</v>
      </c>
      <c r="BK193" s="135" t="s">
        <v>91</v>
      </c>
      <c r="BL193">
        <v>2018</v>
      </c>
      <c r="BM193">
        <v>3</v>
      </c>
      <c r="BN193" s="212" t="s">
        <v>1120</v>
      </c>
      <c r="BO193" s="212">
        <v>737</v>
      </c>
      <c r="BP193" s="209">
        <v>3233</v>
      </c>
      <c r="BQ193" s="138">
        <v>0</v>
      </c>
      <c r="BR193" s="43">
        <v>0</v>
      </c>
      <c r="BS193" s="141">
        <v>0</v>
      </c>
      <c r="BT193" s="138">
        <v>0</v>
      </c>
      <c r="BU193" s="28">
        <v>0</v>
      </c>
      <c r="BV193" s="138"/>
      <c r="BW193" s="28"/>
      <c r="BX193" s="141"/>
      <c r="BY193" s="28"/>
    </row>
    <row r="194" spans="4:77" x14ac:dyDescent="0.3">
      <c r="AM194" t="s">
        <v>1011</v>
      </c>
      <c r="AQ194" s="194" t="s">
        <v>950</v>
      </c>
      <c r="AX194" t="s">
        <v>229</v>
      </c>
      <c r="AZ194">
        <f>4+1+4+3+13</f>
        <v>25</v>
      </c>
      <c r="BK194" s="135" t="s">
        <v>91</v>
      </c>
      <c r="BL194">
        <v>2018</v>
      </c>
      <c r="BM194">
        <v>3</v>
      </c>
      <c r="BN194" s="212" t="s">
        <v>89</v>
      </c>
      <c r="BO194" s="138">
        <v>1407</v>
      </c>
      <c r="BP194" s="141">
        <v>1418</v>
      </c>
      <c r="BQ194" s="138">
        <v>0</v>
      </c>
      <c r="BR194" s="28">
        <v>0</v>
      </c>
      <c r="BS194" s="141">
        <v>0</v>
      </c>
      <c r="BT194" s="138">
        <v>0</v>
      </c>
      <c r="BU194" s="28">
        <v>0</v>
      </c>
      <c r="BV194" s="138"/>
      <c r="BW194" s="28"/>
      <c r="BX194" s="141"/>
      <c r="BY194" s="28"/>
    </row>
    <row r="195" spans="4:77" x14ac:dyDescent="0.3">
      <c r="AH195" s="195" t="s">
        <v>17</v>
      </c>
      <c r="AI195" s="134" t="s">
        <v>27</v>
      </c>
      <c r="AJ195" s="136"/>
      <c r="AK195" s="135" t="s">
        <v>28</v>
      </c>
      <c r="AL195" s="135"/>
      <c r="AM195" s="135"/>
      <c r="AN195" s="135" t="s">
        <v>29</v>
      </c>
      <c r="AO195" s="135" t="s">
        <v>30</v>
      </c>
      <c r="AP195" s="135" t="s">
        <v>31</v>
      </c>
      <c r="AQ195" s="135"/>
      <c r="AR195" s="136"/>
      <c r="AS195" s="28"/>
      <c r="AT195" s="28"/>
      <c r="AW195" t="s">
        <v>6</v>
      </c>
      <c r="AX195" t="s">
        <v>232</v>
      </c>
      <c r="AZ195" t="s">
        <v>233</v>
      </c>
      <c r="BB195">
        <f>SUM(AJ192)</f>
        <v>0</v>
      </c>
      <c r="BD195" t="s">
        <v>234</v>
      </c>
      <c r="BF195" t="s">
        <v>233</v>
      </c>
      <c r="BH195">
        <f>SUM(AY192)</f>
        <v>3962</v>
      </c>
      <c r="BN195" s="212" t="s">
        <v>133</v>
      </c>
      <c r="BO195" s="212">
        <v>0</v>
      </c>
      <c r="BP195" s="209">
        <v>0</v>
      </c>
      <c r="BQ195" s="212">
        <v>0</v>
      </c>
      <c r="BR195" s="43">
        <v>0</v>
      </c>
      <c r="BS195" s="209">
        <v>0</v>
      </c>
      <c r="BT195" s="212">
        <v>0</v>
      </c>
      <c r="BU195" s="43">
        <v>0</v>
      </c>
      <c r="BV195" s="142"/>
      <c r="BW195" s="143"/>
      <c r="BX195" s="251">
        <v>118</v>
      </c>
      <c r="BY195" s="28"/>
    </row>
    <row r="196" spans="4:77" x14ac:dyDescent="0.3">
      <c r="AH196" s="196"/>
      <c r="AI196" s="138"/>
      <c r="AJ196" s="141"/>
      <c r="AK196" s="28"/>
      <c r="AL196" s="28"/>
      <c r="AM196" s="28"/>
      <c r="AN196" s="28"/>
      <c r="AO196" s="28" t="s">
        <v>6</v>
      </c>
      <c r="AP196" s="28" t="s">
        <v>41</v>
      </c>
      <c r="AQ196" s="28"/>
      <c r="AR196" s="141"/>
      <c r="AS196" s="28"/>
      <c r="AT196" s="28"/>
      <c r="AU196" s="28"/>
      <c r="AZ196" t="s">
        <v>236</v>
      </c>
      <c r="BB196">
        <f>SUM(AK192)</f>
        <v>0</v>
      </c>
      <c r="BF196" t="s">
        <v>236</v>
      </c>
      <c r="BH196">
        <f>SUM(AZ192)</f>
        <v>4188</v>
      </c>
      <c r="BK196" s="135"/>
      <c r="BN196" s="247" t="s">
        <v>84</v>
      </c>
      <c r="BO196" s="247">
        <f>SUM(BO183:BO195)</f>
        <v>6597</v>
      </c>
      <c r="BP196" s="248">
        <f>SUM(BP183:BP195)</f>
        <v>9192</v>
      </c>
      <c r="BQ196" s="197">
        <v>0</v>
      </c>
      <c r="BR196" s="198">
        <v>0</v>
      </c>
      <c r="BS196" s="249">
        <v>0</v>
      </c>
      <c r="BT196" s="197">
        <v>0</v>
      </c>
      <c r="BU196" s="249">
        <v>0</v>
      </c>
      <c r="BV196" s="142"/>
      <c r="BW196" s="143"/>
      <c r="BX196" s="146"/>
      <c r="BY196" s="28"/>
    </row>
    <row r="197" spans="4:77" x14ac:dyDescent="0.3">
      <c r="AH197" s="199" t="s">
        <v>42</v>
      </c>
      <c r="AI197" s="142" t="s">
        <v>43</v>
      </c>
      <c r="AJ197" s="146" t="s">
        <v>44</v>
      </c>
      <c r="AK197" s="143" t="s">
        <v>45</v>
      </c>
      <c r="AL197" s="143" t="s">
        <v>46</v>
      </c>
      <c r="AM197" s="143" t="s">
        <v>52</v>
      </c>
      <c r="AN197" s="143" t="s">
        <v>43</v>
      </c>
      <c r="AO197" s="143" t="s">
        <v>44</v>
      </c>
      <c r="AP197" s="143" t="s">
        <v>54</v>
      </c>
      <c r="AQ197" s="143"/>
      <c r="AR197" s="146"/>
      <c r="AS197" s="28"/>
      <c r="AT197" s="28"/>
      <c r="AU197" s="28"/>
      <c r="AX197" t="s">
        <v>238</v>
      </c>
      <c r="AY197" t="s">
        <v>239</v>
      </c>
      <c r="BA197" t="s">
        <v>240</v>
      </c>
      <c r="BB197" t="s">
        <v>241</v>
      </c>
      <c r="BE197" t="s">
        <v>242</v>
      </c>
      <c r="BF197" s="131" t="s">
        <v>243</v>
      </c>
      <c r="BN197" s="134"/>
      <c r="BO197" s="134"/>
      <c r="BP197" s="136"/>
      <c r="BQ197" s="135"/>
      <c r="BR197" s="135"/>
      <c r="BS197" s="135"/>
      <c r="BT197" s="138"/>
      <c r="BU197" s="141"/>
      <c r="BV197" s="28" t="s">
        <v>1025</v>
      </c>
      <c r="BW197" s="28"/>
      <c r="BX197" s="141"/>
      <c r="BY197" s="28"/>
    </row>
    <row r="198" spans="4:77" x14ac:dyDescent="0.3">
      <c r="AH198" s="195" t="s">
        <v>85</v>
      </c>
      <c r="AI198" s="135">
        <v>30</v>
      </c>
      <c r="AJ198" s="135">
        <v>0</v>
      </c>
      <c r="AK198" s="134"/>
      <c r="AL198" s="135"/>
      <c r="AM198" s="135"/>
      <c r="AN198" s="134"/>
      <c r="AO198" s="136"/>
      <c r="AP198" s="135" t="s">
        <v>58</v>
      </c>
      <c r="AQ198" s="135"/>
      <c r="AR198" s="136"/>
      <c r="AS198" s="28"/>
      <c r="AT198" s="28"/>
      <c r="AU198" s="28"/>
      <c r="AX198" t="s">
        <v>233</v>
      </c>
      <c r="AZ198" t="e">
        <f>SUM(#REF!)</f>
        <v>#REF!</v>
      </c>
      <c r="BA198" s="236" t="s">
        <v>233</v>
      </c>
      <c r="BC198">
        <f>SUM(S182)</f>
        <v>14</v>
      </c>
      <c r="BD198" t="s">
        <v>233</v>
      </c>
      <c r="BF198">
        <f>SUM(BC198+AY192)</f>
        <v>3976</v>
      </c>
      <c r="BG198" t="s">
        <v>245</v>
      </c>
      <c r="BH198" t="e">
        <f>SUM(AZ198+BF198)</f>
        <v>#REF!</v>
      </c>
      <c r="BN198" s="142" t="s">
        <v>64</v>
      </c>
      <c r="BO198" s="142">
        <v>61</v>
      </c>
      <c r="BP198" s="146">
        <v>51</v>
      </c>
      <c r="BQ198" s="28">
        <v>0</v>
      </c>
      <c r="BR198" s="43">
        <v>0</v>
      </c>
      <c r="BS198" s="43">
        <v>0</v>
      </c>
      <c r="BT198" s="142">
        <v>0</v>
      </c>
      <c r="BU198" s="146">
        <v>0</v>
      </c>
      <c r="BV198" s="143" t="s">
        <v>1407</v>
      </c>
      <c r="BW198" s="143" t="s">
        <v>1408</v>
      </c>
      <c r="BX198" s="146">
        <v>8</v>
      </c>
      <c r="BY198" s="28"/>
    </row>
    <row r="199" spans="4:77" ht="15" thickBot="1" x14ac:dyDescent="0.35">
      <c r="AH199" s="196" t="s">
        <v>64</v>
      </c>
      <c r="AI199" s="28">
        <v>84</v>
      </c>
      <c r="AJ199" s="28">
        <v>82</v>
      </c>
      <c r="AK199" s="138">
        <v>0</v>
      </c>
      <c r="AL199" s="28">
        <v>0</v>
      </c>
      <c r="AM199" s="28">
        <v>0</v>
      </c>
      <c r="AN199" s="138">
        <v>0</v>
      </c>
      <c r="AO199" s="141">
        <v>0</v>
      </c>
      <c r="AP199" s="43">
        <v>13</v>
      </c>
      <c r="AQ199" s="28" t="s">
        <v>474</v>
      </c>
      <c r="AR199" s="141" t="s">
        <v>6</v>
      </c>
      <c r="AS199" s="28"/>
      <c r="AT199" s="28"/>
      <c r="AU199" s="28"/>
      <c r="AX199" t="s">
        <v>236</v>
      </c>
      <c r="AZ199" t="e">
        <f>SUM(#REF!)</f>
        <v>#REF!</v>
      </c>
      <c r="BA199" s="236" t="s">
        <v>236</v>
      </c>
      <c r="BC199">
        <f>SUM(T182)</f>
        <v>48</v>
      </c>
      <c r="BD199" t="s">
        <v>236</v>
      </c>
      <c r="BF199">
        <f>SUM(BC199+AZ192)</f>
        <v>4236</v>
      </c>
      <c r="BH199" t="e">
        <f>SUM(AZ199+BF199)</f>
        <v>#REF!</v>
      </c>
      <c r="BI199" t="e">
        <f>SUM(BH198:BH199)</f>
        <v>#REF!</v>
      </c>
      <c r="BN199" s="138" t="s">
        <v>102</v>
      </c>
      <c r="BO199" s="134">
        <v>31</v>
      </c>
      <c r="BP199" s="136">
        <v>27</v>
      </c>
      <c r="BQ199" s="134">
        <v>0</v>
      </c>
      <c r="BR199" s="135">
        <v>0</v>
      </c>
      <c r="BS199" s="136">
        <v>0</v>
      </c>
      <c r="BT199" s="138">
        <v>0</v>
      </c>
      <c r="BU199" s="141">
        <v>0</v>
      </c>
      <c r="BV199" s="28" t="s">
        <v>994</v>
      </c>
      <c r="BW199" s="28"/>
      <c r="BX199" s="141"/>
      <c r="BY199" s="28"/>
    </row>
    <row r="200" spans="4:77" ht="15.6" x14ac:dyDescent="0.3">
      <c r="G200" s="1"/>
      <c r="H200" s="1" t="s">
        <v>5</v>
      </c>
      <c r="I200" s="1"/>
      <c r="J200" s="1"/>
      <c r="K200" s="1"/>
      <c r="L200" s="1"/>
      <c r="AH200" s="196" t="s">
        <v>108</v>
      </c>
      <c r="AI200">
        <v>12</v>
      </c>
      <c r="AJ200">
        <v>12</v>
      </c>
      <c r="AK200" s="138"/>
      <c r="AL200" s="28"/>
      <c r="AM200" s="28"/>
      <c r="AN200" s="138"/>
      <c r="AO200" s="141"/>
      <c r="AP200" s="28"/>
      <c r="AQ200" s="28"/>
      <c r="AR200" s="141"/>
      <c r="AS200" s="28"/>
      <c r="AT200" s="28"/>
      <c r="AU200" s="28"/>
      <c r="AX200" s="321" t="s">
        <v>1532</v>
      </c>
      <c r="AY200" s="34"/>
      <c r="AZ200" s="34"/>
      <c r="BA200" s="34"/>
      <c r="BB200" s="34"/>
      <c r="BC200" s="34"/>
      <c r="BD200" s="34"/>
      <c r="BE200" s="34"/>
      <c r="BF200" s="34"/>
      <c r="BG200" s="34"/>
      <c r="BH200" s="34"/>
      <c r="BI200" s="35"/>
      <c r="BK200" s="28" t="s">
        <v>994</v>
      </c>
      <c r="BL200">
        <v>2018</v>
      </c>
      <c r="BM200">
        <v>3</v>
      </c>
      <c r="BN200" s="138" t="s">
        <v>113</v>
      </c>
      <c r="BO200" s="138">
        <v>482</v>
      </c>
      <c r="BP200" s="141">
        <v>542</v>
      </c>
      <c r="BQ200" s="138">
        <v>0</v>
      </c>
      <c r="BR200" s="43">
        <v>0</v>
      </c>
      <c r="BS200" s="209">
        <v>0</v>
      </c>
      <c r="BT200" s="138">
        <v>0</v>
      </c>
      <c r="BU200" s="141">
        <v>0</v>
      </c>
      <c r="BV200" s="43">
        <v>27</v>
      </c>
      <c r="BW200" s="28" t="s">
        <v>100</v>
      </c>
      <c r="BX200" s="141"/>
      <c r="BY200" s="28"/>
    </row>
    <row r="201" spans="4:77" ht="15" thickBot="1" x14ac:dyDescent="0.35">
      <c r="I201" t="s">
        <v>2</v>
      </c>
      <c r="AH201" s="199" t="s">
        <v>84</v>
      </c>
      <c r="AI201" s="143">
        <f>SUM(AI198:AI200)</f>
        <v>126</v>
      </c>
      <c r="AJ201" s="143">
        <f>SUM(AJ198:AJ200)</f>
        <v>94</v>
      </c>
      <c r="AK201" s="142"/>
      <c r="AL201" s="143"/>
      <c r="AM201" s="143"/>
      <c r="AN201" s="142"/>
      <c r="AO201" s="146"/>
      <c r="AP201" s="143">
        <v>3</v>
      </c>
      <c r="AQ201" s="143" t="s">
        <v>69</v>
      </c>
      <c r="AR201" s="146">
        <f>SUM(AP199:AP201)</f>
        <v>16</v>
      </c>
      <c r="AS201" s="28"/>
      <c r="AT201" s="28"/>
      <c r="AU201" s="28"/>
      <c r="AX201" s="42" t="s">
        <v>238</v>
      </c>
      <c r="AY201" s="28" t="s">
        <v>239</v>
      </c>
      <c r="AZ201" s="28"/>
      <c r="BA201" s="28" t="s">
        <v>240</v>
      </c>
      <c r="BB201" s="28" t="s">
        <v>241</v>
      </c>
      <c r="BC201" s="28"/>
      <c r="BD201" s="28"/>
      <c r="BE201" s="28" t="s">
        <v>242</v>
      </c>
      <c r="BF201" s="257" t="s">
        <v>243</v>
      </c>
      <c r="BG201" s="28"/>
      <c r="BH201" s="28"/>
      <c r="BI201" s="40"/>
      <c r="BN201" s="142" t="s">
        <v>84</v>
      </c>
      <c r="BO201" s="142">
        <f>SUM(BO199:BO200)</f>
        <v>513</v>
      </c>
      <c r="BP201" s="146">
        <f>SUM(BP199:BP200)</f>
        <v>569</v>
      </c>
      <c r="BQ201" s="138">
        <v>0</v>
      </c>
      <c r="BR201" s="43">
        <v>0</v>
      </c>
      <c r="BS201" s="209">
        <v>0</v>
      </c>
      <c r="BT201" s="142">
        <v>0</v>
      </c>
      <c r="BU201" s="146">
        <v>0</v>
      </c>
      <c r="BV201" s="43">
        <v>18</v>
      </c>
      <c r="BW201" s="43" t="s">
        <v>1292</v>
      </c>
      <c r="BX201" s="146">
        <v>45</v>
      </c>
      <c r="BY201" s="28"/>
    </row>
    <row r="202" spans="4:77" ht="15.6" x14ac:dyDescent="0.3">
      <c r="G202" t="s">
        <v>13</v>
      </c>
      <c r="U202" s="1"/>
      <c r="V202" s="1" t="s">
        <v>5</v>
      </c>
      <c r="W202" s="1"/>
      <c r="X202" s="1"/>
      <c r="Y202" s="1"/>
      <c r="Z202" s="1"/>
      <c r="AH202" s="195"/>
      <c r="AI202" s="134"/>
      <c r="AJ202" s="136"/>
      <c r="AK202" s="135"/>
      <c r="AL202" s="135"/>
      <c r="AM202" s="135"/>
      <c r="AN202" s="134"/>
      <c r="AO202" s="136"/>
      <c r="AP202" s="135" t="s">
        <v>82</v>
      </c>
      <c r="AQ202" s="135"/>
      <c r="AR202" s="136"/>
      <c r="AS202" s="28"/>
      <c r="AT202" s="28"/>
      <c r="AU202" s="28"/>
      <c r="AX202" s="42" t="s">
        <v>233</v>
      </c>
      <c r="AY202" s="28"/>
      <c r="AZ202" s="28">
        <v>52150</v>
      </c>
      <c r="BA202" s="218" t="s">
        <v>233</v>
      </c>
      <c r="BB202" s="28"/>
      <c r="BC202" s="28">
        <v>2753</v>
      </c>
      <c r="BD202" s="28" t="s">
        <v>233</v>
      </c>
      <c r="BE202" s="28"/>
      <c r="BF202" s="28">
        <f>2753+1771</f>
        <v>4524</v>
      </c>
      <c r="BG202" s="28" t="s">
        <v>245</v>
      </c>
      <c r="BH202" s="28">
        <f>SUM(AZ202+BF202)</f>
        <v>56674</v>
      </c>
      <c r="BI202" s="40"/>
      <c r="BN202" s="195" t="s">
        <v>133</v>
      </c>
      <c r="BO202" s="134">
        <v>11</v>
      </c>
      <c r="BP202" s="135">
        <v>31</v>
      </c>
      <c r="BQ202" s="32" t="s">
        <v>17</v>
      </c>
      <c r="BR202" s="411" t="s">
        <v>1357</v>
      </c>
      <c r="BS202" s="412"/>
      <c r="BT202" s="135">
        <v>0</v>
      </c>
      <c r="BU202" s="136">
        <v>0</v>
      </c>
      <c r="BV202" s="134" t="s">
        <v>140</v>
      </c>
      <c r="BW202" s="135"/>
      <c r="BX202" s="136"/>
      <c r="BY202" s="28"/>
    </row>
    <row r="203" spans="4:77" ht="15" thickBot="1" x14ac:dyDescent="0.35">
      <c r="I203" t="s">
        <v>354</v>
      </c>
      <c r="M203" s="5" t="s">
        <v>16</v>
      </c>
      <c r="W203" t="s">
        <v>2</v>
      </c>
      <c r="AH203" s="199" t="s">
        <v>85</v>
      </c>
      <c r="AI203" s="142">
        <v>0</v>
      </c>
      <c r="AJ203" s="146">
        <v>0</v>
      </c>
      <c r="AK203" s="143"/>
      <c r="AL203" s="143">
        <v>0</v>
      </c>
      <c r="AM203" s="143">
        <v>0</v>
      </c>
      <c r="AN203" s="142">
        <v>0</v>
      </c>
      <c r="AO203" s="146">
        <v>0</v>
      </c>
      <c r="AP203" s="143"/>
      <c r="AQ203" s="143" t="s">
        <v>86</v>
      </c>
      <c r="AR203" s="146">
        <f>SUM(AP203)</f>
        <v>0</v>
      </c>
      <c r="AS203" s="28"/>
      <c r="AT203" s="28"/>
      <c r="AU203" s="28"/>
      <c r="AX203" s="47" t="s">
        <v>236</v>
      </c>
      <c r="AY203" s="48"/>
      <c r="AZ203" s="48">
        <v>55867</v>
      </c>
      <c r="BA203" s="320" t="s">
        <v>236</v>
      </c>
      <c r="BB203" s="48"/>
      <c r="BC203" s="48">
        <v>2760</v>
      </c>
      <c r="BD203" s="48" t="s">
        <v>236</v>
      </c>
      <c r="BE203" s="48"/>
      <c r="BF203" s="48">
        <f>1730+2760</f>
        <v>4490</v>
      </c>
      <c r="BG203" s="48"/>
      <c r="BH203" s="48">
        <f>SUM(AZ203+BF203)</f>
        <v>60357</v>
      </c>
      <c r="BI203" s="49">
        <f>SUM(BH202:BH203)</f>
        <v>117031</v>
      </c>
      <c r="BN203" s="196" t="s">
        <v>113</v>
      </c>
      <c r="BO203" s="138">
        <v>31</v>
      </c>
      <c r="BP203" s="43">
        <v>27</v>
      </c>
      <c r="BQ203" s="41"/>
      <c r="BR203" s="67"/>
      <c r="BS203" s="40"/>
      <c r="BT203" s="43">
        <v>0</v>
      </c>
      <c r="BU203" s="141">
        <v>0</v>
      </c>
      <c r="BV203" s="138"/>
      <c r="BW203" s="28"/>
      <c r="BX203" s="141"/>
      <c r="BY203" s="28"/>
    </row>
    <row r="204" spans="4:77" ht="15" thickBot="1" x14ac:dyDescent="0.35">
      <c r="D204" s="6" t="s">
        <v>17</v>
      </c>
      <c r="E204" s="6" t="s">
        <v>27</v>
      </c>
      <c r="F204" s="7"/>
      <c r="G204" s="8" t="s">
        <v>28</v>
      </c>
      <c r="H204" s="8"/>
      <c r="I204" s="8"/>
      <c r="J204" s="6" t="s">
        <v>29</v>
      </c>
      <c r="K204" s="7" t="s">
        <v>30</v>
      </c>
      <c r="L204" s="8" t="s">
        <v>31</v>
      </c>
      <c r="M204" s="8"/>
      <c r="N204" s="7"/>
      <c r="U204" t="s">
        <v>13</v>
      </c>
      <c r="AH204" s="195" t="s">
        <v>107</v>
      </c>
      <c r="AI204" s="134">
        <v>0</v>
      </c>
      <c r="AJ204" s="136">
        <v>0</v>
      </c>
      <c r="AK204" s="135"/>
      <c r="AL204" s="135"/>
      <c r="AM204" s="135"/>
      <c r="AN204" s="134"/>
      <c r="AO204" s="136"/>
      <c r="AP204" s="135"/>
      <c r="AQ204" s="135" t="s">
        <v>92</v>
      </c>
      <c r="AR204" s="136"/>
      <c r="AS204" s="28"/>
      <c r="AT204" s="28"/>
      <c r="AU204" s="28"/>
      <c r="BN204" s="196" t="s">
        <v>200</v>
      </c>
      <c r="BO204" s="138">
        <v>13</v>
      </c>
      <c r="BP204" s="43">
        <v>11</v>
      </c>
      <c r="BQ204" s="46" t="s">
        <v>1361</v>
      </c>
      <c r="BR204" s="72" t="s">
        <v>1362</v>
      </c>
      <c r="BS204" s="49" t="s">
        <v>1363</v>
      </c>
      <c r="BT204" s="43">
        <v>0</v>
      </c>
      <c r="BU204" s="141">
        <v>0</v>
      </c>
      <c r="BV204" s="138"/>
      <c r="BW204" s="28"/>
      <c r="BX204" s="141"/>
      <c r="BY204" s="28"/>
    </row>
    <row r="205" spans="4:77" ht="15" thickBot="1" x14ac:dyDescent="0.35">
      <c r="D205" s="10"/>
      <c r="E205" s="10"/>
      <c r="F205" s="11"/>
      <c r="G205" s="3"/>
      <c r="H205" s="3"/>
      <c r="I205" s="3"/>
      <c r="J205" s="10"/>
      <c r="K205" s="11" t="s">
        <v>6</v>
      </c>
      <c r="L205" s="3" t="s">
        <v>41</v>
      </c>
      <c r="M205" s="3"/>
      <c r="N205" s="11"/>
      <c r="W205" t="s">
        <v>729</v>
      </c>
      <c r="AA205" s="5" t="s">
        <v>16</v>
      </c>
      <c r="AH205" s="196" t="s">
        <v>99</v>
      </c>
      <c r="AI205" s="138">
        <v>0</v>
      </c>
      <c r="AJ205" s="141">
        <v>0</v>
      </c>
      <c r="AK205" s="28">
        <v>0</v>
      </c>
      <c r="AL205" s="28">
        <v>0</v>
      </c>
      <c r="AM205" s="28">
        <v>0</v>
      </c>
      <c r="AN205" s="138">
        <f>69358+2606</f>
        <v>71964</v>
      </c>
      <c r="AO205" s="141">
        <f>909+18180</f>
        <v>19089</v>
      </c>
      <c r="AP205" s="43">
        <v>26</v>
      </c>
      <c r="AQ205" s="28" t="s">
        <v>100</v>
      </c>
      <c r="AR205" s="141"/>
      <c r="AS205" s="28"/>
      <c r="AT205" s="28"/>
      <c r="AU205" s="28"/>
      <c r="BN205" s="196" t="s">
        <v>169</v>
      </c>
      <c r="BO205" s="138">
        <v>4</v>
      </c>
      <c r="BP205" s="141">
        <v>13</v>
      </c>
      <c r="BQ205" s="268" t="s">
        <v>74</v>
      </c>
      <c r="BR205" s="43">
        <v>6</v>
      </c>
      <c r="BS205" s="141">
        <v>0</v>
      </c>
      <c r="BT205" s="43">
        <v>0</v>
      </c>
      <c r="BU205" s="141">
        <v>0</v>
      </c>
      <c r="BV205" s="138" t="s">
        <v>142</v>
      </c>
      <c r="BW205" s="43"/>
      <c r="BX205" s="141" t="s">
        <v>1414</v>
      </c>
      <c r="BY205" s="28"/>
    </row>
    <row r="206" spans="4:77" ht="15" thickBot="1" x14ac:dyDescent="0.35">
      <c r="D206" s="13" t="s">
        <v>42</v>
      </c>
      <c r="E206" s="13" t="s">
        <v>43</v>
      </c>
      <c r="F206" s="26" t="s">
        <v>44</v>
      </c>
      <c r="G206" s="27" t="s">
        <v>45</v>
      </c>
      <c r="H206" s="27" t="s">
        <v>46</v>
      </c>
      <c r="I206" s="27" t="s">
        <v>52</v>
      </c>
      <c r="J206" s="13" t="s">
        <v>43</v>
      </c>
      <c r="K206" s="26" t="s">
        <v>44</v>
      </c>
      <c r="L206" s="27" t="s">
        <v>54</v>
      </c>
      <c r="M206" s="27"/>
      <c r="N206" s="26"/>
      <c r="R206" s="6" t="s">
        <v>17</v>
      </c>
      <c r="S206" s="6" t="s">
        <v>27</v>
      </c>
      <c r="T206" s="7"/>
      <c r="U206" s="8" t="s">
        <v>28</v>
      </c>
      <c r="V206" s="8"/>
      <c r="W206" s="8"/>
      <c r="X206" s="6" t="s">
        <v>29</v>
      </c>
      <c r="Y206" s="7" t="s">
        <v>30</v>
      </c>
      <c r="Z206" s="8" t="s">
        <v>31</v>
      </c>
      <c r="AA206" s="8"/>
      <c r="AB206" s="7"/>
      <c r="AH206" s="199" t="s">
        <v>84</v>
      </c>
      <c r="AI206" s="142">
        <f>SUM(AI204:AI205)</f>
        <v>0</v>
      </c>
      <c r="AJ206" s="146">
        <f>SUM(AJ203:AJ205)</f>
        <v>0</v>
      </c>
      <c r="AK206" s="143"/>
      <c r="AL206" s="143"/>
      <c r="AM206" s="143"/>
      <c r="AN206" s="142"/>
      <c r="AO206" s="146"/>
      <c r="AP206" s="143">
        <v>0</v>
      </c>
      <c r="AQ206" s="143" t="s">
        <v>506</v>
      </c>
      <c r="AR206" s="146">
        <f>SUM(AP205:AP206)</f>
        <v>26</v>
      </c>
      <c r="AS206" s="28"/>
      <c r="AT206" s="28"/>
      <c r="AU206" s="28"/>
      <c r="BN206" s="196" t="s">
        <v>85</v>
      </c>
      <c r="BO206" s="138">
        <v>9</v>
      </c>
      <c r="BP206" s="141">
        <v>8</v>
      </c>
      <c r="BQ206" s="268" t="s">
        <v>445</v>
      </c>
      <c r="BR206" s="255">
        <v>3</v>
      </c>
      <c r="BS206" s="141">
        <v>0</v>
      </c>
      <c r="BT206" s="43">
        <v>0</v>
      </c>
      <c r="BU206" s="141">
        <v>0</v>
      </c>
      <c r="BV206" s="138" t="s">
        <v>146</v>
      </c>
      <c r="BW206" s="28"/>
      <c r="BX206" s="256" t="s">
        <v>1415</v>
      </c>
      <c r="BY206" s="28"/>
    </row>
    <row r="207" spans="4:77" x14ac:dyDescent="0.3">
      <c r="D207" s="32" t="s">
        <v>85</v>
      </c>
      <c r="E207">
        <v>0</v>
      </c>
      <c r="F207">
        <v>0</v>
      </c>
      <c r="G207" s="33"/>
      <c r="H207" s="34"/>
      <c r="I207" s="34"/>
      <c r="J207" s="33"/>
      <c r="K207" s="35"/>
      <c r="L207" s="34" t="s">
        <v>58</v>
      </c>
      <c r="M207" s="8"/>
      <c r="N207" s="7"/>
      <c r="R207" s="10"/>
      <c r="S207" s="10"/>
      <c r="T207" s="11"/>
      <c r="U207" s="3"/>
      <c r="V207" s="3"/>
      <c r="W207" s="3"/>
      <c r="X207" s="10"/>
      <c r="Y207" s="11" t="s">
        <v>6</v>
      </c>
      <c r="Z207" s="3" t="s">
        <v>41</v>
      </c>
      <c r="AA207" s="3"/>
      <c r="AB207" s="11"/>
      <c r="AE207" s="28" t="s">
        <v>91</v>
      </c>
      <c r="AF207">
        <v>2016</v>
      </c>
      <c r="AG207">
        <v>4</v>
      </c>
      <c r="AH207" s="196"/>
      <c r="AI207" s="138"/>
      <c r="AJ207" s="141"/>
      <c r="AN207" s="138"/>
      <c r="AO207" s="141"/>
      <c r="AP207" s="134"/>
      <c r="AQ207" s="135"/>
      <c r="AR207" s="136"/>
      <c r="AS207" s="28"/>
      <c r="AT207" s="28"/>
      <c r="AU207" s="28"/>
      <c r="BN207" s="196" t="s">
        <v>108</v>
      </c>
      <c r="BO207" s="138">
        <v>4</v>
      </c>
      <c r="BP207" s="141">
        <v>23</v>
      </c>
      <c r="BQ207" s="268" t="s">
        <v>337</v>
      </c>
      <c r="BR207" s="43">
        <v>0</v>
      </c>
      <c r="BS207" s="141">
        <v>5</v>
      </c>
      <c r="BT207" s="43">
        <v>0</v>
      </c>
      <c r="BU207" s="141">
        <v>0</v>
      </c>
      <c r="BV207" s="138"/>
      <c r="BW207" s="28"/>
      <c r="BX207" s="141" t="s">
        <v>1416</v>
      </c>
      <c r="BY207" s="28"/>
    </row>
    <row r="208" spans="4:77" ht="15" thickBot="1" x14ac:dyDescent="0.35">
      <c r="D208" s="44" t="s">
        <v>64</v>
      </c>
      <c r="E208" s="18">
        <v>57</v>
      </c>
      <c r="F208" s="18">
        <v>52</v>
      </c>
      <c r="G208" s="10">
        <v>0</v>
      </c>
      <c r="H208" s="18">
        <v>0</v>
      </c>
      <c r="I208" s="18">
        <v>0</v>
      </c>
      <c r="J208" s="10">
        <v>0</v>
      </c>
      <c r="K208" s="11">
        <v>0</v>
      </c>
      <c r="L208" s="45">
        <v>0</v>
      </c>
      <c r="M208" s="28" t="s">
        <v>249</v>
      </c>
      <c r="N208" s="11" t="s">
        <v>300</v>
      </c>
      <c r="R208" s="13" t="s">
        <v>42</v>
      </c>
      <c r="S208" s="13" t="s">
        <v>43</v>
      </c>
      <c r="T208" s="26" t="s">
        <v>44</v>
      </c>
      <c r="U208" s="27" t="s">
        <v>45</v>
      </c>
      <c r="V208" s="27" t="s">
        <v>46</v>
      </c>
      <c r="W208" s="27" t="s">
        <v>52</v>
      </c>
      <c r="X208" s="13" t="s">
        <v>43</v>
      </c>
      <c r="Y208" s="26" t="s">
        <v>44</v>
      </c>
      <c r="Z208" s="27" t="s">
        <v>54</v>
      </c>
      <c r="AA208" s="27"/>
      <c r="AB208" s="26"/>
      <c r="AE208" s="28" t="s">
        <v>91</v>
      </c>
      <c r="AF208">
        <v>2016</v>
      </c>
      <c r="AG208">
        <v>4</v>
      </c>
      <c r="AH208" s="196" t="s">
        <v>89</v>
      </c>
      <c r="AI208" s="138">
        <v>491</v>
      </c>
      <c r="AJ208" s="141">
        <v>478</v>
      </c>
      <c r="AN208" s="138"/>
      <c r="AO208" s="141"/>
      <c r="AP208" s="138"/>
      <c r="AQ208" s="28" t="s">
        <v>91</v>
      </c>
      <c r="AR208" s="141"/>
      <c r="AS208" s="28"/>
      <c r="AT208" s="28"/>
      <c r="AU208" s="28"/>
      <c r="BN208" s="196" t="s">
        <v>1118</v>
      </c>
      <c r="BO208" s="138">
        <v>0</v>
      </c>
      <c r="BP208" s="141">
        <v>1</v>
      </c>
      <c r="BQ208" s="268" t="s">
        <v>1255</v>
      </c>
      <c r="BR208" s="43">
        <v>1</v>
      </c>
      <c r="BS208" s="141">
        <v>0</v>
      </c>
      <c r="BT208" s="43">
        <v>0</v>
      </c>
      <c r="BU208" s="141">
        <v>0</v>
      </c>
      <c r="BV208" s="138" t="s">
        <v>151</v>
      </c>
      <c r="BW208" s="28"/>
      <c r="BX208" s="141"/>
      <c r="BY208" s="28"/>
    </row>
    <row r="209" spans="1:77" ht="15" thickBot="1" x14ac:dyDescent="0.35">
      <c r="C209" s="28"/>
      <c r="D209" s="46" t="s">
        <v>84</v>
      </c>
      <c r="E209">
        <f>SUM(E207:E208)</f>
        <v>57</v>
      </c>
      <c r="F209">
        <f>SUM(F207:F208)</f>
        <v>52</v>
      </c>
      <c r="G209" s="47"/>
      <c r="H209" s="48"/>
      <c r="I209" s="48"/>
      <c r="J209" s="47"/>
      <c r="K209" s="49"/>
      <c r="L209" s="48">
        <v>6</v>
      </c>
      <c r="M209" s="48" t="s">
        <v>69</v>
      </c>
      <c r="N209" s="49">
        <f>SUM(L208:L209)+2</f>
        <v>8</v>
      </c>
      <c r="R209" s="32" t="s">
        <v>85</v>
      </c>
      <c r="S209">
        <v>19</v>
      </c>
      <c r="T209">
        <v>20</v>
      </c>
      <c r="U209" s="33"/>
      <c r="V209" s="34"/>
      <c r="W209" s="34"/>
      <c r="X209" s="33"/>
      <c r="Y209" s="35"/>
      <c r="Z209" s="34" t="s">
        <v>58</v>
      </c>
      <c r="AA209" s="8"/>
      <c r="AB209" s="7"/>
      <c r="AE209" s="28" t="s">
        <v>91</v>
      </c>
      <c r="AF209">
        <v>2016</v>
      </c>
      <c r="AG209">
        <v>4</v>
      </c>
      <c r="AH209" s="196" t="s">
        <v>137</v>
      </c>
      <c r="AI209" s="138">
        <v>92</v>
      </c>
      <c r="AJ209" s="141">
        <v>49</v>
      </c>
      <c r="AN209" s="138"/>
      <c r="AO209" s="141"/>
      <c r="AP209" s="138">
        <v>39</v>
      </c>
      <c r="AQ209" s="43" t="s">
        <v>145</v>
      </c>
      <c r="AR209" s="141"/>
      <c r="AS209" s="28"/>
      <c r="AT209" s="28"/>
      <c r="AU209" s="28"/>
      <c r="BN209" s="196" t="s">
        <v>214</v>
      </c>
      <c r="BO209" s="138">
        <v>0</v>
      </c>
      <c r="BP209" s="141">
        <v>1</v>
      </c>
      <c r="BQ209" s="268" t="s">
        <v>1129</v>
      </c>
      <c r="BR209" s="43">
        <v>4</v>
      </c>
      <c r="BS209" s="141">
        <v>0</v>
      </c>
      <c r="BT209" s="43">
        <v>0</v>
      </c>
      <c r="BU209" s="141">
        <v>0</v>
      </c>
      <c r="BV209" s="269" t="s">
        <v>1000</v>
      </c>
      <c r="BW209" s="257" t="s">
        <v>1419</v>
      </c>
      <c r="BX209" s="141" t="s">
        <v>1420</v>
      </c>
      <c r="BY209" s="28"/>
    </row>
    <row r="210" spans="1:77" x14ac:dyDescent="0.3">
      <c r="C210" s="28"/>
      <c r="D210" s="33"/>
      <c r="E210" s="33"/>
      <c r="F210" s="35"/>
      <c r="G210" s="34"/>
      <c r="H210" s="34"/>
      <c r="I210" s="34"/>
      <c r="J210" s="33"/>
      <c r="K210" s="35"/>
      <c r="L210" s="8" t="s">
        <v>6</v>
      </c>
      <c r="M210" s="34"/>
      <c r="N210" s="35"/>
      <c r="R210" s="44" t="s">
        <v>64</v>
      </c>
      <c r="S210" s="18">
        <v>121</v>
      </c>
      <c r="T210" s="18">
        <v>121</v>
      </c>
      <c r="U210" s="10">
        <v>0</v>
      </c>
      <c r="V210" s="18">
        <v>0</v>
      </c>
      <c r="W210" s="18">
        <v>0</v>
      </c>
      <c r="X210" s="10">
        <v>0</v>
      </c>
      <c r="Y210" s="11">
        <v>0</v>
      </c>
      <c r="Z210" s="45">
        <v>11</v>
      </c>
      <c r="AA210" s="28" t="s">
        <v>474</v>
      </c>
      <c r="AB210" s="11" t="s">
        <v>6</v>
      </c>
      <c r="AE210" s="28" t="s">
        <v>91</v>
      </c>
      <c r="AF210">
        <v>2016</v>
      </c>
      <c r="AG210">
        <v>4</v>
      </c>
      <c r="AH210" s="196" t="s">
        <v>113</v>
      </c>
      <c r="AI210" s="138">
        <v>886</v>
      </c>
      <c r="AJ210" s="141">
        <v>1018</v>
      </c>
      <c r="AN210" s="138"/>
      <c r="AO210" s="141"/>
      <c r="AP210" s="138">
        <v>42</v>
      </c>
      <c r="AQ210" s="28" t="s">
        <v>73</v>
      </c>
      <c r="AR210" s="141"/>
      <c r="AS210" s="28"/>
      <c r="AT210" s="28"/>
      <c r="AU210" s="28"/>
      <c r="BB210" t="s">
        <v>5</v>
      </c>
      <c r="BN210" s="196" t="s">
        <v>564</v>
      </c>
      <c r="BO210" s="138">
        <v>0</v>
      </c>
      <c r="BP210" s="141">
        <v>4</v>
      </c>
      <c r="BQ210" s="268" t="s">
        <v>1421</v>
      </c>
      <c r="BR210" s="43">
        <v>8</v>
      </c>
      <c r="BS210" s="141">
        <v>0</v>
      </c>
      <c r="BT210" s="43">
        <v>0</v>
      </c>
      <c r="BU210" s="141">
        <v>0</v>
      </c>
      <c r="BV210" s="212" t="s">
        <v>571</v>
      </c>
      <c r="BW210" s="218" t="s">
        <v>1084</v>
      </c>
      <c r="BX210" s="141" t="s">
        <v>1422</v>
      </c>
      <c r="BY210" s="28"/>
    </row>
    <row r="211" spans="1:77" ht="15" thickBot="1" x14ac:dyDescent="0.35">
      <c r="C211" s="28"/>
      <c r="D211" s="47" t="s">
        <v>6</v>
      </c>
      <c r="E211" s="47"/>
      <c r="F211" s="49"/>
      <c r="G211" s="48">
        <v>0</v>
      </c>
      <c r="H211" s="48">
        <v>0</v>
      </c>
      <c r="I211" s="48">
        <v>0</v>
      </c>
      <c r="J211" s="47">
        <v>0</v>
      </c>
      <c r="K211" s="49">
        <v>0</v>
      </c>
      <c r="L211" s="51"/>
      <c r="M211" s="48" t="s">
        <v>6</v>
      </c>
      <c r="N211" s="49">
        <f>SUM(L211)</f>
        <v>0</v>
      </c>
      <c r="Q211" s="28"/>
      <c r="R211" s="46" t="s">
        <v>84</v>
      </c>
      <c r="S211">
        <f>SUM(S209:S210)</f>
        <v>140</v>
      </c>
      <c r="T211">
        <f>SUM(T209:T210)</f>
        <v>141</v>
      </c>
      <c r="U211" s="47"/>
      <c r="V211" s="48"/>
      <c r="W211" s="48"/>
      <c r="X211" s="47"/>
      <c r="Y211" s="49"/>
      <c r="Z211" s="48">
        <v>1</v>
      </c>
      <c r="AA211" s="48" t="s">
        <v>69</v>
      </c>
      <c r="AB211" s="49">
        <f>SUM(Z210:Z211)</f>
        <v>12</v>
      </c>
      <c r="AE211" s="28" t="s">
        <v>91</v>
      </c>
      <c r="AF211">
        <v>2016</v>
      </c>
      <c r="AG211">
        <v>4</v>
      </c>
      <c r="AH211" s="196" t="s">
        <v>84</v>
      </c>
      <c r="AI211" s="138">
        <f>SUM(AI208:AI210)</f>
        <v>1469</v>
      </c>
      <c r="AJ211" s="141">
        <f>SUM(AJ208:AJ210)</f>
        <v>1545</v>
      </c>
      <c r="AK211">
        <v>0</v>
      </c>
      <c r="AL211">
        <v>0</v>
      </c>
      <c r="AM211">
        <v>0</v>
      </c>
      <c r="AN211" s="138">
        <v>0</v>
      </c>
      <c r="AO211" s="141">
        <v>0</v>
      </c>
      <c r="AP211" s="142"/>
      <c r="AQ211" s="143"/>
      <c r="AR211" s="146">
        <f>SUM(AP210)</f>
        <v>42</v>
      </c>
      <c r="AS211" s="28"/>
      <c r="AT211" s="28"/>
      <c r="AU211" s="28"/>
      <c r="BC211" t="s">
        <v>2</v>
      </c>
      <c r="BN211" s="196" t="s">
        <v>1423</v>
      </c>
      <c r="BO211" s="138">
        <v>2</v>
      </c>
      <c r="BP211" s="141">
        <v>0</v>
      </c>
      <c r="BQ211" s="268" t="s">
        <v>956</v>
      </c>
      <c r="BR211" s="43">
        <v>1</v>
      </c>
      <c r="BS211" s="141">
        <v>0</v>
      </c>
      <c r="BT211" s="43">
        <v>0</v>
      </c>
      <c r="BU211" s="141">
        <v>0</v>
      </c>
      <c r="BV211" s="212" t="s">
        <v>292</v>
      </c>
      <c r="BW211" s="28" t="s">
        <v>1424</v>
      </c>
      <c r="BX211" s="141" t="s">
        <v>415</v>
      </c>
      <c r="BY211" s="28"/>
    </row>
    <row r="212" spans="1:77" x14ac:dyDescent="0.3">
      <c r="C212" s="28"/>
      <c r="D212" s="33"/>
      <c r="E212" s="33"/>
      <c r="F212" s="35"/>
      <c r="G212" s="34"/>
      <c r="H212" s="34"/>
      <c r="I212" s="34"/>
      <c r="J212" s="33"/>
      <c r="K212" s="35"/>
      <c r="L212" s="53" t="s">
        <v>82</v>
      </c>
      <c r="M212" s="34"/>
      <c r="N212" s="35"/>
      <c r="Q212" s="28"/>
      <c r="R212" s="33"/>
      <c r="S212" s="33"/>
      <c r="T212" s="35"/>
      <c r="U212" s="34"/>
      <c r="V212" s="34"/>
      <c r="W212" s="34"/>
      <c r="X212" s="33"/>
      <c r="Y212" s="35"/>
      <c r="Z212" s="53" t="s">
        <v>82</v>
      </c>
      <c r="AA212" s="34"/>
      <c r="AB212" s="35"/>
      <c r="AE212" s="135" t="s">
        <v>994</v>
      </c>
      <c r="AF212">
        <v>2016</v>
      </c>
      <c r="AG212">
        <v>4</v>
      </c>
      <c r="AH212" s="134"/>
      <c r="AI212" s="134"/>
      <c r="AJ212" s="136"/>
      <c r="AK212" s="135"/>
      <c r="AL212" s="135"/>
      <c r="AM212" s="135"/>
      <c r="AN212" s="134"/>
      <c r="AO212" s="136"/>
      <c r="AP212" s="135" t="s">
        <v>994</v>
      </c>
      <c r="AQ212" s="135"/>
      <c r="AR212" s="136"/>
      <c r="AS212" s="28"/>
      <c r="AT212" s="28"/>
      <c r="AU212" s="28"/>
      <c r="BA212" t="s">
        <v>13</v>
      </c>
      <c r="BN212" s="196" t="s">
        <v>596</v>
      </c>
      <c r="BO212" s="138">
        <v>3</v>
      </c>
      <c r="BP212" s="141">
        <v>1</v>
      </c>
      <c r="BQ212" s="268" t="s">
        <v>1425</v>
      </c>
      <c r="BR212" s="270">
        <v>6</v>
      </c>
      <c r="BS212" s="141">
        <v>0</v>
      </c>
      <c r="BT212" s="43">
        <v>0</v>
      </c>
      <c r="BU212" s="141">
        <v>0</v>
      </c>
      <c r="BV212" s="138" t="s">
        <v>513</v>
      </c>
      <c r="BW212" s="43" t="s">
        <v>479</v>
      </c>
      <c r="BX212" s="209" t="s">
        <v>1426</v>
      </c>
      <c r="BY212" s="28"/>
    </row>
    <row r="213" spans="1:77" ht="15" thickBot="1" x14ac:dyDescent="0.35">
      <c r="C213" s="28"/>
      <c r="D213" s="47" t="s">
        <v>85</v>
      </c>
      <c r="E213" s="47">
        <v>13</v>
      </c>
      <c r="F213" s="49">
        <v>11</v>
      </c>
      <c r="G213" s="48"/>
      <c r="H213" s="48">
        <v>0</v>
      </c>
      <c r="I213" s="48">
        <v>0</v>
      </c>
      <c r="J213" s="47">
        <v>0</v>
      </c>
      <c r="K213" s="49">
        <v>0</v>
      </c>
      <c r="L213" s="51">
        <v>3</v>
      </c>
      <c r="M213" s="48" t="s">
        <v>86</v>
      </c>
      <c r="N213" s="49">
        <f>SUM(L213)</f>
        <v>3</v>
      </c>
      <c r="Q213" s="28"/>
      <c r="R213" s="47" t="s">
        <v>85</v>
      </c>
      <c r="S213" s="47">
        <v>0</v>
      </c>
      <c r="T213" s="49">
        <v>0</v>
      </c>
      <c r="U213" s="48"/>
      <c r="V213" s="48">
        <v>0</v>
      </c>
      <c r="W213" s="48">
        <v>0</v>
      </c>
      <c r="X213" s="47">
        <v>0</v>
      </c>
      <c r="Y213" s="49">
        <v>0</v>
      </c>
      <c r="Z213" s="51"/>
      <c r="AA213" s="48" t="s">
        <v>86</v>
      </c>
      <c r="AB213" s="49">
        <f>SUM(Z213)</f>
        <v>0</v>
      </c>
      <c r="AE213" s="135" t="s">
        <v>994</v>
      </c>
      <c r="AF213">
        <v>2016</v>
      </c>
      <c r="AG213">
        <v>4</v>
      </c>
      <c r="AH213" s="138" t="s">
        <v>113</v>
      </c>
      <c r="AI213" s="138">
        <v>310</v>
      </c>
      <c r="AJ213" s="141">
        <v>331</v>
      </c>
      <c r="AK213" s="28"/>
      <c r="AL213" s="28"/>
      <c r="AM213" s="28"/>
      <c r="AN213" s="138"/>
      <c r="AO213" s="141"/>
      <c r="AP213" s="28">
        <v>21</v>
      </c>
      <c r="AQ213" s="28" t="s">
        <v>100</v>
      </c>
      <c r="AR213" s="141"/>
      <c r="AS213" s="28"/>
      <c r="AT213" s="28"/>
      <c r="AU213" s="28"/>
      <c r="BC213" t="s">
        <v>1576</v>
      </c>
      <c r="BG213" s="194" t="s">
        <v>950</v>
      </c>
      <c r="BN213" s="196" t="s">
        <v>468</v>
      </c>
      <c r="BO213" s="138">
        <v>0</v>
      </c>
      <c r="BP213" s="141">
        <v>0</v>
      </c>
      <c r="BQ213" s="268" t="s">
        <v>220</v>
      </c>
      <c r="BR213" s="43">
        <v>0</v>
      </c>
      <c r="BS213" s="141">
        <v>11</v>
      </c>
      <c r="BT213" s="43">
        <v>0</v>
      </c>
      <c r="BU213" s="141">
        <v>0</v>
      </c>
      <c r="BV213" s="138" t="s">
        <v>1427</v>
      </c>
      <c r="BW213" s="43" t="s">
        <v>447</v>
      </c>
      <c r="BX213" s="209" t="s">
        <v>1428</v>
      </c>
      <c r="BY213" s="28"/>
    </row>
    <row r="214" spans="1:77" x14ac:dyDescent="0.3">
      <c r="C214" s="28"/>
      <c r="D214" s="50"/>
      <c r="E214" s="31"/>
      <c r="F214" s="31"/>
      <c r="G214" s="29"/>
      <c r="H214" s="31"/>
      <c r="I214" s="30"/>
      <c r="J214" s="55"/>
      <c r="K214" s="8"/>
      <c r="L214" s="29"/>
      <c r="M214" s="34" t="s">
        <v>92</v>
      </c>
      <c r="N214" s="35"/>
      <c r="Q214" s="28"/>
      <c r="R214" s="50" t="s">
        <v>107</v>
      </c>
      <c r="S214" s="31">
        <v>67</v>
      </c>
      <c r="T214" s="31">
        <v>65</v>
      </c>
      <c r="U214" s="29"/>
      <c r="V214" s="31"/>
      <c r="W214" s="30"/>
      <c r="X214" s="55">
        <v>0</v>
      </c>
      <c r="Y214" s="8">
        <v>0</v>
      </c>
      <c r="Z214" s="29"/>
      <c r="AA214" s="34" t="s">
        <v>92</v>
      </c>
      <c r="AB214" s="35"/>
      <c r="AE214" s="135" t="s">
        <v>994</v>
      </c>
      <c r="AF214">
        <v>2016</v>
      </c>
      <c r="AG214">
        <v>4</v>
      </c>
      <c r="AH214" s="138" t="s">
        <v>475</v>
      </c>
      <c r="AI214" s="138">
        <v>0</v>
      </c>
      <c r="AJ214" s="141">
        <v>0</v>
      </c>
      <c r="AK214" s="28"/>
      <c r="AL214" s="28"/>
      <c r="AM214" s="28"/>
      <c r="AN214" s="138"/>
      <c r="AO214" s="141"/>
      <c r="AP214" s="43">
        <v>21</v>
      </c>
      <c r="AQ214" s="43" t="s">
        <v>73</v>
      </c>
      <c r="AR214" s="141"/>
      <c r="AS214" s="28"/>
      <c r="AT214" s="28"/>
      <c r="AU214" s="28"/>
      <c r="AX214" s="195" t="s">
        <v>17</v>
      </c>
      <c r="AY214" s="134" t="s">
        <v>27</v>
      </c>
      <c r="AZ214" s="136"/>
      <c r="BA214" s="135" t="s">
        <v>28</v>
      </c>
      <c r="BB214" s="135"/>
      <c r="BC214" s="135"/>
      <c r="BD214" s="135" t="s">
        <v>29</v>
      </c>
      <c r="BE214" s="135" t="s">
        <v>30</v>
      </c>
      <c r="BF214" s="135" t="s">
        <v>31</v>
      </c>
      <c r="BG214" s="135"/>
      <c r="BH214" s="136"/>
      <c r="BN214" s="196" t="s">
        <v>107</v>
      </c>
      <c r="BO214" s="138">
        <v>2</v>
      </c>
      <c r="BP214" s="141">
        <v>2</v>
      </c>
      <c r="BQ214" s="268" t="s">
        <v>1429</v>
      </c>
      <c r="BR214" s="43">
        <v>0</v>
      </c>
      <c r="BS214" s="141">
        <v>0</v>
      </c>
      <c r="BT214" s="43">
        <v>0</v>
      </c>
      <c r="BU214" s="141">
        <v>0</v>
      </c>
      <c r="BV214" s="212" t="s">
        <v>280</v>
      </c>
      <c r="BW214" s="43" t="s">
        <v>965</v>
      </c>
      <c r="BX214" s="141" t="s">
        <v>1430</v>
      </c>
      <c r="BY214" s="28"/>
    </row>
    <row r="215" spans="1:77" x14ac:dyDescent="0.3">
      <c r="C215" s="28"/>
      <c r="D215" s="41" t="s">
        <v>99</v>
      </c>
      <c r="E215" s="45">
        <v>0</v>
      </c>
      <c r="F215" s="45">
        <v>0</v>
      </c>
      <c r="G215" s="42">
        <v>0</v>
      </c>
      <c r="H215" s="45">
        <v>0</v>
      </c>
      <c r="I215" s="40">
        <v>0</v>
      </c>
      <c r="J215" s="45">
        <v>44499</v>
      </c>
      <c r="K215" s="56">
        <v>14773</v>
      </c>
      <c r="L215" s="52">
        <v>25</v>
      </c>
      <c r="M215" s="37" t="s">
        <v>100</v>
      </c>
      <c r="N215" s="40"/>
      <c r="Q215" s="28"/>
      <c r="R215" s="41" t="s">
        <v>99</v>
      </c>
      <c r="S215" s="45">
        <v>0</v>
      </c>
      <c r="T215" s="45">
        <v>0</v>
      </c>
      <c r="U215" s="42">
        <v>0</v>
      </c>
      <c r="V215" s="45">
        <v>0</v>
      </c>
      <c r="W215" s="40">
        <v>0</v>
      </c>
      <c r="X215" s="45">
        <v>59052</v>
      </c>
      <c r="Y215" s="56">
        <v>15205</v>
      </c>
      <c r="Z215" s="52">
        <v>24</v>
      </c>
      <c r="AA215" s="37" t="s">
        <v>100</v>
      </c>
      <c r="AB215" s="40"/>
      <c r="AE215" s="135" t="s">
        <v>994</v>
      </c>
      <c r="AF215">
        <v>2016</v>
      </c>
      <c r="AG215">
        <v>4</v>
      </c>
      <c r="AH215" s="142" t="s">
        <v>84</v>
      </c>
      <c r="AI215" s="142">
        <f>SUM(AI213:AI214)</f>
        <v>310</v>
      </c>
      <c r="AJ215" s="146">
        <f>SUM(AJ213:AJ214)</f>
        <v>331</v>
      </c>
      <c r="AK215" s="143">
        <v>0</v>
      </c>
      <c r="AL215" s="143">
        <v>0</v>
      </c>
      <c r="AM215" s="143">
        <v>0</v>
      </c>
      <c r="AN215" s="142">
        <v>0</v>
      </c>
      <c r="AO215" s="146">
        <v>0</v>
      </c>
      <c r="AP215" s="143"/>
      <c r="AQ215" s="143"/>
      <c r="AR215" s="146">
        <f>SUM(AP214)</f>
        <v>21</v>
      </c>
      <c r="AS215" s="28"/>
      <c r="AT215" s="28"/>
      <c r="AU215" s="28"/>
      <c r="AV215" t="s">
        <v>6</v>
      </c>
      <c r="AX215" s="196"/>
      <c r="AY215" s="138"/>
      <c r="AZ215" s="141"/>
      <c r="BA215" s="28"/>
      <c r="BB215" s="28"/>
      <c r="BC215" s="28"/>
      <c r="BD215" s="28"/>
      <c r="BE215" s="28" t="s">
        <v>6</v>
      </c>
      <c r="BF215" s="28" t="s">
        <v>41</v>
      </c>
      <c r="BG215" s="28"/>
      <c r="BH215" s="141"/>
      <c r="BN215" s="196" t="s">
        <v>99</v>
      </c>
      <c r="BO215" s="138">
        <v>7</v>
      </c>
      <c r="BP215" s="141">
        <v>6</v>
      </c>
      <c r="BQ215" s="268" t="s">
        <v>549</v>
      </c>
      <c r="BR215" s="270">
        <v>0</v>
      </c>
      <c r="BS215" s="141">
        <v>0</v>
      </c>
      <c r="BT215" s="43">
        <v>0</v>
      </c>
      <c r="BU215" s="141">
        <v>0</v>
      </c>
      <c r="BV215" s="138" t="s">
        <v>256</v>
      </c>
      <c r="BW215" s="43" t="s">
        <v>336</v>
      </c>
      <c r="BX215" s="260" t="s">
        <v>345</v>
      </c>
      <c r="BY215" s="28"/>
    </row>
    <row r="216" spans="1:77" ht="15" thickBot="1" x14ac:dyDescent="0.35">
      <c r="C216" s="28"/>
      <c r="D216" s="17" t="s">
        <v>84</v>
      </c>
      <c r="E216" s="18">
        <f>SUM(E214:E215)</f>
        <v>0</v>
      </c>
      <c r="F216" s="18">
        <f>SUM(F214:F215)</f>
        <v>0</v>
      </c>
      <c r="G216" s="13"/>
      <c r="H216" s="27"/>
      <c r="I216" s="26"/>
      <c r="J216" s="58"/>
      <c r="K216" s="27"/>
      <c r="L216" s="59"/>
      <c r="M216" s="48" t="s">
        <v>6</v>
      </c>
      <c r="N216" s="60">
        <f>SUM(L215:L216)</f>
        <v>25</v>
      </c>
      <c r="Q216" s="28"/>
      <c r="R216" s="17" t="s">
        <v>84</v>
      </c>
      <c r="S216" s="18">
        <f>SUM(S214:S215)</f>
        <v>67</v>
      </c>
      <c r="T216" s="18">
        <f>SUM(T214:T215)</f>
        <v>65</v>
      </c>
      <c r="U216" s="13"/>
      <c r="V216" s="27"/>
      <c r="W216" s="26"/>
      <c r="X216" s="58">
        <f>+X215+X214</f>
        <v>59052</v>
      </c>
      <c r="Y216" s="27">
        <f>+Y215+Y214</f>
        <v>15205</v>
      </c>
      <c r="Z216" s="59">
        <v>2</v>
      </c>
      <c r="AA216" s="48" t="s">
        <v>506</v>
      </c>
      <c r="AB216" s="60">
        <f>SUM(Z215:Z216)</f>
        <v>26</v>
      </c>
      <c r="AH216" s="196" t="s">
        <v>214</v>
      </c>
      <c r="AI216" s="138">
        <v>0</v>
      </c>
      <c r="AJ216" s="141">
        <v>12</v>
      </c>
      <c r="AK216" s="134"/>
      <c r="AL216" s="135"/>
      <c r="AM216" s="136"/>
      <c r="AN216" s="138"/>
      <c r="AO216" s="141"/>
      <c r="AP216" s="134" t="s">
        <v>140</v>
      </c>
      <c r="AQ216" s="135"/>
      <c r="AR216" s="136"/>
      <c r="AS216" s="28"/>
      <c r="AT216" s="28"/>
      <c r="AU216" s="28"/>
      <c r="AX216" s="199" t="s">
        <v>42</v>
      </c>
      <c r="AY216" s="142" t="s">
        <v>43</v>
      </c>
      <c r="AZ216" s="146" t="s">
        <v>44</v>
      </c>
      <c r="BA216" s="143" t="s">
        <v>45</v>
      </c>
      <c r="BB216" s="143" t="s">
        <v>46</v>
      </c>
      <c r="BC216" s="143" t="s">
        <v>52</v>
      </c>
      <c r="BD216" s="143" t="s">
        <v>43</v>
      </c>
      <c r="BE216" s="143" t="s">
        <v>44</v>
      </c>
      <c r="BF216" s="143" t="s">
        <v>54</v>
      </c>
      <c r="BG216" s="143"/>
      <c r="BH216" s="146"/>
      <c r="BN216" s="196" t="s">
        <v>785</v>
      </c>
      <c r="BO216" s="138">
        <v>0</v>
      </c>
      <c r="BP216" s="141">
        <v>1</v>
      </c>
      <c r="BQ216" s="268" t="s">
        <v>1431</v>
      </c>
      <c r="BR216" s="270">
        <v>0</v>
      </c>
      <c r="BS216" s="141">
        <v>0</v>
      </c>
      <c r="BT216" s="43">
        <v>0</v>
      </c>
      <c r="BU216" s="141">
        <v>0</v>
      </c>
      <c r="BV216" s="138" t="s">
        <v>1332</v>
      </c>
      <c r="BW216" s="43" t="s">
        <v>1432</v>
      </c>
      <c r="BX216" s="209"/>
      <c r="BY216" s="28"/>
    </row>
    <row r="217" spans="1:77" ht="15" thickBot="1" x14ac:dyDescent="0.35">
      <c r="C217" s="28" t="s">
        <v>6</v>
      </c>
      <c r="D217" s="32" t="s">
        <v>6</v>
      </c>
      <c r="E217" s="63"/>
      <c r="F217" s="64"/>
      <c r="G217" s="33"/>
      <c r="H217" s="8"/>
      <c r="I217" s="35"/>
      <c r="J217" s="65"/>
      <c r="K217" s="66"/>
      <c r="L217" s="29"/>
      <c r="M217" s="31" t="s">
        <v>57</v>
      </c>
      <c r="N217" s="35"/>
      <c r="Q217" s="28"/>
      <c r="R217" s="32"/>
      <c r="S217" s="63">
        <v>0</v>
      </c>
      <c r="T217" s="64">
        <v>0</v>
      </c>
      <c r="U217" s="33"/>
      <c r="V217" s="8"/>
      <c r="W217" s="35"/>
      <c r="X217" s="65"/>
      <c r="Y217" s="66"/>
      <c r="Z217" s="29"/>
      <c r="AA217" s="31"/>
      <c r="AB217" s="35"/>
      <c r="AH217" s="196" t="s">
        <v>164</v>
      </c>
      <c r="AI217" s="138">
        <v>2</v>
      </c>
      <c r="AJ217" s="141">
        <v>0</v>
      </c>
      <c r="AK217" s="138"/>
      <c r="AL217" s="28"/>
      <c r="AM217" s="141"/>
      <c r="AN217" s="138"/>
      <c r="AO217" s="141"/>
      <c r="AP217" s="138"/>
      <c r="AQ217" s="28"/>
      <c r="AR217" s="141"/>
      <c r="AS217" s="28"/>
      <c r="AT217" s="28"/>
      <c r="AU217" s="28"/>
      <c r="AX217" s="195" t="s">
        <v>6</v>
      </c>
      <c r="AY217" s="135" t="s">
        <v>6</v>
      </c>
      <c r="AZ217" s="135"/>
      <c r="BA217" s="134"/>
      <c r="BB217" s="135"/>
      <c r="BC217" s="135"/>
      <c r="BD217" s="134"/>
      <c r="BE217" s="136"/>
      <c r="BF217" s="135" t="s">
        <v>58</v>
      </c>
      <c r="BG217" s="135"/>
      <c r="BH217" s="136"/>
      <c r="BN217" s="196" t="s">
        <v>1433</v>
      </c>
      <c r="BO217" s="138">
        <v>0</v>
      </c>
      <c r="BP217" s="141">
        <v>0</v>
      </c>
      <c r="BQ217" s="268" t="s">
        <v>862</v>
      </c>
      <c r="BR217" s="270">
        <v>0</v>
      </c>
      <c r="BS217" s="141">
        <v>0</v>
      </c>
      <c r="BT217" s="43">
        <v>0</v>
      </c>
      <c r="BU217" s="141">
        <v>0</v>
      </c>
      <c r="BV217" s="138" t="s">
        <v>377</v>
      </c>
      <c r="BW217" s="43" t="s">
        <v>1103</v>
      </c>
      <c r="BX217" s="141"/>
      <c r="BY217" s="28"/>
    </row>
    <row r="218" spans="1:77" ht="16.2" thickBot="1" x14ac:dyDescent="0.35">
      <c r="A218" s="31" t="s">
        <v>57</v>
      </c>
      <c r="B218">
        <v>2014</v>
      </c>
      <c r="C218" s="28">
        <v>4</v>
      </c>
      <c r="D218" s="68" t="s">
        <v>6</v>
      </c>
      <c r="G218" s="42"/>
      <c r="H218" s="28"/>
      <c r="I218" s="40"/>
      <c r="J218" s="42"/>
      <c r="K218" s="40"/>
      <c r="L218" s="42"/>
      <c r="M218" s="28"/>
      <c r="N218" s="40"/>
      <c r="Q218" s="28"/>
      <c r="R218" s="41"/>
      <c r="S218" s="70">
        <v>0</v>
      </c>
      <c r="T218" s="71">
        <v>0</v>
      </c>
      <c r="U218" s="42"/>
      <c r="V218" s="28"/>
      <c r="W218" s="40"/>
      <c r="X218" s="42"/>
      <c r="Y218" s="40"/>
      <c r="Z218" s="42"/>
      <c r="AA218" s="54"/>
      <c r="AB218" s="40"/>
      <c r="AH218" s="196" t="s">
        <v>133</v>
      </c>
      <c r="AI218" s="138">
        <f>6+5</f>
        <v>11</v>
      </c>
      <c r="AJ218" s="141">
        <v>3</v>
      </c>
      <c r="AK218" s="138"/>
      <c r="AL218" s="28"/>
      <c r="AM218" s="141"/>
      <c r="AN218" s="138"/>
      <c r="AO218" s="141"/>
      <c r="AP218" s="138"/>
      <c r="AQ218" s="28"/>
      <c r="AR218" s="141"/>
      <c r="AS218" s="28"/>
      <c r="AT218" s="28"/>
      <c r="AU218" s="28"/>
      <c r="AX218" s="196" t="s">
        <v>64</v>
      </c>
      <c r="AY218" s="28">
        <f>182+4</f>
        <v>186</v>
      </c>
      <c r="AZ218" s="28">
        <v>146</v>
      </c>
      <c r="BA218" s="138">
        <v>0</v>
      </c>
      <c r="BB218" s="28">
        <v>0</v>
      </c>
      <c r="BC218" s="28">
        <v>0</v>
      </c>
      <c r="BD218" s="138">
        <v>0</v>
      </c>
      <c r="BE218" s="141">
        <v>0</v>
      </c>
      <c r="BF218" s="43">
        <v>14</v>
      </c>
      <c r="BG218" s="28" t="s">
        <v>474</v>
      </c>
      <c r="BH218" s="141" t="s">
        <v>6</v>
      </c>
      <c r="BN218" s="259" t="s">
        <v>93</v>
      </c>
      <c r="BO218" s="138">
        <v>0</v>
      </c>
      <c r="BP218" s="141">
        <v>5</v>
      </c>
      <c r="BQ218" s="268" t="s">
        <v>1434</v>
      </c>
      <c r="BR218" s="270">
        <v>0</v>
      </c>
      <c r="BS218" s="141">
        <v>0</v>
      </c>
      <c r="BT218" s="43">
        <v>0</v>
      </c>
      <c r="BU218" s="141">
        <v>0</v>
      </c>
      <c r="BV218" s="138" t="s">
        <v>1384</v>
      </c>
      <c r="BW218" s="258" t="s">
        <v>194</v>
      </c>
      <c r="BX218" s="260"/>
      <c r="BY218" s="28"/>
    </row>
    <row r="219" spans="1:77" ht="16.2" thickBot="1" x14ac:dyDescent="0.35">
      <c r="A219" s="31" t="s">
        <v>57</v>
      </c>
      <c r="B219">
        <v>2014</v>
      </c>
      <c r="C219" s="28">
        <v>4</v>
      </c>
      <c r="D219" s="41" t="s">
        <v>113</v>
      </c>
      <c r="E219" s="70">
        <v>507</v>
      </c>
      <c r="F219" s="71">
        <v>541</v>
      </c>
      <c r="G219" s="42"/>
      <c r="H219" s="28"/>
      <c r="I219" s="40"/>
      <c r="J219" s="42"/>
      <c r="K219" s="40"/>
      <c r="L219" s="42">
        <v>1</v>
      </c>
      <c r="M219" s="43" t="s">
        <v>355</v>
      </c>
      <c r="N219" s="40"/>
      <c r="Q219" s="28" t="s">
        <v>6</v>
      </c>
      <c r="R219" s="68" t="s">
        <v>84</v>
      </c>
      <c r="S219">
        <f>SUM(S217:S218)</f>
        <v>0</v>
      </c>
      <c r="T219">
        <f>SUM(T217:T218)</f>
        <v>0</v>
      </c>
      <c r="U219" s="47">
        <v>0</v>
      </c>
      <c r="V219" s="27">
        <v>0</v>
      </c>
      <c r="W219" s="49">
        <v>0</v>
      </c>
      <c r="X219" s="75">
        <v>0</v>
      </c>
      <c r="Y219" s="49">
        <v>0</v>
      </c>
      <c r="Z219" s="47"/>
      <c r="AA219" s="51"/>
      <c r="AB219" s="49">
        <f>SUM(Z218:Z219)</f>
        <v>0</v>
      </c>
      <c r="AH219" s="196" t="s">
        <v>113</v>
      </c>
      <c r="AI219" s="138">
        <f>4+2+25</f>
        <v>31</v>
      </c>
      <c r="AJ219" s="141">
        <f>7+6+4+22</f>
        <v>39</v>
      </c>
      <c r="AK219" s="138"/>
      <c r="AL219" s="28"/>
      <c r="AM219" s="141"/>
      <c r="AN219" s="138"/>
      <c r="AO219" s="141"/>
      <c r="AP219" s="138" t="s">
        <v>142</v>
      </c>
      <c r="AQ219" s="28"/>
      <c r="AR219" s="141" t="s">
        <v>1012</v>
      </c>
      <c r="AS219" s="28"/>
      <c r="AT219" s="28"/>
      <c r="AU219" s="28"/>
      <c r="AX219" s="196" t="s">
        <v>108</v>
      </c>
      <c r="AY219">
        <v>0</v>
      </c>
      <c r="AZ219">
        <v>0</v>
      </c>
      <c r="BA219" s="138">
        <v>0</v>
      </c>
      <c r="BB219" s="28">
        <v>0</v>
      </c>
      <c r="BC219" s="28">
        <v>0</v>
      </c>
      <c r="BD219" s="138">
        <v>0</v>
      </c>
      <c r="BE219" s="141">
        <v>0</v>
      </c>
      <c r="BF219" s="43">
        <v>1</v>
      </c>
      <c r="BG219" s="28" t="s">
        <v>1045</v>
      </c>
      <c r="BH219" s="141"/>
      <c r="BN219" s="196" t="s">
        <v>97</v>
      </c>
      <c r="BO219" s="138">
        <v>0</v>
      </c>
      <c r="BP219" s="141">
        <v>2</v>
      </c>
      <c r="BQ219" s="268" t="s">
        <v>1435</v>
      </c>
      <c r="BR219" s="270">
        <v>0</v>
      </c>
      <c r="BS219" s="141">
        <v>0</v>
      </c>
      <c r="BT219" s="43">
        <v>0</v>
      </c>
      <c r="BU219" s="141">
        <v>0</v>
      </c>
      <c r="BV219" s="138" t="s">
        <v>1436</v>
      </c>
      <c r="BW219" s="258" t="s">
        <v>1165</v>
      </c>
      <c r="BX219" s="141"/>
      <c r="BY219" s="28"/>
    </row>
    <row r="220" spans="1:77" ht="16.2" thickBot="1" x14ac:dyDescent="0.35">
      <c r="A220" s="31" t="s">
        <v>57</v>
      </c>
      <c r="B220">
        <v>2014</v>
      </c>
      <c r="C220" s="28">
        <v>4</v>
      </c>
      <c r="D220" s="68" t="s">
        <v>84</v>
      </c>
      <c r="E220">
        <f>SUM(E217:E219)</f>
        <v>507</v>
      </c>
      <c r="F220">
        <f>SUM(F217:F219)</f>
        <v>541</v>
      </c>
      <c r="G220" s="47">
        <v>0</v>
      </c>
      <c r="H220" s="27">
        <v>0</v>
      </c>
      <c r="I220" s="49">
        <v>0</v>
      </c>
      <c r="J220" s="75">
        <v>0</v>
      </c>
      <c r="K220" s="49">
        <v>0</v>
      </c>
      <c r="L220" s="47">
        <v>42</v>
      </c>
      <c r="M220" s="51" t="s">
        <v>73</v>
      </c>
      <c r="N220" s="49">
        <f>SUM(L218:L220)</f>
        <v>43</v>
      </c>
      <c r="O220" s="34" t="s">
        <v>91</v>
      </c>
      <c r="P220">
        <v>2015</v>
      </c>
      <c r="Q220" s="28">
        <v>4</v>
      </c>
      <c r="R220" s="33" t="s">
        <v>89</v>
      </c>
      <c r="S220" s="78">
        <v>223</v>
      </c>
      <c r="T220" s="79">
        <v>235</v>
      </c>
      <c r="U220" s="34"/>
      <c r="V220" s="8"/>
      <c r="W220" s="35"/>
      <c r="X220" s="80"/>
      <c r="Y220" s="34"/>
      <c r="Z220" s="33"/>
      <c r="AA220" s="34" t="s">
        <v>91</v>
      </c>
      <c r="AB220" s="35"/>
      <c r="AH220" s="196" t="s">
        <v>108</v>
      </c>
      <c r="AI220" s="138">
        <v>2</v>
      </c>
      <c r="AJ220" s="141">
        <v>0</v>
      </c>
      <c r="AK220" s="138"/>
      <c r="AL220" s="28"/>
      <c r="AM220" s="141"/>
      <c r="AN220" s="138"/>
      <c r="AO220" s="141"/>
      <c r="AP220" s="138" t="s">
        <v>146</v>
      </c>
      <c r="AQ220" s="28"/>
      <c r="AR220" s="141" t="s">
        <v>955</v>
      </c>
      <c r="AS220" s="28"/>
      <c r="AT220" s="28"/>
      <c r="AU220" s="28"/>
      <c r="AX220" s="199" t="s">
        <v>84</v>
      </c>
      <c r="AY220" s="143">
        <f>SUM(AY217:AY219)</f>
        <v>186</v>
      </c>
      <c r="AZ220" s="143">
        <f>SUM(AZ217:AZ219)</f>
        <v>146</v>
      </c>
      <c r="BA220" s="138">
        <v>0</v>
      </c>
      <c r="BB220" s="28">
        <v>0</v>
      </c>
      <c r="BC220" s="28">
        <v>0</v>
      </c>
      <c r="BD220" s="138">
        <v>0</v>
      </c>
      <c r="BE220" s="141">
        <v>0</v>
      </c>
      <c r="BF220" s="143">
        <v>3</v>
      </c>
      <c r="BG220" s="143" t="s">
        <v>69</v>
      </c>
      <c r="BH220" s="146">
        <f>SUM(BF218:BF220)</f>
        <v>18</v>
      </c>
      <c r="BN220" s="196" t="s">
        <v>523</v>
      </c>
      <c r="BO220" s="138">
        <v>0</v>
      </c>
      <c r="BP220" s="141">
        <v>1</v>
      </c>
      <c r="BQ220" s="268" t="s">
        <v>1339</v>
      </c>
      <c r="BR220" s="270">
        <v>0</v>
      </c>
      <c r="BS220" s="141">
        <v>0</v>
      </c>
      <c r="BT220" s="43">
        <v>0</v>
      </c>
      <c r="BU220" s="141">
        <v>0</v>
      </c>
      <c r="BV220" s="138" t="s">
        <v>455</v>
      </c>
      <c r="BW220" s="258" t="s">
        <v>265</v>
      </c>
      <c r="BX220" s="141"/>
      <c r="BY220" s="28"/>
    </row>
    <row r="221" spans="1:77" ht="16.2" thickBot="1" x14ac:dyDescent="0.35">
      <c r="A221" s="31"/>
      <c r="B221">
        <v>2014</v>
      </c>
      <c r="C221" s="28">
        <v>4</v>
      </c>
      <c r="D221" s="33" t="s">
        <v>64</v>
      </c>
      <c r="E221" s="78">
        <v>0</v>
      </c>
      <c r="F221" s="79">
        <v>0</v>
      </c>
      <c r="G221" s="34"/>
      <c r="H221" s="8"/>
      <c r="I221" s="35"/>
      <c r="J221" s="80"/>
      <c r="K221" s="34"/>
      <c r="L221" s="33"/>
      <c r="M221" s="34" t="s">
        <v>91</v>
      </c>
      <c r="N221" s="35"/>
      <c r="O221" s="34" t="s">
        <v>91</v>
      </c>
      <c r="P221">
        <v>2015</v>
      </c>
      <c r="Q221" s="28">
        <v>4</v>
      </c>
      <c r="R221" s="52" t="s">
        <v>85</v>
      </c>
      <c r="S221" s="42">
        <v>0</v>
      </c>
      <c r="T221" s="40">
        <v>0</v>
      </c>
      <c r="U221" s="28"/>
      <c r="V221" s="28"/>
      <c r="W221" s="40"/>
      <c r="Z221" s="42"/>
      <c r="AA221" s="43"/>
      <c r="AB221" s="40"/>
      <c r="AG221" t="s">
        <v>6</v>
      </c>
      <c r="AH221" s="196" t="s">
        <v>174</v>
      </c>
      <c r="AI221" s="138">
        <v>5</v>
      </c>
      <c r="AJ221" s="141">
        <v>4</v>
      </c>
      <c r="AK221" s="138"/>
      <c r="AL221" s="28"/>
      <c r="AM221" s="141"/>
      <c r="AN221" s="138"/>
      <c r="AO221" s="141"/>
      <c r="AP221" s="138"/>
      <c r="AQ221" s="28"/>
      <c r="AR221" s="141"/>
      <c r="AS221" s="28"/>
      <c r="AT221" s="28"/>
      <c r="AU221" s="28"/>
      <c r="AX221" s="195" t="s">
        <v>6</v>
      </c>
      <c r="AY221" s="134" t="s">
        <v>6</v>
      </c>
      <c r="AZ221" s="136"/>
      <c r="BA221" s="135"/>
      <c r="BB221" s="135">
        <v>0</v>
      </c>
      <c r="BC221" s="135"/>
      <c r="BD221" s="134"/>
      <c r="BE221" s="136"/>
      <c r="BF221" s="135" t="s">
        <v>1092</v>
      </c>
      <c r="BG221" s="135"/>
      <c r="BH221" s="136"/>
      <c r="BN221" s="196" t="s">
        <v>574</v>
      </c>
      <c r="BO221" s="138">
        <v>0</v>
      </c>
      <c r="BP221" s="141">
        <v>2</v>
      </c>
      <c r="BQ221" s="268" t="s">
        <v>1437</v>
      </c>
      <c r="BR221" s="270">
        <v>0</v>
      </c>
      <c r="BS221" s="141">
        <v>0</v>
      </c>
      <c r="BT221" s="43">
        <v>0</v>
      </c>
      <c r="BU221" s="141">
        <v>0</v>
      </c>
      <c r="BV221" s="138" t="s">
        <v>1438</v>
      </c>
      <c r="BW221" s="258" t="s">
        <v>1439</v>
      </c>
      <c r="BX221" s="141"/>
      <c r="BY221" s="28"/>
    </row>
    <row r="222" spans="1:77" ht="16.2" thickBot="1" x14ac:dyDescent="0.35">
      <c r="A222" s="34" t="s">
        <v>91</v>
      </c>
      <c r="B222">
        <v>2014</v>
      </c>
      <c r="C222" s="28">
        <v>4</v>
      </c>
      <c r="D222" s="52" t="s">
        <v>85</v>
      </c>
      <c r="E222" s="42">
        <v>17</v>
      </c>
      <c r="F222" s="40">
        <v>10</v>
      </c>
      <c r="G222" s="28"/>
      <c r="H222" s="28"/>
      <c r="I222" s="40"/>
      <c r="L222" s="42"/>
      <c r="M222" s="28"/>
      <c r="N222" s="40"/>
      <c r="O222" s="34" t="s">
        <v>91</v>
      </c>
      <c r="P222">
        <v>2015</v>
      </c>
      <c r="Q222" s="28">
        <v>4</v>
      </c>
      <c r="R222" s="67" t="s">
        <v>113</v>
      </c>
      <c r="S222" s="42">
        <v>548</v>
      </c>
      <c r="T222" s="40">
        <v>597</v>
      </c>
      <c r="U222" s="28"/>
      <c r="V222" s="28"/>
      <c r="W222" s="40"/>
      <c r="X222" s="28"/>
      <c r="Y222" s="28"/>
      <c r="Z222" s="67">
        <v>56</v>
      </c>
      <c r="AA222" s="43" t="s">
        <v>73</v>
      </c>
      <c r="AB222" s="40"/>
      <c r="AH222" s="196" t="s">
        <v>99</v>
      </c>
      <c r="AI222" s="138">
        <v>10</v>
      </c>
      <c r="AJ222" s="141">
        <v>3</v>
      </c>
      <c r="AK222" s="138" t="s">
        <v>150</v>
      </c>
      <c r="AL222" s="28"/>
      <c r="AM222" s="141"/>
      <c r="AN222" s="138"/>
      <c r="AO222" s="141"/>
      <c r="AP222" s="138" t="s">
        <v>151</v>
      </c>
      <c r="AQ222" s="28"/>
      <c r="AR222" s="141"/>
      <c r="AS222" s="28"/>
      <c r="AT222" s="28"/>
      <c r="AU222" s="135" t="s">
        <v>1092</v>
      </c>
      <c r="AV222">
        <v>2017</v>
      </c>
      <c r="AW222">
        <v>4</v>
      </c>
      <c r="AX222" s="199" t="s">
        <v>108</v>
      </c>
      <c r="AY222" s="142">
        <v>526</v>
      </c>
      <c r="AZ222" s="146">
        <v>445</v>
      </c>
      <c r="BA222" s="143"/>
      <c r="BB222" s="143">
        <v>0</v>
      </c>
      <c r="BC222" s="143">
        <v>0</v>
      </c>
      <c r="BD222" s="142">
        <v>0</v>
      </c>
      <c r="BE222" s="146">
        <v>0</v>
      </c>
      <c r="BF222" s="143">
        <v>8</v>
      </c>
      <c r="BG222" s="143" t="s">
        <v>780</v>
      </c>
      <c r="BH222" s="146">
        <f>SUM(BF222)</f>
        <v>8</v>
      </c>
      <c r="BN222" s="196" t="s">
        <v>139</v>
      </c>
      <c r="BO222" s="138">
        <v>2</v>
      </c>
      <c r="BP222" s="141">
        <v>3</v>
      </c>
      <c r="BQ222" s="268" t="s">
        <v>230</v>
      </c>
      <c r="BR222" s="270">
        <v>5</v>
      </c>
      <c r="BS222" s="141">
        <v>0</v>
      </c>
      <c r="BT222" s="43">
        <v>0</v>
      </c>
      <c r="BU222" s="141">
        <v>0</v>
      </c>
      <c r="BV222" s="138" t="s">
        <v>580</v>
      </c>
      <c r="BW222" s="258" t="s">
        <v>1440</v>
      </c>
      <c r="BX222" s="141">
        <v>91</v>
      </c>
      <c r="BY222" s="28"/>
    </row>
    <row r="223" spans="1:77" ht="15" thickBot="1" x14ac:dyDescent="0.35">
      <c r="A223" s="34" t="s">
        <v>91</v>
      </c>
      <c r="B223">
        <v>2014</v>
      </c>
      <c r="C223" s="28">
        <v>4</v>
      </c>
      <c r="D223" s="67" t="s">
        <v>113</v>
      </c>
      <c r="E223" s="42">
        <v>458</v>
      </c>
      <c r="F223" s="40">
        <v>467</v>
      </c>
      <c r="G223" s="28"/>
      <c r="H223" s="28"/>
      <c r="I223" s="40"/>
      <c r="J223" s="28"/>
      <c r="K223" s="28"/>
      <c r="L223" s="67">
        <v>47</v>
      </c>
      <c r="M223" s="43" t="s">
        <v>73</v>
      </c>
      <c r="N223" s="40"/>
      <c r="Q223" s="43">
        <v>4</v>
      </c>
      <c r="R223" s="47" t="s">
        <v>84</v>
      </c>
      <c r="S223" s="47">
        <f>SUM(S220:S222)</f>
        <v>771</v>
      </c>
      <c r="T223" s="49">
        <f>SUM(T220:T222)</f>
        <v>832</v>
      </c>
      <c r="U223" s="81">
        <v>0</v>
      </c>
      <c r="V223" s="27">
        <v>0</v>
      </c>
      <c r="W223" s="82">
        <f>+W220</f>
        <v>0</v>
      </c>
      <c r="X223" s="74">
        <v>0</v>
      </c>
      <c r="Y223" s="74">
        <v>0</v>
      </c>
      <c r="Z223" s="47"/>
      <c r="AA223" s="51"/>
      <c r="AB223" s="49">
        <f>SUM(Z222)</f>
        <v>56</v>
      </c>
      <c r="AH223" s="196" t="s">
        <v>85</v>
      </c>
      <c r="AI223" s="138">
        <v>6</v>
      </c>
      <c r="AJ223" s="141">
        <v>0</v>
      </c>
      <c r="AK223" s="138"/>
      <c r="AL223" s="28"/>
      <c r="AM223" s="141"/>
      <c r="AN223" s="138"/>
      <c r="AO223" s="141"/>
      <c r="AP223" s="138" t="s">
        <v>546</v>
      </c>
      <c r="AQ223" s="28" t="s">
        <v>310</v>
      </c>
      <c r="AR223" s="141" t="s">
        <v>941</v>
      </c>
      <c r="AS223" s="28"/>
      <c r="AT223" s="28"/>
      <c r="AU223" s="28"/>
      <c r="AX223" s="195" t="s">
        <v>107</v>
      </c>
      <c r="AY223" s="134">
        <v>0</v>
      </c>
      <c r="AZ223" s="136">
        <v>0</v>
      </c>
      <c r="BA223" s="135"/>
      <c r="BB223" s="135"/>
      <c r="BC223" s="135"/>
      <c r="BD223" s="134"/>
      <c r="BE223" s="136"/>
      <c r="BF223" s="135"/>
      <c r="BG223" s="135" t="s">
        <v>92</v>
      </c>
      <c r="BH223" s="136"/>
      <c r="BN223" s="271" t="s">
        <v>84</v>
      </c>
      <c r="BO223" s="271">
        <v>122</v>
      </c>
      <c r="BP223" s="272">
        <v>158</v>
      </c>
      <c r="BQ223" s="170" t="s">
        <v>84</v>
      </c>
      <c r="BR223" s="170">
        <v>34</v>
      </c>
      <c r="BS223" s="170">
        <v>16</v>
      </c>
      <c r="BT223" s="171"/>
      <c r="BU223" s="172"/>
      <c r="BV223" s="170" t="s">
        <v>939</v>
      </c>
      <c r="BW223" s="170"/>
      <c r="BX223" s="172">
        <v>302</v>
      </c>
      <c r="BY223" s="28"/>
    </row>
    <row r="224" spans="1:77" ht="15" thickBot="1" x14ac:dyDescent="0.35">
      <c r="A224" s="34" t="s">
        <v>91</v>
      </c>
      <c r="B224">
        <v>2014</v>
      </c>
      <c r="C224" s="28">
        <v>4</v>
      </c>
      <c r="D224" s="47" t="s">
        <v>84</v>
      </c>
      <c r="E224" s="47">
        <f>SUM(E221:E223)</f>
        <v>475</v>
      </c>
      <c r="F224" s="49">
        <f>SUM(F221:F223)</f>
        <v>477</v>
      </c>
      <c r="G224" s="81">
        <v>0</v>
      </c>
      <c r="H224" s="27">
        <v>0</v>
      </c>
      <c r="I224" s="82">
        <v>0</v>
      </c>
      <c r="J224" s="74">
        <v>0</v>
      </c>
      <c r="K224" s="74">
        <v>0</v>
      </c>
      <c r="L224" s="47"/>
      <c r="M224" s="51"/>
      <c r="N224" s="49">
        <f>SUM(L223)</f>
        <v>47</v>
      </c>
      <c r="O224" s="34" t="s">
        <v>130</v>
      </c>
      <c r="P224">
        <v>2015</v>
      </c>
      <c r="Q224" s="43">
        <v>4</v>
      </c>
      <c r="R224" s="52" t="s">
        <v>113</v>
      </c>
      <c r="S224" s="42">
        <v>666</v>
      </c>
      <c r="T224" s="85">
        <v>610</v>
      </c>
      <c r="U224" s="37"/>
      <c r="V224" s="18"/>
      <c r="W224" s="54"/>
      <c r="X224" s="52"/>
      <c r="Y224" s="40"/>
      <c r="Z224" s="67"/>
      <c r="AA224" s="34" t="s">
        <v>130</v>
      </c>
      <c r="AB224" s="40"/>
      <c r="AH224" s="196" t="s">
        <v>1013</v>
      </c>
      <c r="AI224" s="138">
        <v>0</v>
      </c>
      <c r="AJ224" s="141">
        <v>1</v>
      </c>
      <c r="AK224" s="138"/>
      <c r="AL224" s="28"/>
      <c r="AM224" s="141"/>
      <c r="AN224" s="138"/>
      <c r="AO224" s="141"/>
      <c r="AP224" s="138" t="s">
        <v>513</v>
      </c>
      <c r="AQ224" s="28" t="s">
        <v>572</v>
      </c>
      <c r="AR224" s="141" t="s">
        <v>347</v>
      </c>
      <c r="AS224" s="28"/>
      <c r="AT224" s="28"/>
      <c r="AU224" s="28"/>
      <c r="AX224" s="196" t="s">
        <v>99</v>
      </c>
      <c r="AY224" s="138">
        <v>0</v>
      </c>
      <c r="AZ224" s="141">
        <v>0</v>
      </c>
      <c r="BA224" s="28">
        <v>0</v>
      </c>
      <c r="BB224" s="28">
        <v>0</v>
      </c>
      <c r="BC224" s="28">
        <v>0</v>
      </c>
      <c r="BD224" s="138">
        <v>77722</v>
      </c>
      <c r="BE224" s="141">
        <v>18180</v>
      </c>
      <c r="BF224" s="43">
        <v>26</v>
      </c>
      <c r="BG224" s="28" t="s">
        <v>100</v>
      </c>
      <c r="BH224" s="141"/>
      <c r="BN224" s="28" t="s">
        <v>223</v>
      </c>
      <c r="BO224" s="43">
        <v>7403</v>
      </c>
      <c r="BP224" s="186">
        <v>10067</v>
      </c>
      <c r="BQ224" s="273" t="s">
        <v>1391</v>
      </c>
      <c r="BR224" t="s">
        <v>1441</v>
      </c>
      <c r="BS224" t="s">
        <v>1442</v>
      </c>
      <c r="BY224" s="28"/>
    </row>
    <row r="225" spans="1:77" ht="15" thickBot="1" x14ac:dyDescent="0.35">
      <c r="A225" s="34" t="s">
        <v>130</v>
      </c>
      <c r="B225">
        <v>2014</v>
      </c>
      <c r="C225" s="28">
        <v>4</v>
      </c>
      <c r="D225" s="52" t="s">
        <v>113</v>
      </c>
      <c r="E225" s="42">
        <v>433</v>
      </c>
      <c r="F225" s="85">
        <v>463</v>
      </c>
      <c r="G225" s="37"/>
      <c r="H225" s="18"/>
      <c r="I225" s="54"/>
      <c r="J225" s="52"/>
      <c r="K225" s="40"/>
      <c r="L225" s="67"/>
      <c r="M225" s="34" t="s">
        <v>130</v>
      </c>
      <c r="N225" s="40"/>
      <c r="Q225" s="28"/>
      <c r="R225" s="42" t="s">
        <v>475</v>
      </c>
      <c r="S225" s="67">
        <v>0</v>
      </c>
      <c r="T225" s="85">
        <v>0</v>
      </c>
      <c r="U225" s="28"/>
      <c r="V225" s="18"/>
      <c r="W225" s="28"/>
      <c r="X225" s="52"/>
      <c r="Y225" s="86"/>
      <c r="Z225" s="52">
        <v>50</v>
      </c>
      <c r="AA225" s="43" t="s">
        <v>73</v>
      </c>
      <c r="AB225" s="40"/>
      <c r="AC225" t="s">
        <v>6</v>
      </c>
      <c r="AH225" s="196" t="s">
        <v>1014</v>
      </c>
      <c r="AI225" s="138">
        <v>1</v>
      </c>
      <c r="AJ225" s="141">
        <v>0</v>
      </c>
      <c r="AK225" s="138"/>
      <c r="AL225" s="28"/>
      <c r="AM225" s="141"/>
      <c r="AN225" s="138"/>
      <c r="AO225" s="141"/>
      <c r="AP225" s="138" t="s">
        <v>345</v>
      </c>
      <c r="AQ225" s="28" t="s">
        <v>522</v>
      </c>
      <c r="AR225" s="141" t="s">
        <v>698</v>
      </c>
      <c r="AS225" s="28"/>
      <c r="AT225" s="28"/>
      <c r="AU225" s="28"/>
      <c r="AX225" s="199" t="s">
        <v>84</v>
      </c>
      <c r="AY225" s="138">
        <f>SUM(AY223:AY224)</f>
        <v>0</v>
      </c>
      <c r="AZ225" s="141">
        <f>SUM(AZ223:AZ224)</f>
        <v>0</v>
      </c>
      <c r="BA225" s="143"/>
      <c r="BB225" s="143"/>
      <c r="BC225" s="143"/>
      <c r="BD225" s="142"/>
      <c r="BE225" s="146"/>
      <c r="BF225" s="143">
        <v>0</v>
      </c>
      <c r="BG225" s="143" t="s">
        <v>506</v>
      </c>
      <c r="BH225" s="146">
        <f>SUM(BF224:BF225)</f>
        <v>26</v>
      </c>
      <c r="BN225" s="28" t="s">
        <v>1340</v>
      </c>
      <c r="BO225" s="28"/>
      <c r="BP225" s="186">
        <v>91</v>
      </c>
      <c r="BY225" s="28"/>
    </row>
    <row r="226" spans="1:77" ht="15" thickBot="1" x14ac:dyDescent="0.35">
      <c r="A226" s="34" t="s">
        <v>130</v>
      </c>
      <c r="B226">
        <v>2014</v>
      </c>
      <c r="C226" s="28">
        <v>4</v>
      </c>
      <c r="D226" s="42" t="s">
        <v>133</v>
      </c>
      <c r="E226" s="67">
        <v>0</v>
      </c>
      <c r="F226" s="85">
        <v>0</v>
      </c>
      <c r="G226" s="28"/>
      <c r="H226" s="18"/>
      <c r="I226" s="28"/>
      <c r="J226" s="52"/>
      <c r="K226" s="86"/>
      <c r="L226" s="52">
        <f>104/2</f>
        <v>52</v>
      </c>
      <c r="M226" s="43" t="s">
        <v>73</v>
      </c>
      <c r="N226" s="40"/>
      <c r="Q226" s="28"/>
      <c r="R226" s="59" t="s">
        <v>84</v>
      </c>
      <c r="S226" s="13">
        <f>SUM(S224:S225)</f>
        <v>666</v>
      </c>
      <c r="T226" s="60">
        <f>SUM(T224:T225)</f>
        <v>610</v>
      </c>
      <c r="U226" s="81">
        <v>0</v>
      </c>
      <c r="V226" s="27">
        <v>0</v>
      </c>
      <c r="W226" s="27">
        <v>0</v>
      </c>
      <c r="X226" s="13">
        <v>0</v>
      </c>
      <c r="Y226" s="26">
        <v>0</v>
      </c>
      <c r="Z226" s="13"/>
      <c r="AA226" s="43"/>
      <c r="AB226" s="26">
        <f>SUM(Z224:Z225)</f>
        <v>50</v>
      </c>
      <c r="AH226" s="196" t="s">
        <v>169</v>
      </c>
      <c r="AI226" s="138">
        <v>0</v>
      </c>
      <c r="AJ226" s="141">
        <v>2</v>
      </c>
      <c r="AK226" s="138"/>
      <c r="AL226" s="28"/>
      <c r="AM226" s="141"/>
      <c r="AN226" s="138"/>
      <c r="AO226" s="141"/>
      <c r="AP226" s="138" t="s">
        <v>1015</v>
      </c>
      <c r="AQ226" s="43" t="s">
        <v>411</v>
      </c>
      <c r="AR226" s="141" t="s">
        <v>1002</v>
      </c>
      <c r="AS226" s="28"/>
      <c r="AT226" s="28"/>
      <c r="AU226" s="135" t="s">
        <v>91</v>
      </c>
      <c r="AV226">
        <v>2017</v>
      </c>
      <c r="AW226">
        <v>4</v>
      </c>
      <c r="AX226" s="138" t="s">
        <v>89</v>
      </c>
      <c r="AY226" s="134">
        <v>1039</v>
      </c>
      <c r="AZ226" s="136">
        <v>925</v>
      </c>
      <c r="BD226" s="134"/>
      <c r="BE226" s="135"/>
      <c r="BF226" s="134"/>
      <c r="BG226" s="135" t="s">
        <v>91</v>
      </c>
      <c r="BH226" s="136"/>
      <c r="BN226" s="28" t="s">
        <v>229</v>
      </c>
      <c r="BO226" s="28"/>
      <c r="BP226" s="186">
        <v>3</v>
      </c>
      <c r="BY226" s="28"/>
    </row>
    <row r="227" spans="1:77" ht="15" thickBot="1" x14ac:dyDescent="0.35">
      <c r="A227" s="34" t="s">
        <v>130</v>
      </c>
      <c r="B227">
        <v>2014</v>
      </c>
      <c r="C227" s="28">
        <v>4</v>
      </c>
      <c r="D227" s="59" t="s">
        <v>84</v>
      </c>
      <c r="E227" s="13">
        <f>SUM(E225:E226)</f>
        <v>433</v>
      </c>
      <c r="F227" s="60">
        <f>SUM(F225:F226)</f>
        <v>463</v>
      </c>
      <c r="G227" s="81">
        <v>0</v>
      </c>
      <c r="H227" s="27">
        <v>0</v>
      </c>
      <c r="I227" s="27">
        <v>0</v>
      </c>
      <c r="J227" s="13">
        <v>0</v>
      </c>
      <c r="K227" s="26">
        <v>0</v>
      </c>
      <c r="L227" s="13"/>
      <c r="M227" s="43"/>
      <c r="N227" s="26">
        <f>SUM(L225:L226)</f>
        <v>52</v>
      </c>
      <c r="Q227" s="28"/>
      <c r="R227" s="88" t="s">
        <v>158</v>
      </c>
      <c r="S227" s="33">
        <v>16</v>
      </c>
      <c r="T227" s="34">
        <v>32</v>
      </c>
      <c r="U227" s="152"/>
      <c r="V227" s="89"/>
      <c r="W227" s="66"/>
      <c r="X227" s="8"/>
      <c r="Y227" s="35"/>
      <c r="Z227" s="34" t="s">
        <v>140</v>
      </c>
      <c r="AA227" s="34"/>
      <c r="AB227" s="35"/>
      <c r="AH227" s="196" t="s">
        <v>384</v>
      </c>
      <c r="AI227" s="138">
        <v>0</v>
      </c>
      <c r="AJ227" s="141">
        <v>0</v>
      </c>
      <c r="AK227" s="138"/>
      <c r="AL227" s="28"/>
      <c r="AM227" s="141"/>
      <c r="AN227" s="138"/>
      <c r="AO227" s="141"/>
      <c r="AP227" s="138" t="s">
        <v>325</v>
      </c>
      <c r="AQ227" s="43" t="s">
        <v>1016</v>
      </c>
      <c r="AR227" s="141" t="s">
        <v>1017</v>
      </c>
      <c r="AS227" s="28"/>
      <c r="AT227" s="28"/>
      <c r="AU227" s="135" t="s">
        <v>91</v>
      </c>
      <c r="AV227">
        <v>2017</v>
      </c>
      <c r="AW227">
        <v>4</v>
      </c>
      <c r="AX227" s="138" t="s">
        <v>137</v>
      </c>
      <c r="AY227" s="138">
        <v>693</v>
      </c>
      <c r="AZ227" s="141">
        <v>634</v>
      </c>
      <c r="BD227" s="138"/>
      <c r="BE227" s="28"/>
      <c r="BF227" s="212">
        <v>14</v>
      </c>
      <c r="BG227" s="43" t="s">
        <v>101</v>
      </c>
      <c r="BH227" s="141"/>
      <c r="BN227" t="s">
        <v>232</v>
      </c>
      <c r="BP227" s="178" t="s">
        <v>233</v>
      </c>
      <c r="BR227">
        <v>2173</v>
      </c>
      <c r="BT227" t="s">
        <v>234</v>
      </c>
      <c r="BV227" t="s">
        <v>233</v>
      </c>
      <c r="BX227">
        <v>7403</v>
      </c>
      <c r="BY227" s="28"/>
    </row>
    <row r="228" spans="1:77" x14ac:dyDescent="0.3">
      <c r="C228" s="28"/>
      <c r="D228" s="88" t="s">
        <v>139</v>
      </c>
      <c r="E228" s="33">
        <v>0</v>
      </c>
      <c r="F228" s="35">
        <v>0</v>
      </c>
      <c r="G228" s="89"/>
      <c r="H228" s="89"/>
      <c r="I228" s="80"/>
      <c r="J228" s="6"/>
      <c r="K228" s="35"/>
      <c r="L228" s="33" t="s">
        <v>140</v>
      </c>
      <c r="M228" s="34"/>
      <c r="N228" s="35"/>
      <c r="Q228" s="28"/>
      <c r="R228" s="42" t="s">
        <v>174</v>
      </c>
      <c r="S228" s="42">
        <v>6</v>
      </c>
      <c r="T228" s="43">
        <v>10</v>
      </c>
      <c r="U228" s="42"/>
      <c r="V228" s="28"/>
      <c r="W228" s="40"/>
      <c r="X228" s="28"/>
      <c r="Y228" s="40"/>
      <c r="Z228" s="28"/>
      <c r="AA228" s="28"/>
      <c r="AB228" s="40"/>
      <c r="AH228" s="196" t="s">
        <v>97</v>
      </c>
      <c r="AI228" s="138">
        <v>0</v>
      </c>
      <c r="AJ228" s="141">
        <v>0</v>
      </c>
      <c r="AK228" s="138"/>
      <c r="AL228" s="28"/>
      <c r="AM228" s="141"/>
      <c r="AN228" s="138"/>
      <c r="AO228" s="141"/>
      <c r="AP228" s="212" t="s">
        <v>734</v>
      </c>
      <c r="AQ228" s="43" t="s">
        <v>725</v>
      </c>
      <c r="AR228" s="141" t="s">
        <v>1005</v>
      </c>
      <c r="AS228" s="28"/>
      <c r="AT228" s="28"/>
      <c r="AU228" s="135" t="s">
        <v>91</v>
      </c>
      <c r="AV228">
        <v>2017</v>
      </c>
      <c r="AW228">
        <v>4</v>
      </c>
      <c r="AX228" s="138" t="s">
        <v>113</v>
      </c>
      <c r="AY228" s="138">
        <f>496+18</f>
        <v>514</v>
      </c>
      <c r="AZ228" s="141">
        <f>534+11</f>
        <v>545</v>
      </c>
      <c r="BD228" s="138"/>
      <c r="BE228" s="28"/>
      <c r="BF228" s="212">
        <v>56</v>
      </c>
      <c r="BG228" s="28" t="s">
        <v>73</v>
      </c>
      <c r="BH228" s="141"/>
      <c r="BP228" t="s">
        <v>236</v>
      </c>
      <c r="BR228">
        <v>2121</v>
      </c>
      <c r="BV228" t="s">
        <v>236</v>
      </c>
      <c r="BX228">
        <v>10067</v>
      </c>
      <c r="BY228" s="28"/>
    </row>
    <row r="229" spans="1:77" x14ac:dyDescent="0.3">
      <c r="C229" s="28"/>
      <c r="D229" s="92" t="s">
        <v>113</v>
      </c>
      <c r="E229" s="67">
        <f>8+7+8+59+2+2+4+11+8</f>
        <v>109</v>
      </c>
      <c r="F229" s="56">
        <f>9+9+5+17+1+5+5+18</f>
        <v>69</v>
      </c>
      <c r="G229" s="54"/>
      <c r="H229" s="54"/>
      <c r="I229" s="45"/>
      <c r="J229" s="10"/>
      <c r="K229" s="40"/>
      <c r="L229" s="10" t="s">
        <v>142</v>
      </c>
      <c r="M229" s="18"/>
      <c r="N229" s="39" t="s">
        <v>303</v>
      </c>
      <c r="Q229" s="28"/>
      <c r="R229" s="153" t="s">
        <v>214</v>
      </c>
      <c r="S229" s="42">
        <v>5</v>
      </c>
      <c r="T229" s="43">
        <v>5</v>
      </c>
      <c r="U229" s="42"/>
      <c r="V229" s="28"/>
      <c r="W229" s="40"/>
      <c r="X229" s="28"/>
      <c r="Y229" s="40"/>
      <c r="Z229" s="28"/>
      <c r="AA229" s="28"/>
      <c r="AB229" s="40"/>
      <c r="AH229" s="196" t="s">
        <v>658</v>
      </c>
      <c r="AI229" s="138">
        <v>4</v>
      </c>
      <c r="AJ229" s="141">
        <v>1</v>
      </c>
      <c r="AK229" s="138"/>
      <c r="AL229" s="28"/>
      <c r="AM229" s="141"/>
      <c r="AN229" s="138"/>
      <c r="AO229" s="141"/>
      <c r="AP229" s="138" t="s">
        <v>1019</v>
      </c>
      <c r="AQ229" s="43" t="s">
        <v>537</v>
      </c>
      <c r="AR229" s="141" t="s">
        <v>280</v>
      </c>
      <c r="AS229" s="28"/>
      <c r="AT229" s="28"/>
      <c r="AU229" s="135" t="s">
        <v>91</v>
      </c>
      <c r="AV229">
        <v>2017</v>
      </c>
      <c r="AW229">
        <v>4</v>
      </c>
      <c r="AX229" s="212" t="s">
        <v>97</v>
      </c>
      <c r="AY229" s="212">
        <v>426</v>
      </c>
      <c r="AZ229" s="209">
        <v>453</v>
      </c>
      <c r="BD229" s="138"/>
      <c r="BE229" s="28"/>
      <c r="BF229" s="138"/>
      <c r="BG229" s="43" t="s">
        <v>433</v>
      </c>
      <c r="BH229" s="141"/>
      <c r="BN229" t="s">
        <v>238</v>
      </c>
      <c r="BO229" t="s">
        <v>239</v>
      </c>
      <c r="BQ229" t="s">
        <v>240</v>
      </c>
      <c r="BR229" t="s">
        <v>241</v>
      </c>
      <c r="BU229" t="s">
        <v>242</v>
      </c>
      <c r="BV229" s="131" t="s">
        <v>243</v>
      </c>
      <c r="BY229" s="28"/>
    </row>
    <row r="230" spans="1:77" x14ac:dyDescent="0.3">
      <c r="C230" s="28" t="s">
        <v>6</v>
      </c>
      <c r="D230" s="92" t="s">
        <v>252</v>
      </c>
      <c r="E230" s="67">
        <v>0</v>
      </c>
      <c r="F230" s="56">
        <v>0</v>
      </c>
      <c r="G230" s="54"/>
      <c r="H230" s="54"/>
      <c r="I230" s="45"/>
      <c r="J230" s="10"/>
      <c r="K230" s="40"/>
      <c r="L230" s="93" t="s">
        <v>146</v>
      </c>
      <c r="M230" s="28"/>
      <c r="N230" s="94" t="s">
        <v>253</v>
      </c>
      <c r="Q230" s="28"/>
      <c r="R230" s="92" t="s">
        <v>113</v>
      </c>
      <c r="S230" s="67">
        <f>4+16+3+32+1+3</f>
        <v>59</v>
      </c>
      <c r="T230" s="43">
        <f>4+2+22+1+1+16+3+21</f>
        <v>70</v>
      </c>
      <c r="U230" s="52"/>
      <c r="V230" s="54"/>
      <c r="W230" s="85"/>
      <c r="X230" s="18"/>
      <c r="Y230" s="40"/>
      <c r="Z230" s="18" t="s">
        <v>142</v>
      </c>
      <c r="AA230" s="18"/>
      <c r="AB230" s="39" t="s">
        <v>730</v>
      </c>
      <c r="AH230" s="196" t="s">
        <v>64</v>
      </c>
      <c r="AI230" s="138">
        <f>15+5</f>
        <v>20</v>
      </c>
      <c r="AJ230" s="141">
        <f>13+3</f>
        <v>16</v>
      </c>
      <c r="AK230" s="138"/>
      <c r="AL230" s="28"/>
      <c r="AM230" s="141"/>
      <c r="AN230" s="138"/>
      <c r="AO230" s="141"/>
      <c r="AP230" s="138" t="s">
        <v>1020</v>
      </c>
      <c r="AQ230" s="43"/>
      <c r="AR230" s="209" t="s">
        <v>1021</v>
      </c>
      <c r="AS230" s="43"/>
      <c r="AT230" s="43"/>
      <c r="AU230" s="135" t="s">
        <v>91</v>
      </c>
      <c r="AV230">
        <v>2017</v>
      </c>
      <c r="AW230">
        <v>4</v>
      </c>
      <c r="AX230" s="212" t="s">
        <v>133</v>
      </c>
      <c r="AY230" s="212">
        <v>15</v>
      </c>
      <c r="AZ230" s="209">
        <f>19+19</f>
        <v>38</v>
      </c>
      <c r="BD230" s="138"/>
      <c r="BE230" s="28"/>
      <c r="BF230" s="138">
        <v>12</v>
      </c>
      <c r="BG230" s="43" t="s">
        <v>1577</v>
      </c>
      <c r="BH230" s="28"/>
      <c r="BI230" s="138"/>
      <c r="BN230" t="s">
        <v>233</v>
      </c>
      <c r="BP230">
        <v>53331</v>
      </c>
      <c r="BQ230" s="236" t="s">
        <v>233</v>
      </c>
      <c r="BS230">
        <v>4515</v>
      </c>
      <c r="BT230" t="s">
        <v>233</v>
      </c>
      <c r="BW230" t="s">
        <v>245</v>
      </c>
      <c r="BX230">
        <v>26600</v>
      </c>
      <c r="BY230" s="28"/>
    </row>
    <row r="231" spans="1:77" x14ac:dyDescent="0.3">
      <c r="C231" s="28"/>
      <c r="D231" s="52" t="s">
        <v>133</v>
      </c>
      <c r="E231" s="67">
        <f>40+10</f>
        <v>50</v>
      </c>
      <c r="F231" s="56">
        <f>16+6</f>
        <v>22</v>
      </c>
      <c r="G231" s="54" t="s">
        <v>150</v>
      </c>
      <c r="H231" s="54"/>
      <c r="I231" s="45"/>
      <c r="J231" s="10"/>
      <c r="K231" s="40"/>
      <c r="L231" s="42" t="s">
        <v>151</v>
      </c>
      <c r="M231" s="28"/>
      <c r="N231" s="96"/>
      <c r="Q231" s="28"/>
      <c r="R231" s="42" t="s">
        <v>108</v>
      </c>
      <c r="S231" s="67">
        <v>19</v>
      </c>
      <c r="T231" s="43">
        <v>19</v>
      </c>
      <c r="U231" s="52"/>
      <c r="V231" s="54"/>
      <c r="W231" s="85"/>
      <c r="X231" s="18"/>
      <c r="Y231" s="40"/>
      <c r="Z231" s="154" t="s">
        <v>146</v>
      </c>
      <c r="AA231" s="28"/>
      <c r="AB231" s="94" t="s">
        <v>591</v>
      </c>
      <c r="AH231" s="196" t="s">
        <v>657</v>
      </c>
      <c r="AI231" s="138">
        <v>0</v>
      </c>
      <c r="AJ231" s="141">
        <v>0</v>
      </c>
      <c r="AK231" s="138"/>
      <c r="AL231" s="28"/>
      <c r="AM231" s="141"/>
      <c r="AN231" s="138"/>
      <c r="AO231" s="141"/>
      <c r="AP231" s="138"/>
      <c r="AQ231" s="43"/>
      <c r="AR231" s="213"/>
      <c r="AS231" s="228"/>
      <c r="AT231" s="228"/>
      <c r="AU231" s="28"/>
      <c r="AX231" s="138" t="s">
        <v>84</v>
      </c>
      <c r="AY231" s="138">
        <f>SUM(AY226:AY230)</f>
        <v>2687</v>
      </c>
      <c r="AZ231" s="141">
        <f>SUM(AZ226:AZ230)</f>
        <v>2595</v>
      </c>
      <c r="BA231">
        <v>0</v>
      </c>
      <c r="BB231">
        <v>0</v>
      </c>
      <c r="BC231">
        <v>0</v>
      </c>
      <c r="BD231" s="142">
        <v>0</v>
      </c>
      <c r="BE231" s="143">
        <v>0</v>
      </c>
      <c r="BF231" s="142"/>
      <c r="BG231" s="143" t="s">
        <v>6</v>
      </c>
      <c r="BH231" s="146">
        <f>SUM(BF227:BF231)</f>
        <v>82</v>
      </c>
      <c r="BN231" t="s">
        <v>236</v>
      </c>
      <c r="BP231">
        <v>55747</v>
      </c>
      <c r="BQ231" s="236" t="s">
        <v>236</v>
      </c>
      <c r="BS231">
        <v>4615</v>
      </c>
      <c r="BT231" t="s">
        <v>236</v>
      </c>
      <c r="BX231">
        <v>109078</v>
      </c>
      <c r="BY231" s="28"/>
    </row>
    <row r="232" spans="1:77" x14ac:dyDescent="0.3">
      <c r="C232" s="28"/>
      <c r="D232" s="52" t="s">
        <v>85</v>
      </c>
      <c r="E232" s="42">
        <f>7+10</f>
        <v>17</v>
      </c>
      <c r="F232" s="56">
        <f>5+6</f>
        <v>11</v>
      </c>
      <c r="G232" s="28"/>
      <c r="H232" s="54"/>
      <c r="I232" s="28"/>
      <c r="J232" s="84"/>
      <c r="K232" s="56"/>
      <c r="L232" s="42" t="s">
        <v>257</v>
      </c>
      <c r="M232" s="28" t="s">
        <v>360</v>
      </c>
      <c r="N232" s="40" t="s">
        <v>170</v>
      </c>
      <c r="Q232" s="28" t="s">
        <v>6</v>
      </c>
      <c r="R232" s="127" t="s">
        <v>64</v>
      </c>
      <c r="S232" s="67">
        <v>0</v>
      </c>
      <c r="T232" s="43">
        <v>2</v>
      </c>
      <c r="U232" s="42"/>
      <c r="V232" s="28"/>
      <c r="W232" s="40"/>
      <c r="X232" s="28"/>
      <c r="Y232" s="40"/>
      <c r="Z232" s="28"/>
      <c r="AA232" s="28"/>
      <c r="AB232" s="40"/>
      <c r="AH232" s="196" t="s">
        <v>862</v>
      </c>
      <c r="AI232" s="138">
        <v>2</v>
      </c>
      <c r="AJ232" s="141">
        <v>0</v>
      </c>
      <c r="AK232" s="138"/>
      <c r="AL232" s="28"/>
      <c r="AM232" s="141"/>
      <c r="AN232" s="138"/>
      <c r="AO232" s="141"/>
      <c r="AP232" s="138"/>
      <c r="AQ232" s="43"/>
      <c r="AR232" s="141"/>
      <c r="AS232" s="28"/>
      <c r="AT232" s="28"/>
      <c r="AU232" s="28"/>
      <c r="AX232" s="134"/>
      <c r="AY232" s="134"/>
      <c r="AZ232" s="136"/>
      <c r="BA232" s="135"/>
      <c r="BB232" s="135"/>
      <c r="BC232" s="135"/>
      <c r="BD232" s="134"/>
      <c r="BE232" s="136"/>
      <c r="BF232" s="135" t="s">
        <v>1025</v>
      </c>
      <c r="BG232" s="135"/>
      <c r="BH232" s="136"/>
      <c r="BY232" s="28"/>
    </row>
    <row r="233" spans="1:77" ht="15.6" x14ac:dyDescent="0.3">
      <c r="C233" s="28"/>
      <c r="D233" s="151" t="s">
        <v>306</v>
      </c>
      <c r="E233" s="36">
        <f>3+6</f>
        <v>9</v>
      </c>
      <c r="F233" s="39">
        <v>7</v>
      </c>
      <c r="G233" s="18"/>
      <c r="H233" s="18"/>
      <c r="I233" s="18"/>
      <c r="J233" s="10"/>
      <c r="K233" s="11"/>
      <c r="L233" s="98" t="s">
        <v>361</v>
      </c>
      <c r="M233" s="28" t="s">
        <v>320</v>
      </c>
      <c r="N233" s="99" t="s">
        <v>362</v>
      </c>
      <c r="Q233" s="28"/>
      <c r="R233" s="52" t="s">
        <v>133</v>
      </c>
      <c r="S233" s="67">
        <f>24+3</f>
        <v>27</v>
      </c>
      <c r="T233" s="43">
        <v>27</v>
      </c>
      <c r="U233" s="52" t="s">
        <v>150</v>
      </c>
      <c r="V233" s="54"/>
      <c r="W233" s="85"/>
      <c r="X233" s="18"/>
      <c r="Y233" s="40"/>
      <c r="Z233" s="28" t="s">
        <v>151</v>
      </c>
      <c r="AA233" s="28"/>
      <c r="AB233" s="96"/>
      <c r="AH233" s="196" t="s">
        <v>1009</v>
      </c>
      <c r="AI233" s="138">
        <v>0</v>
      </c>
      <c r="AJ233" s="141">
        <v>0</v>
      </c>
      <c r="AK233" s="138"/>
      <c r="AL233" s="28"/>
      <c r="AM233" s="141"/>
      <c r="AN233" s="138"/>
      <c r="AO233" s="141"/>
      <c r="AP233" s="138"/>
      <c r="AQ233" s="43"/>
      <c r="AR233" s="141"/>
      <c r="AS233" s="28"/>
      <c r="AT233" s="28"/>
      <c r="AU233" s="28"/>
      <c r="AX233" s="142" t="s">
        <v>64</v>
      </c>
      <c r="AY233" s="142">
        <v>76</v>
      </c>
      <c r="AZ233" s="146">
        <v>74</v>
      </c>
      <c r="BA233" s="143">
        <v>0</v>
      </c>
      <c r="BB233" s="143">
        <v>0</v>
      </c>
      <c r="BC233" s="143">
        <v>0</v>
      </c>
      <c r="BD233" s="142">
        <v>0</v>
      </c>
      <c r="BE233" s="146">
        <v>0</v>
      </c>
      <c r="BF233" s="143">
        <v>9</v>
      </c>
      <c r="BG233" s="143" t="s">
        <v>1026</v>
      </c>
      <c r="BH233" s="146">
        <f>SUM(BF233)</f>
        <v>9</v>
      </c>
      <c r="BI233" t="s">
        <v>6</v>
      </c>
      <c r="BY233" s="28"/>
    </row>
    <row r="234" spans="1:77" ht="15.6" x14ac:dyDescent="0.3">
      <c r="C234" s="28"/>
      <c r="D234" s="92" t="s">
        <v>164</v>
      </c>
      <c r="E234" s="42">
        <f>2+4</f>
        <v>6</v>
      </c>
      <c r="F234" s="40">
        <f>2+4</f>
        <v>6</v>
      </c>
      <c r="G234" s="18"/>
      <c r="H234" s="18"/>
      <c r="I234" s="18"/>
      <c r="J234" s="10"/>
      <c r="K234" s="11"/>
      <c r="L234" s="98" t="s">
        <v>363</v>
      </c>
      <c r="M234" s="100" t="s">
        <v>334</v>
      </c>
      <c r="N234" s="39" t="s">
        <v>364</v>
      </c>
      <c r="Q234" s="28"/>
      <c r="R234" s="52" t="s">
        <v>85</v>
      </c>
      <c r="S234" s="42">
        <f>8+7</f>
        <v>15</v>
      </c>
      <c r="T234" s="43">
        <v>7</v>
      </c>
      <c r="U234" s="42"/>
      <c r="V234" s="54"/>
      <c r="W234" s="40"/>
      <c r="X234" s="45"/>
      <c r="Y234" s="56"/>
      <c r="Z234" s="43" t="s">
        <v>731</v>
      </c>
      <c r="AA234" s="28" t="s">
        <v>732</v>
      </c>
      <c r="AB234" s="40" t="s">
        <v>309</v>
      </c>
      <c r="AH234" s="196" t="s">
        <v>158</v>
      </c>
      <c r="AI234" s="138">
        <v>19</v>
      </c>
      <c r="AJ234" s="141">
        <v>19</v>
      </c>
      <c r="AK234" s="138"/>
      <c r="AL234" s="28"/>
      <c r="AM234" s="141"/>
      <c r="AN234" s="138"/>
      <c r="AO234" s="141"/>
      <c r="AP234" s="138"/>
      <c r="AQ234" s="43"/>
      <c r="AR234" s="141"/>
      <c r="AS234" s="28"/>
      <c r="AT234" s="28"/>
      <c r="AU234" s="28" t="s">
        <v>994</v>
      </c>
      <c r="AV234">
        <v>2017</v>
      </c>
      <c r="AW234">
        <v>4</v>
      </c>
      <c r="AX234" s="138" t="s">
        <v>113</v>
      </c>
      <c r="AY234" s="138">
        <v>472</v>
      </c>
      <c r="AZ234" s="141">
        <v>488</v>
      </c>
      <c r="BA234" s="28"/>
      <c r="BB234" s="28"/>
      <c r="BC234" s="28"/>
      <c r="BD234" s="138"/>
      <c r="BE234" s="141"/>
      <c r="BF234" s="28" t="s">
        <v>994</v>
      </c>
      <c r="BG234" s="28"/>
      <c r="BH234" s="141"/>
      <c r="BY234" s="28"/>
    </row>
    <row r="235" spans="1:77" ht="15.6" x14ac:dyDescent="0.3">
      <c r="C235" s="28"/>
      <c r="D235" s="36" t="s">
        <v>169</v>
      </c>
      <c r="E235" s="36">
        <v>5</v>
      </c>
      <c r="F235" s="39">
        <f>1+1</f>
        <v>2</v>
      </c>
      <c r="G235" s="18"/>
      <c r="H235" s="18"/>
      <c r="I235" s="18"/>
      <c r="J235" s="10"/>
      <c r="K235" s="11"/>
      <c r="L235" s="98" t="s">
        <v>365</v>
      </c>
      <c r="M235" s="37" t="s">
        <v>366</v>
      </c>
      <c r="N235" s="39" t="s">
        <v>367</v>
      </c>
      <c r="Q235" s="28"/>
      <c r="R235" s="151" t="s">
        <v>93</v>
      </c>
      <c r="S235" s="36">
        <v>0</v>
      </c>
      <c r="T235" s="37">
        <v>4</v>
      </c>
      <c r="U235" s="10"/>
      <c r="V235" s="18"/>
      <c r="W235" s="11"/>
      <c r="X235" s="18"/>
      <c r="Y235" s="11"/>
      <c r="Z235" s="158" t="s">
        <v>322</v>
      </c>
      <c r="AA235" s="178" t="s">
        <v>733</v>
      </c>
      <c r="AB235" s="39" t="s">
        <v>455</v>
      </c>
      <c r="AH235" s="196" t="s">
        <v>971</v>
      </c>
      <c r="AI235" s="138">
        <v>0</v>
      </c>
      <c r="AJ235" s="141">
        <v>0</v>
      </c>
      <c r="AK235" s="138"/>
      <c r="AL235" s="28"/>
      <c r="AM235" s="141"/>
      <c r="AN235" s="138"/>
      <c r="AO235" s="141"/>
      <c r="AP235" s="138"/>
      <c r="AQ235" s="28"/>
      <c r="AR235" s="141"/>
      <c r="AS235" s="28"/>
      <c r="AT235" s="28"/>
      <c r="AU235" s="28"/>
      <c r="AX235" s="138" t="s">
        <v>133</v>
      </c>
      <c r="AY235" s="138">
        <v>0</v>
      </c>
      <c r="AZ235" s="141">
        <v>0</v>
      </c>
      <c r="BA235" s="28"/>
      <c r="BB235" s="28"/>
      <c r="BC235" s="28"/>
      <c r="BD235" s="138"/>
      <c r="BE235" s="141"/>
      <c r="BF235" s="28">
        <v>21</v>
      </c>
      <c r="BG235" s="28" t="s">
        <v>100</v>
      </c>
      <c r="BH235" s="141"/>
      <c r="BY235" s="28"/>
    </row>
    <row r="236" spans="1:77" x14ac:dyDescent="0.3">
      <c r="C236" s="28"/>
      <c r="D236" s="36" t="s">
        <v>93</v>
      </c>
      <c r="E236" s="36">
        <v>2</v>
      </c>
      <c r="F236" s="39">
        <v>3</v>
      </c>
      <c r="G236" s="18"/>
      <c r="H236" s="18"/>
      <c r="I236" s="18"/>
      <c r="J236" s="10"/>
      <c r="K236" s="11"/>
      <c r="L236" s="52" t="s">
        <v>368</v>
      </c>
      <c r="M236" s="37" t="s">
        <v>369</v>
      </c>
      <c r="N236" s="39" t="s">
        <v>370</v>
      </c>
      <c r="Q236" s="28"/>
      <c r="R236" s="42" t="s">
        <v>164</v>
      </c>
      <c r="S236" s="42">
        <f>7+6</f>
        <v>13</v>
      </c>
      <c r="T236" s="54">
        <v>11</v>
      </c>
      <c r="U236" s="10"/>
      <c r="V236" s="18"/>
      <c r="W236" s="11"/>
      <c r="X236" s="18"/>
      <c r="Y236" s="11"/>
      <c r="Z236" s="158" t="s">
        <v>734</v>
      </c>
      <c r="AA236" s="178" t="s">
        <v>273</v>
      </c>
      <c r="AB236" s="39" t="s">
        <v>604</v>
      </c>
      <c r="AH236" s="196" t="s">
        <v>564</v>
      </c>
      <c r="AI236" s="138">
        <v>0</v>
      </c>
      <c r="AJ236" s="141">
        <v>0</v>
      </c>
      <c r="AK236" s="138"/>
      <c r="AL236" s="28"/>
      <c r="AM236" s="141"/>
      <c r="AN236" s="138"/>
      <c r="AO236" s="141"/>
      <c r="AP236" s="138"/>
      <c r="AQ236" s="28"/>
      <c r="AR236" s="141"/>
      <c r="AS236" s="28"/>
      <c r="AT236" s="28"/>
      <c r="AU236" s="28"/>
      <c r="AX236" s="142" t="s">
        <v>84</v>
      </c>
      <c r="AY236" s="142">
        <f>SUM(AY234:AY235)</f>
        <v>472</v>
      </c>
      <c r="AZ236" s="146">
        <f>SUM(AZ234:AZ235)</f>
        <v>488</v>
      </c>
      <c r="BA236" s="143">
        <v>0</v>
      </c>
      <c r="BB236" s="143">
        <v>0</v>
      </c>
      <c r="BC236" s="143">
        <v>0</v>
      </c>
      <c r="BD236" s="142">
        <v>0</v>
      </c>
      <c r="BE236" s="146">
        <v>0</v>
      </c>
      <c r="BF236" s="43">
        <v>22</v>
      </c>
      <c r="BG236" s="43" t="s">
        <v>73</v>
      </c>
      <c r="BH236" s="146">
        <f>SUM(BF235:BF236)</f>
        <v>43</v>
      </c>
      <c r="BY236" s="28"/>
    </row>
    <row r="237" spans="1:77" x14ac:dyDescent="0.3">
      <c r="C237" s="28"/>
      <c r="D237" s="150" t="s">
        <v>270</v>
      </c>
      <c r="E237" s="36">
        <f>5+1+1</f>
        <v>7</v>
      </c>
      <c r="F237" s="39">
        <f>2+1+4</f>
        <v>7</v>
      </c>
      <c r="G237" s="18"/>
      <c r="H237" s="37"/>
      <c r="I237" s="18"/>
      <c r="J237" s="10"/>
      <c r="K237" s="11"/>
      <c r="L237" s="93" t="s">
        <v>283</v>
      </c>
      <c r="M237" s="54" t="s">
        <v>371</v>
      </c>
      <c r="N237" s="39" t="s">
        <v>372</v>
      </c>
      <c r="Q237" s="28"/>
      <c r="R237" s="36" t="s">
        <v>169</v>
      </c>
      <c r="S237" s="36">
        <f>4+5+2</f>
        <v>11</v>
      </c>
      <c r="T237" s="37">
        <v>6</v>
      </c>
      <c r="U237" s="10"/>
      <c r="V237" s="18"/>
      <c r="W237" s="11"/>
      <c r="X237" s="18"/>
      <c r="Y237" s="11"/>
      <c r="Z237" s="158" t="s">
        <v>546</v>
      </c>
      <c r="AA237" s="37" t="s">
        <v>735</v>
      </c>
      <c r="AB237" s="39" t="s">
        <v>736</v>
      </c>
      <c r="AH237" s="196" t="s">
        <v>196</v>
      </c>
      <c r="AI237" s="138">
        <v>0</v>
      </c>
      <c r="AJ237" s="141">
        <v>6</v>
      </c>
      <c r="AK237" s="138"/>
      <c r="AL237" s="28"/>
      <c r="AM237" s="141"/>
      <c r="AN237" s="138"/>
      <c r="AO237" s="141"/>
      <c r="AP237" s="138"/>
      <c r="AQ237" s="28"/>
      <c r="AR237" s="141"/>
      <c r="AS237" s="28"/>
      <c r="AT237" s="28"/>
      <c r="AU237" s="28"/>
      <c r="AX237" s="196" t="s">
        <v>608</v>
      </c>
      <c r="AY237" s="138">
        <v>0</v>
      </c>
      <c r="AZ237" s="141">
        <v>7</v>
      </c>
      <c r="BA237" s="134"/>
      <c r="BB237" s="135"/>
      <c r="BC237" s="136"/>
      <c r="BD237" s="138"/>
      <c r="BE237" s="141"/>
      <c r="BF237" s="134" t="s">
        <v>140</v>
      </c>
      <c r="BG237" s="135"/>
      <c r="BH237" s="136"/>
      <c r="BY237" s="28"/>
    </row>
    <row r="238" spans="1:77" ht="15.6" x14ac:dyDescent="0.3">
      <c r="C238" s="37"/>
      <c r="D238" s="36" t="s">
        <v>184</v>
      </c>
      <c r="E238" s="36">
        <f>4+2</f>
        <v>6</v>
      </c>
      <c r="F238" s="39">
        <f>5+1+1+1</f>
        <v>8</v>
      </c>
      <c r="G238" s="18"/>
      <c r="H238" s="18"/>
      <c r="I238" s="18"/>
      <c r="J238" s="10"/>
      <c r="K238" s="11"/>
      <c r="L238" s="36" t="s">
        <v>172</v>
      </c>
      <c r="M238" s="37" t="s">
        <v>373</v>
      </c>
      <c r="N238" s="40" t="s">
        <v>374</v>
      </c>
      <c r="Q238" s="28"/>
      <c r="R238" s="36" t="s">
        <v>99</v>
      </c>
      <c r="S238" s="36">
        <v>0</v>
      </c>
      <c r="T238" s="37">
        <v>3</v>
      </c>
      <c r="U238" s="10"/>
      <c r="V238" s="18"/>
      <c r="W238" s="11"/>
      <c r="X238" s="18"/>
      <c r="Y238" s="11"/>
      <c r="Z238" s="179" t="s">
        <v>737</v>
      </c>
      <c r="AA238" s="37" t="s">
        <v>738</v>
      </c>
      <c r="AB238" s="39" t="s">
        <v>739</v>
      </c>
      <c r="AH238" s="196" t="s">
        <v>211</v>
      </c>
      <c r="AI238" s="138">
        <v>9</v>
      </c>
      <c r="AJ238" s="141">
        <v>2</v>
      </c>
      <c r="AK238" s="138"/>
      <c r="AL238" s="28"/>
      <c r="AM238" s="141"/>
      <c r="AN238" s="138"/>
      <c r="AO238" s="141"/>
      <c r="AP238" s="138"/>
      <c r="AQ238" s="28"/>
      <c r="AR238" s="141"/>
      <c r="AS238" s="28"/>
      <c r="AT238" s="28"/>
      <c r="AU238" s="28"/>
      <c r="AX238" s="196" t="s">
        <v>164</v>
      </c>
      <c r="AY238" s="138">
        <v>0</v>
      </c>
      <c r="AZ238" s="141">
        <v>5</v>
      </c>
      <c r="BA238" s="138"/>
      <c r="BB238" s="28"/>
      <c r="BC238" s="141"/>
      <c r="BD238" s="138"/>
      <c r="BE238" s="141"/>
      <c r="BF238" s="138"/>
      <c r="BG238" s="28"/>
      <c r="BH238" s="141"/>
      <c r="BO238" s="28"/>
      <c r="BP238" s="28"/>
      <c r="BQ238" s="28"/>
      <c r="BR238" s="107"/>
      <c r="BS238" s="270"/>
      <c r="BT238" s="28"/>
      <c r="BU238" s="43"/>
      <c r="BV238" s="28"/>
      <c r="BW238" s="28"/>
      <c r="BX238" s="258"/>
      <c r="BY238" s="28"/>
    </row>
    <row r="239" spans="1:77" x14ac:dyDescent="0.3">
      <c r="C239" s="28"/>
      <c r="D239" s="150" t="s">
        <v>211</v>
      </c>
      <c r="E239" s="36">
        <f>1+2</f>
        <v>3</v>
      </c>
      <c r="F239" s="39">
        <f>23+2</f>
        <v>25</v>
      </c>
      <c r="G239" s="18"/>
      <c r="H239" s="18"/>
      <c r="I239" s="18"/>
      <c r="J239" s="10"/>
      <c r="K239" s="11"/>
      <c r="L239" s="112" t="s">
        <v>375</v>
      </c>
      <c r="M239" s="37" t="s">
        <v>307</v>
      </c>
      <c r="N239" s="39" t="s">
        <v>376</v>
      </c>
      <c r="Q239" s="28"/>
      <c r="R239" s="150" t="s">
        <v>613</v>
      </c>
      <c r="S239" s="36">
        <v>1</v>
      </c>
      <c r="T239" s="37">
        <v>0</v>
      </c>
      <c r="U239" s="10"/>
      <c r="V239" s="37"/>
      <c r="W239" s="11"/>
      <c r="X239" s="18"/>
      <c r="Y239" s="11"/>
      <c r="Z239" s="158" t="s">
        <v>415</v>
      </c>
      <c r="AA239" s="54" t="s">
        <v>448</v>
      </c>
      <c r="AB239" s="39" t="s">
        <v>740</v>
      </c>
      <c r="AH239" s="196" t="s">
        <v>218</v>
      </c>
      <c r="AI239" s="138">
        <v>0</v>
      </c>
      <c r="AJ239" s="141">
        <v>26</v>
      </c>
      <c r="AK239" s="138"/>
      <c r="AL239" s="28">
        <v>0</v>
      </c>
      <c r="AM239" s="141"/>
      <c r="AN239" s="138"/>
      <c r="AO239" s="141"/>
      <c r="AP239" s="138"/>
      <c r="AQ239" s="28"/>
      <c r="AR239" s="141"/>
      <c r="AS239" s="28"/>
      <c r="AT239" s="28"/>
      <c r="AU239" s="28"/>
      <c r="AX239" s="196" t="s">
        <v>211</v>
      </c>
      <c r="AY239" s="138">
        <v>13</v>
      </c>
      <c r="AZ239" s="141">
        <v>2</v>
      </c>
      <c r="BA239" s="138"/>
      <c r="BB239" s="28"/>
      <c r="BC239" s="141"/>
      <c r="BD239" s="138"/>
      <c r="BE239" s="141"/>
      <c r="BF239" s="138"/>
      <c r="BG239" s="28"/>
      <c r="BH239" s="141"/>
      <c r="BS239" t="s">
        <v>1445</v>
      </c>
      <c r="BV239" s="28"/>
      <c r="BW239" s="28"/>
      <c r="BX239" s="28"/>
      <c r="BY239" s="28"/>
    </row>
    <row r="240" spans="1:77" x14ac:dyDescent="0.3">
      <c r="D240" s="98" t="s">
        <v>107</v>
      </c>
      <c r="E240" s="36">
        <v>0</v>
      </c>
      <c r="F240" s="39">
        <v>0</v>
      </c>
      <c r="G240" s="18"/>
      <c r="H240" s="18"/>
      <c r="I240" s="18"/>
      <c r="J240" s="10"/>
      <c r="K240" s="11"/>
      <c r="L240" s="36" t="s">
        <v>377</v>
      </c>
      <c r="M240" s="37" t="s">
        <v>378</v>
      </c>
      <c r="N240" s="114" t="s">
        <v>379</v>
      </c>
      <c r="Q240" s="37"/>
      <c r="R240" s="36" t="s">
        <v>200</v>
      </c>
      <c r="S240" s="36">
        <v>7</v>
      </c>
      <c r="T240" s="37">
        <v>0</v>
      </c>
      <c r="U240" s="10"/>
      <c r="V240" s="18"/>
      <c r="W240" s="11"/>
      <c r="X240" s="18"/>
      <c r="Y240" s="11"/>
      <c r="Z240" s="37" t="s">
        <v>691</v>
      </c>
      <c r="AA240" s="37" t="s">
        <v>741</v>
      </c>
      <c r="AB240" s="180" t="s">
        <v>742</v>
      </c>
      <c r="AH240" s="196" t="s">
        <v>93</v>
      </c>
      <c r="AI240" s="138">
        <v>0</v>
      </c>
      <c r="AJ240" s="141">
        <v>0</v>
      </c>
      <c r="AK240" s="138"/>
      <c r="AL240" s="28"/>
      <c r="AM240" s="141"/>
      <c r="AN240" s="138"/>
      <c r="AO240" s="141"/>
      <c r="AP240" s="138"/>
      <c r="AQ240" s="28"/>
      <c r="AR240" s="141"/>
      <c r="AS240" s="28"/>
      <c r="AT240" s="28"/>
      <c r="AU240" s="28"/>
      <c r="AW240" t="s">
        <v>6</v>
      </c>
      <c r="AX240" s="196" t="s">
        <v>113</v>
      </c>
      <c r="AY240" s="138">
        <f>5+31</f>
        <v>36</v>
      </c>
      <c r="AZ240" s="141">
        <f>3+29</f>
        <v>32</v>
      </c>
      <c r="BA240" s="138"/>
      <c r="BB240" s="28"/>
      <c r="BC240" s="141" t="s">
        <v>6</v>
      </c>
      <c r="BD240" s="138"/>
      <c r="BE240" s="141"/>
      <c r="BF240" s="138" t="s">
        <v>142</v>
      </c>
      <c r="BG240" s="28"/>
      <c r="BH240" s="141" t="s">
        <v>730</v>
      </c>
      <c r="BT240" t="s">
        <v>2</v>
      </c>
      <c r="BV240" s="28"/>
      <c r="BW240" s="28"/>
      <c r="BX240" s="28"/>
      <c r="BY240" s="28"/>
    </row>
    <row r="241" spans="4:77" x14ac:dyDescent="0.3">
      <c r="D241" s="36" t="s">
        <v>190</v>
      </c>
      <c r="E241" s="36">
        <v>0</v>
      </c>
      <c r="F241" s="39">
        <v>3</v>
      </c>
      <c r="G241" s="18"/>
      <c r="H241" s="18"/>
      <c r="I241" s="18"/>
      <c r="J241" s="10"/>
      <c r="K241" s="11"/>
      <c r="L241" s="36" t="s">
        <v>380</v>
      </c>
      <c r="M241" s="37" t="s">
        <v>381</v>
      </c>
      <c r="N241" s="39" t="s">
        <v>317</v>
      </c>
      <c r="Q241" s="28"/>
      <c r="R241" s="150" t="s">
        <v>211</v>
      </c>
      <c r="S241" s="36">
        <v>3</v>
      </c>
      <c r="T241" s="37">
        <v>26</v>
      </c>
      <c r="U241" s="10"/>
      <c r="V241" s="18"/>
      <c r="W241" s="11"/>
      <c r="X241" s="18"/>
      <c r="Y241" s="11"/>
      <c r="Z241" s="159" t="s">
        <v>744</v>
      </c>
      <c r="AA241" s="37" t="s">
        <v>745</v>
      </c>
      <c r="AB241" s="39" t="s">
        <v>746</v>
      </c>
      <c r="AH241" s="199" t="s">
        <v>84</v>
      </c>
      <c r="AI241" s="142">
        <f>SUM(AI216:AI240)</f>
        <v>122</v>
      </c>
      <c r="AJ241" s="146">
        <f>SUM(AJ216:AJ240)</f>
        <v>134</v>
      </c>
      <c r="AK241" s="142">
        <v>0</v>
      </c>
      <c r="AL241" s="143">
        <f>SUM(AL216:AL240)</f>
        <v>0</v>
      </c>
      <c r="AM241" s="146">
        <v>0</v>
      </c>
      <c r="AN241" s="142">
        <v>0</v>
      </c>
      <c r="AO241" s="146">
        <v>0</v>
      </c>
      <c r="AP241" s="142"/>
      <c r="AQ241" s="143"/>
      <c r="AR241" s="146">
        <f>2+4+4+4+8+4+9+3+3+4</f>
        <v>45</v>
      </c>
      <c r="AS241" s="28"/>
      <c r="AT241" s="28"/>
      <c r="AU241" s="28"/>
      <c r="AX241" s="196" t="s">
        <v>174</v>
      </c>
      <c r="AY241" s="138">
        <v>0</v>
      </c>
      <c r="AZ241" s="141">
        <v>7</v>
      </c>
      <c r="BA241" s="138"/>
      <c r="BB241" s="28"/>
      <c r="BC241" s="141"/>
      <c r="BD241" s="138"/>
      <c r="BE241" s="141"/>
      <c r="BF241" s="138" t="s">
        <v>146</v>
      </c>
      <c r="BG241" s="28"/>
      <c r="BH241" s="141" t="s">
        <v>1578</v>
      </c>
      <c r="BR241" t="s">
        <v>1451</v>
      </c>
      <c r="BV241" s="28"/>
      <c r="BW241" s="28"/>
      <c r="BX241" s="28"/>
      <c r="BY241" s="28"/>
    </row>
    <row r="242" spans="4:77" x14ac:dyDescent="0.3">
      <c r="D242" s="36" t="s">
        <v>331</v>
      </c>
      <c r="E242" s="10">
        <v>0</v>
      </c>
      <c r="F242" s="39">
        <v>2</v>
      </c>
      <c r="G242" s="18"/>
      <c r="H242" s="18"/>
      <c r="I242" s="37"/>
      <c r="J242" s="10"/>
      <c r="K242" s="11"/>
      <c r="L242" s="124" t="s">
        <v>382</v>
      </c>
      <c r="M242" s="37" t="s">
        <v>310</v>
      </c>
      <c r="N242" s="39" t="s">
        <v>383</v>
      </c>
      <c r="R242" s="150" t="s">
        <v>331</v>
      </c>
      <c r="S242" s="36">
        <v>0</v>
      </c>
      <c r="T242" s="37">
        <v>1</v>
      </c>
      <c r="U242" s="10"/>
      <c r="V242" s="18"/>
      <c r="W242" s="11"/>
      <c r="X242" s="18"/>
      <c r="Y242" s="11"/>
      <c r="Z242" s="128" t="s">
        <v>310</v>
      </c>
      <c r="AA242" s="37" t="s">
        <v>207</v>
      </c>
      <c r="AB242" s="39" t="s">
        <v>747</v>
      </c>
      <c r="AH242" t="s">
        <v>223</v>
      </c>
      <c r="AI242">
        <f>SUM(AI241+AI215+AI211+AI206+AI203+AI201)</f>
        <v>2027</v>
      </c>
      <c r="AJ242">
        <f>SUM(AJ241+AJ215+AJ211+AJ206+AJ201+AJ203)</f>
        <v>2104</v>
      </c>
      <c r="AK242">
        <v>0</v>
      </c>
      <c r="AL242">
        <f>SUM(AL241+AL215+AL211+AL206+AL203+AL199)</f>
        <v>0</v>
      </c>
      <c r="AM242">
        <v>0</v>
      </c>
      <c r="AN242">
        <f>SUM(AN241+AN215+AN211+AN205+AN203+AN199)</f>
        <v>71964</v>
      </c>
      <c r="AO242">
        <f>SUM(AO241+AO215+AO211+AO205+AO203+AO199)</f>
        <v>19089</v>
      </c>
      <c r="AQ242" t="s">
        <v>247</v>
      </c>
      <c r="AR242">
        <f>SUM(+AR215+AR211+AR206+AR203+AR201)</f>
        <v>105</v>
      </c>
      <c r="AU242" s="28"/>
      <c r="AX242" s="196" t="s">
        <v>1580</v>
      </c>
      <c r="AY242" s="138">
        <v>0</v>
      </c>
      <c r="AZ242" s="141">
        <v>8</v>
      </c>
      <c r="BA242" s="138"/>
      <c r="BB242" s="28"/>
      <c r="BC242" s="141"/>
      <c r="BD242" s="138"/>
      <c r="BE242" s="141"/>
      <c r="BF242" s="138"/>
      <c r="BG242" s="28"/>
      <c r="BH242" s="141"/>
      <c r="BS242" s="250" t="s">
        <v>1455</v>
      </c>
      <c r="BT242" s="250"/>
      <c r="BU242" s="250"/>
      <c r="BV242" s="28"/>
      <c r="BW242" s="28"/>
      <c r="BX242" s="238" t="s">
        <v>950</v>
      </c>
      <c r="BY242" s="28"/>
    </row>
    <row r="243" spans="4:77" x14ac:dyDescent="0.3">
      <c r="D243" s="98" t="s">
        <v>384</v>
      </c>
      <c r="E243" s="10">
        <v>1</v>
      </c>
      <c r="F243" s="39">
        <v>0</v>
      </c>
      <c r="G243" s="18"/>
      <c r="H243" s="18"/>
      <c r="I243" s="18"/>
      <c r="J243" s="10"/>
      <c r="K243" s="11"/>
      <c r="L243" s="52" t="s">
        <v>385</v>
      </c>
      <c r="M243" s="37" t="s">
        <v>386</v>
      </c>
      <c r="N243" s="39"/>
      <c r="R243" s="36" t="s">
        <v>184</v>
      </c>
      <c r="S243" s="36">
        <v>2</v>
      </c>
      <c r="T243" s="37">
        <v>4</v>
      </c>
      <c r="U243" s="10"/>
      <c r="V243" s="18"/>
      <c r="W243" s="11"/>
      <c r="X243" s="18"/>
      <c r="Y243" s="11"/>
      <c r="Z243" s="128" t="s">
        <v>748</v>
      </c>
      <c r="AA243" s="37" t="s">
        <v>304</v>
      </c>
      <c r="AB243" s="39" t="s">
        <v>749</v>
      </c>
      <c r="AH243" t="s">
        <v>225</v>
      </c>
      <c r="AJ243">
        <f>SUM(AR241)</f>
        <v>45</v>
      </c>
      <c r="AX243" s="196" t="s">
        <v>99</v>
      </c>
      <c r="AY243" s="138">
        <v>0</v>
      </c>
      <c r="AZ243" s="141">
        <v>3</v>
      </c>
      <c r="BA243" s="138" t="s">
        <v>150</v>
      </c>
      <c r="BB243" s="28"/>
      <c r="BC243" s="141"/>
      <c r="BD243" s="138"/>
      <c r="BE243" s="141"/>
      <c r="BF243" s="138" t="s">
        <v>151</v>
      </c>
      <c r="BG243" s="28"/>
      <c r="BH243" s="141"/>
      <c r="BN243" s="195" t="s">
        <v>17</v>
      </c>
      <c r="BO243" s="134" t="s">
        <v>27</v>
      </c>
      <c r="BP243" s="135"/>
      <c r="BQ243" s="134" t="s">
        <v>28</v>
      </c>
      <c r="BR243" s="135"/>
      <c r="BS243" s="136"/>
      <c r="BT243" s="134" t="s">
        <v>1459</v>
      </c>
      <c r="BU243" s="136"/>
      <c r="BV243" s="135" t="s">
        <v>31</v>
      </c>
      <c r="BW243" s="135"/>
      <c r="BX243" s="136"/>
    </row>
    <row r="244" spans="4:77" x14ac:dyDescent="0.3">
      <c r="D244" s="92" t="s">
        <v>64</v>
      </c>
      <c r="E244" s="84">
        <v>0</v>
      </c>
      <c r="F244" s="86">
        <v>0</v>
      </c>
      <c r="G244" s="45"/>
      <c r="H244" s="45"/>
      <c r="I244" s="45"/>
      <c r="J244" s="10"/>
      <c r="K244" s="11"/>
      <c r="L244" s="112" t="s">
        <v>387</v>
      </c>
      <c r="M244" s="54"/>
      <c r="N244" s="86"/>
      <c r="R244" s="36" t="s">
        <v>190</v>
      </c>
      <c r="S244" s="10">
        <v>1</v>
      </c>
      <c r="T244" s="37">
        <v>0</v>
      </c>
      <c r="U244" s="10"/>
      <c r="V244" s="18"/>
      <c r="W244" s="39"/>
      <c r="X244" s="18"/>
      <c r="Y244" s="11"/>
      <c r="Z244" s="159"/>
      <c r="AA244" s="37"/>
      <c r="AB244" s="39"/>
      <c r="AH244" t="s">
        <v>229</v>
      </c>
      <c r="AJ244">
        <f>8+4+2</f>
        <v>14</v>
      </c>
      <c r="AX244" s="196" t="s">
        <v>85</v>
      </c>
      <c r="AY244" s="138">
        <v>0</v>
      </c>
      <c r="AZ244" s="141">
        <v>0</v>
      </c>
      <c r="BA244" s="138"/>
      <c r="BB244" s="28"/>
      <c r="BC244" s="141"/>
      <c r="BD244" s="138"/>
      <c r="BE244" s="141"/>
      <c r="BF244" s="316" t="s">
        <v>1581</v>
      </c>
      <c r="BG244" s="257" t="s">
        <v>651</v>
      </c>
      <c r="BH244" s="141" t="s">
        <v>1136</v>
      </c>
      <c r="BN244" s="196"/>
      <c r="BO244" s="138"/>
      <c r="BP244" s="28"/>
      <c r="BQ244" s="138"/>
      <c r="BR244" s="28"/>
      <c r="BS244" s="141"/>
      <c r="BT244" s="138"/>
      <c r="BU244" s="141"/>
      <c r="BV244" s="28" t="s">
        <v>41</v>
      </c>
      <c r="BW244" s="28"/>
      <c r="BX244" s="141"/>
    </row>
    <row r="245" spans="4:77" x14ac:dyDescent="0.3">
      <c r="D245" s="127" t="s">
        <v>388</v>
      </c>
      <c r="E245" s="84">
        <v>8</v>
      </c>
      <c r="F245" s="86">
        <v>8</v>
      </c>
      <c r="G245" s="45"/>
      <c r="H245" s="45"/>
      <c r="I245" s="45"/>
      <c r="J245" s="84"/>
      <c r="K245" s="85"/>
      <c r="L245" s="52"/>
      <c r="M245" s="54"/>
      <c r="N245" s="40"/>
      <c r="R245" s="150" t="s">
        <v>669</v>
      </c>
      <c r="S245" s="10">
        <v>9</v>
      </c>
      <c r="T245" s="37">
        <v>7</v>
      </c>
      <c r="U245" s="10"/>
      <c r="V245" s="18"/>
      <c r="W245" s="11"/>
      <c r="X245" s="18"/>
      <c r="Y245" s="11"/>
      <c r="Z245" s="179"/>
      <c r="AA245" s="37"/>
      <c r="AB245" s="39"/>
      <c r="AH245" t="s">
        <v>232</v>
      </c>
      <c r="AJ245" t="s">
        <v>233</v>
      </c>
      <c r="AL245">
        <f>SUM(T243)</f>
        <v>4</v>
      </c>
      <c r="AN245" t="s">
        <v>234</v>
      </c>
      <c r="AP245" t="s">
        <v>233</v>
      </c>
      <c r="AR245">
        <f>SUM(AI242)</f>
        <v>2027</v>
      </c>
      <c r="AX245" s="196" t="s">
        <v>107</v>
      </c>
      <c r="AY245" s="138">
        <v>0</v>
      </c>
      <c r="AZ245" s="141">
        <v>6</v>
      </c>
      <c r="BA245" s="138"/>
      <c r="BB245" s="28"/>
      <c r="BC245" s="141"/>
      <c r="BD245" s="138"/>
      <c r="BE245" s="141"/>
      <c r="BF245" s="138" t="s">
        <v>378</v>
      </c>
      <c r="BG245" s="28" t="s">
        <v>258</v>
      </c>
      <c r="BH245" s="141" t="s">
        <v>1582</v>
      </c>
      <c r="BN245" s="199" t="s">
        <v>42</v>
      </c>
      <c r="BO245" s="142" t="s">
        <v>43</v>
      </c>
      <c r="BP245" s="143" t="s">
        <v>44</v>
      </c>
      <c r="BQ245" s="142" t="s">
        <v>45</v>
      </c>
      <c r="BR245" s="143" t="s">
        <v>46</v>
      </c>
      <c r="BS245" s="146" t="s">
        <v>52</v>
      </c>
      <c r="BT245" s="142" t="s">
        <v>43</v>
      </c>
      <c r="BU245" s="146"/>
      <c r="BV245" s="143" t="s">
        <v>54</v>
      </c>
      <c r="BW245" s="143"/>
      <c r="BX245" s="146"/>
    </row>
    <row r="246" spans="4:77" x14ac:dyDescent="0.3">
      <c r="D246" s="127" t="s">
        <v>389</v>
      </c>
      <c r="E246" s="84">
        <v>0</v>
      </c>
      <c r="F246" s="86">
        <f>4+1</f>
        <v>5</v>
      </c>
      <c r="G246" s="45"/>
      <c r="H246" s="45"/>
      <c r="I246" s="45"/>
      <c r="J246" s="84"/>
      <c r="K246" s="85"/>
      <c r="L246" s="52"/>
      <c r="M246" s="54"/>
      <c r="N246" s="40"/>
      <c r="R246" s="92" t="s">
        <v>605</v>
      </c>
      <c r="S246" s="84">
        <v>1</v>
      </c>
      <c r="T246" s="54">
        <v>0</v>
      </c>
      <c r="U246" s="84"/>
      <c r="V246" s="45"/>
      <c r="W246" s="85"/>
      <c r="X246" s="18"/>
      <c r="Y246" s="11"/>
      <c r="Z246" s="179"/>
      <c r="AA246" s="54"/>
      <c r="AB246" s="86"/>
      <c r="AG246" t="s">
        <v>6</v>
      </c>
      <c r="AJ246" t="s">
        <v>236</v>
      </c>
      <c r="AL246">
        <f>SUM(U243)</f>
        <v>0</v>
      </c>
      <c r="AP246" t="s">
        <v>236</v>
      </c>
      <c r="AR246">
        <f>SUM(AJ242)</f>
        <v>2104</v>
      </c>
      <c r="AX246" s="196" t="s">
        <v>139</v>
      </c>
      <c r="AY246" s="138">
        <v>0</v>
      </c>
      <c r="AZ246" s="141">
        <v>2</v>
      </c>
      <c r="BA246" s="138"/>
      <c r="BB246" s="28"/>
      <c r="BC246" s="141"/>
      <c r="BD246" s="138"/>
      <c r="BE246" s="141"/>
      <c r="BF246" s="138" t="s">
        <v>325</v>
      </c>
      <c r="BG246" s="28" t="s">
        <v>333</v>
      </c>
      <c r="BH246" s="141" t="s">
        <v>1583</v>
      </c>
      <c r="BN246" s="195"/>
      <c r="BO246" s="134"/>
      <c r="BP246" s="136"/>
      <c r="BQ246" s="134">
        <v>0</v>
      </c>
      <c r="BR246" s="135">
        <v>0</v>
      </c>
      <c r="BS246" s="136">
        <v>0</v>
      </c>
      <c r="BT246" s="134">
        <v>0</v>
      </c>
      <c r="BU246" s="136">
        <v>0</v>
      </c>
      <c r="BV246" s="134" t="s">
        <v>58</v>
      </c>
      <c r="BW246" s="135"/>
      <c r="BX246" s="136"/>
    </row>
    <row r="247" spans="4:77" x14ac:dyDescent="0.3">
      <c r="D247" s="127" t="s">
        <v>99</v>
      </c>
      <c r="E247" s="84">
        <v>0</v>
      </c>
      <c r="F247" s="86">
        <v>1</v>
      </c>
      <c r="G247" s="28"/>
      <c r="H247" s="45"/>
      <c r="I247" s="28"/>
      <c r="J247" s="84"/>
      <c r="K247" s="85"/>
      <c r="L247" s="98"/>
      <c r="M247" s="54"/>
      <c r="N247" s="86"/>
      <c r="R247" s="67" t="s">
        <v>564</v>
      </c>
      <c r="S247" s="84">
        <v>5</v>
      </c>
      <c r="T247" s="54">
        <v>3</v>
      </c>
      <c r="U247" s="84"/>
      <c r="V247" s="45"/>
      <c r="W247" s="85"/>
      <c r="X247" s="45"/>
      <c r="Y247" s="85"/>
      <c r="Z247" s="179"/>
      <c r="AA247" s="54"/>
      <c r="AB247" s="180"/>
      <c r="AH247" t="s">
        <v>238</v>
      </c>
      <c r="AI247" t="s">
        <v>239</v>
      </c>
      <c r="AK247" t="s">
        <v>240</v>
      </c>
      <c r="AL247" t="s">
        <v>241</v>
      </c>
      <c r="AO247" t="s">
        <v>242</v>
      </c>
      <c r="AP247" t="s">
        <v>243</v>
      </c>
      <c r="AX247" s="196" t="s">
        <v>133</v>
      </c>
      <c r="AY247" s="138">
        <v>1</v>
      </c>
      <c r="AZ247" s="141">
        <v>0</v>
      </c>
      <c r="BA247" s="138"/>
      <c r="BB247" s="28"/>
      <c r="BC247" s="141"/>
      <c r="BD247" s="138"/>
      <c r="BE247" s="141"/>
      <c r="BF247" s="138" t="s">
        <v>1584</v>
      </c>
      <c r="BG247" s="43" t="s">
        <v>330</v>
      </c>
      <c r="BH247" s="141" t="s">
        <v>602</v>
      </c>
      <c r="BN247" s="196" t="s">
        <v>107</v>
      </c>
      <c r="BO247" s="138">
        <v>11</v>
      </c>
      <c r="BP247" s="141">
        <v>25</v>
      </c>
      <c r="BQ247" s="138">
        <v>0</v>
      </c>
      <c r="BR247" s="43">
        <v>0</v>
      </c>
      <c r="BS247" s="209">
        <v>0</v>
      </c>
      <c r="BT247" s="138">
        <v>0</v>
      </c>
      <c r="BU247" s="141">
        <v>0</v>
      </c>
      <c r="BV247" s="212">
        <v>8</v>
      </c>
      <c r="BW247" s="28" t="s">
        <v>65</v>
      </c>
      <c r="BX247" s="141"/>
    </row>
    <row r="248" spans="4:77" x14ac:dyDescent="0.3">
      <c r="D248" s="127" t="s">
        <v>218</v>
      </c>
      <c r="E248" s="84">
        <v>0</v>
      </c>
      <c r="F248" s="86">
        <v>7</v>
      </c>
      <c r="G248" s="28"/>
      <c r="H248" s="45"/>
      <c r="I248" s="28"/>
      <c r="J248" s="84"/>
      <c r="K248" s="85"/>
      <c r="L248" s="52"/>
      <c r="M248" s="54"/>
      <c r="N248" s="40"/>
      <c r="R248" s="67" t="s">
        <v>220</v>
      </c>
      <c r="S248" s="84">
        <v>2</v>
      </c>
      <c r="T248" s="54">
        <v>1</v>
      </c>
      <c r="U248" s="84"/>
      <c r="V248" s="45"/>
      <c r="W248" s="85"/>
      <c r="X248" s="45"/>
      <c r="Y248" s="85"/>
      <c r="Z248" s="179"/>
      <c r="AA248" s="54"/>
      <c r="AB248" s="180"/>
      <c r="AH248" t="s">
        <v>233</v>
      </c>
      <c r="AJ248" t="e">
        <f>SUM(#REF!)</f>
        <v>#REF!</v>
      </c>
      <c r="AK248" t="s">
        <v>233</v>
      </c>
      <c r="AM248">
        <f>SUM(F230)</f>
        <v>0</v>
      </c>
      <c r="AN248" t="s">
        <v>233</v>
      </c>
      <c r="AP248">
        <f>SUM(AM248+AI242)</f>
        <v>2027</v>
      </c>
      <c r="AQ248" t="s">
        <v>245</v>
      </c>
      <c r="AR248" t="e">
        <f>SUM(AJ248+AP248)</f>
        <v>#REF!</v>
      </c>
      <c r="AX248" s="196" t="s">
        <v>120</v>
      </c>
      <c r="AY248" s="138">
        <v>0</v>
      </c>
      <c r="AZ248" s="141">
        <v>1</v>
      </c>
      <c r="BA248" s="138"/>
      <c r="BB248" s="28"/>
      <c r="BC248" s="141"/>
      <c r="BD248" s="138"/>
      <c r="BE248" s="141"/>
      <c r="BF248" s="138" t="s">
        <v>1585</v>
      </c>
      <c r="BG248" s="43" t="s">
        <v>1586</v>
      </c>
      <c r="BH248" s="141" t="s">
        <v>1587</v>
      </c>
      <c r="BN248" s="196" t="s">
        <v>64</v>
      </c>
      <c r="BO248" s="138">
        <v>128</v>
      </c>
      <c r="BP248" s="141">
        <v>120</v>
      </c>
      <c r="BQ248" s="138">
        <v>0</v>
      </c>
      <c r="BR248" s="43">
        <v>0</v>
      </c>
      <c r="BS248" s="209">
        <v>0</v>
      </c>
      <c r="BT248" s="138">
        <v>0</v>
      </c>
      <c r="BU248" s="141">
        <v>0</v>
      </c>
      <c r="BV248" s="138">
        <v>5</v>
      </c>
      <c r="BW248" s="28" t="s">
        <v>69</v>
      </c>
      <c r="BX248" s="141"/>
    </row>
    <row r="249" spans="4:77" x14ac:dyDescent="0.3">
      <c r="D249" s="98" t="s">
        <v>220</v>
      </c>
      <c r="E249" s="10">
        <v>0</v>
      </c>
      <c r="F249" s="11">
        <v>0</v>
      </c>
      <c r="G249" s="18"/>
      <c r="H249" s="18"/>
      <c r="I249" s="18"/>
      <c r="J249" s="10"/>
      <c r="K249" s="11"/>
      <c r="L249" s="52"/>
      <c r="M249" s="37"/>
      <c r="N249" s="129"/>
      <c r="R249" s="127" t="s">
        <v>403</v>
      </c>
      <c r="S249" s="84">
        <v>0</v>
      </c>
      <c r="T249" s="54">
        <v>1</v>
      </c>
      <c r="U249" s="42"/>
      <c r="V249" s="45"/>
      <c r="W249" s="40"/>
      <c r="X249" s="45"/>
      <c r="Y249" s="85"/>
      <c r="Z249" s="158"/>
      <c r="AA249" s="54"/>
      <c r="AB249" s="86"/>
      <c r="AH249" t="s">
        <v>236</v>
      </c>
      <c r="AJ249" t="e">
        <f>SUM(#REF!)</f>
        <v>#REF!</v>
      </c>
      <c r="AK249" t="s">
        <v>236</v>
      </c>
      <c r="AM249">
        <f>SUM(G230)</f>
        <v>0</v>
      </c>
      <c r="AN249" t="s">
        <v>236</v>
      </c>
      <c r="AP249">
        <f>SUM(AM249+AJ242)</f>
        <v>2104</v>
      </c>
      <c r="AR249" t="e">
        <f>SUM(AJ249+AP249)</f>
        <v>#REF!</v>
      </c>
      <c r="AW249" t="s">
        <v>6</v>
      </c>
      <c r="AX249" s="196" t="s">
        <v>1588</v>
      </c>
      <c r="AY249" s="138">
        <v>0</v>
      </c>
      <c r="AZ249" s="141">
        <v>7</v>
      </c>
      <c r="BA249" s="138"/>
      <c r="BB249" s="28"/>
      <c r="BC249" s="141"/>
      <c r="BD249" s="138"/>
      <c r="BE249" s="141"/>
      <c r="BF249" s="315" t="s">
        <v>1323</v>
      </c>
      <c r="BG249" s="215" t="s">
        <v>1589</v>
      </c>
      <c r="BH249" s="141" t="s">
        <v>799</v>
      </c>
      <c r="BN249" s="211" t="s">
        <v>84</v>
      </c>
      <c r="BO249" s="142">
        <v>139</v>
      </c>
      <c r="BP249" s="146">
        <v>145</v>
      </c>
      <c r="BQ249" s="142">
        <v>0</v>
      </c>
      <c r="BR249" s="143">
        <v>0</v>
      </c>
      <c r="BS249" s="146">
        <v>0</v>
      </c>
      <c r="BT249" s="142">
        <v>0</v>
      </c>
      <c r="BU249" s="146">
        <v>0</v>
      </c>
      <c r="BV249" s="142"/>
      <c r="BW249" s="143"/>
      <c r="BX249" s="146">
        <v>13</v>
      </c>
    </row>
    <row r="250" spans="4:77" ht="15" thickBot="1" x14ac:dyDescent="0.35">
      <c r="D250" s="13" t="s">
        <v>84</v>
      </c>
      <c r="E250" s="13">
        <f>SUM(E228:E249)</f>
        <v>223</v>
      </c>
      <c r="F250" s="26">
        <f>SUM(F228:F249)</f>
        <v>186</v>
      </c>
      <c r="G250" s="27">
        <v>0</v>
      </c>
      <c r="H250" s="27">
        <f>SUM(H228:H249)</f>
        <v>0</v>
      </c>
      <c r="I250" s="27">
        <v>0</v>
      </c>
      <c r="J250" s="130">
        <v>0</v>
      </c>
      <c r="K250" s="26">
        <v>0</v>
      </c>
      <c r="L250" s="59"/>
      <c r="M250" s="27"/>
      <c r="N250" s="26">
        <f>8+8+5+7+7+11+11+6+4+3+5+3+4+5+1</f>
        <v>88</v>
      </c>
      <c r="R250" s="127" t="s">
        <v>218</v>
      </c>
      <c r="S250" s="84">
        <v>0</v>
      </c>
      <c r="T250" s="54">
        <v>33</v>
      </c>
      <c r="U250" s="42"/>
      <c r="V250" s="45">
        <v>0</v>
      </c>
      <c r="W250" s="40"/>
      <c r="X250" s="45"/>
      <c r="Y250" s="85"/>
      <c r="Z250" s="179"/>
      <c r="AA250" s="54"/>
      <c r="AB250" s="180"/>
      <c r="AX250" s="196" t="s">
        <v>64</v>
      </c>
      <c r="AY250" s="138">
        <v>0</v>
      </c>
      <c r="AZ250" s="141">
        <v>0</v>
      </c>
      <c r="BA250" s="138"/>
      <c r="BB250" s="28"/>
      <c r="BC250" s="141"/>
      <c r="BD250" s="138"/>
      <c r="BE250" s="141"/>
      <c r="BF250" s="316" t="s">
        <v>563</v>
      </c>
      <c r="BG250" s="43" t="s">
        <v>634</v>
      </c>
      <c r="BH250" s="209" t="s">
        <v>740</v>
      </c>
      <c r="BN250" s="195"/>
      <c r="BO250" s="135"/>
      <c r="BP250" s="136"/>
      <c r="BQ250" s="240"/>
      <c r="BR250" s="241"/>
      <c r="BS250" s="242"/>
      <c r="BT250" s="134"/>
      <c r="BU250" s="136"/>
      <c r="BV250" s="135"/>
      <c r="BW250" s="135" t="s">
        <v>92</v>
      </c>
      <c r="BX250" s="136"/>
    </row>
    <row r="251" spans="4:77" ht="16.2" thickBot="1" x14ac:dyDescent="0.35">
      <c r="D251" s="13" t="s">
        <v>223</v>
      </c>
      <c r="E251" s="13">
        <f>SUM(E250+E227+E224+E220+E216+E213+E211+E209)</f>
        <v>1708</v>
      </c>
      <c r="F251" s="26">
        <f>SUM(F250+F227+F224+F220+F216+F213+F211+F209)</f>
        <v>1730</v>
      </c>
      <c r="G251" s="27">
        <f>SUM(G250+G227+G220+G215+G213+G211+G208)</f>
        <v>0</v>
      </c>
      <c r="H251" s="27">
        <f>SUM(H228:H249)</f>
        <v>0</v>
      </c>
      <c r="I251" s="27">
        <f>SUM(I250+I227+I220+I215+I213+I211+I208)</f>
        <v>0</v>
      </c>
      <c r="J251" s="13">
        <f>SUM(J250+J227+J220+J215+J213+J211+J208)</f>
        <v>44499</v>
      </c>
      <c r="K251" s="26">
        <f>SUM(K250+K227+K220+K215+K213+K211+K208)</f>
        <v>14773</v>
      </c>
      <c r="L251" s="81"/>
      <c r="M251" s="27" t="s">
        <v>189</v>
      </c>
      <c r="N251" s="26">
        <f>SUM(N208:N249)</f>
        <v>178</v>
      </c>
      <c r="R251" s="181" t="s">
        <v>358</v>
      </c>
      <c r="S251" s="10">
        <v>0</v>
      </c>
      <c r="T251" s="18">
        <v>5</v>
      </c>
      <c r="U251" s="10"/>
      <c r="V251" s="18"/>
      <c r="W251" s="11"/>
      <c r="X251" s="18"/>
      <c r="Y251" s="11"/>
      <c r="Z251" s="179"/>
      <c r="AA251" s="37"/>
      <c r="AB251" s="182"/>
      <c r="AX251" s="196" t="s">
        <v>1590</v>
      </c>
      <c r="AY251" s="138">
        <v>0</v>
      </c>
      <c r="AZ251" s="141">
        <v>2</v>
      </c>
      <c r="BA251" s="138"/>
      <c r="BB251" s="28"/>
      <c r="BC251" s="141"/>
      <c r="BD251" s="138"/>
      <c r="BE251" s="141"/>
      <c r="BF251" s="138" t="s">
        <v>693</v>
      </c>
      <c r="BG251" s="258" t="s">
        <v>638</v>
      </c>
      <c r="BH251" s="261" t="s">
        <v>739</v>
      </c>
      <c r="BN251" s="196"/>
      <c r="BO251" s="28"/>
      <c r="BP251" s="141"/>
      <c r="BQ251" s="138"/>
      <c r="BR251" s="43"/>
      <c r="BS251" s="141"/>
      <c r="BT251" s="138"/>
      <c r="BU251" s="141"/>
      <c r="BV251" s="43">
        <v>30</v>
      </c>
      <c r="BW251" s="43" t="s">
        <v>1297</v>
      </c>
      <c r="BX251" s="141"/>
      <c r="BY251" s="28"/>
    </row>
    <row r="252" spans="4:77" ht="15" thickBot="1" x14ac:dyDescent="0.35">
      <c r="D252" s="131" t="s">
        <v>225</v>
      </c>
      <c r="F252">
        <f>SUM(N250)</f>
        <v>88</v>
      </c>
      <c r="I252" s="132"/>
      <c r="R252" s="13" t="s">
        <v>84</v>
      </c>
      <c r="S252" s="13">
        <f>SUM(S227:S251)</f>
        <v>202</v>
      </c>
      <c r="T252" s="27">
        <f>SUM(T227:T251)</f>
        <v>277</v>
      </c>
      <c r="U252" s="13">
        <v>0</v>
      </c>
      <c r="V252" s="27">
        <f>SUM(V227:V251)</f>
        <v>0</v>
      </c>
      <c r="W252" s="26">
        <v>0</v>
      </c>
      <c r="X252" s="58">
        <v>0</v>
      </c>
      <c r="Y252" s="26">
        <v>0</v>
      </c>
      <c r="Z252" s="81"/>
      <c r="AA252" s="27"/>
      <c r="AB252" s="26">
        <f>5+4+4+4+11+6+15+7+7+5+4+3+6+4+3</f>
        <v>88</v>
      </c>
      <c r="AX252" s="196" t="s">
        <v>502</v>
      </c>
      <c r="AY252" s="138">
        <v>6</v>
      </c>
      <c r="AZ252" s="141">
        <v>0</v>
      </c>
      <c r="BA252" s="138"/>
      <c r="BB252" s="28"/>
      <c r="BC252" s="141"/>
      <c r="BD252" s="138"/>
      <c r="BE252" s="141"/>
      <c r="BF252" s="138" t="s">
        <v>1591</v>
      </c>
      <c r="BG252" s="228" t="s">
        <v>1592</v>
      </c>
      <c r="BH252" s="141" t="s">
        <v>1521</v>
      </c>
      <c r="BN252" s="196" t="s">
        <v>1247</v>
      </c>
      <c r="BO252" s="28"/>
      <c r="BP252" s="141"/>
      <c r="BQ252" s="212">
        <v>0</v>
      </c>
      <c r="BR252" s="43">
        <v>0</v>
      </c>
      <c r="BS252" s="209">
        <v>0</v>
      </c>
      <c r="BT252" s="28">
        <v>3024</v>
      </c>
      <c r="BU252" s="141">
        <v>909</v>
      </c>
      <c r="BV252" s="43"/>
      <c r="BW252" s="43"/>
      <c r="BX252" s="141"/>
      <c r="BY252" s="28"/>
    </row>
    <row r="253" spans="4:77" ht="16.2" thickBot="1" x14ac:dyDescent="0.35">
      <c r="D253" t="s">
        <v>229</v>
      </c>
      <c r="F253">
        <f>1+1+15+4+41</f>
        <v>62</v>
      </c>
      <c r="R253" s="13" t="s">
        <v>223</v>
      </c>
      <c r="S253" s="13">
        <f>SUM(S252+S226+S223+S219+S216+S213+S211)</f>
        <v>1846</v>
      </c>
      <c r="T253" s="26">
        <f>SUM(T252+T226+T223+T219+T216+T213+T211)</f>
        <v>1925</v>
      </c>
      <c r="U253" s="26">
        <f>SUM(U252+U226+U223+U219+U216+U213+U211)</f>
        <v>0</v>
      </c>
      <c r="V253" s="26">
        <f>SUM(V252+V226+V223+V219+V216+V213+V211)</f>
        <v>0</v>
      </c>
      <c r="W253" s="26">
        <f>SUM(W252+W226+W223+W219+W216+W213+W211)</f>
        <v>0</v>
      </c>
      <c r="X253" s="160">
        <f>SUM(X252+X226+X223+X219+X215+X213+X211)</f>
        <v>59052</v>
      </c>
      <c r="Y253" s="26">
        <f>SUM(Y252+Y226+Y223+Y219+Y215+Y213+Y211)</f>
        <v>15205</v>
      </c>
      <c r="Z253" s="81"/>
      <c r="AA253" s="27" t="s">
        <v>247</v>
      </c>
      <c r="AB253" s="26">
        <f>SUM(AB211:AB252)</f>
        <v>232</v>
      </c>
      <c r="AX253" s="259" t="s">
        <v>605</v>
      </c>
      <c r="AY253" s="138">
        <v>7</v>
      </c>
      <c r="AZ253" s="141">
        <v>0</v>
      </c>
      <c r="BA253" s="138"/>
      <c r="BB253" s="28"/>
      <c r="BC253" s="141"/>
      <c r="BD253" s="138"/>
      <c r="BE253" s="141"/>
      <c r="BF253" s="138" t="s">
        <v>1593</v>
      </c>
      <c r="BG253" s="258"/>
      <c r="BH253" s="141"/>
      <c r="BN253" s="196" t="s">
        <v>99</v>
      </c>
      <c r="BO253" s="43"/>
      <c r="BP253" s="141"/>
      <c r="BQ253" s="138">
        <v>0</v>
      </c>
      <c r="BR253" s="43">
        <v>0</v>
      </c>
      <c r="BS253" s="141">
        <v>0</v>
      </c>
      <c r="BT253" s="43">
        <v>78970</v>
      </c>
      <c r="BU253" s="141">
        <v>20898</v>
      </c>
      <c r="BV253" s="43"/>
      <c r="BW253" s="28"/>
      <c r="BX253" s="141"/>
      <c r="BY253" s="28"/>
    </row>
    <row r="254" spans="4:77" ht="15.6" x14ac:dyDescent="0.3">
      <c r="D254" t="s">
        <v>232</v>
      </c>
      <c r="F254" t="s">
        <v>233</v>
      </c>
      <c r="H254" t="e">
        <f>SUM(#REF!)</f>
        <v>#REF!</v>
      </c>
      <c r="J254" t="s">
        <v>234</v>
      </c>
      <c r="L254" t="s">
        <v>233</v>
      </c>
      <c r="N254">
        <f>SUM(E251)</f>
        <v>1708</v>
      </c>
      <c r="R254" s="131" t="s">
        <v>225</v>
      </c>
      <c r="T254">
        <f>SUM(AB252)</f>
        <v>88</v>
      </c>
      <c r="V254" t="s">
        <v>750</v>
      </c>
      <c r="W254" s="132"/>
      <c r="AX254" s="196" t="s">
        <v>1595</v>
      </c>
      <c r="AY254" s="138">
        <v>6</v>
      </c>
      <c r="AZ254" s="141">
        <v>0</v>
      </c>
      <c r="BA254" s="138"/>
      <c r="BB254" s="28"/>
      <c r="BC254" s="141"/>
      <c r="BD254" s="138"/>
      <c r="BE254" s="141"/>
      <c r="BF254" s="138"/>
      <c r="BG254" s="258"/>
      <c r="BH254" s="141"/>
      <c r="BN254" s="211" t="s">
        <v>174</v>
      </c>
      <c r="BO254" s="28"/>
      <c r="BP254" s="141"/>
      <c r="BQ254" s="138">
        <v>0</v>
      </c>
      <c r="BR254" s="43">
        <v>0</v>
      </c>
      <c r="BS254" s="141">
        <v>0</v>
      </c>
      <c r="BT254" s="28">
        <v>0</v>
      </c>
      <c r="BU254" s="141">
        <v>909</v>
      </c>
      <c r="BV254" s="28"/>
      <c r="BW254" s="28"/>
      <c r="BX254" s="141"/>
      <c r="BY254" s="28"/>
    </row>
    <row r="255" spans="4:77" x14ac:dyDescent="0.3">
      <c r="F255" t="s">
        <v>236</v>
      </c>
      <c r="H255" t="e">
        <f>SUM(#REF!)</f>
        <v>#REF!</v>
      </c>
      <c r="L255" t="s">
        <v>236</v>
      </c>
      <c r="N255">
        <f>SUM(F251)</f>
        <v>1730</v>
      </c>
      <c r="R255" t="s">
        <v>229</v>
      </c>
      <c r="T255">
        <f>12+7+7</f>
        <v>26</v>
      </c>
      <c r="AL255" t="s">
        <v>5</v>
      </c>
      <c r="AX255" s="196" t="s">
        <v>862</v>
      </c>
      <c r="AY255" s="138">
        <v>0</v>
      </c>
      <c r="AZ255" s="141">
        <v>9</v>
      </c>
      <c r="BA255" s="138"/>
      <c r="BB255" s="28"/>
      <c r="BC255" s="141"/>
      <c r="BD255" s="138"/>
      <c r="BE255" s="141"/>
      <c r="BF255" s="138"/>
      <c r="BG255" s="28"/>
      <c r="BH255" s="141"/>
      <c r="BN255" s="196" t="s">
        <v>64</v>
      </c>
      <c r="BO255" s="43"/>
      <c r="BP255" s="141"/>
      <c r="BQ255" s="138">
        <v>0</v>
      </c>
      <c r="BR255" s="43">
        <v>0</v>
      </c>
      <c r="BS255" s="141">
        <v>0</v>
      </c>
      <c r="BT255" s="43">
        <v>4405</v>
      </c>
      <c r="BU255" s="141">
        <v>1818</v>
      </c>
      <c r="BV255" s="43"/>
      <c r="BW255" s="43"/>
      <c r="BX255" s="141"/>
      <c r="BY255" s="28"/>
    </row>
    <row r="256" spans="4:77" x14ac:dyDescent="0.3">
      <c r="D256" s="134" t="s">
        <v>238</v>
      </c>
      <c r="E256" s="135" t="s">
        <v>239</v>
      </c>
      <c r="F256" s="136"/>
      <c r="G256" s="134" t="s">
        <v>240</v>
      </c>
      <c r="H256" s="135" t="s">
        <v>241</v>
      </c>
      <c r="I256" s="136"/>
      <c r="J256" s="134"/>
      <c r="K256" s="135" t="s">
        <v>242</v>
      </c>
      <c r="L256" s="137" t="s">
        <v>243</v>
      </c>
      <c r="M256" s="135"/>
      <c r="N256" s="135"/>
      <c r="O256" s="136"/>
      <c r="R256" t="s">
        <v>232</v>
      </c>
      <c r="T256" t="s">
        <v>233</v>
      </c>
      <c r="V256">
        <f>SUM(G253)</f>
        <v>0</v>
      </c>
      <c r="X256" t="s">
        <v>234</v>
      </c>
      <c r="Z256" t="s">
        <v>233</v>
      </c>
      <c r="AB256">
        <f>SUM(S253)</f>
        <v>1846</v>
      </c>
      <c r="AM256" t="s">
        <v>2</v>
      </c>
      <c r="AX256" s="196" t="s">
        <v>200</v>
      </c>
      <c r="AY256" s="138">
        <v>7</v>
      </c>
      <c r="AZ256" s="141">
        <v>7</v>
      </c>
      <c r="BA256" s="138"/>
      <c r="BB256" s="28"/>
      <c r="BC256" s="141"/>
      <c r="BD256" s="138"/>
      <c r="BE256" s="141"/>
      <c r="BF256" s="138"/>
      <c r="BG256" s="28"/>
      <c r="BH256" s="141"/>
      <c r="BN256" s="211" t="s">
        <v>84</v>
      </c>
      <c r="BO256" s="43"/>
      <c r="BP256" s="209"/>
      <c r="BQ256" s="138">
        <v>0</v>
      </c>
      <c r="BR256" s="43">
        <v>0</v>
      </c>
      <c r="BS256" s="141">
        <v>0</v>
      </c>
      <c r="BT256" s="43">
        <v>86399</v>
      </c>
      <c r="BU256" s="209">
        <v>24534</v>
      </c>
      <c r="BV256" s="28"/>
      <c r="BW256" s="43"/>
      <c r="BX256" s="141">
        <v>30</v>
      </c>
      <c r="BY256" s="28"/>
    </row>
    <row r="257" spans="4:77" x14ac:dyDescent="0.3">
      <c r="D257" s="138" t="s">
        <v>233</v>
      </c>
      <c r="E257" s="28"/>
      <c r="F257" s="139" t="e">
        <f>SUM(#REF!)</f>
        <v>#REF!</v>
      </c>
      <c r="G257" s="138" t="s">
        <v>233</v>
      </c>
      <c r="H257" s="28"/>
      <c r="I257" s="139" t="e">
        <f>SUM(#REF!)</f>
        <v>#REF!</v>
      </c>
      <c r="J257" s="138" t="s">
        <v>233</v>
      </c>
      <c r="K257" s="28"/>
      <c r="L257" s="140" t="e">
        <f>SUM(N254+I257)</f>
        <v>#REF!</v>
      </c>
      <c r="M257" s="28" t="s">
        <v>245</v>
      </c>
      <c r="N257" s="28" t="e">
        <f>SUM(L257+F257)</f>
        <v>#REF!</v>
      </c>
      <c r="O257" s="141"/>
      <c r="Q257" t="s">
        <v>6</v>
      </c>
      <c r="T257" t="s">
        <v>236</v>
      </c>
      <c r="V257">
        <f>SUM(H253)</f>
        <v>0</v>
      </c>
      <c r="Z257" t="s">
        <v>236</v>
      </c>
      <c r="AB257">
        <f>SUM(T253)</f>
        <v>1925</v>
      </c>
      <c r="AK257" t="s">
        <v>13</v>
      </c>
      <c r="AX257" s="196" t="s">
        <v>97</v>
      </c>
      <c r="AY257" s="138">
        <v>1</v>
      </c>
      <c r="AZ257" s="141">
        <v>7</v>
      </c>
      <c r="BA257" s="138"/>
      <c r="BB257" s="28"/>
      <c r="BC257" s="141"/>
      <c r="BD257" s="138"/>
      <c r="BE257" s="141"/>
      <c r="BF257" s="138"/>
      <c r="BG257" s="28"/>
      <c r="BH257" s="141"/>
      <c r="BK257" s="135" t="s">
        <v>91</v>
      </c>
      <c r="BL257">
        <v>2018</v>
      </c>
      <c r="BM257">
        <v>4</v>
      </c>
      <c r="BN257" s="233" t="s">
        <v>137</v>
      </c>
      <c r="BO257" s="135">
        <v>957</v>
      </c>
      <c r="BP257" s="136">
        <v>1149</v>
      </c>
      <c r="BQ257" s="134">
        <v>0</v>
      </c>
      <c r="BR257" s="135">
        <v>0</v>
      </c>
      <c r="BS257" s="136">
        <v>0</v>
      </c>
      <c r="BT257" s="134">
        <v>0</v>
      </c>
      <c r="BU257" s="135">
        <v>0</v>
      </c>
      <c r="BV257" s="134"/>
      <c r="BW257" s="135" t="s">
        <v>91</v>
      </c>
      <c r="BX257" s="136"/>
      <c r="BY257" s="28"/>
    </row>
    <row r="258" spans="4:77" x14ac:dyDescent="0.3">
      <c r="D258" s="142" t="s">
        <v>236</v>
      </c>
      <c r="E258" s="143"/>
      <c r="F258" s="144" t="e">
        <f>SUM(#REF!)</f>
        <v>#REF!</v>
      </c>
      <c r="G258" s="142" t="s">
        <v>236</v>
      </c>
      <c r="H258" s="143"/>
      <c r="I258" s="144" t="e">
        <f>SUM(#REF!)</f>
        <v>#REF!</v>
      </c>
      <c r="J258" s="142" t="s">
        <v>236</v>
      </c>
      <c r="K258" s="143"/>
      <c r="L258" s="145" t="e">
        <f>SUM(N255+I258)</f>
        <v>#REF!</v>
      </c>
      <c r="M258" s="143"/>
      <c r="N258" s="143" t="e">
        <f>SUM(L258+F258)</f>
        <v>#REF!</v>
      </c>
      <c r="O258" s="146"/>
      <c r="R258" s="134" t="s">
        <v>238</v>
      </c>
      <c r="S258" s="135" t="s">
        <v>239</v>
      </c>
      <c r="T258" s="136"/>
      <c r="U258" s="134" t="s">
        <v>240</v>
      </c>
      <c r="V258" s="135" t="s">
        <v>241</v>
      </c>
      <c r="W258" s="136"/>
      <c r="X258" s="134"/>
      <c r="Y258" s="135" t="s">
        <v>242</v>
      </c>
      <c r="Z258" s="137" t="s">
        <v>243</v>
      </c>
      <c r="AA258" s="135"/>
      <c r="AB258" s="135"/>
      <c r="AC258" s="136"/>
      <c r="AD258" s="28"/>
      <c r="AE258" s="28"/>
      <c r="AF258" s="28"/>
      <c r="AM258" t="s">
        <v>1024</v>
      </c>
      <c r="AQ258" s="194" t="s">
        <v>950</v>
      </c>
      <c r="AX258" s="196" t="s">
        <v>1596</v>
      </c>
      <c r="AY258" s="138">
        <v>1</v>
      </c>
      <c r="AZ258" s="141">
        <v>1</v>
      </c>
      <c r="BA258" s="138"/>
      <c r="BB258" s="28"/>
      <c r="BC258" s="141"/>
      <c r="BD258" s="138"/>
      <c r="BE258" s="141"/>
      <c r="BF258" s="138"/>
      <c r="BG258" s="28"/>
      <c r="BH258" s="141"/>
      <c r="BK258" s="135" t="s">
        <v>91</v>
      </c>
      <c r="BL258">
        <v>2018</v>
      </c>
      <c r="BM258">
        <v>4</v>
      </c>
      <c r="BN258" s="196" t="s">
        <v>88</v>
      </c>
      <c r="BO258" s="43">
        <v>229</v>
      </c>
      <c r="BP258" s="141">
        <v>289</v>
      </c>
      <c r="BQ258" s="138">
        <v>0</v>
      </c>
      <c r="BR258" s="43">
        <v>0</v>
      </c>
      <c r="BS258" s="141">
        <v>0</v>
      </c>
      <c r="BT258" s="138">
        <v>0</v>
      </c>
      <c r="BU258" s="43">
        <v>0</v>
      </c>
      <c r="BV258" s="212"/>
      <c r="BW258" s="43"/>
      <c r="BX258" s="141"/>
      <c r="BY258" s="28"/>
    </row>
    <row r="259" spans="4:77" x14ac:dyDescent="0.3">
      <c r="R259" s="138" t="s">
        <v>233</v>
      </c>
      <c r="S259" s="28"/>
      <c r="T259" s="139" t="e">
        <f>SUM(#REF!)</f>
        <v>#REF!</v>
      </c>
      <c r="U259" s="138" t="s">
        <v>233</v>
      </c>
      <c r="V259" s="28"/>
      <c r="W259" s="139" t="e">
        <f>SUM(#REF!)</f>
        <v>#REF!</v>
      </c>
      <c r="X259" s="138" t="s">
        <v>233</v>
      </c>
      <c r="Y259" s="28"/>
      <c r="Z259" s="140" t="e">
        <f>SUM(AB256+W259)</f>
        <v>#REF!</v>
      </c>
      <c r="AA259" s="28" t="s">
        <v>245</v>
      </c>
      <c r="AB259" s="140" t="e">
        <f>SUM(Z259+T259)</f>
        <v>#REF!</v>
      </c>
      <c r="AC259" s="139"/>
      <c r="AD259" s="140"/>
      <c r="AE259" s="140"/>
      <c r="AF259" s="140"/>
      <c r="AH259" s="195" t="s">
        <v>17</v>
      </c>
      <c r="AI259" s="134" t="s">
        <v>27</v>
      </c>
      <c r="AJ259" s="136"/>
      <c r="AK259" s="135" t="s">
        <v>28</v>
      </c>
      <c r="AL259" s="135"/>
      <c r="AM259" s="135"/>
      <c r="AN259" s="135" t="s">
        <v>29</v>
      </c>
      <c r="AO259" s="135" t="s">
        <v>30</v>
      </c>
      <c r="AP259" s="135" t="s">
        <v>31</v>
      </c>
      <c r="AQ259" s="135"/>
      <c r="AR259" s="136"/>
      <c r="AS259" s="28"/>
      <c r="AT259" s="28"/>
      <c r="AX259" s="196" t="s">
        <v>218</v>
      </c>
      <c r="AY259" s="138">
        <v>0</v>
      </c>
      <c r="AZ259" s="141">
        <v>26</v>
      </c>
      <c r="BA259" s="138"/>
      <c r="BB259" s="28">
        <v>0</v>
      </c>
      <c r="BC259" s="141"/>
      <c r="BD259" s="138"/>
      <c r="BE259" s="141"/>
      <c r="BF259" s="138"/>
      <c r="BG259" s="28"/>
      <c r="BH259" s="141"/>
      <c r="BK259" s="135" t="s">
        <v>91</v>
      </c>
      <c r="BL259">
        <v>2018</v>
      </c>
      <c r="BM259">
        <v>4</v>
      </c>
      <c r="BN259" s="211" t="s">
        <v>97</v>
      </c>
      <c r="BO259" s="43">
        <v>2998</v>
      </c>
      <c r="BP259" s="209">
        <v>2855</v>
      </c>
      <c r="BQ259" s="138">
        <v>0</v>
      </c>
      <c r="BR259" s="43">
        <v>0</v>
      </c>
      <c r="BS259" s="141">
        <v>0</v>
      </c>
      <c r="BT259" s="138">
        <v>0</v>
      </c>
      <c r="BU259" s="43">
        <v>0</v>
      </c>
      <c r="BV259" s="138"/>
      <c r="BW259" s="43"/>
      <c r="BX259" s="141"/>
    </row>
    <row r="260" spans="4:77" x14ac:dyDescent="0.3">
      <c r="R260" s="142" t="s">
        <v>236</v>
      </c>
      <c r="S260" s="143"/>
      <c r="T260" s="144" t="e">
        <f>SUM(#REF!)</f>
        <v>#REF!</v>
      </c>
      <c r="U260" s="142" t="s">
        <v>236</v>
      </c>
      <c r="V260" s="143"/>
      <c r="W260" s="144" t="e">
        <f>SUM(#REF!)</f>
        <v>#REF!</v>
      </c>
      <c r="X260" s="142" t="s">
        <v>236</v>
      </c>
      <c r="Y260" s="143"/>
      <c r="Z260" s="145" t="e">
        <f>SUM(AB257+W260)</f>
        <v>#REF!</v>
      </c>
      <c r="AA260" s="143"/>
      <c r="AB260" s="145" t="e">
        <f>SUM(Z260+T260)</f>
        <v>#REF!</v>
      </c>
      <c r="AC260" s="144"/>
      <c r="AD260" s="140"/>
      <c r="AE260" s="140"/>
      <c r="AF260" s="140"/>
      <c r="AH260" s="196"/>
      <c r="AI260" s="138"/>
      <c r="AJ260" s="141"/>
      <c r="AK260" s="28"/>
      <c r="AL260" s="28"/>
      <c r="AM260" s="28"/>
      <c r="AN260" s="28"/>
      <c r="AO260" s="28" t="s">
        <v>6</v>
      </c>
      <c r="AP260" s="28" t="s">
        <v>41</v>
      </c>
      <c r="AQ260" s="28"/>
      <c r="AR260" s="141"/>
      <c r="AS260" s="28"/>
      <c r="AT260" s="28"/>
      <c r="AU260" s="28"/>
      <c r="AX260" s="196" t="s">
        <v>93</v>
      </c>
      <c r="AY260" s="138">
        <v>0</v>
      </c>
      <c r="AZ260" s="141">
        <v>2</v>
      </c>
      <c r="BA260" s="138"/>
      <c r="BB260" s="28"/>
      <c r="BC260" s="141"/>
      <c r="BD260" s="138"/>
      <c r="BE260" s="141"/>
      <c r="BF260" s="138"/>
      <c r="BG260" s="28"/>
      <c r="BH260" s="141"/>
      <c r="BK260" s="135" t="s">
        <v>91</v>
      </c>
      <c r="BL260">
        <v>2018</v>
      </c>
      <c r="BM260">
        <v>4</v>
      </c>
      <c r="BN260" s="211" t="s">
        <v>113</v>
      </c>
      <c r="BO260" s="43">
        <v>668</v>
      </c>
      <c r="BP260" s="141">
        <v>645</v>
      </c>
      <c r="BQ260" s="138">
        <v>0</v>
      </c>
      <c r="BR260" s="43">
        <v>0</v>
      </c>
      <c r="BS260" s="141">
        <v>0</v>
      </c>
      <c r="BT260" s="138">
        <v>0</v>
      </c>
      <c r="BU260" s="43">
        <v>0</v>
      </c>
      <c r="BV260" s="212">
        <v>54</v>
      </c>
      <c r="BW260" s="28" t="s">
        <v>1464</v>
      </c>
      <c r="BX260" s="141"/>
    </row>
    <row r="261" spans="4:77" x14ac:dyDescent="0.3">
      <c r="AB261" s="184"/>
      <c r="AC261" s="184"/>
      <c r="AD261" s="184"/>
      <c r="AE261" s="184"/>
      <c r="AF261" s="184"/>
      <c r="AH261" s="199" t="s">
        <v>42</v>
      </c>
      <c r="AI261" s="142" t="s">
        <v>43</v>
      </c>
      <c r="AJ261" s="146" t="s">
        <v>44</v>
      </c>
      <c r="AK261" s="143" t="s">
        <v>45</v>
      </c>
      <c r="AL261" s="143" t="s">
        <v>46</v>
      </c>
      <c r="AM261" s="143" t="s">
        <v>52</v>
      </c>
      <c r="AN261" s="143" t="s">
        <v>43</v>
      </c>
      <c r="AO261" s="143" t="s">
        <v>44</v>
      </c>
      <c r="AP261" s="143" t="s">
        <v>54</v>
      </c>
      <c r="AQ261" s="143"/>
      <c r="AR261" s="146"/>
      <c r="AS261" s="28"/>
      <c r="AT261" s="28"/>
      <c r="AU261" s="28"/>
      <c r="AX261" s="199" t="s">
        <v>84</v>
      </c>
      <c r="AY261" s="142">
        <f>SUM(AY237:AY260)</f>
        <v>78</v>
      </c>
      <c r="AZ261" s="146">
        <f>SUM(AZ237:AZ260)</f>
        <v>134</v>
      </c>
      <c r="BA261" s="142">
        <v>0</v>
      </c>
      <c r="BB261" s="143">
        <f>SUM(BB237:BB260)</f>
        <v>0</v>
      </c>
      <c r="BC261" s="146">
        <f>SUM(BC237:BC260)</f>
        <v>0</v>
      </c>
      <c r="BD261" s="142">
        <v>0</v>
      </c>
      <c r="BE261" s="146">
        <v>0</v>
      </c>
      <c r="BF261" s="142"/>
      <c r="BG261" s="143"/>
      <c r="BH261" s="146">
        <f>8+5+4+4+4+6+4+4+6+3+3+1</f>
        <v>52</v>
      </c>
      <c r="BK261" s="135" t="s">
        <v>91</v>
      </c>
      <c r="BL261">
        <v>2018</v>
      </c>
      <c r="BM261">
        <v>4</v>
      </c>
      <c r="BN261" s="211" t="s">
        <v>99</v>
      </c>
      <c r="BO261" s="43">
        <v>0</v>
      </c>
      <c r="BP261" s="209">
        <v>0</v>
      </c>
      <c r="BQ261" s="138">
        <v>0</v>
      </c>
      <c r="BR261" s="43">
        <v>0</v>
      </c>
      <c r="BS261" s="141">
        <v>0</v>
      </c>
      <c r="BT261" s="138">
        <v>0</v>
      </c>
      <c r="BU261" s="43">
        <v>0</v>
      </c>
      <c r="BV261" s="138">
        <v>1</v>
      </c>
      <c r="BW261" s="43" t="s">
        <v>1346</v>
      </c>
      <c r="BX261" s="141"/>
    </row>
    <row r="262" spans="4:77" x14ac:dyDescent="0.3">
      <c r="AH262" s="195" t="s">
        <v>85</v>
      </c>
      <c r="AI262" s="135">
        <v>0</v>
      </c>
      <c r="AJ262" s="135">
        <v>30</v>
      </c>
      <c r="AK262" s="134"/>
      <c r="AL262" s="135"/>
      <c r="AM262" s="135"/>
      <c r="AN262" s="134"/>
      <c r="AO262" s="136"/>
      <c r="AP262" s="135" t="s">
        <v>58</v>
      </c>
      <c r="AQ262" s="135"/>
      <c r="AR262" s="136"/>
      <c r="AS262" s="28"/>
      <c r="AT262" s="28"/>
      <c r="AU262" s="28"/>
      <c r="AX262" t="s">
        <v>223</v>
      </c>
      <c r="AY262">
        <f>SUM(AY261+AY236+AY231+AY225+AY222+AY220+AY233)</f>
        <v>4025</v>
      </c>
      <c r="AZ262">
        <f>SUM(AZ261+AZ236+AZ231+AZ225+AZ220+AZ222+AZ233)</f>
        <v>3882</v>
      </c>
      <c r="BA262">
        <v>0</v>
      </c>
      <c r="BB262">
        <f>SUM(BB261+BB236+BB231+BB225+BB222+BB218)</f>
        <v>0</v>
      </c>
      <c r="BC262">
        <f>SUM(BC261)</f>
        <v>0</v>
      </c>
      <c r="BD262">
        <f>SUM(BD261+BD236+BD231+BD224+BD222+BD218)</f>
        <v>77722</v>
      </c>
      <c r="BE262">
        <f>SUM(BE261+BE236+BE231+BE224+BE222+BE218)</f>
        <v>18180</v>
      </c>
      <c r="BG262" t="s">
        <v>939</v>
      </c>
      <c r="BH262">
        <f>SUM(+BH236+BH231+BH225+BH222+BH220)</f>
        <v>177</v>
      </c>
      <c r="BK262" s="135" t="s">
        <v>91</v>
      </c>
      <c r="BL262">
        <v>2018</v>
      </c>
      <c r="BM262">
        <v>4</v>
      </c>
      <c r="BN262" s="211" t="s">
        <v>1120</v>
      </c>
      <c r="BO262" s="43">
        <v>18</v>
      </c>
      <c r="BP262" s="209">
        <v>278</v>
      </c>
      <c r="BQ262" s="138">
        <v>0</v>
      </c>
      <c r="BR262" s="43">
        <v>0</v>
      </c>
      <c r="BS262" s="141">
        <v>0</v>
      </c>
      <c r="BT262" s="138">
        <v>0</v>
      </c>
      <c r="BU262" s="43">
        <v>0</v>
      </c>
      <c r="BV262" s="138">
        <v>50</v>
      </c>
      <c r="BW262" s="43" t="s">
        <v>1305</v>
      </c>
      <c r="BX262" s="141"/>
      <c r="BY262" s="28"/>
    </row>
    <row r="263" spans="4:77" x14ac:dyDescent="0.3">
      <c r="AH263" s="196" t="s">
        <v>64</v>
      </c>
      <c r="AI263" s="28">
        <f>146+4</f>
        <v>150</v>
      </c>
      <c r="AJ263" s="28">
        <v>157</v>
      </c>
      <c r="AK263" s="138">
        <v>0</v>
      </c>
      <c r="AL263" s="28">
        <v>0</v>
      </c>
      <c r="AM263" s="28">
        <v>0</v>
      </c>
      <c r="AN263" s="138">
        <v>0</v>
      </c>
      <c r="AO263" s="141">
        <v>0</v>
      </c>
      <c r="AP263" s="43">
        <v>19</v>
      </c>
      <c r="AQ263" s="28" t="s">
        <v>474</v>
      </c>
      <c r="AR263" s="141" t="s">
        <v>6</v>
      </c>
      <c r="AS263" s="28"/>
      <c r="AT263" s="28"/>
      <c r="AU263" s="28"/>
      <c r="AX263" t="s">
        <v>1340</v>
      </c>
      <c r="AZ263">
        <f>SUM(BH261)</f>
        <v>52</v>
      </c>
      <c r="BK263" s="135" t="s">
        <v>91</v>
      </c>
      <c r="BL263">
        <v>2018</v>
      </c>
      <c r="BM263">
        <v>4</v>
      </c>
      <c r="BN263" s="211" t="s">
        <v>89</v>
      </c>
      <c r="BO263" s="43">
        <v>2010</v>
      </c>
      <c r="BP263" s="209">
        <v>1427</v>
      </c>
      <c r="BQ263" s="138">
        <v>0</v>
      </c>
      <c r="BR263" s="43">
        <v>0</v>
      </c>
      <c r="BS263" s="141">
        <v>0</v>
      </c>
      <c r="BT263" s="138">
        <v>0</v>
      </c>
      <c r="BU263" s="43">
        <v>0</v>
      </c>
      <c r="BV263" s="138">
        <v>3</v>
      </c>
      <c r="BW263" s="43" t="s">
        <v>1294</v>
      </c>
      <c r="BX263" s="141"/>
    </row>
    <row r="264" spans="4:77" x14ac:dyDescent="0.3">
      <c r="AH264" s="196" t="s">
        <v>108</v>
      </c>
      <c r="AI264">
        <v>8</v>
      </c>
      <c r="AJ264">
        <v>20</v>
      </c>
      <c r="AK264" s="138"/>
      <c r="AL264" s="28"/>
      <c r="AM264" s="28"/>
      <c r="AN264" s="138"/>
      <c r="AO264" s="141"/>
      <c r="AP264" s="28"/>
      <c r="AQ264" s="28"/>
      <c r="AR264" s="141"/>
      <c r="AS264" s="28"/>
      <c r="AT264" s="28"/>
      <c r="AU264" s="28"/>
      <c r="AX264" t="s">
        <v>229</v>
      </c>
      <c r="AZ264">
        <f>9+5+1+12+1+4</f>
        <v>32</v>
      </c>
      <c r="BK264" s="135" t="s">
        <v>91</v>
      </c>
      <c r="BL264">
        <v>2018</v>
      </c>
      <c r="BM264">
        <v>4</v>
      </c>
      <c r="BN264" s="211" t="s">
        <v>108</v>
      </c>
      <c r="BO264" s="43">
        <v>0</v>
      </c>
      <c r="BP264" s="209">
        <v>2</v>
      </c>
      <c r="BQ264" s="212">
        <v>0</v>
      </c>
      <c r="BR264" s="43">
        <v>0</v>
      </c>
      <c r="BS264" s="209">
        <v>0</v>
      </c>
      <c r="BT264" s="212">
        <v>0</v>
      </c>
      <c r="BU264" s="43">
        <v>0</v>
      </c>
      <c r="BV264" s="138">
        <v>1</v>
      </c>
      <c r="BW264" s="43" t="s">
        <v>1026</v>
      </c>
      <c r="BX264" s="141">
        <v>109</v>
      </c>
    </row>
    <row r="265" spans="4:77" x14ac:dyDescent="0.3">
      <c r="AH265" s="199" t="s">
        <v>84</v>
      </c>
      <c r="AI265" s="143">
        <f>SUM(AI262:AI264)</f>
        <v>158</v>
      </c>
      <c r="AJ265" s="143">
        <f>SUM(AJ262:AJ264)</f>
        <v>207</v>
      </c>
      <c r="AK265" s="142"/>
      <c r="AL265" s="143"/>
      <c r="AM265" s="143"/>
      <c r="AN265" s="142"/>
      <c r="AO265" s="146"/>
      <c r="AP265" s="143">
        <v>4</v>
      </c>
      <c r="AQ265" s="143" t="s">
        <v>69</v>
      </c>
      <c r="AR265" s="146">
        <f>SUM(AP263:AP265)</f>
        <v>23</v>
      </c>
      <c r="AS265" s="28"/>
      <c r="AT265" s="28"/>
      <c r="AU265" s="28"/>
      <c r="AW265" t="s">
        <v>6</v>
      </c>
      <c r="AX265" t="s">
        <v>232</v>
      </c>
      <c r="AZ265" s="28" t="s">
        <v>233</v>
      </c>
      <c r="BB265">
        <f>SUM(AJ258)</f>
        <v>0</v>
      </c>
      <c r="BD265" t="s">
        <v>234</v>
      </c>
      <c r="BF265" t="s">
        <v>233</v>
      </c>
      <c r="BH265">
        <f>SUM(AY262)</f>
        <v>4025</v>
      </c>
      <c r="BN265" s="247" t="s">
        <v>84</v>
      </c>
      <c r="BO265" s="247">
        <v>6880</v>
      </c>
      <c r="BP265" s="248">
        <v>6645</v>
      </c>
      <c r="BQ265" s="197">
        <v>0</v>
      </c>
      <c r="BR265" s="198">
        <v>0</v>
      </c>
      <c r="BS265" s="249">
        <v>0</v>
      </c>
      <c r="BT265" s="197">
        <v>0</v>
      </c>
      <c r="BU265" s="249">
        <v>0</v>
      </c>
      <c r="BV265" s="197"/>
      <c r="BW265" s="198"/>
      <c r="BX265" s="249"/>
      <c r="BY265" s="28"/>
    </row>
    <row r="266" spans="4:77" ht="15.6" x14ac:dyDescent="0.3">
      <c r="G266" s="1"/>
      <c r="H266" s="1" t="s">
        <v>5</v>
      </c>
      <c r="I266" s="1"/>
      <c r="J266" s="1"/>
      <c r="K266" s="1"/>
      <c r="L266" s="1"/>
      <c r="U266" s="1"/>
      <c r="V266" s="1" t="s">
        <v>5</v>
      </c>
      <c r="W266" s="1"/>
      <c r="X266" s="1"/>
      <c r="Y266" s="1"/>
      <c r="Z266" s="1"/>
      <c r="AH266" s="195" t="s">
        <v>174</v>
      </c>
      <c r="AI266" s="134"/>
      <c r="AJ266" s="136"/>
      <c r="AK266" s="135"/>
      <c r="AL266" s="135">
        <v>4</v>
      </c>
      <c r="AM266" s="135"/>
      <c r="AN266" s="134"/>
      <c r="AO266" s="136"/>
      <c r="AP266" s="135" t="s">
        <v>82</v>
      </c>
      <c r="AQ266" s="135"/>
      <c r="AR266" s="136"/>
      <c r="AS266" s="28"/>
      <c r="AT266" s="28"/>
      <c r="AU266" s="28"/>
      <c r="AZ266" t="s">
        <v>236</v>
      </c>
      <c r="BB266">
        <f>SUM(AK258)</f>
        <v>0</v>
      </c>
      <c r="BF266" t="s">
        <v>236</v>
      </c>
      <c r="BH266">
        <f>SUM(AZ262)</f>
        <v>3882</v>
      </c>
      <c r="BN266" s="195" t="s">
        <v>56</v>
      </c>
      <c r="BO266" s="134" t="s">
        <v>1465</v>
      </c>
      <c r="BP266" s="136">
        <v>5</v>
      </c>
      <c r="BQ266" s="134"/>
      <c r="BR266" s="135"/>
      <c r="BS266" s="136"/>
      <c r="BT266" s="134"/>
      <c r="BU266" s="136"/>
      <c r="BV266" s="134" t="s">
        <v>1025</v>
      </c>
      <c r="BW266" s="135"/>
      <c r="BX266" s="136"/>
    </row>
    <row r="267" spans="4:77" x14ac:dyDescent="0.3">
      <c r="I267" t="s">
        <v>2</v>
      </c>
      <c r="W267" t="s">
        <v>2</v>
      </c>
      <c r="AH267" s="199" t="s">
        <v>85</v>
      </c>
      <c r="AI267" s="142">
        <v>6</v>
      </c>
      <c r="AJ267" s="146">
        <v>5</v>
      </c>
      <c r="AK267" s="143"/>
      <c r="AL267" s="143">
        <v>0</v>
      </c>
      <c r="AM267" s="143">
        <v>0</v>
      </c>
      <c r="AN267" s="142">
        <v>0</v>
      </c>
      <c r="AO267" s="146">
        <v>0</v>
      </c>
      <c r="AP267" s="143">
        <v>3</v>
      </c>
      <c r="AQ267" s="143" t="s">
        <v>86</v>
      </c>
      <c r="AR267" s="146">
        <f>SUM(AP267)</f>
        <v>3</v>
      </c>
      <c r="AS267" s="28"/>
      <c r="AT267" s="28"/>
      <c r="AU267" s="28"/>
      <c r="AX267" t="s">
        <v>238</v>
      </c>
      <c r="AY267" t="s">
        <v>239</v>
      </c>
      <c r="BA267" t="s">
        <v>240</v>
      </c>
      <c r="BB267" t="s">
        <v>241</v>
      </c>
      <c r="BE267" t="s">
        <v>242</v>
      </c>
      <c r="BF267" s="131" t="s">
        <v>243</v>
      </c>
      <c r="BN267" s="196" t="s">
        <v>64</v>
      </c>
      <c r="BO267" s="138">
        <v>103</v>
      </c>
      <c r="BP267" s="141">
        <v>78</v>
      </c>
      <c r="BQ267" s="138">
        <v>0</v>
      </c>
      <c r="BR267" s="43">
        <v>0</v>
      </c>
      <c r="BS267" s="209">
        <v>0</v>
      </c>
      <c r="BT267" s="138">
        <v>0</v>
      </c>
      <c r="BU267" s="141">
        <v>0</v>
      </c>
      <c r="BV267" s="138" t="s">
        <v>1466</v>
      </c>
      <c r="BW267" s="28"/>
      <c r="BX267" s="141"/>
      <c r="BY267" s="28"/>
    </row>
    <row r="268" spans="4:77" x14ac:dyDescent="0.3">
      <c r="G268" t="s">
        <v>13</v>
      </c>
      <c r="U268" t="s">
        <v>13</v>
      </c>
      <c r="AH268" s="195" t="s">
        <v>107</v>
      </c>
      <c r="AI268" s="134">
        <v>0</v>
      </c>
      <c r="AJ268" s="136">
        <v>0</v>
      </c>
      <c r="AK268" s="135"/>
      <c r="AL268" s="135"/>
      <c r="AM268" s="135"/>
      <c r="AN268" s="134"/>
      <c r="AO268" s="136"/>
      <c r="AP268" s="135"/>
      <c r="AQ268" s="135" t="s">
        <v>92</v>
      </c>
      <c r="AR268" s="136"/>
      <c r="AS268" s="28"/>
      <c r="AT268" s="28"/>
      <c r="AU268" s="28"/>
      <c r="AX268" t="s">
        <v>233</v>
      </c>
      <c r="AZ268" t="e">
        <f>SUM(#REF!)</f>
        <v>#REF!</v>
      </c>
      <c r="BA268" s="236" t="s">
        <v>233</v>
      </c>
      <c r="BC268">
        <f>SUM(S252)</f>
        <v>202</v>
      </c>
      <c r="BD268" t="s">
        <v>233</v>
      </c>
      <c r="BF268">
        <f>SUM(BC268+AY262)</f>
        <v>4227</v>
      </c>
      <c r="BG268" t="s">
        <v>245</v>
      </c>
      <c r="BH268" t="e">
        <f>SUM(AZ268+BF268)</f>
        <v>#REF!</v>
      </c>
      <c r="BN268" s="239" t="s">
        <v>84</v>
      </c>
      <c r="BO268" s="142">
        <v>103</v>
      </c>
      <c r="BP268" s="146">
        <v>83</v>
      </c>
      <c r="BQ268" s="142"/>
      <c r="BR268" s="143"/>
      <c r="BS268" s="146"/>
      <c r="BT268" s="142"/>
      <c r="BU268" s="146"/>
      <c r="BV268" s="142"/>
      <c r="BW268" s="143"/>
      <c r="BX268" s="146">
        <v>9</v>
      </c>
      <c r="BY268" s="28"/>
    </row>
    <row r="269" spans="4:77" ht="15" thickBot="1" x14ac:dyDescent="0.35">
      <c r="I269" t="s">
        <v>395</v>
      </c>
      <c r="M269" s="5" t="s">
        <v>16</v>
      </c>
      <c r="W269" t="s">
        <v>752</v>
      </c>
      <c r="AA269" s="5" t="s">
        <v>16</v>
      </c>
      <c r="AH269" s="196" t="s">
        <v>99</v>
      </c>
      <c r="AI269" s="138">
        <v>0</v>
      </c>
      <c r="AJ269" s="141">
        <v>0</v>
      </c>
      <c r="AK269" s="28">
        <v>0</v>
      </c>
      <c r="AL269" s="28">
        <v>0</v>
      </c>
      <c r="AM269" s="28">
        <v>0</v>
      </c>
      <c r="AN269" s="138">
        <v>69267</v>
      </c>
      <c r="AO269" s="141">
        <v>15453</v>
      </c>
      <c r="AP269" s="43">
        <v>26</v>
      </c>
      <c r="AQ269" s="28" t="s">
        <v>100</v>
      </c>
      <c r="AR269" s="141"/>
      <c r="AS269" s="28"/>
      <c r="AT269" s="28"/>
      <c r="AU269" s="28"/>
      <c r="AX269" t="s">
        <v>236</v>
      </c>
      <c r="AZ269" t="e">
        <f>SUM(#REF!)</f>
        <v>#REF!</v>
      </c>
      <c r="BA269" s="236" t="s">
        <v>236</v>
      </c>
      <c r="BC269">
        <f>SUM(T252)</f>
        <v>277</v>
      </c>
      <c r="BD269" t="s">
        <v>236</v>
      </c>
      <c r="BF269">
        <f>SUM(BC269+AZ262)</f>
        <v>4159</v>
      </c>
      <c r="BH269" t="e">
        <f>SUM(AZ269+BF269)</f>
        <v>#REF!</v>
      </c>
      <c r="BI269" t="e">
        <f>SUM(BH268:BH269)</f>
        <v>#REF!</v>
      </c>
      <c r="BN269" s="138"/>
      <c r="BO269" s="134"/>
      <c r="BP269" s="136"/>
      <c r="BQ269" s="134"/>
      <c r="BR269" s="135"/>
      <c r="BS269" s="136"/>
      <c r="BT269" s="138"/>
      <c r="BU269" s="141"/>
      <c r="BV269" s="28" t="s">
        <v>994</v>
      </c>
      <c r="BW269" s="28"/>
      <c r="BX269" s="141"/>
      <c r="BY269" s="28"/>
    </row>
    <row r="270" spans="4:77" ht="15.6" x14ac:dyDescent="0.3">
      <c r="D270" s="6" t="s">
        <v>17</v>
      </c>
      <c r="E270" s="6" t="s">
        <v>27</v>
      </c>
      <c r="F270" s="7"/>
      <c r="G270" s="8" t="s">
        <v>28</v>
      </c>
      <c r="H270" s="8"/>
      <c r="I270" s="8"/>
      <c r="J270" s="6" t="s">
        <v>29</v>
      </c>
      <c r="K270" s="7" t="s">
        <v>30</v>
      </c>
      <c r="L270" s="8" t="s">
        <v>31</v>
      </c>
      <c r="M270" s="8"/>
      <c r="N270" s="7"/>
      <c r="R270" s="6" t="s">
        <v>17</v>
      </c>
      <c r="S270" s="6" t="s">
        <v>27</v>
      </c>
      <c r="T270" s="7"/>
      <c r="U270" s="8" t="s">
        <v>28</v>
      </c>
      <c r="V270" s="8"/>
      <c r="W270" s="8"/>
      <c r="X270" s="6" t="s">
        <v>29</v>
      </c>
      <c r="Y270" s="7" t="s">
        <v>30</v>
      </c>
      <c r="Z270" s="8" t="s">
        <v>31</v>
      </c>
      <c r="AA270" s="8"/>
      <c r="AB270" s="7"/>
      <c r="AH270" s="199" t="s">
        <v>84</v>
      </c>
      <c r="AI270" s="138">
        <f>SUM(AI268:AI269)</f>
        <v>0</v>
      </c>
      <c r="AJ270" s="141">
        <f>SUM(AJ267:AJ269)</f>
        <v>5</v>
      </c>
      <c r="AK270" s="143"/>
      <c r="AL270" s="143"/>
      <c r="AM270" s="143"/>
      <c r="AN270" s="142"/>
      <c r="AO270" s="146"/>
      <c r="AP270" s="143">
        <v>1</v>
      </c>
      <c r="AQ270" s="143" t="s">
        <v>506</v>
      </c>
      <c r="AR270" s="146">
        <f>SUM(AP269:AP270)</f>
        <v>27</v>
      </c>
      <c r="AS270" s="28"/>
      <c r="AT270" s="28"/>
      <c r="AU270" s="28"/>
      <c r="AX270" s="321" t="s">
        <v>1532</v>
      </c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5"/>
      <c r="BK270" s="28" t="s">
        <v>994</v>
      </c>
      <c r="BL270">
        <v>2018</v>
      </c>
      <c r="BM270">
        <v>4</v>
      </c>
      <c r="BN270" s="138" t="s">
        <v>113</v>
      </c>
      <c r="BO270" s="138">
        <v>576</v>
      </c>
      <c r="BP270" s="141">
        <v>537</v>
      </c>
      <c r="BQ270" s="138">
        <v>0</v>
      </c>
      <c r="BR270" s="43">
        <v>0</v>
      </c>
      <c r="BS270" s="209">
        <v>0</v>
      </c>
      <c r="BT270" s="138">
        <v>0</v>
      </c>
      <c r="BU270" s="141">
        <v>0</v>
      </c>
      <c r="BV270" s="43">
        <v>23</v>
      </c>
      <c r="BW270" s="28" t="s">
        <v>1297</v>
      </c>
      <c r="BX270" s="141" t="s">
        <v>330</v>
      </c>
      <c r="BY270" s="28"/>
    </row>
    <row r="271" spans="4:77" ht="15" thickBot="1" x14ac:dyDescent="0.35">
      <c r="D271" s="10"/>
      <c r="E271" s="10"/>
      <c r="F271" s="11"/>
      <c r="G271" s="3"/>
      <c r="H271" s="3"/>
      <c r="I271" s="3"/>
      <c r="J271" s="10"/>
      <c r="K271" s="11" t="s">
        <v>6</v>
      </c>
      <c r="L271" s="3" t="s">
        <v>41</v>
      </c>
      <c r="M271" s="3"/>
      <c r="N271" s="11"/>
      <c r="R271" s="10"/>
      <c r="S271" s="10"/>
      <c r="T271" s="11"/>
      <c r="U271" s="3"/>
      <c r="V271" s="3"/>
      <c r="W271" s="3"/>
      <c r="X271" s="10"/>
      <c r="Y271" s="11" t="s">
        <v>6</v>
      </c>
      <c r="Z271" s="3" t="s">
        <v>41</v>
      </c>
      <c r="AA271" s="3"/>
      <c r="AB271" s="11"/>
      <c r="AE271" s="28" t="s">
        <v>91</v>
      </c>
      <c r="AF271">
        <v>2016</v>
      </c>
      <c r="AG271">
        <v>5</v>
      </c>
      <c r="AH271" s="138" t="s">
        <v>89</v>
      </c>
      <c r="AI271" s="134">
        <f>320+18</f>
        <v>338</v>
      </c>
      <c r="AJ271" s="136">
        <v>451</v>
      </c>
      <c r="AN271" s="134"/>
      <c r="AO271" s="136"/>
      <c r="AP271" s="28"/>
      <c r="AQ271" s="28" t="s">
        <v>91</v>
      </c>
      <c r="AR271" s="141"/>
      <c r="AS271" s="28"/>
      <c r="AT271" s="28"/>
      <c r="AU271" s="28"/>
      <c r="AX271" s="42" t="s">
        <v>238</v>
      </c>
      <c r="AY271" s="28" t="s">
        <v>239</v>
      </c>
      <c r="AZ271" s="28"/>
      <c r="BA271" s="28" t="s">
        <v>240</v>
      </c>
      <c r="BB271" s="28" t="s">
        <v>241</v>
      </c>
      <c r="BC271" s="28"/>
      <c r="BD271" s="28"/>
      <c r="BE271" s="28" t="s">
        <v>242</v>
      </c>
      <c r="BF271" s="257" t="s">
        <v>243</v>
      </c>
      <c r="BG271" s="28"/>
      <c r="BH271" s="28"/>
      <c r="BI271" s="40"/>
      <c r="BN271" s="142" t="s">
        <v>84</v>
      </c>
      <c r="BO271" s="142">
        <v>576</v>
      </c>
      <c r="BP271" s="146">
        <v>537</v>
      </c>
      <c r="BQ271" s="138">
        <v>0</v>
      </c>
      <c r="BR271" s="43">
        <v>0</v>
      </c>
      <c r="BS271" s="209">
        <v>0</v>
      </c>
      <c r="BT271" s="142">
        <v>0</v>
      </c>
      <c r="BU271" s="146">
        <v>0</v>
      </c>
      <c r="BV271" s="43">
        <v>23</v>
      </c>
      <c r="BW271" s="43" t="s">
        <v>1292</v>
      </c>
      <c r="BX271" s="146">
        <v>47</v>
      </c>
      <c r="BY271" s="28"/>
    </row>
    <row r="272" spans="4:77" ht="15" thickBot="1" x14ac:dyDescent="0.35">
      <c r="D272" s="13" t="s">
        <v>42</v>
      </c>
      <c r="E272" s="13" t="s">
        <v>43</v>
      </c>
      <c r="F272" s="26" t="s">
        <v>44</v>
      </c>
      <c r="G272" s="27" t="s">
        <v>45</v>
      </c>
      <c r="H272" s="27" t="s">
        <v>46</v>
      </c>
      <c r="I272" s="27" t="s">
        <v>52</v>
      </c>
      <c r="J272" s="13" t="s">
        <v>43</v>
      </c>
      <c r="K272" s="26" t="s">
        <v>44</v>
      </c>
      <c r="L272" s="27" t="s">
        <v>54</v>
      </c>
      <c r="M272" s="27"/>
      <c r="N272" s="26"/>
      <c r="R272" s="13" t="s">
        <v>42</v>
      </c>
      <c r="S272" s="13" t="s">
        <v>43</v>
      </c>
      <c r="T272" s="26" t="s">
        <v>44</v>
      </c>
      <c r="U272" s="27" t="s">
        <v>45</v>
      </c>
      <c r="V272" s="27" t="s">
        <v>46</v>
      </c>
      <c r="W272" s="27" t="s">
        <v>52</v>
      </c>
      <c r="X272" s="13" t="s">
        <v>43</v>
      </c>
      <c r="Y272" s="26" t="s">
        <v>44</v>
      </c>
      <c r="Z272" s="27" t="s">
        <v>54</v>
      </c>
      <c r="AA272" s="27"/>
      <c r="AB272" s="26"/>
      <c r="AE272" s="28" t="s">
        <v>91</v>
      </c>
      <c r="AF272">
        <v>2016</v>
      </c>
      <c r="AG272">
        <v>5</v>
      </c>
      <c r="AH272" s="138" t="s">
        <v>137</v>
      </c>
      <c r="AI272" s="138">
        <v>111</v>
      </c>
      <c r="AJ272" s="141">
        <v>78</v>
      </c>
      <c r="AN272" s="138"/>
      <c r="AO272" s="141"/>
      <c r="AP272" s="43">
        <v>40</v>
      </c>
      <c r="AQ272" s="43" t="s">
        <v>145</v>
      </c>
      <c r="AR272" s="141"/>
      <c r="AS272" s="28"/>
      <c r="AT272" s="28"/>
      <c r="AU272" s="28"/>
      <c r="AX272" s="42" t="s">
        <v>233</v>
      </c>
      <c r="AY272" s="28"/>
      <c r="AZ272" s="28" t="e">
        <f>SUM(#REF!)</f>
        <v>#REF!</v>
      </c>
      <c r="BA272" s="218" t="s">
        <v>233</v>
      </c>
      <c r="BB272" s="28"/>
      <c r="BC272" s="28">
        <f>SUM(S255)</f>
        <v>0</v>
      </c>
      <c r="BD272" s="28" t="s">
        <v>233</v>
      </c>
      <c r="BE272" s="28"/>
      <c r="BF272" s="28">
        <v>4563</v>
      </c>
      <c r="BG272" s="28" t="s">
        <v>245</v>
      </c>
      <c r="BH272" s="28" t="e">
        <f>SUM(AZ272+BF272)</f>
        <v>#REF!</v>
      </c>
      <c r="BI272" s="40"/>
      <c r="BN272" s="195" t="s">
        <v>596</v>
      </c>
      <c r="BO272" s="134">
        <v>3</v>
      </c>
      <c r="BP272" s="135">
        <v>2</v>
      </c>
      <c r="BQ272" s="32" t="s">
        <v>1472</v>
      </c>
      <c r="BR272" s="284" t="s">
        <v>1357</v>
      </c>
      <c r="BS272" s="285"/>
      <c r="BT272" s="135"/>
      <c r="BU272" s="136"/>
      <c r="BV272" s="134" t="s">
        <v>140</v>
      </c>
      <c r="BW272" s="135"/>
      <c r="BX272" s="136"/>
      <c r="BY272" s="28"/>
    </row>
    <row r="273" spans="1:77" ht="15" thickBot="1" x14ac:dyDescent="0.35">
      <c r="D273" s="32" t="s">
        <v>85</v>
      </c>
      <c r="E273">
        <v>0</v>
      </c>
      <c r="F273">
        <v>0</v>
      </c>
      <c r="G273" s="33"/>
      <c r="H273" s="34"/>
      <c r="I273" s="34"/>
      <c r="J273" s="33"/>
      <c r="K273" s="35"/>
      <c r="L273" s="34" t="s">
        <v>58</v>
      </c>
      <c r="M273" s="8"/>
      <c r="N273" s="7"/>
      <c r="R273" s="32" t="s">
        <v>85</v>
      </c>
      <c r="S273">
        <v>14</v>
      </c>
      <c r="T273">
        <v>11</v>
      </c>
      <c r="U273" s="33"/>
      <c r="V273" s="34"/>
      <c r="W273" s="34"/>
      <c r="X273" s="33"/>
      <c r="Y273" s="35"/>
      <c r="Z273" s="34" t="s">
        <v>58</v>
      </c>
      <c r="AA273" s="8"/>
      <c r="AB273" s="7"/>
      <c r="AE273" s="28" t="s">
        <v>91</v>
      </c>
      <c r="AF273">
        <v>2016</v>
      </c>
      <c r="AG273">
        <v>5</v>
      </c>
      <c r="AH273" s="138" t="s">
        <v>113</v>
      </c>
      <c r="AI273" s="138">
        <v>828</v>
      </c>
      <c r="AJ273" s="141">
        <f>886+10</f>
        <v>896</v>
      </c>
      <c r="AN273" s="138"/>
      <c r="AO273" s="141"/>
      <c r="AP273" s="43">
        <v>41</v>
      </c>
      <c r="AQ273" s="28" t="s">
        <v>73</v>
      </c>
      <c r="AR273" s="141"/>
      <c r="AS273" s="28"/>
      <c r="AT273" s="28"/>
      <c r="AU273" s="28"/>
      <c r="AX273" s="47" t="s">
        <v>236</v>
      </c>
      <c r="AY273" s="48"/>
      <c r="AZ273" s="48" t="e">
        <f>SUM(#REF!)</f>
        <v>#REF!</v>
      </c>
      <c r="BA273" s="320" t="s">
        <v>236</v>
      </c>
      <c r="BB273" s="48"/>
      <c r="BC273" s="48">
        <f>SUM(T255)</f>
        <v>26</v>
      </c>
      <c r="BD273" s="48" t="s">
        <v>236</v>
      </c>
      <c r="BE273" s="48"/>
      <c r="BF273" s="48">
        <v>4752</v>
      </c>
      <c r="BG273" s="48"/>
      <c r="BH273" s="48" t="e">
        <f>SUM(AZ273+BF273)</f>
        <v>#REF!</v>
      </c>
      <c r="BI273" s="49" t="e">
        <f>SUM(BH272:BH273)</f>
        <v>#REF!</v>
      </c>
      <c r="BN273" s="196" t="s">
        <v>169</v>
      </c>
      <c r="BO273" s="138">
        <v>9</v>
      </c>
      <c r="BP273" s="43">
        <v>8</v>
      </c>
      <c r="BQ273" s="46" t="s">
        <v>42</v>
      </c>
      <c r="BR273" s="72" t="s">
        <v>43</v>
      </c>
      <c r="BS273" s="49" t="s">
        <v>44</v>
      </c>
      <c r="BT273" s="43"/>
      <c r="BU273" s="141"/>
      <c r="BV273" s="138"/>
      <c r="BW273" s="28"/>
      <c r="BX273" s="141"/>
      <c r="BY273" s="28"/>
    </row>
    <row r="274" spans="1:77" x14ac:dyDescent="0.3">
      <c r="D274" s="44" t="s">
        <v>64</v>
      </c>
      <c r="E274" s="18">
        <v>70</v>
      </c>
      <c r="F274" s="18">
        <v>65</v>
      </c>
      <c r="G274" s="10">
        <v>0</v>
      </c>
      <c r="H274" s="18">
        <v>0</v>
      </c>
      <c r="I274" s="18">
        <v>0</v>
      </c>
      <c r="J274" s="10">
        <v>0</v>
      </c>
      <c r="K274" s="11">
        <v>0</v>
      </c>
      <c r="L274" s="45">
        <v>1</v>
      </c>
      <c r="M274" s="28" t="s">
        <v>249</v>
      </c>
      <c r="N274" s="11" t="s">
        <v>397</v>
      </c>
      <c r="R274" s="44" t="s">
        <v>64</v>
      </c>
      <c r="S274" s="18">
        <v>111</v>
      </c>
      <c r="T274" s="18">
        <v>111</v>
      </c>
      <c r="U274" s="10">
        <v>0</v>
      </c>
      <c r="V274" s="18">
        <v>0</v>
      </c>
      <c r="W274" s="18">
        <v>0</v>
      </c>
      <c r="X274" s="10">
        <v>0</v>
      </c>
      <c r="Y274" s="11">
        <v>0</v>
      </c>
      <c r="Z274" s="45">
        <v>9</v>
      </c>
      <c r="AA274" s="28" t="s">
        <v>474</v>
      </c>
      <c r="AB274" s="11" t="s">
        <v>753</v>
      </c>
      <c r="AE274" s="28" t="s">
        <v>91</v>
      </c>
      <c r="AF274">
        <v>2016</v>
      </c>
      <c r="AG274">
        <v>5</v>
      </c>
      <c r="AH274" s="138" t="s">
        <v>84</v>
      </c>
      <c r="AI274" s="138">
        <f>SUM(AI271:AI273)</f>
        <v>1277</v>
      </c>
      <c r="AJ274" s="141">
        <f>SUM(AJ271:AJ273)</f>
        <v>1425</v>
      </c>
      <c r="AK274">
        <v>0</v>
      </c>
      <c r="AL274">
        <v>0</v>
      </c>
      <c r="AM274">
        <v>0</v>
      </c>
      <c r="AN274" s="138">
        <v>0</v>
      </c>
      <c r="AO274" s="141">
        <v>0</v>
      </c>
      <c r="AP274" s="28"/>
      <c r="AQ274" s="28"/>
      <c r="AR274" s="141">
        <f>SUM(AP273)</f>
        <v>41</v>
      </c>
      <c r="AS274" s="28"/>
      <c r="AT274" s="28"/>
      <c r="AU274" s="28"/>
      <c r="BN274" s="196" t="s">
        <v>1095</v>
      </c>
      <c r="BO274" s="138">
        <v>0</v>
      </c>
      <c r="BP274" s="43">
        <v>0</v>
      </c>
      <c r="BQ274" s="28"/>
      <c r="BR274" s="43"/>
      <c r="BS274" s="28"/>
      <c r="BT274" s="43"/>
      <c r="BU274" s="141"/>
      <c r="BV274" s="138"/>
      <c r="BW274" s="28"/>
      <c r="BX274" s="141"/>
      <c r="BY274" s="28"/>
    </row>
    <row r="275" spans="1:77" ht="15" thickBot="1" x14ac:dyDescent="0.35">
      <c r="C275" s="28"/>
      <c r="D275" s="46" t="s">
        <v>84</v>
      </c>
      <c r="E275">
        <f>SUM(E273:E274)</f>
        <v>70</v>
      </c>
      <c r="F275">
        <f>SUM(F273:F274)</f>
        <v>65</v>
      </c>
      <c r="G275" s="47"/>
      <c r="H275" s="48"/>
      <c r="I275" s="48"/>
      <c r="J275" s="47"/>
      <c r="K275" s="49"/>
      <c r="L275" s="48">
        <v>4</v>
      </c>
      <c r="M275" s="48" t="s">
        <v>69</v>
      </c>
      <c r="N275" s="49">
        <f>SUM(L274:L275)+4</f>
        <v>9</v>
      </c>
      <c r="Q275" s="28"/>
      <c r="R275" s="46" t="s">
        <v>84</v>
      </c>
      <c r="S275">
        <f>SUM(S273:S274)</f>
        <v>125</v>
      </c>
      <c r="T275">
        <f>SUM(T273:T274)</f>
        <v>122</v>
      </c>
      <c r="U275" s="47"/>
      <c r="V275" s="48"/>
      <c r="W275" s="48"/>
      <c r="X275" s="47"/>
      <c r="Y275" s="49"/>
      <c r="Z275" s="48">
        <v>1</v>
      </c>
      <c r="AA275" s="48" t="s">
        <v>249</v>
      </c>
      <c r="AB275" s="49">
        <f>SUM(Z274:Z275)+3</f>
        <v>13</v>
      </c>
      <c r="AG275">
        <v>5</v>
      </c>
      <c r="AH275" s="134"/>
      <c r="AI275" s="134"/>
      <c r="AJ275" s="136"/>
      <c r="AK275" s="135"/>
      <c r="AL275" s="135"/>
      <c r="AM275" s="135"/>
      <c r="AN275" s="134"/>
      <c r="AO275" s="136"/>
      <c r="AP275" s="135" t="s">
        <v>1025</v>
      </c>
      <c r="AQ275" s="135"/>
      <c r="AR275" s="136"/>
      <c r="AS275" s="28"/>
      <c r="AT275" s="28"/>
      <c r="AU275" s="28"/>
      <c r="BN275" s="196" t="s">
        <v>523</v>
      </c>
      <c r="BO275" s="138">
        <v>0</v>
      </c>
      <c r="BP275" s="141">
        <v>3</v>
      </c>
      <c r="BQ275" s="268" t="s">
        <v>1473</v>
      </c>
      <c r="BR275" s="43">
        <v>0</v>
      </c>
      <c r="BS275" s="141">
        <v>0</v>
      </c>
      <c r="BT275" s="43"/>
      <c r="BU275" s="141"/>
      <c r="BV275" s="138" t="s">
        <v>142</v>
      </c>
      <c r="BW275" s="43"/>
      <c r="BX275" s="141" t="s">
        <v>1474</v>
      </c>
      <c r="BY275" s="28"/>
    </row>
    <row r="276" spans="1:77" x14ac:dyDescent="0.3">
      <c r="C276" s="28"/>
      <c r="D276" s="33"/>
      <c r="E276" s="33"/>
      <c r="F276" s="35"/>
      <c r="G276" s="34"/>
      <c r="H276" s="34"/>
      <c r="I276" s="34"/>
      <c r="J276" s="33"/>
      <c r="K276" s="35"/>
      <c r="L276" s="8" t="s">
        <v>6</v>
      </c>
      <c r="M276" s="34"/>
      <c r="N276" s="35"/>
      <c r="Q276" s="28"/>
      <c r="R276" s="33"/>
      <c r="S276" s="33"/>
      <c r="T276" s="35"/>
      <c r="U276" s="34"/>
      <c r="V276" s="34"/>
      <c r="W276" s="34"/>
      <c r="X276" s="33"/>
      <c r="Y276" s="35"/>
      <c r="Z276" s="53" t="s">
        <v>82</v>
      </c>
      <c r="AA276" s="34"/>
      <c r="AB276" s="35"/>
      <c r="AG276">
        <v>5</v>
      </c>
      <c r="AH276" s="142" t="s">
        <v>64</v>
      </c>
      <c r="AI276" s="142">
        <v>44</v>
      </c>
      <c r="AJ276" s="146">
        <v>35</v>
      </c>
      <c r="AK276" s="143"/>
      <c r="AL276" s="143"/>
      <c r="AM276" s="143"/>
      <c r="AN276" s="142"/>
      <c r="AO276" s="146"/>
      <c r="AP276" s="143">
        <v>9</v>
      </c>
      <c r="AQ276" s="143" t="s">
        <v>1026</v>
      </c>
      <c r="AR276" s="146">
        <f>SUM(AP276)</f>
        <v>9</v>
      </c>
      <c r="AS276" s="28"/>
      <c r="AT276" s="28"/>
      <c r="AU276" s="28"/>
      <c r="BN276" s="196" t="s">
        <v>113</v>
      </c>
      <c r="BO276" s="138">
        <v>137</v>
      </c>
      <c r="BP276" s="141">
        <v>117</v>
      </c>
      <c r="BQ276" s="268" t="s">
        <v>196</v>
      </c>
      <c r="BR276" s="255">
        <v>0</v>
      </c>
      <c r="BS276" s="141">
        <v>1</v>
      </c>
      <c r="BT276" s="43"/>
      <c r="BU276" s="141"/>
      <c r="BV276" s="138" t="s">
        <v>146</v>
      </c>
      <c r="BW276" s="28"/>
      <c r="BX276" s="256" t="s">
        <v>1476</v>
      </c>
      <c r="BY276" s="28"/>
    </row>
    <row r="277" spans="1:77" ht="15" thickBot="1" x14ac:dyDescent="0.35">
      <c r="C277" s="28"/>
      <c r="D277" s="47" t="s">
        <v>6</v>
      </c>
      <c r="E277" s="47"/>
      <c r="F277" s="49"/>
      <c r="G277" s="48">
        <v>0</v>
      </c>
      <c r="H277" s="48">
        <v>0</v>
      </c>
      <c r="I277" s="48">
        <v>0</v>
      </c>
      <c r="J277" s="47">
        <v>0</v>
      </c>
      <c r="K277" s="49">
        <v>0</v>
      </c>
      <c r="L277" s="51"/>
      <c r="M277" s="48" t="s">
        <v>6</v>
      </c>
      <c r="N277" s="49">
        <f>SUM(L277)</f>
        <v>0</v>
      </c>
      <c r="Q277" s="28"/>
      <c r="R277" s="47" t="s">
        <v>85</v>
      </c>
      <c r="S277" s="47">
        <v>9</v>
      </c>
      <c r="T277" s="49">
        <v>7</v>
      </c>
      <c r="U277" s="48"/>
      <c r="V277" s="48">
        <v>0</v>
      </c>
      <c r="W277" s="48">
        <v>0</v>
      </c>
      <c r="X277" s="47">
        <v>0</v>
      </c>
      <c r="Y277" s="49">
        <v>0</v>
      </c>
      <c r="Z277" s="51">
        <v>2</v>
      </c>
      <c r="AA277" s="48" t="s">
        <v>86</v>
      </c>
      <c r="AB277" s="49">
        <f>SUM(Z277)</f>
        <v>2</v>
      </c>
      <c r="AE277" s="135" t="s">
        <v>994</v>
      </c>
      <c r="AF277">
        <v>2016</v>
      </c>
      <c r="AG277">
        <v>5</v>
      </c>
      <c r="AH277" s="138" t="s">
        <v>113</v>
      </c>
      <c r="AI277" s="138">
        <v>326</v>
      </c>
      <c r="AJ277" s="141">
        <v>321</v>
      </c>
      <c r="AK277" s="28"/>
      <c r="AL277" s="28"/>
      <c r="AM277" s="28"/>
      <c r="AN277" s="138"/>
      <c r="AO277" s="141"/>
      <c r="AP277" s="28" t="s">
        <v>994</v>
      </c>
      <c r="AQ277" s="28"/>
      <c r="AR277" s="141"/>
      <c r="AS277" s="28"/>
      <c r="AT277" s="28"/>
      <c r="AU277" s="28"/>
      <c r="BN277" s="196" t="s">
        <v>85</v>
      </c>
      <c r="BO277" s="138">
        <v>0</v>
      </c>
      <c r="BP277" s="141">
        <v>6</v>
      </c>
      <c r="BQ277" s="268" t="s">
        <v>1247</v>
      </c>
      <c r="BR277" s="43">
        <v>0</v>
      </c>
      <c r="BS277" s="141">
        <v>10</v>
      </c>
      <c r="BT277" s="43"/>
      <c r="BU277" s="141"/>
      <c r="BV277" s="138"/>
      <c r="BW277" s="28"/>
      <c r="BX277" s="141" t="s">
        <v>803</v>
      </c>
      <c r="BY277" s="28"/>
    </row>
    <row r="278" spans="1:77" x14ac:dyDescent="0.3">
      <c r="C278" s="28"/>
      <c r="D278" s="33"/>
      <c r="E278" s="33"/>
      <c r="F278" s="35"/>
      <c r="G278" s="34"/>
      <c r="H278" s="34"/>
      <c r="I278" s="34"/>
      <c r="J278" s="33"/>
      <c r="K278" s="35"/>
      <c r="L278" s="53" t="s">
        <v>82</v>
      </c>
      <c r="M278" s="34"/>
      <c r="N278" s="35"/>
      <c r="Q278" s="28"/>
      <c r="R278" s="50" t="s">
        <v>107</v>
      </c>
      <c r="S278" s="31">
        <v>56</v>
      </c>
      <c r="T278" s="31">
        <v>49</v>
      </c>
      <c r="U278" s="29"/>
      <c r="V278" s="31"/>
      <c r="W278" s="30"/>
      <c r="X278" s="55">
        <v>0</v>
      </c>
      <c r="Y278" s="8">
        <v>0</v>
      </c>
      <c r="Z278" s="29"/>
      <c r="AA278" s="34" t="s">
        <v>92</v>
      </c>
      <c r="AB278" s="35"/>
      <c r="AE278" s="135" t="s">
        <v>994</v>
      </c>
      <c r="AF278">
        <v>2016</v>
      </c>
      <c r="AG278">
        <v>5</v>
      </c>
      <c r="AH278" s="138" t="s">
        <v>475</v>
      </c>
      <c r="AI278" s="138">
        <v>0</v>
      </c>
      <c r="AJ278" s="141">
        <v>0</v>
      </c>
      <c r="AK278" s="28"/>
      <c r="AL278" s="28"/>
      <c r="AM278" s="28"/>
      <c r="AN278" s="138"/>
      <c r="AO278" s="141"/>
      <c r="AP278" s="28">
        <v>12</v>
      </c>
      <c r="AQ278" s="28" t="s">
        <v>100</v>
      </c>
      <c r="AR278" s="141"/>
      <c r="AS278" s="28"/>
      <c r="AT278" s="28"/>
      <c r="AU278" s="28"/>
      <c r="BB278" t="s">
        <v>5</v>
      </c>
      <c r="BN278" s="196" t="s">
        <v>337</v>
      </c>
      <c r="BO278" s="138">
        <v>0</v>
      </c>
      <c r="BP278" s="141">
        <v>4</v>
      </c>
      <c r="BQ278" s="268" t="s">
        <v>158</v>
      </c>
      <c r="BR278" s="43">
        <v>0</v>
      </c>
      <c r="BS278" s="141">
        <v>0</v>
      </c>
      <c r="BT278" s="43"/>
      <c r="BU278" s="141"/>
      <c r="BV278" s="138" t="s">
        <v>151</v>
      </c>
      <c r="BW278" s="28" t="s">
        <v>1478</v>
      </c>
      <c r="BX278" s="141" t="s">
        <v>1479</v>
      </c>
      <c r="BY278" s="28"/>
    </row>
    <row r="279" spans="1:77" ht="15" thickBot="1" x14ac:dyDescent="0.35">
      <c r="C279" s="28"/>
      <c r="D279" s="47" t="s">
        <v>85</v>
      </c>
      <c r="E279" s="47">
        <v>3</v>
      </c>
      <c r="F279" s="49">
        <v>2</v>
      </c>
      <c r="G279" s="48"/>
      <c r="H279" s="48">
        <v>0</v>
      </c>
      <c r="I279" s="48">
        <v>0</v>
      </c>
      <c r="J279" s="47">
        <v>0</v>
      </c>
      <c r="K279" s="49">
        <v>0</v>
      </c>
      <c r="L279" s="51">
        <v>2</v>
      </c>
      <c r="M279" s="48" t="s">
        <v>86</v>
      </c>
      <c r="N279" s="49">
        <f>SUM(L279)</f>
        <v>2</v>
      </c>
      <c r="Q279" s="28"/>
      <c r="R279" s="41" t="s">
        <v>99</v>
      </c>
      <c r="S279" s="45">
        <v>0</v>
      </c>
      <c r="T279" s="45">
        <v>0</v>
      </c>
      <c r="U279" s="42">
        <v>0</v>
      </c>
      <c r="V279" s="45">
        <v>0</v>
      </c>
      <c r="W279" s="40">
        <v>0</v>
      </c>
      <c r="X279" s="45">
        <v>52067</v>
      </c>
      <c r="Y279" s="56">
        <v>10085</v>
      </c>
      <c r="Z279" s="52">
        <v>25</v>
      </c>
      <c r="AA279" s="37" t="s">
        <v>100</v>
      </c>
      <c r="AB279" s="40"/>
      <c r="AE279" s="135" t="s">
        <v>994</v>
      </c>
      <c r="AF279">
        <v>2016</v>
      </c>
      <c r="AG279">
        <v>5</v>
      </c>
      <c r="AH279" s="142" t="s">
        <v>84</v>
      </c>
      <c r="AI279" s="142">
        <f>SUM(AI277:AI278)</f>
        <v>326</v>
      </c>
      <c r="AJ279" s="146">
        <f>SUM(AJ277:AJ278)</f>
        <v>321</v>
      </c>
      <c r="AK279" s="143">
        <v>0</v>
      </c>
      <c r="AL279" s="143">
        <v>0</v>
      </c>
      <c r="AM279" s="143">
        <v>0</v>
      </c>
      <c r="AN279" s="142">
        <v>0</v>
      </c>
      <c r="AO279" s="146">
        <v>0</v>
      </c>
      <c r="AP279" s="43">
        <v>31</v>
      </c>
      <c r="AQ279" s="43" t="s">
        <v>73</v>
      </c>
      <c r="AR279" s="146">
        <f>SUM(AP279)</f>
        <v>31</v>
      </c>
      <c r="AS279" s="28"/>
      <c r="AT279" s="28"/>
      <c r="AU279" s="28"/>
      <c r="AV279" t="s">
        <v>6</v>
      </c>
      <c r="BC279" t="s">
        <v>2</v>
      </c>
      <c r="BN279" s="196" t="s">
        <v>99</v>
      </c>
      <c r="BO279" s="138">
        <v>3</v>
      </c>
      <c r="BP279" s="141">
        <v>10</v>
      </c>
      <c r="BQ279" s="268" t="s">
        <v>574</v>
      </c>
      <c r="BR279" s="43">
        <v>0</v>
      </c>
      <c r="BS279" s="141">
        <v>6</v>
      </c>
      <c r="BT279" s="43"/>
      <c r="BU279" s="141"/>
      <c r="BV279" s="269" t="s">
        <v>1480</v>
      </c>
      <c r="BW279" s="257" t="s">
        <v>466</v>
      </c>
      <c r="BX279" s="141" t="s">
        <v>1481</v>
      </c>
      <c r="BY279" s="28"/>
    </row>
    <row r="280" spans="1:77" ht="15" thickBot="1" x14ac:dyDescent="0.35">
      <c r="C280" s="28"/>
      <c r="D280" s="50"/>
      <c r="E280" s="31"/>
      <c r="F280" s="31"/>
      <c r="G280" s="29"/>
      <c r="H280" s="31"/>
      <c r="I280" s="30"/>
      <c r="J280" s="55"/>
      <c r="K280" s="8"/>
      <c r="L280" s="29"/>
      <c r="M280" s="34" t="s">
        <v>92</v>
      </c>
      <c r="N280" s="35"/>
      <c r="Q280" s="28"/>
      <c r="R280" s="17" t="s">
        <v>84</v>
      </c>
      <c r="S280" s="18">
        <f>SUM(S278:S279)</f>
        <v>56</v>
      </c>
      <c r="T280" s="18">
        <f>SUM(T278:T279)</f>
        <v>49</v>
      </c>
      <c r="U280" s="13"/>
      <c r="V280" s="27"/>
      <c r="W280" s="26"/>
      <c r="X280" s="58">
        <f>+X279+X278</f>
        <v>52067</v>
      </c>
      <c r="Y280" s="27">
        <f>+Y279+Y278</f>
        <v>10085</v>
      </c>
      <c r="Z280" s="59"/>
      <c r="AA280" s="48" t="s">
        <v>506</v>
      </c>
      <c r="AB280" s="60">
        <f>SUM(Z279:Z280)</f>
        <v>25</v>
      </c>
      <c r="AH280" s="196" t="s">
        <v>1028</v>
      </c>
      <c r="AI280" s="138"/>
      <c r="AJ280" s="141">
        <v>1</v>
      </c>
      <c r="AK280" s="134"/>
      <c r="AL280" s="135"/>
      <c r="AM280" s="136"/>
      <c r="AN280" s="138"/>
      <c r="AO280" s="141"/>
      <c r="AP280" s="134" t="s">
        <v>140</v>
      </c>
      <c r="AQ280" s="135"/>
      <c r="AR280" s="136"/>
      <c r="AS280" s="28"/>
      <c r="AT280" s="28"/>
      <c r="AU280" s="28"/>
      <c r="BA280" t="s">
        <v>13</v>
      </c>
      <c r="BN280" s="196" t="s">
        <v>200</v>
      </c>
      <c r="BO280" s="138">
        <v>7</v>
      </c>
      <c r="BP280" s="141">
        <v>12</v>
      </c>
      <c r="BQ280" s="268" t="s">
        <v>1482</v>
      </c>
      <c r="BR280" s="43">
        <v>5</v>
      </c>
      <c r="BS280" s="141">
        <v>0</v>
      </c>
      <c r="BT280" s="43"/>
      <c r="BU280" s="141"/>
      <c r="BV280" s="212" t="s">
        <v>513</v>
      </c>
      <c r="BW280" s="28" t="s">
        <v>1483</v>
      </c>
      <c r="BX280" s="141" t="s">
        <v>366</v>
      </c>
      <c r="BY280" s="28"/>
    </row>
    <row r="281" spans="1:77" x14ac:dyDescent="0.3">
      <c r="C281" s="28"/>
      <c r="D281" s="41" t="s">
        <v>99</v>
      </c>
      <c r="E281" s="45">
        <v>0</v>
      </c>
      <c r="F281" s="45">
        <v>0</v>
      </c>
      <c r="G281" s="42">
        <v>0</v>
      </c>
      <c r="H281" s="45">
        <v>0</v>
      </c>
      <c r="I281" s="40">
        <v>0</v>
      </c>
      <c r="J281" s="45">
        <v>102649</v>
      </c>
      <c r="K281" s="56">
        <v>17569</v>
      </c>
      <c r="L281" s="52">
        <v>23</v>
      </c>
      <c r="M281" s="37" t="s">
        <v>100</v>
      </c>
      <c r="N281" s="40"/>
      <c r="Q281" s="28"/>
      <c r="R281" s="32"/>
      <c r="S281" s="63">
        <v>0</v>
      </c>
      <c r="T281" s="64">
        <v>0</v>
      </c>
      <c r="U281" s="33"/>
      <c r="V281" s="8"/>
      <c r="W281" s="35"/>
      <c r="X281" s="65"/>
      <c r="Y281" s="66"/>
      <c r="Z281" s="29"/>
      <c r="AA281" s="31"/>
      <c r="AB281" s="35"/>
      <c r="AH281" s="196" t="s">
        <v>164</v>
      </c>
      <c r="AI281" s="138">
        <v>5</v>
      </c>
      <c r="AJ281" s="141"/>
      <c r="AK281" s="138"/>
      <c r="AL281" s="28"/>
      <c r="AM281" s="141"/>
      <c r="AN281" s="138"/>
      <c r="AO281" s="141"/>
      <c r="AP281" s="138"/>
      <c r="AQ281" s="28"/>
      <c r="AR281" s="141"/>
      <c r="AS281" s="28"/>
      <c r="AT281" s="28"/>
      <c r="AU281" s="28"/>
      <c r="BC281" t="s">
        <v>1597</v>
      </c>
      <c r="BG281" s="194" t="s">
        <v>950</v>
      </c>
      <c r="BN281" s="196" t="s">
        <v>564</v>
      </c>
      <c r="BO281" s="138">
        <v>0</v>
      </c>
      <c r="BP281" s="141">
        <v>6</v>
      </c>
      <c r="BQ281" s="268" t="s">
        <v>1484</v>
      </c>
      <c r="BR281" s="43">
        <v>0</v>
      </c>
      <c r="BS281" s="141">
        <v>3</v>
      </c>
      <c r="BT281" s="43"/>
      <c r="BU281" s="141"/>
      <c r="BV281" s="212" t="s">
        <v>510</v>
      </c>
      <c r="BW281" s="43" t="s">
        <v>1485</v>
      </c>
      <c r="BX281" s="141" t="s">
        <v>1486</v>
      </c>
      <c r="BY281" s="28"/>
    </row>
    <row r="282" spans="1:77" ht="15" thickBot="1" x14ac:dyDescent="0.35">
      <c r="C282" s="28"/>
      <c r="D282" s="17" t="s">
        <v>84</v>
      </c>
      <c r="E282" s="18">
        <f>SUM(E280:E281)</f>
        <v>0</v>
      </c>
      <c r="F282" s="18">
        <f>SUM(F280:F281)</f>
        <v>0</v>
      </c>
      <c r="G282" s="13"/>
      <c r="H282" s="27"/>
      <c r="I282" s="26"/>
      <c r="J282" s="58"/>
      <c r="K282" s="27"/>
      <c r="L282" s="59">
        <v>1</v>
      </c>
      <c r="M282" s="48" t="s">
        <v>400</v>
      </c>
      <c r="N282" s="60">
        <f>SUM(L281:L282)</f>
        <v>24</v>
      </c>
      <c r="Q282" s="28"/>
      <c r="R282" s="41"/>
      <c r="S282" s="70">
        <v>0</v>
      </c>
      <c r="T282" s="71">
        <v>0</v>
      </c>
      <c r="U282" s="42"/>
      <c r="V282" s="28"/>
      <c r="W282" s="40"/>
      <c r="X282" s="42"/>
      <c r="Y282" s="40"/>
      <c r="Z282" s="42"/>
      <c r="AA282" s="54"/>
      <c r="AB282" s="40"/>
      <c r="AH282" s="196" t="s">
        <v>133</v>
      </c>
      <c r="AI282" s="138">
        <f>4+3+19</f>
        <v>26</v>
      </c>
      <c r="AJ282" s="141">
        <f>3+18</f>
        <v>21</v>
      </c>
      <c r="AK282" s="138"/>
      <c r="AL282" s="28"/>
      <c r="AM282" s="141"/>
      <c r="AN282" s="138"/>
      <c r="AO282" s="141"/>
      <c r="AP282" s="138"/>
      <c r="AQ282" s="28"/>
      <c r="AR282" s="141"/>
      <c r="AS282" s="28"/>
      <c r="AT282" s="28"/>
      <c r="AU282" s="28"/>
      <c r="AX282" s="195" t="s">
        <v>17</v>
      </c>
      <c r="AY282" s="134" t="s">
        <v>27</v>
      </c>
      <c r="AZ282" s="136"/>
      <c r="BA282" s="135" t="s">
        <v>28</v>
      </c>
      <c r="BB282" s="135"/>
      <c r="BC282" s="135"/>
      <c r="BD282" s="135" t="s">
        <v>29</v>
      </c>
      <c r="BE282" s="135" t="s">
        <v>30</v>
      </c>
      <c r="BF282" s="135" t="s">
        <v>31</v>
      </c>
      <c r="BG282" s="135"/>
      <c r="BH282" s="136"/>
      <c r="BN282" s="196" t="s">
        <v>218</v>
      </c>
      <c r="BO282" s="138">
        <v>0</v>
      </c>
      <c r="BP282" s="141">
        <v>15</v>
      </c>
      <c r="BQ282" s="268" t="s">
        <v>358</v>
      </c>
      <c r="BR282" s="270">
        <v>4</v>
      </c>
      <c r="BS282" s="141">
        <v>7</v>
      </c>
      <c r="BT282" s="43"/>
      <c r="BU282" s="141"/>
      <c r="BV282" s="138" t="s">
        <v>1377</v>
      </c>
      <c r="BW282" s="43" t="s">
        <v>522</v>
      </c>
      <c r="BX282" s="209" t="s">
        <v>739</v>
      </c>
      <c r="BY282" s="28"/>
    </row>
    <row r="283" spans="1:77" ht="15" thickBot="1" x14ac:dyDescent="0.35">
      <c r="A283" s="31" t="s">
        <v>57</v>
      </c>
      <c r="B283">
        <v>2014</v>
      </c>
      <c r="C283" s="28">
        <v>5</v>
      </c>
      <c r="D283" s="32" t="s">
        <v>6</v>
      </c>
      <c r="E283" s="63"/>
      <c r="F283" s="64"/>
      <c r="G283" s="33"/>
      <c r="H283" s="8"/>
      <c r="I283" s="35"/>
      <c r="J283" s="65"/>
      <c r="K283" s="66"/>
      <c r="L283" s="29"/>
      <c r="M283" s="31" t="s">
        <v>57</v>
      </c>
      <c r="N283" s="35"/>
      <c r="Q283" s="28" t="s">
        <v>6</v>
      </c>
      <c r="R283" s="68"/>
      <c r="S283">
        <f>SUM(S281:S282)</f>
        <v>0</v>
      </c>
      <c r="T283">
        <f>SUM(T281:T282)</f>
        <v>0</v>
      </c>
      <c r="U283" s="47">
        <v>0</v>
      </c>
      <c r="V283" s="27">
        <v>0</v>
      </c>
      <c r="W283" s="49">
        <v>0</v>
      </c>
      <c r="X283" s="75">
        <v>0</v>
      </c>
      <c r="Y283" s="49">
        <v>0</v>
      </c>
      <c r="Z283" s="47"/>
      <c r="AA283" s="51"/>
      <c r="AB283" s="49">
        <f>SUM(Z282:Z283)</f>
        <v>0</v>
      </c>
      <c r="AH283" s="196" t="s">
        <v>113</v>
      </c>
      <c r="AI283" s="138">
        <f>5+3+16+2</f>
        <v>26</v>
      </c>
      <c r="AJ283" s="141">
        <f>2+2+16+5</f>
        <v>25</v>
      </c>
      <c r="AK283" s="138"/>
      <c r="AL283" s="28"/>
      <c r="AM283" s="141"/>
      <c r="AN283" s="138"/>
      <c r="AO283" s="141"/>
      <c r="AP283" s="138" t="s">
        <v>142</v>
      </c>
      <c r="AQ283" s="28"/>
      <c r="AR283" s="141" t="s">
        <v>620</v>
      </c>
      <c r="AS283" s="28"/>
      <c r="AT283" s="28"/>
      <c r="AU283" s="28"/>
      <c r="AX283" s="196"/>
      <c r="AY283" s="138"/>
      <c r="AZ283" s="141"/>
      <c r="BA283" s="28"/>
      <c r="BB283" s="28"/>
      <c r="BC283" s="28"/>
      <c r="BD283" s="28"/>
      <c r="BE283" s="28" t="s">
        <v>6</v>
      </c>
      <c r="BF283" s="28" t="s">
        <v>41</v>
      </c>
      <c r="BG283" s="28"/>
      <c r="BH283" s="141"/>
      <c r="BN283" s="196" t="s">
        <v>1374</v>
      </c>
      <c r="BO283" s="138">
        <v>0</v>
      </c>
      <c r="BP283" s="141">
        <v>0</v>
      </c>
      <c r="BQ283" s="268" t="s">
        <v>1487</v>
      </c>
      <c r="BR283" s="43">
        <v>0</v>
      </c>
      <c r="BS283" s="141">
        <v>0</v>
      </c>
      <c r="BT283" s="43"/>
      <c r="BU283" s="141"/>
      <c r="BV283" s="138" t="s">
        <v>603</v>
      </c>
      <c r="BW283" s="43" t="s">
        <v>333</v>
      </c>
      <c r="BX283" s="209" t="s">
        <v>1488</v>
      </c>
      <c r="BY283" s="28"/>
    </row>
    <row r="284" spans="1:77" ht="15" thickBot="1" x14ac:dyDescent="0.35">
      <c r="A284" s="31" t="s">
        <v>57</v>
      </c>
      <c r="B284">
        <v>2014</v>
      </c>
      <c r="C284" s="28">
        <v>5</v>
      </c>
      <c r="D284" s="41" t="s">
        <v>113</v>
      </c>
      <c r="E284" s="70">
        <v>485</v>
      </c>
      <c r="F284" s="71">
        <v>520</v>
      </c>
      <c r="G284" s="42"/>
      <c r="H284" s="28"/>
      <c r="I284" s="40"/>
      <c r="J284" s="42"/>
      <c r="K284" s="40"/>
      <c r="L284" s="42"/>
      <c r="M284" s="43"/>
      <c r="N284" s="40"/>
      <c r="O284" s="34" t="s">
        <v>91</v>
      </c>
      <c r="P284">
        <v>2015</v>
      </c>
      <c r="Q284" s="28">
        <v>5</v>
      </c>
      <c r="R284" s="33" t="s">
        <v>89</v>
      </c>
      <c r="S284" s="78">
        <v>259</v>
      </c>
      <c r="T284" s="79">
        <v>282</v>
      </c>
      <c r="U284" s="34"/>
      <c r="V284" s="8"/>
      <c r="W284" s="35"/>
      <c r="X284" s="80"/>
      <c r="Y284" s="34"/>
      <c r="Z284" s="33"/>
      <c r="AA284" s="34" t="s">
        <v>91</v>
      </c>
      <c r="AB284" s="35"/>
      <c r="AH284" s="196" t="s">
        <v>108</v>
      </c>
      <c r="AI284" s="138">
        <v>6</v>
      </c>
      <c r="AJ284" s="141">
        <v>7</v>
      </c>
      <c r="AK284" s="138"/>
      <c r="AL284" s="28"/>
      <c r="AM284" s="141"/>
      <c r="AN284" s="138"/>
      <c r="AO284" s="141"/>
      <c r="AP284" s="138" t="s">
        <v>146</v>
      </c>
      <c r="AQ284" s="28"/>
      <c r="AR284" s="141" t="s">
        <v>955</v>
      </c>
      <c r="AS284" s="28"/>
      <c r="AT284" s="28"/>
      <c r="AU284" s="28"/>
      <c r="AX284" s="199" t="s">
        <v>42</v>
      </c>
      <c r="AY284" s="142" t="s">
        <v>43</v>
      </c>
      <c r="AZ284" s="146" t="s">
        <v>44</v>
      </c>
      <c r="BA284" s="143" t="s">
        <v>45</v>
      </c>
      <c r="BB284" s="143" t="s">
        <v>46</v>
      </c>
      <c r="BC284" s="143" t="s">
        <v>52</v>
      </c>
      <c r="BD284" s="143" t="s">
        <v>43</v>
      </c>
      <c r="BE284" s="143" t="s">
        <v>44</v>
      </c>
      <c r="BF284" s="143" t="s">
        <v>54</v>
      </c>
      <c r="BG284" s="143"/>
      <c r="BH284" s="146"/>
      <c r="BN284" s="196" t="s">
        <v>108</v>
      </c>
      <c r="BO284" s="138">
        <v>0</v>
      </c>
      <c r="BP284" s="141">
        <v>3</v>
      </c>
      <c r="BQ284" s="268" t="s">
        <v>297</v>
      </c>
      <c r="BR284" s="43">
        <v>0</v>
      </c>
      <c r="BS284" s="141">
        <v>0</v>
      </c>
      <c r="BT284" s="43"/>
      <c r="BU284" s="141"/>
      <c r="BV284" s="212" t="s">
        <v>820</v>
      </c>
      <c r="BW284" s="43" t="s">
        <v>791</v>
      </c>
      <c r="BX284" s="141" t="s">
        <v>1490</v>
      </c>
      <c r="BY284" s="28"/>
    </row>
    <row r="285" spans="1:77" ht="15" thickBot="1" x14ac:dyDescent="0.35">
      <c r="A285" s="31" t="s">
        <v>57</v>
      </c>
      <c r="B285">
        <v>2014</v>
      </c>
      <c r="C285" s="28">
        <v>5</v>
      </c>
      <c r="D285" s="68" t="s">
        <v>84</v>
      </c>
      <c r="E285">
        <f>SUM(E283:E284)</f>
        <v>485</v>
      </c>
      <c r="F285">
        <f>SUM(F283:F284)</f>
        <v>520</v>
      </c>
      <c r="G285" s="47">
        <v>0</v>
      </c>
      <c r="H285" s="27">
        <v>0</v>
      </c>
      <c r="I285" s="49">
        <v>0</v>
      </c>
      <c r="J285" s="75">
        <v>0</v>
      </c>
      <c r="K285" s="49">
        <v>0</v>
      </c>
      <c r="L285" s="47">
        <v>44</v>
      </c>
      <c r="M285" s="51" t="s">
        <v>73</v>
      </c>
      <c r="N285" s="49">
        <f>SUM(L284:L285)</f>
        <v>44</v>
      </c>
      <c r="O285" s="34" t="s">
        <v>91</v>
      </c>
      <c r="P285">
        <v>2015</v>
      </c>
      <c r="Q285" s="28">
        <v>5</v>
      </c>
      <c r="R285" s="52" t="s">
        <v>85</v>
      </c>
      <c r="S285" s="42">
        <v>0</v>
      </c>
      <c r="T285" s="40">
        <v>0</v>
      </c>
      <c r="U285" s="28"/>
      <c r="V285" s="28"/>
      <c r="W285" s="40"/>
      <c r="Z285" s="42"/>
      <c r="AA285" s="43"/>
      <c r="AB285" s="40"/>
      <c r="AG285" t="s">
        <v>6</v>
      </c>
      <c r="AH285" s="196" t="s">
        <v>608</v>
      </c>
      <c r="AI285" s="138">
        <v>4</v>
      </c>
      <c r="AJ285" s="141">
        <v>0</v>
      </c>
      <c r="AK285" s="138"/>
      <c r="AL285" s="28"/>
      <c r="AM285" s="141"/>
      <c r="AN285" s="138"/>
      <c r="AO285" s="141"/>
      <c r="AP285" s="138"/>
      <c r="AQ285" s="28"/>
      <c r="AR285" s="141"/>
      <c r="AS285" s="28"/>
      <c r="AT285" s="28"/>
      <c r="AU285" s="28"/>
      <c r="AX285" s="195" t="s">
        <v>6</v>
      </c>
      <c r="AY285" s="135" t="s">
        <v>6</v>
      </c>
      <c r="AZ285" s="135"/>
      <c r="BA285" s="134"/>
      <c r="BB285" s="135"/>
      <c r="BC285" s="135"/>
      <c r="BD285" s="134"/>
      <c r="BE285" s="136"/>
      <c r="BF285" s="135" t="s">
        <v>58</v>
      </c>
      <c r="BG285" s="135"/>
      <c r="BH285" s="136"/>
      <c r="BN285" s="196" t="s">
        <v>64</v>
      </c>
      <c r="BO285" s="138">
        <v>1</v>
      </c>
      <c r="BP285" s="141">
        <v>0</v>
      </c>
      <c r="BQ285" s="268" t="s">
        <v>1492</v>
      </c>
      <c r="BR285" s="270">
        <v>0</v>
      </c>
      <c r="BS285" s="141">
        <v>0</v>
      </c>
      <c r="BT285" s="43"/>
      <c r="BU285" s="141"/>
      <c r="BV285" s="138" t="s">
        <v>180</v>
      </c>
      <c r="BW285" s="43" t="s">
        <v>1493</v>
      </c>
      <c r="BX285" s="260" t="s">
        <v>1494</v>
      </c>
      <c r="BY285" s="28"/>
    </row>
    <row r="286" spans="1:77" ht="15" thickBot="1" x14ac:dyDescent="0.35">
      <c r="A286" s="34" t="s">
        <v>91</v>
      </c>
      <c r="B286">
        <v>2014</v>
      </c>
      <c r="C286" s="28">
        <v>5</v>
      </c>
      <c r="D286" s="33" t="s">
        <v>108</v>
      </c>
      <c r="E286" s="78">
        <v>0</v>
      </c>
      <c r="F286" s="79">
        <v>18</v>
      </c>
      <c r="G286" s="34"/>
      <c r="H286" s="8"/>
      <c r="I286" s="35"/>
      <c r="J286" s="80"/>
      <c r="K286" s="34"/>
      <c r="L286" s="33"/>
      <c r="M286" s="34" t="s">
        <v>91</v>
      </c>
      <c r="N286" s="35"/>
      <c r="O286" s="34" t="s">
        <v>91</v>
      </c>
      <c r="P286">
        <v>2015</v>
      </c>
      <c r="Q286" s="28">
        <v>5</v>
      </c>
      <c r="R286" s="67" t="s">
        <v>113</v>
      </c>
      <c r="S286" s="42">
        <v>593</v>
      </c>
      <c r="T286" s="40">
        <v>570</v>
      </c>
      <c r="U286" s="28"/>
      <c r="V286" s="28"/>
      <c r="W286" s="40"/>
      <c r="X286" s="28"/>
      <c r="Y286" s="28"/>
      <c r="Z286" s="67">
        <v>64</v>
      </c>
      <c r="AA286" s="43" t="s">
        <v>73</v>
      </c>
      <c r="AB286" s="40"/>
      <c r="AH286" s="196" t="s">
        <v>99</v>
      </c>
      <c r="AI286" s="138">
        <v>0</v>
      </c>
      <c r="AJ286" s="141">
        <f>2+2</f>
        <v>4</v>
      </c>
      <c r="AK286" s="138" t="s">
        <v>150</v>
      </c>
      <c r="AL286" s="28"/>
      <c r="AM286" s="141"/>
      <c r="AN286" s="138"/>
      <c r="AO286" s="141"/>
      <c r="AP286" s="138" t="s">
        <v>151</v>
      </c>
      <c r="AQ286" s="28"/>
      <c r="AR286" s="141"/>
      <c r="AS286" s="28"/>
      <c r="AT286" s="28"/>
      <c r="AU286" s="28"/>
      <c r="AX286" s="196" t="s">
        <v>64</v>
      </c>
      <c r="AY286" s="28">
        <v>114</v>
      </c>
      <c r="AZ286" s="28">
        <v>168</v>
      </c>
      <c r="BA286" s="138">
        <v>0</v>
      </c>
      <c r="BB286" s="28">
        <v>0</v>
      </c>
      <c r="BC286" s="28">
        <v>0</v>
      </c>
      <c r="BD286" s="138">
        <v>0</v>
      </c>
      <c r="BE286" s="141">
        <v>0</v>
      </c>
      <c r="BF286" s="43">
        <v>16</v>
      </c>
      <c r="BG286" s="28" t="s">
        <v>474</v>
      </c>
      <c r="BH286" s="141" t="s">
        <v>6</v>
      </c>
      <c r="BN286" s="196" t="s">
        <v>139</v>
      </c>
      <c r="BO286" s="138">
        <v>10</v>
      </c>
      <c r="BP286" s="141">
        <v>10</v>
      </c>
      <c r="BQ286" s="268" t="s">
        <v>1495</v>
      </c>
      <c r="BR286" s="270">
        <v>0</v>
      </c>
      <c r="BS286" s="141">
        <v>0</v>
      </c>
      <c r="BT286" s="43"/>
      <c r="BU286" s="141"/>
      <c r="BV286" s="138" t="s">
        <v>1486</v>
      </c>
      <c r="BW286" s="43" t="s">
        <v>896</v>
      </c>
      <c r="BX286" s="209" t="s">
        <v>333</v>
      </c>
      <c r="BY286" s="28"/>
    </row>
    <row r="287" spans="1:77" ht="15" thickBot="1" x14ac:dyDescent="0.35">
      <c r="A287" s="34" t="s">
        <v>91</v>
      </c>
      <c r="B287">
        <v>2014</v>
      </c>
      <c r="C287" s="28">
        <v>5</v>
      </c>
      <c r="D287" s="52" t="s">
        <v>85</v>
      </c>
      <c r="E287" s="42">
        <v>0</v>
      </c>
      <c r="F287" s="40">
        <v>0</v>
      </c>
      <c r="G287" s="28"/>
      <c r="H287" s="28"/>
      <c r="I287" s="40"/>
      <c r="L287" s="42"/>
      <c r="M287" s="28"/>
      <c r="N287" s="40"/>
      <c r="Q287" s="43">
        <v>5</v>
      </c>
      <c r="R287" s="47" t="s">
        <v>84</v>
      </c>
      <c r="S287" s="47">
        <f>SUM(S284:S286)</f>
        <v>852</v>
      </c>
      <c r="T287" s="49">
        <f>SUM(T284:T286)</f>
        <v>852</v>
      </c>
      <c r="U287" s="81">
        <v>0</v>
      </c>
      <c r="V287" s="27">
        <v>0</v>
      </c>
      <c r="W287" s="82">
        <f>+W284</f>
        <v>0</v>
      </c>
      <c r="X287" s="74">
        <v>0</v>
      </c>
      <c r="Y287" s="74">
        <v>0</v>
      </c>
      <c r="Z287" s="47"/>
      <c r="AA287" s="51"/>
      <c r="AB287" s="49">
        <f>SUM(Z286)</f>
        <v>64</v>
      </c>
      <c r="AH287" s="196" t="s">
        <v>85</v>
      </c>
      <c r="AI287" s="138">
        <v>10</v>
      </c>
      <c r="AJ287" s="141">
        <v>0</v>
      </c>
      <c r="AK287" s="138"/>
      <c r="AL287" s="28"/>
      <c r="AM287" s="141"/>
      <c r="AN287" s="138"/>
      <c r="AO287" s="141"/>
      <c r="AP287" s="138" t="s">
        <v>320</v>
      </c>
      <c r="AQ287" s="28" t="s">
        <v>1029</v>
      </c>
      <c r="AR287" s="141" t="s">
        <v>841</v>
      </c>
      <c r="AS287" s="28"/>
      <c r="AT287" s="28"/>
      <c r="AU287" s="28"/>
      <c r="AX287" s="196" t="s">
        <v>108</v>
      </c>
      <c r="AY287">
        <v>0</v>
      </c>
      <c r="AZ287">
        <v>0</v>
      </c>
      <c r="BA287" s="138">
        <v>0</v>
      </c>
      <c r="BB287" s="28">
        <v>0</v>
      </c>
      <c r="BC287" s="28">
        <v>0</v>
      </c>
      <c r="BD287" s="138">
        <v>0</v>
      </c>
      <c r="BE287" s="141">
        <v>0</v>
      </c>
      <c r="BF287" s="43"/>
      <c r="BG287" s="28" t="s">
        <v>1045</v>
      </c>
      <c r="BH287" s="141"/>
      <c r="BN287" s="196" t="s">
        <v>1242</v>
      </c>
      <c r="BO287" s="138">
        <v>6</v>
      </c>
      <c r="BP287" s="141">
        <v>0</v>
      </c>
      <c r="BQ287" s="268" t="s">
        <v>1425</v>
      </c>
      <c r="BR287" s="270">
        <v>94</v>
      </c>
      <c r="BS287" s="141">
        <v>84</v>
      </c>
      <c r="BT287" s="43"/>
      <c r="BU287" s="141"/>
      <c r="BV287" s="138" t="s">
        <v>1496</v>
      </c>
      <c r="BW287" s="43" t="s">
        <v>1497</v>
      </c>
      <c r="BX287" s="141" t="s">
        <v>1006</v>
      </c>
      <c r="BY287" s="28"/>
    </row>
    <row r="288" spans="1:77" ht="16.2" thickBot="1" x14ac:dyDescent="0.35">
      <c r="A288" s="34" t="s">
        <v>91</v>
      </c>
      <c r="B288">
        <v>2014</v>
      </c>
      <c r="C288" s="28">
        <v>5</v>
      </c>
      <c r="D288" s="67" t="s">
        <v>113</v>
      </c>
      <c r="E288" s="42">
        <v>535</v>
      </c>
      <c r="F288" s="40">
        <v>540</v>
      </c>
      <c r="G288" s="28"/>
      <c r="H288" s="28"/>
      <c r="I288" s="40"/>
      <c r="J288" s="28"/>
      <c r="K288" s="28"/>
      <c r="L288" s="67">
        <v>48</v>
      </c>
      <c r="M288" s="43" t="s">
        <v>73</v>
      </c>
      <c r="N288" s="40"/>
      <c r="O288" s="34" t="s">
        <v>130</v>
      </c>
      <c r="P288">
        <v>2015</v>
      </c>
      <c r="Q288" s="43">
        <v>5</v>
      </c>
      <c r="R288" s="52" t="s">
        <v>113</v>
      </c>
      <c r="S288" s="42">
        <v>667</v>
      </c>
      <c r="T288" s="85">
        <v>625</v>
      </c>
      <c r="U288" s="37"/>
      <c r="V288" s="18"/>
      <c r="W288" s="54"/>
      <c r="X288" s="52"/>
      <c r="Y288" s="40"/>
      <c r="Z288" s="67"/>
      <c r="AA288" s="34" t="s">
        <v>130</v>
      </c>
      <c r="AB288" s="40"/>
      <c r="AH288" s="196" t="s">
        <v>358</v>
      </c>
      <c r="AI288" s="138">
        <v>0</v>
      </c>
      <c r="AJ288" s="141">
        <v>9</v>
      </c>
      <c r="AK288" s="138"/>
      <c r="AL288" s="28"/>
      <c r="AM288" s="141"/>
      <c r="AN288" s="138"/>
      <c r="AO288" s="141"/>
      <c r="AP288" s="138" t="s">
        <v>160</v>
      </c>
      <c r="AQ288" s="28" t="s">
        <v>455</v>
      </c>
      <c r="AR288" s="141" t="s">
        <v>614</v>
      </c>
      <c r="AS288" s="28"/>
      <c r="AT288" s="28"/>
      <c r="AU288" s="28"/>
      <c r="AX288" s="199" t="s">
        <v>84</v>
      </c>
      <c r="AY288" s="143">
        <f>SUM(AY285:AY287)</f>
        <v>114</v>
      </c>
      <c r="AZ288" s="143">
        <f>SUM(AZ285:AZ287)</f>
        <v>168</v>
      </c>
      <c r="BA288" s="138">
        <v>0</v>
      </c>
      <c r="BB288" s="28">
        <v>0</v>
      </c>
      <c r="BC288" s="28">
        <v>0</v>
      </c>
      <c r="BD288" s="138">
        <v>0</v>
      </c>
      <c r="BE288" s="141">
        <v>0</v>
      </c>
      <c r="BF288" s="143">
        <v>1</v>
      </c>
      <c r="BG288" s="143" t="s">
        <v>69</v>
      </c>
      <c r="BH288" s="146">
        <f>SUM(BF286:BF288)</f>
        <v>17</v>
      </c>
      <c r="BN288" s="259" t="s">
        <v>133</v>
      </c>
      <c r="BO288" s="138">
        <v>31</v>
      </c>
      <c r="BP288" s="141">
        <v>32</v>
      </c>
      <c r="BQ288" s="268" t="s">
        <v>526</v>
      </c>
      <c r="BR288" s="270">
        <v>0</v>
      </c>
      <c r="BS288" s="141">
        <v>4</v>
      </c>
      <c r="BT288" s="43"/>
      <c r="BU288" s="141"/>
      <c r="BV288" s="138" t="s">
        <v>1498</v>
      </c>
      <c r="BW288" s="258" t="s">
        <v>1499</v>
      </c>
      <c r="BX288" s="260"/>
      <c r="BY288" s="28"/>
    </row>
    <row r="289" spans="1:77" ht="16.2" thickBot="1" x14ac:dyDescent="0.35">
      <c r="A289" s="34" t="s">
        <v>91</v>
      </c>
      <c r="B289">
        <v>2014</v>
      </c>
      <c r="C289" s="28">
        <v>5</v>
      </c>
      <c r="D289" s="47" t="s">
        <v>84</v>
      </c>
      <c r="E289" s="47">
        <f>SUM(E286:E288)</f>
        <v>535</v>
      </c>
      <c r="F289" s="49">
        <f>SUM(F286:F288)</f>
        <v>558</v>
      </c>
      <c r="G289" s="81">
        <v>0</v>
      </c>
      <c r="H289" s="27">
        <v>0</v>
      </c>
      <c r="I289" s="82">
        <v>0</v>
      </c>
      <c r="J289" s="74">
        <v>0</v>
      </c>
      <c r="K289" s="74">
        <v>0</v>
      </c>
      <c r="L289" s="47"/>
      <c r="M289" s="51"/>
      <c r="N289" s="49">
        <f>SUM(L288)</f>
        <v>48</v>
      </c>
      <c r="O289" t="s">
        <v>6</v>
      </c>
      <c r="Q289" s="28"/>
      <c r="R289" s="42" t="s">
        <v>475</v>
      </c>
      <c r="S289" s="67">
        <v>0</v>
      </c>
      <c r="T289" s="85">
        <v>0</v>
      </c>
      <c r="U289" s="28"/>
      <c r="V289" s="18"/>
      <c r="W289" s="28"/>
      <c r="X289" s="52"/>
      <c r="Y289" s="86"/>
      <c r="Z289" s="52">
        <v>53</v>
      </c>
      <c r="AA289" s="43" t="s">
        <v>73</v>
      </c>
      <c r="AB289" s="40"/>
      <c r="AC289" t="s">
        <v>6</v>
      </c>
      <c r="AH289" s="196" t="s">
        <v>817</v>
      </c>
      <c r="AI289" s="138">
        <v>0</v>
      </c>
      <c r="AJ289" s="141">
        <v>213</v>
      </c>
      <c r="AK289" s="138"/>
      <c r="AL289" s="28"/>
      <c r="AM289" s="141"/>
      <c r="AN289" s="138"/>
      <c r="AO289" s="141"/>
      <c r="AP289" s="138" t="s">
        <v>1030</v>
      </c>
      <c r="AQ289" s="28" t="s">
        <v>500</v>
      </c>
      <c r="AR289" s="141" t="s">
        <v>206</v>
      </c>
      <c r="AS289" s="28"/>
      <c r="AT289" s="28"/>
      <c r="AU289" s="28"/>
      <c r="AX289" s="195" t="s">
        <v>6</v>
      </c>
      <c r="AY289" s="134" t="s">
        <v>6</v>
      </c>
      <c r="AZ289" s="136"/>
      <c r="BA289" s="135"/>
      <c r="BB289" s="135">
        <v>0</v>
      </c>
      <c r="BC289" s="135"/>
      <c r="BD289" s="134"/>
      <c r="BE289" s="136"/>
      <c r="BF289" s="135" t="s">
        <v>1092</v>
      </c>
      <c r="BG289" s="135"/>
      <c r="BH289" s="136"/>
      <c r="BN289" s="196" t="s">
        <v>93</v>
      </c>
      <c r="BO289" s="138">
        <v>5</v>
      </c>
      <c r="BP289" s="141">
        <v>5</v>
      </c>
      <c r="BQ289" s="268" t="s">
        <v>1437</v>
      </c>
      <c r="BR289" s="270">
        <v>0</v>
      </c>
      <c r="BS289" s="141">
        <v>0</v>
      </c>
      <c r="BT289" s="43"/>
      <c r="BU289" s="141"/>
      <c r="BV289" s="138" t="s">
        <v>1098</v>
      </c>
      <c r="BW289" s="258" t="s">
        <v>1500</v>
      </c>
      <c r="BX289" s="141"/>
      <c r="BY289" s="28"/>
    </row>
    <row r="290" spans="1:77" ht="15" thickBot="1" x14ac:dyDescent="0.35">
      <c r="A290" s="34" t="s">
        <v>130</v>
      </c>
      <c r="B290">
        <v>2014</v>
      </c>
      <c r="C290" s="28">
        <v>5</v>
      </c>
      <c r="D290" s="52" t="s">
        <v>113</v>
      </c>
      <c r="E290" s="42">
        <v>540</v>
      </c>
      <c r="F290" s="85">
        <v>527</v>
      </c>
      <c r="G290" s="37"/>
      <c r="H290" s="18"/>
      <c r="I290" s="54"/>
      <c r="J290" s="52"/>
      <c r="K290" s="40"/>
      <c r="L290" s="67"/>
      <c r="M290" s="34" t="s">
        <v>130</v>
      </c>
      <c r="N290" s="40"/>
      <c r="Q290" s="28"/>
      <c r="R290" s="59" t="s">
        <v>84</v>
      </c>
      <c r="S290" s="13">
        <f>SUM(S288:S289)</f>
        <v>667</v>
      </c>
      <c r="T290" s="60">
        <f>SUM(T288:T289)</f>
        <v>625</v>
      </c>
      <c r="U290" s="81">
        <v>0</v>
      </c>
      <c r="V290" s="27">
        <v>0</v>
      </c>
      <c r="W290" s="27">
        <v>0</v>
      </c>
      <c r="X290" s="13">
        <v>0</v>
      </c>
      <c r="Y290" s="26">
        <v>0</v>
      </c>
      <c r="Z290" s="13"/>
      <c r="AA290" s="43"/>
      <c r="AB290" s="26">
        <f>SUM(Z288:Z289)</f>
        <v>53</v>
      </c>
      <c r="AH290" s="196" t="s">
        <v>169</v>
      </c>
      <c r="AI290" s="138">
        <v>0</v>
      </c>
      <c r="AJ290" s="141">
        <v>2</v>
      </c>
      <c r="AK290" s="138"/>
      <c r="AL290" s="28"/>
      <c r="AM290" s="141"/>
      <c r="AN290" s="138"/>
      <c r="AO290" s="141"/>
      <c r="AP290" s="138" t="s">
        <v>1031</v>
      </c>
      <c r="AQ290" s="43" t="s">
        <v>1032</v>
      </c>
      <c r="AR290" s="141" t="s">
        <v>1033</v>
      </c>
      <c r="AS290" s="28"/>
      <c r="AT290" s="28"/>
      <c r="AU290" s="135" t="s">
        <v>1092</v>
      </c>
      <c r="AV290">
        <v>2017</v>
      </c>
      <c r="AW290">
        <v>5</v>
      </c>
      <c r="AX290" s="199" t="s">
        <v>108</v>
      </c>
      <c r="AY290" s="142">
        <v>445</v>
      </c>
      <c r="AZ290" s="146">
        <v>486</v>
      </c>
      <c r="BA290" s="143"/>
      <c r="BB290" s="143">
        <v>0</v>
      </c>
      <c r="BC290" s="143">
        <v>0</v>
      </c>
      <c r="BD290" s="142">
        <v>0</v>
      </c>
      <c r="BE290" s="146">
        <v>0</v>
      </c>
      <c r="BF290" s="143">
        <v>8</v>
      </c>
      <c r="BG290" s="143" t="s">
        <v>780</v>
      </c>
      <c r="BH290" s="146">
        <f>SUM(BF290)</f>
        <v>8</v>
      </c>
      <c r="BN290" s="196" t="s">
        <v>1501</v>
      </c>
      <c r="BO290" s="138">
        <v>0</v>
      </c>
      <c r="BP290" s="141">
        <v>0</v>
      </c>
      <c r="BQ290" s="268" t="s">
        <v>214</v>
      </c>
      <c r="BR290" s="270">
        <v>0</v>
      </c>
      <c r="BS290" s="141">
        <v>0</v>
      </c>
      <c r="BT290" s="43"/>
      <c r="BU290" s="141"/>
      <c r="BV290" s="138" t="s">
        <v>336</v>
      </c>
      <c r="BW290" s="228" t="s">
        <v>1502</v>
      </c>
      <c r="BX290" s="293"/>
      <c r="BY290" s="28"/>
    </row>
    <row r="291" spans="1:77" ht="16.2" thickBot="1" x14ac:dyDescent="0.35">
      <c r="A291" s="34" t="s">
        <v>130</v>
      </c>
      <c r="B291">
        <v>2014</v>
      </c>
      <c r="C291" s="28">
        <v>5</v>
      </c>
      <c r="D291" s="42" t="s">
        <v>133</v>
      </c>
      <c r="E291" s="67">
        <v>0</v>
      </c>
      <c r="F291" s="85">
        <v>0</v>
      </c>
      <c r="G291" s="28"/>
      <c r="H291" s="18"/>
      <c r="I291" s="28"/>
      <c r="J291" s="52"/>
      <c r="K291" s="86"/>
      <c r="L291" s="52">
        <v>45</v>
      </c>
      <c r="M291" s="43" t="s">
        <v>73</v>
      </c>
      <c r="N291" s="40"/>
      <c r="Q291" s="28"/>
      <c r="R291" s="88" t="s">
        <v>139</v>
      </c>
      <c r="S291" s="33">
        <v>5</v>
      </c>
      <c r="T291" s="34">
        <v>3</v>
      </c>
      <c r="U291" s="152"/>
      <c r="V291" s="89"/>
      <c r="W291" s="66"/>
      <c r="X291" s="8"/>
      <c r="Y291" s="35"/>
      <c r="Z291" s="34" t="s">
        <v>140</v>
      </c>
      <c r="AA291" s="34"/>
      <c r="AB291" s="35"/>
      <c r="AH291" s="196" t="s">
        <v>502</v>
      </c>
      <c r="AI291" s="138">
        <v>0</v>
      </c>
      <c r="AJ291" s="141">
        <v>2</v>
      </c>
      <c r="AK291" s="138"/>
      <c r="AL291" s="28"/>
      <c r="AM291" s="141"/>
      <c r="AN291" s="138"/>
      <c r="AO291" s="141"/>
      <c r="AP291" s="138" t="s">
        <v>1034</v>
      </c>
      <c r="AQ291" s="43" t="s">
        <v>156</v>
      </c>
      <c r="AR291" s="141" t="s">
        <v>332</v>
      </c>
      <c r="AS291" s="28"/>
      <c r="AT291" s="28"/>
      <c r="AU291" s="28"/>
      <c r="AX291" s="195" t="s">
        <v>107</v>
      </c>
      <c r="AY291" s="134">
        <v>0</v>
      </c>
      <c r="AZ291" s="136">
        <v>0</v>
      </c>
      <c r="BA291" s="135"/>
      <c r="BB291" s="135"/>
      <c r="BC291" s="135"/>
      <c r="BD291" s="134"/>
      <c r="BE291" s="136"/>
      <c r="BF291" s="135"/>
      <c r="BG291" s="135" t="s">
        <v>92</v>
      </c>
      <c r="BH291" s="136"/>
      <c r="BN291" s="196" t="s">
        <v>384</v>
      </c>
      <c r="BO291" s="138">
        <v>1</v>
      </c>
      <c r="BP291" s="141">
        <v>0</v>
      </c>
      <c r="BQ291" s="268" t="s">
        <v>1339</v>
      </c>
      <c r="BR291" s="270">
        <v>0</v>
      </c>
      <c r="BS291" s="141">
        <v>0</v>
      </c>
      <c r="BT291" s="43"/>
      <c r="BU291" s="141"/>
      <c r="BV291" s="138" t="s">
        <v>309</v>
      </c>
      <c r="BW291" s="258" t="s">
        <v>943</v>
      </c>
      <c r="BX291" s="141"/>
      <c r="BY291" s="28"/>
    </row>
    <row r="292" spans="1:77" ht="16.2" thickBot="1" x14ac:dyDescent="0.35">
      <c r="A292" s="34" t="s">
        <v>130</v>
      </c>
      <c r="B292">
        <v>2014</v>
      </c>
      <c r="C292" s="28">
        <v>5</v>
      </c>
      <c r="D292" s="59" t="s">
        <v>84</v>
      </c>
      <c r="E292" s="13">
        <f>SUM(E290:E291)</f>
        <v>540</v>
      </c>
      <c r="F292" s="60">
        <f>SUM(F290:F291)</f>
        <v>527</v>
      </c>
      <c r="G292" s="81">
        <v>0</v>
      </c>
      <c r="H292" s="27">
        <v>0</v>
      </c>
      <c r="I292" s="27">
        <v>0</v>
      </c>
      <c r="J292" s="13">
        <v>0</v>
      </c>
      <c r="K292" s="26">
        <v>0</v>
      </c>
      <c r="L292" s="13"/>
      <c r="M292" s="43"/>
      <c r="N292" s="26">
        <f>SUM(L290:L291)</f>
        <v>45</v>
      </c>
      <c r="Q292" s="28"/>
      <c r="R292" s="42" t="s">
        <v>755</v>
      </c>
      <c r="S292" s="42">
        <v>2</v>
      </c>
      <c r="T292" s="43">
        <v>0</v>
      </c>
      <c r="U292" s="42"/>
      <c r="V292" s="28"/>
      <c r="W292" s="40"/>
      <c r="X292" s="28"/>
      <c r="Y292" s="40"/>
      <c r="Z292" s="28"/>
      <c r="AA292" s="28"/>
      <c r="AB292" s="40"/>
      <c r="AH292" s="196" t="s">
        <v>97</v>
      </c>
      <c r="AI292" s="138">
        <v>0</v>
      </c>
      <c r="AJ292" s="141">
        <v>0</v>
      </c>
      <c r="AK292" s="138"/>
      <c r="AL292" s="28"/>
      <c r="AM292" s="141"/>
      <c r="AN292" s="138"/>
      <c r="AO292" s="141"/>
      <c r="AP292" s="212" t="s">
        <v>345</v>
      </c>
      <c r="AQ292" s="43" t="s">
        <v>1035</v>
      </c>
      <c r="AR292" s="141" t="s">
        <v>584</v>
      </c>
      <c r="AS292" s="28"/>
      <c r="AT292" s="28"/>
      <c r="AU292" s="28"/>
      <c r="AX292" s="196" t="s">
        <v>99</v>
      </c>
      <c r="AY292" s="138">
        <v>0</v>
      </c>
      <c r="AZ292" s="141">
        <v>0</v>
      </c>
      <c r="BA292" s="28">
        <v>0</v>
      </c>
      <c r="BB292" s="28">
        <v>0</v>
      </c>
      <c r="BC292" s="28">
        <v>0</v>
      </c>
      <c r="BD292" s="138">
        <v>75459</v>
      </c>
      <c r="BE292" s="141">
        <v>20907</v>
      </c>
      <c r="BF292" s="43">
        <v>25</v>
      </c>
      <c r="BG292" s="28" t="s">
        <v>100</v>
      </c>
      <c r="BH292" s="141"/>
      <c r="BN292" s="196" t="s">
        <v>174</v>
      </c>
      <c r="BO292" s="138">
        <v>0</v>
      </c>
      <c r="BP292" s="141">
        <v>1</v>
      </c>
      <c r="BQ292" s="268" t="s">
        <v>467</v>
      </c>
      <c r="BR292" s="270">
        <v>1</v>
      </c>
      <c r="BS292" s="141">
        <v>0</v>
      </c>
      <c r="BT292" s="43"/>
      <c r="BU292" s="141"/>
      <c r="BV292" s="138" t="s">
        <v>651</v>
      </c>
      <c r="BW292" s="258" t="s">
        <v>519</v>
      </c>
      <c r="BX292" s="141">
        <v>93</v>
      </c>
      <c r="BY292" s="28"/>
    </row>
    <row r="293" spans="1:77" ht="15" thickBot="1" x14ac:dyDescent="0.35">
      <c r="C293" s="28"/>
      <c r="D293" s="88" t="s">
        <v>139</v>
      </c>
      <c r="E293" s="33">
        <v>2</v>
      </c>
      <c r="F293" s="35">
        <v>0</v>
      </c>
      <c r="G293" s="89"/>
      <c r="H293" s="89"/>
      <c r="I293" s="80"/>
      <c r="J293" s="6"/>
      <c r="K293" s="35"/>
      <c r="L293" s="33" t="s">
        <v>140</v>
      </c>
      <c r="M293" s="34"/>
      <c r="N293" s="35"/>
      <c r="Q293" s="28"/>
      <c r="R293" s="153" t="s">
        <v>214</v>
      </c>
      <c r="S293" s="42">
        <v>0</v>
      </c>
      <c r="T293" s="43">
        <v>15</v>
      </c>
      <c r="U293" s="42"/>
      <c r="V293" s="28"/>
      <c r="W293" s="40"/>
      <c r="X293" s="28"/>
      <c r="Y293" s="40"/>
      <c r="Z293" s="28"/>
      <c r="AA293" s="28"/>
      <c r="AB293" s="40"/>
      <c r="AH293" s="196" t="s">
        <v>658</v>
      </c>
      <c r="AI293" s="138">
        <f>2+2</f>
        <v>4</v>
      </c>
      <c r="AJ293" s="141">
        <v>1</v>
      </c>
      <c r="AK293" s="138"/>
      <c r="AL293" s="28"/>
      <c r="AM293" s="141"/>
      <c r="AN293" s="138"/>
      <c r="AO293" s="141"/>
      <c r="AP293" s="138" t="s">
        <v>1036</v>
      </c>
      <c r="AQ293" s="43" t="s">
        <v>798</v>
      </c>
      <c r="AR293" s="141" t="s">
        <v>1037</v>
      </c>
      <c r="AS293" s="28"/>
      <c r="AT293" s="28"/>
      <c r="AU293" s="28"/>
      <c r="AX293" s="199" t="s">
        <v>84</v>
      </c>
      <c r="AY293" s="138">
        <f>SUM(AY291:AY292)</f>
        <v>0</v>
      </c>
      <c r="AZ293" s="141">
        <f>SUM(AZ291:AZ292)</f>
        <v>0</v>
      </c>
      <c r="BA293" s="143"/>
      <c r="BB293" s="143"/>
      <c r="BC293" s="143"/>
      <c r="BD293" s="142"/>
      <c r="BE293" s="146"/>
      <c r="BF293" s="143">
        <v>0</v>
      </c>
      <c r="BG293" s="143" t="s">
        <v>506</v>
      </c>
      <c r="BH293" s="146">
        <f>SUM(BF292:BF293)</f>
        <v>25</v>
      </c>
      <c r="BN293" s="271" t="s">
        <v>84</v>
      </c>
      <c r="BO293" s="271">
        <v>213</v>
      </c>
      <c r="BP293" s="272">
        <v>234</v>
      </c>
      <c r="BQ293" s="34" t="s">
        <v>84</v>
      </c>
      <c r="BR293" s="34">
        <v>104</v>
      </c>
      <c r="BS293" s="34">
        <v>115</v>
      </c>
      <c r="BT293" s="33">
        <v>86399</v>
      </c>
      <c r="BU293" s="35">
        <v>24534</v>
      </c>
      <c r="BV293" s="294"/>
      <c r="BW293" s="34"/>
      <c r="BX293" s="35">
        <v>301</v>
      </c>
      <c r="BY293" s="28"/>
    </row>
    <row r="294" spans="1:77" x14ac:dyDescent="0.3">
      <c r="C294" s="28"/>
      <c r="D294" s="92" t="s">
        <v>113</v>
      </c>
      <c r="E294" s="67">
        <f>17+1+45+2+10+9+5</f>
        <v>89</v>
      </c>
      <c r="F294" s="56">
        <f>21+43+8+3+18+5</f>
        <v>98</v>
      </c>
      <c r="G294" s="54"/>
      <c r="H294" s="54"/>
      <c r="I294" s="45"/>
      <c r="J294" s="10"/>
      <c r="K294" s="40"/>
      <c r="L294" s="10" t="s">
        <v>142</v>
      </c>
      <c r="M294" s="18"/>
      <c r="N294" s="39" t="s">
        <v>402</v>
      </c>
      <c r="Q294" s="28"/>
      <c r="R294" s="92" t="s">
        <v>113</v>
      </c>
      <c r="S294" s="67">
        <f>3+47+3+1+19+6+2+4</f>
        <v>85</v>
      </c>
      <c r="T294" s="43">
        <f>49+1+17+2+5+2+8+6</f>
        <v>90</v>
      </c>
      <c r="U294" s="52"/>
      <c r="V294" s="54"/>
      <c r="W294" s="85"/>
      <c r="X294" s="18"/>
      <c r="Y294" s="40"/>
      <c r="Z294" s="18" t="s">
        <v>142</v>
      </c>
      <c r="AA294" s="18"/>
      <c r="AB294" s="39" t="s">
        <v>730</v>
      </c>
      <c r="AH294" s="196" t="s">
        <v>64</v>
      </c>
      <c r="AI294" s="138">
        <v>2</v>
      </c>
      <c r="AJ294" s="141">
        <v>3</v>
      </c>
      <c r="AK294" s="138"/>
      <c r="AL294" s="28"/>
      <c r="AM294" s="141"/>
      <c r="AN294" s="138"/>
      <c r="AO294" s="141"/>
      <c r="AP294" s="138" t="s">
        <v>1039</v>
      </c>
      <c r="AQ294" s="43" t="s">
        <v>456</v>
      </c>
      <c r="AR294" s="209" t="s">
        <v>374</v>
      </c>
      <c r="AS294" s="43"/>
      <c r="AT294" s="43"/>
      <c r="AU294" s="135" t="s">
        <v>91</v>
      </c>
      <c r="AV294">
        <v>2017</v>
      </c>
      <c r="AW294">
        <v>5</v>
      </c>
      <c r="AX294" s="138" t="s">
        <v>89</v>
      </c>
      <c r="AY294" s="134">
        <v>787</v>
      </c>
      <c r="AZ294" s="136">
        <v>745</v>
      </c>
      <c r="BD294" s="134"/>
      <c r="BE294" s="135"/>
      <c r="BF294" s="134"/>
      <c r="BG294" s="135" t="s">
        <v>91</v>
      </c>
      <c r="BH294" s="136"/>
      <c r="BN294" s="33" t="s">
        <v>223</v>
      </c>
      <c r="BO294" s="295">
        <v>8015</v>
      </c>
      <c r="BP294" s="296">
        <v>7759</v>
      </c>
      <c r="BQ294" s="297"/>
      <c r="BR294" s="34" t="s">
        <v>1503</v>
      </c>
      <c r="BS294" s="34"/>
      <c r="BT294" s="34"/>
      <c r="BU294" s="34"/>
      <c r="BV294" s="298">
        <v>823</v>
      </c>
      <c r="BW294" s="35"/>
      <c r="BX294" s="35"/>
      <c r="BY294" s="28"/>
    </row>
    <row r="295" spans="1:77" ht="15" thickBot="1" x14ac:dyDescent="0.35">
      <c r="C295" s="28"/>
      <c r="D295" s="92" t="s">
        <v>200</v>
      </c>
      <c r="E295" s="67">
        <v>11</v>
      </c>
      <c r="F295" s="56">
        <v>9</v>
      </c>
      <c r="G295" s="54"/>
      <c r="H295" s="54"/>
      <c r="I295" s="45"/>
      <c r="J295" s="10"/>
      <c r="K295" s="40"/>
      <c r="L295" s="93" t="s">
        <v>146</v>
      </c>
      <c r="M295" s="28"/>
      <c r="N295" s="94" t="s">
        <v>253</v>
      </c>
      <c r="Q295" s="28"/>
      <c r="R295" s="42" t="s">
        <v>108</v>
      </c>
      <c r="S295" s="67">
        <v>0</v>
      </c>
      <c r="T295" s="43">
        <v>2</v>
      </c>
      <c r="U295" s="52"/>
      <c r="V295" s="54"/>
      <c r="W295" s="85"/>
      <c r="X295" s="18"/>
      <c r="Y295" s="40"/>
      <c r="Z295" s="154" t="s">
        <v>146</v>
      </c>
      <c r="AA295" s="28"/>
      <c r="AB295" s="94" t="s">
        <v>591</v>
      </c>
      <c r="AH295" s="196" t="s">
        <v>467</v>
      </c>
      <c r="AI295" s="138">
        <v>15</v>
      </c>
      <c r="AJ295" s="141">
        <v>0</v>
      </c>
      <c r="AK295" s="138"/>
      <c r="AL295" s="28"/>
      <c r="AM295" s="141"/>
      <c r="AN295" s="138"/>
      <c r="AO295" s="141"/>
      <c r="AP295" s="138" t="s">
        <v>1040</v>
      </c>
      <c r="AQ295" s="43"/>
      <c r="AR295" s="213"/>
      <c r="AS295" s="228"/>
      <c r="AT295" s="228"/>
      <c r="AU295" s="135" t="s">
        <v>91</v>
      </c>
      <c r="AV295">
        <v>2017</v>
      </c>
      <c r="AW295">
        <v>5</v>
      </c>
      <c r="AX295" s="138" t="s">
        <v>137</v>
      </c>
      <c r="AY295" s="138">
        <v>661</v>
      </c>
      <c r="AZ295" s="141">
        <v>842</v>
      </c>
      <c r="BD295" s="138"/>
      <c r="BE295" s="28"/>
      <c r="BF295" s="212"/>
      <c r="BG295" s="43"/>
      <c r="BH295" s="141"/>
      <c r="BN295" s="42" t="s">
        <v>1340</v>
      </c>
      <c r="BO295" s="28"/>
      <c r="BP295" s="299">
        <v>93</v>
      </c>
      <c r="BQ295" s="47"/>
      <c r="BR295" s="48" t="s">
        <v>1504</v>
      </c>
      <c r="BS295" s="48"/>
      <c r="BT295" s="48"/>
      <c r="BU295" s="48"/>
      <c r="BV295" s="300">
        <v>373</v>
      </c>
      <c r="BW295" s="301">
        <v>1196</v>
      </c>
      <c r="BX295" s="40"/>
      <c r="BY295" s="28"/>
    </row>
    <row r="296" spans="1:77" ht="15" thickBot="1" x14ac:dyDescent="0.35">
      <c r="C296" s="28" t="s">
        <v>6</v>
      </c>
      <c r="D296" s="127" t="s">
        <v>403</v>
      </c>
      <c r="E296" s="67">
        <v>5</v>
      </c>
      <c r="F296" s="56">
        <v>8</v>
      </c>
      <c r="J296" s="42"/>
      <c r="K296" s="40"/>
      <c r="L296" s="42"/>
      <c r="M296" s="28"/>
      <c r="N296" s="40"/>
      <c r="Q296" s="28" t="s">
        <v>6</v>
      </c>
      <c r="R296" s="127" t="s">
        <v>756</v>
      </c>
      <c r="S296" s="67">
        <v>3</v>
      </c>
      <c r="T296" s="43">
        <v>0</v>
      </c>
      <c r="U296" s="42"/>
      <c r="V296" s="28"/>
      <c r="W296" s="40"/>
      <c r="X296" s="28"/>
      <c r="Y296" s="40"/>
      <c r="Z296" s="28"/>
      <c r="AA296" s="28"/>
      <c r="AB296" s="40"/>
      <c r="AH296" s="196" t="s">
        <v>862</v>
      </c>
      <c r="AI296" s="138">
        <v>0</v>
      </c>
      <c r="AJ296" s="141">
        <v>0</v>
      </c>
      <c r="AK296" s="138"/>
      <c r="AL296" s="28"/>
      <c r="AM296" s="141"/>
      <c r="AN296" s="138"/>
      <c r="AO296" s="141"/>
      <c r="AP296" s="138"/>
      <c r="AQ296" s="43"/>
      <c r="AR296" s="141"/>
      <c r="AS296" s="28"/>
      <c r="AT296" s="28"/>
      <c r="AU296" s="135" t="s">
        <v>91</v>
      </c>
      <c r="AV296">
        <v>2017</v>
      </c>
      <c r="AW296">
        <v>5</v>
      </c>
      <c r="AX296" s="138" t="s">
        <v>113</v>
      </c>
      <c r="AY296" s="138">
        <v>627</v>
      </c>
      <c r="AZ296" s="141">
        <v>668</v>
      </c>
      <c r="BD296" s="138"/>
      <c r="BE296" s="28"/>
      <c r="BF296" s="212">
        <v>58</v>
      </c>
      <c r="BG296" s="28" t="s">
        <v>73</v>
      </c>
      <c r="BH296" s="141"/>
      <c r="BN296" s="47" t="s">
        <v>229</v>
      </c>
      <c r="BO296" s="48"/>
      <c r="BP296" s="302">
        <v>3</v>
      </c>
      <c r="BQ296" s="28"/>
      <c r="BR296" s="28"/>
      <c r="BS296" s="28"/>
      <c r="BT296" s="28"/>
      <c r="BU296" s="42"/>
      <c r="BV296" s="28"/>
      <c r="BW296" s="42"/>
      <c r="BX296" s="40"/>
      <c r="BY296" s="28"/>
    </row>
    <row r="297" spans="1:77" x14ac:dyDescent="0.3">
      <c r="C297" s="28"/>
      <c r="D297" s="52" t="s">
        <v>133</v>
      </c>
      <c r="E297" s="67">
        <f>11+4+5</f>
        <v>20</v>
      </c>
      <c r="F297" s="56">
        <f>11+3</f>
        <v>14</v>
      </c>
      <c r="G297" s="54" t="s">
        <v>150</v>
      </c>
      <c r="H297" s="54"/>
      <c r="I297" s="45"/>
      <c r="J297" s="10"/>
      <c r="K297" s="40"/>
      <c r="L297" s="42" t="s">
        <v>151</v>
      </c>
      <c r="M297" s="28"/>
      <c r="N297" s="96"/>
      <c r="Q297" s="28"/>
      <c r="R297" s="52" t="s">
        <v>133</v>
      </c>
      <c r="S297" s="67">
        <f>30+2</f>
        <v>32</v>
      </c>
      <c r="T297" s="43">
        <f>54+1</f>
        <v>55</v>
      </c>
      <c r="U297" s="52" t="s">
        <v>150</v>
      </c>
      <c r="V297" s="54"/>
      <c r="W297" s="85"/>
      <c r="X297" s="18"/>
      <c r="Y297" s="40"/>
      <c r="Z297" s="28" t="s">
        <v>151</v>
      </c>
      <c r="AA297" s="28" t="s">
        <v>757</v>
      </c>
      <c r="AB297" s="185" t="s">
        <v>758</v>
      </c>
      <c r="AH297" s="196" t="s">
        <v>1041</v>
      </c>
      <c r="AI297" s="138">
        <v>1</v>
      </c>
      <c r="AJ297" s="141">
        <v>0</v>
      </c>
      <c r="AK297" s="138"/>
      <c r="AL297" s="28"/>
      <c r="AM297" s="141"/>
      <c r="AN297" s="138"/>
      <c r="AO297" s="141"/>
      <c r="AP297" s="138"/>
      <c r="AQ297" s="43"/>
      <c r="AR297" s="141"/>
      <c r="AS297" s="28"/>
      <c r="AT297" s="28"/>
      <c r="AU297" s="135" t="s">
        <v>91</v>
      </c>
      <c r="AV297">
        <v>2017</v>
      </c>
      <c r="AW297">
        <v>5</v>
      </c>
      <c r="AX297" s="212" t="s">
        <v>97</v>
      </c>
      <c r="AY297" s="212">
        <v>563</v>
      </c>
      <c r="AZ297" s="209">
        <v>372</v>
      </c>
      <c r="BD297" s="138"/>
      <c r="BE297" s="28"/>
      <c r="BF297" s="138">
        <v>1</v>
      </c>
      <c r="BG297" s="43" t="s">
        <v>1598</v>
      </c>
      <c r="BH297" s="141"/>
      <c r="BN297" s="33" t="s">
        <v>232</v>
      </c>
      <c r="BO297" s="34"/>
      <c r="BP297" s="303" t="s">
        <v>233</v>
      </c>
      <c r="BQ297" s="34"/>
      <c r="BR297" s="298">
        <v>2094</v>
      </c>
      <c r="BS297" s="35"/>
      <c r="BT297" s="33" t="s">
        <v>234</v>
      </c>
      <c r="BU297" s="34"/>
      <c r="BV297" s="34" t="s">
        <v>233</v>
      </c>
      <c r="BW297" s="34"/>
      <c r="BX297" s="304">
        <v>8015</v>
      </c>
      <c r="BY297" s="28"/>
    </row>
    <row r="298" spans="1:77" ht="15" thickBot="1" x14ac:dyDescent="0.35">
      <c r="C298" s="28"/>
      <c r="D298" s="52" t="s">
        <v>85</v>
      </c>
      <c r="E298" s="42">
        <v>3</v>
      </c>
      <c r="F298" s="56">
        <v>0</v>
      </c>
      <c r="G298" s="28"/>
      <c r="H298" s="54"/>
      <c r="I298" s="28"/>
      <c r="J298" s="84"/>
      <c r="K298" s="56"/>
      <c r="L298" s="42" t="s">
        <v>404</v>
      </c>
      <c r="M298" s="28" t="s">
        <v>161</v>
      </c>
      <c r="N298" s="40" t="s">
        <v>405</v>
      </c>
      <c r="Q298" s="28"/>
      <c r="R298" s="52" t="s">
        <v>85</v>
      </c>
      <c r="S298" s="42">
        <v>4</v>
      </c>
      <c r="T298" s="43">
        <f>27+2</f>
        <v>29</v>
      </c>
      <c r="U298" s="42"/>
      <c r="V298" s="54"/>
      <c r="W298" s="40"/>
      <c r="X298" s="45"/>
      <c r="Y298" s="56"/>
      <c r="Z298" s="43" t="s">
        <v>466</v>
      </c>
      <c r="AA298" s="28" t="s">
        <v>159</v>
      </c>
      <c r="AB298" s="40" t="s">
        <v>533</v>
      </c>
      <c r="AH298" s="196" t="s">
        <v>200</v>
      </c>
      <c r="AI298" s="138">
        <v>6</v>
      </c>
      <c r="AJ298" s="141">
        <f>5+5</f>
        <v>10</v>
      </c>
      <c r="AK298" s="138"/>
      <c r="AL298" s="28"/>
      <c r="AM298" s="141"/>
      <c r="AN298" s="138"/>
      <c r="AO298" s="141"/>
      <c r="AP298" s="138"/>
      <c r="AQ298" s="43"/>
      <c r="AR298" s="141"/>
      <c r="AS298" s="28"/>
      <c r="AT298" s="28"/>
      <c r="AU298" s="135" t="s">
        <v>91</v>
      </c>
      <c r="AV298">
        <v>2017</v>
      </c>
      <c r="AW298">
        <v>5</v>
      </c>
      <c r="AX298" s="212" t="s">
        <v>164</v>
      </c>
      <c r="AY298" s="212">
        <v>19</v>
      </c>
      <c r="AZ298" s="209">
        <v>0</v>
      </c>
      <c r="BD298" s="138"/>
      <c r="BE298" s="28"/>
      <c r="BF298" s="138">
        <v>26</v>
      </c>
      <c r="BG298" s="43" t="s">
        <v>1577</v>
      </c>
      <c r="BH298" s="28"/>
      <c r="BI298" s="138"/>
      <c r="BN298" s="47"/>
      <c r="BO298" s="48"/>
      <c r="BP298" s="48" t="s">
        <v>236</v>
      </c>
      <c r="BQ298" s="48"/>
      <c r="BR298" s="300">
        <v>2010</v>
      </c>
      <c r="BS298" s="49"/>
      <c r="BT298" s="42"/>
      <c r="BU298" s="28"/>
      <c r="BV298" s="28" t="s">
        <v>236</v>
      </c>
      <c r="BW298" s="28"/>
      <c r="BX298" s="174">
        <v>7759</v>
      </c>
      <c r="BY298" s="28"/>
    </row>
    <row r="299" spans="1:77" ht="16.2" thickBot="1" x14ac:dyDescent="0.35">
      <c r="C299" s="28"/>
      <c r="D299" s="151" t="s">
        <v>306</v>
      </c>
      <c r="E299" s="36">
        <v>5</v>
      </c>
      <c r="F299" s="39">
        <v>7</v>
      </c>
      <c r="G299" s="18"/>
      <c r="H299" s="18"/>
      <c r="I299" s="18"/>
      <c r="J299" s="10"/>
      <c r="K299" s="11"/>
      <c r="L299" s="98" t="s">
        <v>406</v>
      </c>
      <c r="M299" s="28" t="s">
        <v>379</v>
      </c>
      <c r="N299" s="99" t="s">
        <v>378</v>
      </c>
      <c r="Q299" s="28"/>
      <c r="R299" s="151" t="s">
        <v>93</v>
      </c>
      <c r="S299" s="36">
        <v>3</v>
      </c>
      <c r="T299" s="37">
        <v>1</v>
      </c>
      <c r="U299" s="10"/>
      <c r="V299" s="18"/>
      <c r="W299" s="11"/>
      <c r="X299" s="18"/>
      <c r="Y299" s="11"/>
      <c r="Z299" s="158" t="s">
        <v>714</v>
      </c>
      <c r="AA299" s="178" t="s">
        <v>595</v>
      </c>
      <c r="AB299" s="94" t="s">
        <v>759</v>
      </c>
      <c r="AH299" s="196" t="s">
        <v>699</v>
      </c>
      <c r="AI299" s="138">
        <v>3</v>
      </c>
      <c r="AJ299" s="141">
        <v>0</v>
      </c>
      <c r="AK299" s="138"/>
      <c r="AL299" s="28"/>
      <c r="AM299" s="141"/>
      <c r="AN299" s="138"/>
      <c r="AO299" s="141"/>
      <c r="AP299" s="138"/>
      <c r="AQ299" s="28"/>
      <c r="AR299" s="141"/>
      <c r="AS299" s="28"/>
      <c r="AT299" s="28"/>
      <c r="AU299" s="28"/>
      <c r="AX299" s="138" t="s">
        <v>84</v>
      </c>
      <c r="AY299" s="138">
        <f>SUM(AY294:AY298)</f>
        <v>2657</v>
      </c>
      <c r="AZ299" s="141">
        <f>SUM(AZ294:AZ298)</f>
        <v>2627</v>
      </c>
      <c r="BA299">
        <v>0</v>
      </c>
      <c r="BB299">
        <v>0</v>
      </c>
      <c r="BC299">
        <v>0</v>
      </c>
      <c r="BD299" s="142">
        <v>0</v>
      </c>
      <c r="BE299" s="143">
        <v>0</v>
      </c>
      <c r="BF299" s="142"/>
      <c r="BG299" s="143" t="s">
        <v>6</v>
      </c>
      <c r="BH299" s="146">
        <f>SUM(BF295:BF299)</f>
        <v>85</v>
      </c>
      <c r="BN299" s="171" t="s">
        <v>238</v>
      </c>
      <c r="BO299" s="170" t="s">
        <v>239</v>
      </c>
      <c r="BP299" s="172"/>
      <c r="BQ299" s="171" t="s">
        <v>240</v>
      </c>
      <c r="BR299" s="170" t="s">
        <v>241</v>
      </c>
      <c r="BS299" s="170"/>
      <c r="BT299" s="171"/>
      <c r="BU299" s="170" t="s">
        <v>242</v>
      </c>
      <c r="BV299" s="305" t="s">
        <v>243</v>
      </c>
      <c r="BW299" s="170"/>
      <c r="BX299" s="172"/>
      <c r="BY299" s="28"/>
    </row>
    <row r="300" spans="1:77" ht="15.6" x14ac:dyDescent="0.3">
      <c r="C300" s="28"/>
      <c r="D300" s="92" t="s">
        <v>358</v>
      </c>
      <c r="E300" s="42">
        <v>2</v>
      </c>
      <c r="F300" s="40">
        <v>5</v>
      </c>
      <c r="G300" s="18"/>
      <c r="H300" s="18"/>
      <c r="I300" s="18"/>
      <c r="J300" s="10"/>
      <c r="K300" s="11"/>
      <c r="L300" s="98" t="s">
        <v>407</v>
      </c>
      <c r="M300" s="100" t="s">
        <v>180</v>
      </c>
      <c r="N300" s="39" t="s">
        <v>318</v>
      </c>
      <c r="Q300" s="28"/>
      <c r="R300" s="42" t="s">
        <v>760</v>
      </c>
      <c r="S300" s="42">
        <v>2</v>
      </c>
      <c r="T300" s="54">
        <v>4</v>
      </c>
      <c r="U300" s="10"/>
      <c r="V300" s="18"/>
      <c r="W300" s="11"/>
      <c r="X300" s="18"/>
      <c r="Y300" s="11"/>
      <c r="Z300" s="158" t="s">
        <v>761</v>
      </c>
      <c r="AA300" s="186" t="s">
        <v>273</v>
      </c>
      <c r="AB300" s="39" t="s">
        <v>692</v>
      </c>
      <c r="AH300" s="196" t="s">
        <v>564</v>
      </c>
      <c r="AI300" s="138">
        <v>0</v>
      </c>
      <c r="AJ300" s="141">
        <v>0</v>
      </c>
      <c r="AK300" s="138"/>
      <c r="AL300" s="28"/>
      <c r="AM300" s="141"/>
      <c r="AN300" s="138"/>
      <c r="AO300" s="141"/>
      <c r="AP300" s="138"/>
      <c r="AQ300" s="28"/>
      <c r="AR300" s="141"/>
      <c r="AS300" s="28"/>
      <c r="AT300" s="28"/>
      <c r="AU300" s="28"/>
      <c r="AX300" s="134"/>
      <c r="AY300" s="134"/>
      <c r="AZ300" s="136"/>
      <c r="BA300" s="135"/>
      <c r="BB300" s="135"/>
      <c r="BC300" s="135"/>
      <c r="BD300" s="134"/>
      <c r="BE300" s="136"/>
      <c r="BF300" s="135" t="s">
        <v>1025</v>
      </c>
      <c r="BG300" s="135"/>
      <c r="BH300" s="136"/>
      <c r="BN300" s="42" t="s">
        <v>233</v>
      </c>
      <c r="BO300" s="28"/>
      <c r="BP300" s="174">
        <v>46193</v>
      </c>
      <c r="BQ300" s="306" t="s">
        <v>233</v>
      </c>
      <c r="BR300" s="28"/>
      <c r="BS300" s="174">
        <v>3727</v>
      </c>
      <c r="BT300" s="42" t="s">
        <v>233</v>
      </c>
      <c r="BU300" s="28"/>
      <c r="BV300" s="174">
        <v>11742</v>
      </c>
      <c r="BW300" s="28" t="s">
        <v>245</v>
      </c>
      <c r="BX300" s="174">
        <v>57935</v>
      </c>
      <c r="BY300" s="28"/>
    </row>
    <row r="301" spans="1:77" ht="15" thickBot="1" x14ac:dyDescent="0.35">
      <c r="C301" s="28"/>
      <c r="D301" s="36" t="s">
        <v>169</v>
      </c>
      <c r="E301" s="36">
        <v>4</v>
      </c>
      <c r="F301" s="39">
        <v>14</v>
      </c>
      <c r="G301" s="18"/>
      <c r="H301" s="18"/>
      <c r="I301" s="18"/>
      <c r="J301" s="10"/>
      <c r="K301" s="11"/>
      <c r="L301" s="98" t="s">
        <v>186</v>
      </c>
      <c r="M301" s="37" t="s">
        <v>408</v>
      </c>
      <c r="N301" s="39" t="s">
        <v>409</v>
      </c>
      <c r="Q301" s="28"/>
      <c r="R301" s="36" t="s">
        <v>169</v>
      </c>
      <c r="S301" s="36">
        <f>1+3</f>
        <v>4</v>
      </c>
      <c r="T301" s="37">
        <f>1+2</f>
        <v>3</v>
      </c>
      <c r="U301" s="10"/>
      <c r="V301" s="18"/>
      <c r="W301" s="11"/>
      <c r="X301" s="18"/>
      <c r="Y301" s="11"/>
      <c r="Z301" s="158" t="s">
        <v>762</v>
      </c>
      <c r="AA301" s="37" t="s">
        <v>627</v>
      </c>
      <c r="AB301" s="39" t="s">
        <v>763</v>
      </c>
      <c r="AH301" s="196" t="s">
        <v>1043</v>
      </c>
      <c r="AI301" s="138">
        <v>0</v>
      </c>
      <c r="AJ301" s="141">
        <v>1</v>
      </c>
      <c r="AK301" s="138"/>
      <c r="AL301" s="28"/>
      <c r="AM301" s="141"/>
      <c r="AN301" s="138"/>
      <c r="AO301" s="141"/>
      <c r="AP301" s="138"/>
      <c r="AQ301" s="28"/>
      <c r="AR301" s="141"/>
      <c r="AS301" s="28"/>
      <c r="AT301" s="28"/>
      <c r="AU301" s="28"/>
      <c r="AX301" s="142" t="s">
        <v>64</v>
      </c>
      <c r="AY301" s="142">
        <v>66</v>
      </c>
      <c r="AZ301" s="146">
        <v>78</v>
      </c>
      <c r="BA301" s="143">
        <v>0</v>
      </c>
      <c r="BB301" s="143">
        <v>0</v>
      </c>
      <c r="BC301" s="143">
        <v>0</v>
      </c>
      <c r="BD301" s="142">
        <v>0</v>
      </c>
      <c r="BE301" s="146">
        <v>0</v>
      </c>
      <c r="BF301" s="143">
        <v>9</v>
      </c>
      <c r="BG301" s="143" t="s">
        <v>1026</v>
      </c>
      <c r="BH301" s="146">
        <f>SUM(BF301)</f>
        <v>9</v>
      </c>
      <c r="BI301" t="s">
        <v>6</v>
      </c>
      <c r="BN301" s="47" t="s">
        <v>236</v>
      </c>
      <c r="BO301" s="48"/>
      <c r="BP301" s="301">
        <v>56687</v>
      </c>
      <c r="BQ301" s="307" t="s">
        <v>236</v>
      </c>
      <c r="BR301" s="48"/>
      <c r="BS301" s="301">
        <v>3964</v>
      </c>
      <c r="BT301" s="42" t="s">
        <v>236</v>
      </c>
      <c r="BU301" s="28"/>
      <c r="BV301" s="174">
        <v>11723</v>
      </c>
      <c r="BW301" s="28"/>
      <c r="BX301" s="174">
        <v>68410</v>
      </c>
      <c r="BY301" s="28"/>
    </row>
    <row r="302" spans="1:77" ht="15" thickBot="1" x14ac:dyDescent="0.35">
      <c r="C302" s="28"/>
      <c r="D302" s="36" t="s">
        <v>93</v>
      </c>
      <c r="E302" s="36">
        <v>20</v>
      </c>
      <c r="F302" s="39">
        <v>24</v>
      </c>
      <c r="G302" s="18"/>
      <c r="H302" s="18"/>
      <c r="I302" s="18"/>
      <c r="J302" s="10"/>
      <c r="K302" s="11"/>
      <c r="L302" s="52" t="s">
        <v>410</v>
      </c>
      <c r="M302" s="37" t="s">
        <v>411</v>
      </c>
      <c r="N302" s="39" t="s">
        <v>412</v>
      </c>
      <c r="Q302" s="28"/>
      <c r="R302" s="36" t="s">
        <v>99</v>
      </c>
      <c r="S302" s="36">
        <v>0</v>
      </c>
      <c r="T302" s="37">
        <v>2</v>
      </c>
      <c r="U302" s="10"/>
      <c r="V302" s="18"/>
      <c r="W302" s="11"/>
      <c r="X302" s="18"/>
      <c r="Y302" s="11"/>
      <c r="Z302" s="179" t="s">
        <v>309</v>
      </c>
      <c r="AA302" s="37" t="s">
        <v>736</v>
      </c>
      <c r="AB302" s="39" t="s">
        <v>764</v>
      </c>
      <c r="AH302" s="196" t="s">
        <v>211</v>
      </c>
      <c r="AI302" s="138">
        <v>4</v>
      </c>
      <c r="AJ302" s="141">
        <v>0</v>
      </c>
      <c r="AK302" s="138"/>
      <c r="AL302" s="28"/>
      <c r="AM302" s="141"/>
      <c r="AN302" s="138"/>
      <c r="AO302" s="141"/>
      <c r="AP302" s="138"/>
      <c r="AQ302" s="28"/>
      <c r="AR302" s="141"/>
      <c r="AS302" s="28"/>
      <c r="AT302" s="28"/>
      <c r="AU302" s="28" t="s">
        <v>994</v>
      </c>
      <c r="AV302">
        <v>2017</v>
      </c>
      <c r="AW302">
        <v>5</v>
      </c>
      <c r="AX302" s="138" t="s">
        <v>113</v>
      </c>
      <c r="AY302" s="138">
        <v>521</v>
      </c>
      <c r="AZ302" s="141">
        <v>562</v>
      </c>
      <c r="BA302" s="28"/>
      <c r="BB302" s="28"/>
      <c r="BC302" s="28"/>
      <c r="BD302" s="138"/>
      <c r="BE302" s="141"/>
      <c r="BF302" s="28" t="s">
        <v>994</v>
      </c>
      <c r="BG302" s="28"/>
      <c r="BH302" s="141"/>
      <c r="BN302" s="271" t="s">
        <v>1505</v>
      </c>
      <c r="BO302" s="170"/>
      <c r="BP302" s="272"/>
      <c r="BQ302" s="271" t="s">
        <v>1506</v>
      </c>
      <c r="BR302" s="170"/>
      <c r="BS302" s="170"/>
      <c r="BT302" s="171"/>
      <c r="BU302" s="170" t="s">
        <v>1507</v>
      </c>
      <c r="BV302" s="170"/>
      <c r="BW302" s="170"/>
      <c r="BX302" s="308"/>
      <c r="BY302" s="28"/>
    </row>
    <row r="303" spans="1:77" x14ac:dyDescent="0.3">
      <c r="C303" s="28"/>
      <c r="D303" s="150" t="s">
        <v>413</v>
      </c>
      <c r="E303" s="36">
        <v>4</v>
      </c>
      <c r="F303" s="39">
        <v>0</v>
      </c>
      <c r="G303" s="18"/>
      <c r="H303" s="37"/>
      <c r="I303" s="18"/>
      <c r="J303" s="10"/>
      <c r="K303" s="11"/>
      <c r="L303" s="93" t="s">
        <v>283</v>
      </c>
      <c r="M303" s="54" t="s">
        <v>414</v>
      </c>
      <c r="N303" s="39" t="s">
        <v>415</v>
      </c>
      <c r="Q303" s="28"/>
      <c r="R303" s="150" t="s">
        <v>765</v>
      </c>
      <c r="S303" s="36">
        <v>6</v>
      </c>
      <c r="T303" s="37">
        <v>0</v>
      </c>
      <c r="U303" s="10"/>
      <c r="V303" s="37"/>
      <c r="W303" s="11"/>
      <c r="X303" s="18"/>
      <c r="Y303" s="11"/>
      <c r="Z303" s="158" t="s">
        <v>327</v>
      </c>
      <c r="AA303" s="54" t="s">
        <v>444</v>
      </c>
      <c r="AB303" s="39" t="s">
        <v>766</v>
      </c>
      <c r="AH303" s="196" t="s">
        <v>218</v>
      </c>
      <c r="AI303" s="138">
        <v>0</v>
      </c>
      <c r="AJ303" s="141">
        <f>3+17</f>
        <v>20</v>
      </c>
      <c r="AK303" s="138"/>
      <c r="AL303" s="28">
        <v>0</v>
      </c>
      <c r="AM303" s="141"/>
      <c r="AN303" s="138"/>
      <c r="AO303" s="141"/>
      <c r="AP303" s="138"/>
      <c r="AQ303" s="28"/>
      <c r="AR303" s="141"/>
      <c r="AS303" s="28"/>
      <c r="AT303" s="28"/>
      <c r="AU303" s="28"/>
      <c r="AX303" s="138" t="s">
        <v>133</v>
      </c>
      <c r="AY303" s="138">
        <v>0</v>
      </c>
      <c r="AZ303" s="141">
        <v>0</v>
      </c>
      <c r="BA303" s="28"/>
      <c r="BB303" s="28"/>
      <c r="BC303" s="28"/>
      <c r="BD303" s="138"/>
      <c r="BE303" s="141"/>
      <c r="BF303" s="28">
        <v>31</v>
      </c>
      <c r="BG303" s="28" t="s">
        <v>100</v>
      </c>
      <c r="BH303" s="141"/>
      <c r="BN303" s="53" t="s">
        <v>43</v>
      </c>
      <c r="BO303" s="34" t="s">
        <v>44</v>
      </c>
      <c r="BP303" s="309"/>
      <c r="BQ303" s="123" t="s">
        <v>43</v>
      </c>
      <c r="BR303" s="123" t="s">
        <v>44</v>
      </c>
      <c r="BS303" s="35"/>
      <c r="BT303" s="28"/>
      <c r="BU303" s="140">
        <v>4155</v>
      </c>
      <c r="BV303" s="28"/>
      <c r="BW303" s="28"/>
      <c r="BX303" s="40"/>
      <c r="BY303" s="28"/>
    </row>
    <row r="304" spans="1:77" ht="15" thickBot="1" x14ac:dyDescent="0.35">
      <c r="C304" s="37"/>
      <c r="D304" s="36" t="s">
        <v>184</v>
      </c>
      <c r="E304" s="36">
        <v>2</v>
      </c>
      <c r="F304" s="39">
        <f>2+4+3+1</f>
        <v>10</v>
      </c>
      <c r="G304" s="18"/>
      <c r="H304" s="18"/>
      <c r="I304" s="18"/>
      <c r="J304" s="10"/>
      <c r="K304" s="11"/>
      <c r="L304" s="36" t="s">
        <v>416</v>
      </c>
      <c r="M304" s="37" t="s">
        <v>417</v>
      </c>
      <c r="N304" s="40" t="s">
        <v>418</v>
      </c>
      <c r="Q304" s="37"/>
      <c r="R304" s="36" t="s">
        <v>200</v>
      </c>
      <c r="S304" s="36">
        <v>8</v>
      </c>
      <c r="T304" s="37">
        <v>4</v>
      </c>
      <c r="U304" s="10"/>
      <c r="V304" s="18"/>
      <c r="W304" s="11"/>
      <c r="X304" s="18"/>
      <c r="Y304" s="11"/>
      <c r="Z304" s="37" t="s">
        <v>371</v>
      </c>
      <c r="AA304" s="37" t="s">
        <v>332</v>
      </c>
      <c r="AB304" s="180" t="s">
        <v>767</v>
      </c>
      <c r="AH304" s="196" t="s">
        <v>93</v>
      </c>
      <c r="AI304" s="138">
        <v>0</v>
      </c>
      <c r="AJ304" s="141">
        <v>2</v>
      </c>
      <c r="AK304" s="138"/>
      <c r="AL304" s="28"/>
      <c r="AM304" s="141"/>
      <c r="AN304" s="138"/>
      <c r="AO304" s="141"/>
      <c r="AP304" s="138"/>
      <c r="AQ304" s="28"/>
      <c r="AR304" s="141"/>
      <c r="AS304" s="28"/>
      <c r="AT304" s="28"/>
      <c r="AU304" s="28"/>
      <c r="AX304" s="142" t="s">
        <v>84</v>
      </c>
      <c r="AY304" s="142">
        <f>SUM(AY302:AY303)</f>
        <v>521</v>
      </c>
      <c r="AZ304" s="146">
        <f>SUM(AZ302:AZ303)</f>
        <v>562</v>
      </c>
      <c r="BA304" s="143">
        <v>0</v>
      </c>
      <c r="BB304" s="143">
        <v>0</v>
      </c>
      <c r="BC304" s="143">
        <v>0</v>
      </c>
      <c r="BD304" s="142">
        <v>0</v>
      </c>
      <c r="BE304" s="146">
        <v>0</v>
      </c>
      <c r="BF304" s="43">
        <v>14</v>
      </c>
      <c r="BG304" s="43" t="s">
        <v>73</v>
      </c>
      <c r="BH304" s="146">
        <f>SUM(BF303:BF304)</f>
        <v>45</v>
      </c>
      <c r="BN304" s="310">
        <v>337577</v>
      </c>
      <c r="BO304" s="300">
        <v>260473</v>
      </c>
      <c r="BP304" s="311"/>
      <c r="BQ304" s="312">
        <v>88570</v>
      </c>
      <c r="BR304" s="300">
        <v>24708</v>
      </c>
      <c r="BS304" s="49"/>
      <c r="BT304" s="48"/>
      <c r="BU304" s="48"/>
      <c r="BV304" s="48"/>
      <c r="BW304" s="48"/>
      <c r="BX304" s="49"/>
      <c r="BY304" s="28"/>
    </row>
    <row r="305" spans="3:80" x14ac:dyDescent="0.3">
      <c r="C305" s="28"/>
      <c r="D305" s="150" t="s">
        <v>211</v>
      </c>
      <c r="E305" s="36">
        <v>1</v>
      </c>
      <c r="F305" s="39">
        <v>0</v>
      </c>
      <c r="G305" s="18"/>
      <c r="H305" s="18"/>
      <c r="I305" s="18"/>
      <c r="J305" s="10"/>
      <c r="K305" s="11"/>
      <c r="L305" s="112" t="s">
        <v>419</v>
      </c>
      <c r="M305" s="37" t="s">
        <v>420</v>
      </c>
      <c r="N305" s="39" t="s">
        <v>421</v>
      </c>
      <c r="Q305" s="28"/>
      <c r="R305" s="150" t="s">
        <v>211</v>
      </c>
      <c r="S305" s="36">
        <v>2</v>
      </c>
      <c r="T305" s="37">
        <v>0</v>
      </c>
      <c r="U305" s="10"/>
      <c r="V305" s="18"/>
      <c r="W305" s="11"/>
      <c r="X305" s="18"/>
      <c r="Y305" s="11"/>
      <c r="Z305" s="159" t="s">
        <v>568</v>
      </c>
      <c r="AA305" s="37" t="s">
        <v>768</v>
      </c>
      <c r="AB305" s="39" t="s">
        <v>269</v>
      </c>
      <c r="AH305" s="199" t="s">
        <v>84</v>
      </c>
      <c r="AI305" s="142">
        <f>SUM(AI280:AI304)</f>
        <v>112</v>
      </c>
      <c r="AJ305" s="146">
        <f>SUM(AJ280:AJ304)</f>
        <v>321</v>
      </c>
      <c r="AK305" s="142">
        <v>0</v>
      </c>
      <c r="AL305" s="143">
        <f>SUM(AL280:AL304)</f>
        <v>0</v>
      </c>
      <c r="AM305" s="146">
        <v>0</v>
      </c>
      <c r="AN305" s="142">
        <v>0</v>
      </c>
      <c r="AO305" s="146">
        <v>0</v>
      </c>
      <c r="AP305" s="142"/>
      <c r="AQ305" s="143"/>
      <c r="AR305" s="146">
        <f>9+8+5+4+9+13+4+3+3+2</f>
        <v>60</v>
      </c>
      <c r="AS305" s="28"/>
      <c r="AT305" s="28"/>
      <c r="AU305" s="28"/>
      <c r="AX305" s="196" t="s">
        <v>467</v>
      </c>
      <c r="AY305" s="138">
        <v>0</v>
      </c>
      <c r="AZ305" s="141">
        <v>2</v>
      </c>
      <c r="BA305" s="134"/>
      <c r="BB305" s="135"/>
      <c r="BC305" s="136"/>
      <c r="BD305" s="138"/>
      <c r="BE305" s="141"/>
      <c r="BF305" s="134" t="s">
        <v>140</v>
      </c>
      <c r="BG305" s="135"/>
      <c r="BH305" s="136"/>
      <c r="BY305" s="28"/>
    </row>
    <row r="306" spans="3:80" x14ac:dyDescent="0.3">
      <c r="D306" s="98" t="s">
        <v>422</v>
      </c>
      <c r="E306" s="36">
        <v>0</v>
      </c>
      <c r="F306" s="39">
        <v>4</v>
      </c>
      <c r="G306" s="18"/>
      <c r="H306" s="18"/>
      <c r="I306" s="18"/>
      <c r="J306" s="10"/>
      <c r="K306" s="11"/>
      <c r="L306" s="36" t="s">
        <v>423</v>
      </c>
      <c r="M306" s="37" t="s">
        <v>424</v>
      </c>
      <c r="N306" s="114" t="s">
        <v>425</v>
      </c>
      <c r="R306" s="150" t="s">
        <v>549</v>
      </c>
      <c r="S306" s="36">
        <v>4</v>
      </c>
      <c r="T306" s="37">
        <v>0</v>
      </c>
      <c r="U306" s="10"/>
      <c r="V306" s="18"/>
      <c r="W306" s="11"/>
      <c r="X306" s="18"/>
      <c r="Y306" s="11"/>
      <c r="Z306" s="128" t="s">
        <v>507</v>
      </c>
      <c r="AA306" s="37" t="s">
        <v>318</v>
      </c>
      <c r="AB306" s="39" t="s">
        <v>307</v>
      </c>
      <c r="AH306" t="s">
        <v>223</v>
      </c>
      <c r="AI306">
        <f>SUM(AI305+AI279+AI274+AI270+AI267+AI265+AI276)</f>
        <v>1923</v>
      </c>
      <c r="AJ306">
        <f>SUM(AJ305+AJ279+AJ274+AJ270+AJ265+AJ267+AJ276)</f>
        <v>2319</v>
      </c>
      <c r="AK306">
        <v>0</v>
      </c>
      <c r="AL306">
        <f>SUM(AL305+AL279+AL274+AL270+AL267+AL263)</f>
        <v>0</v>
      </c>
      <c r="AM306">
        <v>0</v>
      </c>
      <c r="AN306">
        <f>SUM(AN305+AN279+AN274+AN269+AN267+AN263)</f>
        <v>69267</v>
      </c>
      <c r="AO306">
        <f>SUM(AO305+AO279+AO274+AO269+AO267+AO263)</f>
        <v>15453</v>
      </c>
      <c r="AQ306" t="s">
        <v>939</v>
      </c>
      <c r="AR306">
        <f>SUM(+AR279+AR274+AR270+AR267+AR265)</f>
        <v>125</v>
      </c>
      <c r="AU306" s="28"/>
      <c r="AX306" s="196" t="s">
        <v>158</v>
      </c>
      <c r="AY306" s="138">
        <v>2</v>
      </c>
      <c r="AZ306" s="141">
        <v>2</v>
      </c>
      <c r="BA306" s="138"/>
      <c r="BB306" s="28"/>
      <c r="BC306" s="141"/>
      <c r="BD306" s="138"/>
      <c r="BE306" s="141"/>
      <c r="BF306" s="138"/>
      <c r="BG306" s="28"/>
      <c r="BH306" s="141"/>
      <c r="BY306" s="28"/>
    </row>
    <row r="307" spans="3:80" x14ac:dyDescent="0.3">
      <c r="D307" s="36" t="s">
        <v>426</v>
      </c>
      <c r="E307" s="36">
        <v>4</v>
      </c>
      <c r="F307" s="39">
        <v>0</v>
      </c>
      <c r="G307" s="18"/>
      <c r="H307" s="18"/>
      <c r="I307" s="18"/>
      <c r="J307" s="10"/>
      <c r="K307" s="11"/>
      <c r="L307" s="36" t="s">
        <v>427</v>
      </c>
      <c r="M307" s="37" t="s">
        <v>428</v>
      </c>
      <c r="N307" s="39"/>
      <c r="R307" s="36" t="s">
        <v>184</v>
      </c>
      <c r="S307" s="36">
        <v>0</v>
      </c>
      <c r="T307" s="37">
        <v>0</v>
      </c>
      <c r="U307" s="10"/>
      <c r="V307" s="18"/>
      <c r="W307" s="11"/>
      <c r="X307" s="18"/>
      <c r="Y307" s="11"/>
      <c r="Z307" s="128" t="s">
        <v>522</v>
      </c>
      <c r="AA307" s="37" t="s">
        <v>258</v>
      </c>
      <c r="AB307" s="39" t="s">
        <v>208</v>
      </c>
      <c r="AH307" t="s">
        <v>225</v>
      </c>
      <c r="AJ307">
        <f>SUM(AR305)</f>
        <v>60</v>
      </c>
      <c r="AX307" s="196" t="s">
        <v>211</v>
      </c>
      <c r="AY307" s="138">
        <f>10+3</f>
        <v>13</v>
      </c>
      <c r="AZ307" s="141">
        <v>0</v>
      </c>
      <c r="BA307" s="138"/>
      <c r="BB307" s="28"/>
      <c r="BC307" s="141"/>
      <c r="BD307" s="138"/>
      <c r="BE307" s="141"/>
      <c r="BF307" s="138"/>
      <c r="BG307" s="28"/>
      <c r="BH307" s="141"/>
    </row>
    <row r="308" spans="3:80" x14ac:dyDescent="0.3">
      <c r="D308" s="36" t="s">
        <v>429</v>
      </c>
      <c r="E308" s="10">
        <v>1</v>
      </c>
      <c r="F308" s="39">
        <v>2</v>
      </c>
      <c r="G308" s="18"/>
      <c r="H308" s="18"/>
      <c r="I308" s="37"/>
      <c r="J308" s="10"/>
      <c r="K308" s="11"/>
      <c r="L308" s="124"/>
      <c r="M308" s="37"/>
      <c r="N308" s="39"/>
      <c r="R308" s="36" t="s">
        <v>770</v>
      </c>
      <c r="S308" s="10">
        <v>5</v>
      </c>
      <c r="T308" s="37">
        <v>4</v>
      </c>
      <c r="U308" s="10"/>
      <c r="V308" s="18"/>
      <c r="W308" s="39"/>
      <c r="X308" s="18"/>
      <c r="Y308" s="11"/>
      <c r="Z308" s="159" t="s">
        <v>771</v>
      </c>
      <c r="AA308" s="37"/>
      <c r="AB308" s="39"/>
      <c r="AH308" t="s">
        <v>229</v>
      </c>
      <c r="AJ308">
        <f>2+1+5+1+1+2</f>
        <v>12</v>
      </c>
      <c r="AW308" t="s">
        <v>6</v>
      </c>
      <c r="AX308" s="196" t="s">
        <v>113</v>
      </c>
      <c r="AY308" s="138">
        <f>6+49</f>
        <v>55</v>
      </c>
      <c r="AZ308" s="141">
        <f>45+4+2</f>
        <v>51</v>
      </c>
      <c r="BA308" s="138"/>
      <c r="BB308" s="28"/>
      <c r="BC308" s="141" t="s">
        <v>6</v>
      </c>
      <c r="BD308" s="138"/>
      <c r="BE308" s="141"/>
      <c r="BF308" s="138" t="s">
        <v>142</v>
      </c>
      <c r="BG308" s="28"/>
      <c r="BH308" s="141" t="s">
        <v>1600</v>
      </c>
    </row>
    <row r="309" spans="3:80" x14ac:dyDescent="0.3">
      <c r="D309" s="93" t="s">
        <v>430</v>
      </c>
      <c r="E309" s="10">
        <v>1</v>
      </c>
      <c r="F309" s="39">
        <v>1</v>
      </c>
      <c r="G309" s="18"/>
      <c r="H309" s="18"/>
      <c r="I309" s="18"/>
      <c r="J309" s="10"/>
      <c r="K309" s="11"/>
      <c r="L309" s="52"/>
      <c r="M309" s="37"/>
      <c r="N309" s="39"/>
      <c r="R309" s="150" t="s">
        <v>772</v>
      </c>
      <c r="S309" s="10">
        <v>1</v>
      </c>
      <c r="T309" s="37">
        <v>3</v>
      </c>
      <c r="U309" s="10"/>
      <c r="V309" s="18"/>
      <c r="W309" s="11"/>
      <c r="X309" s="18"/>
      <c r="Y309" s="11"/>
      <c r="Z309" s="179"/>
      <c r="AA309" s="37"/>
      <c r="AB309" s="39"/>
      <c r="AH309" t="s">
        <v>232</v>
      </c>
      <c r="AJ309" t="s">
        <v>233</v>
      </c>
      <c r="AL309">
        <f>SUM(T307)</f>
        <v>0</v>
      </c>
      <c r="AN309" t="s">
        <v>234</v>
      </c>
      <c r="AP309" t="s">
        <v>233</v>
      </c>
      <c r="AR309">
        <f>SUM(AI306)</f>
        <v>1923</v>
      </c>
      <c r="AX309" s="196" t="s">
        <v>174</v>
      </c>
      <c r="AY309" s="138">
        <v>0</v>
      </c>
      <c r="AZ309" s="141">
        <v>0</v>
      </c>
      <c r="BA309" s="138"/>
      <c r="BB309" s="28"/>
      <c r="BC309" s="141"/>
      <c r="BD309" s="138"/>
      <c r="BE309" s="141"/>
      <c r="BF309" s="138" t="s">
        <v>146</v>
      </c>
      <c r="BG309" s="28"/>
      <c r="BH309" s="141" t="s">
        <v>1601</v>
      </c>
    </row>
    <row r="310" spans="3:80" x14ac:dyDescent="0.3">
      <c r="D310" s="92" t="s">
        <v>64</v>
      </c>
      <c r="E310" s="84">
        <v>1</v>
      </c>
      <c r="F310" s="86">
        <v>0</v>
      </c>
      <c r="G310" s="45"/>
      <c r="H310" s="45"/>
      <c r="I310" s="45"/>
      <c r="J310" s="10"/>
      <c r="K310" s="11"/>
      <c r="L310" s="112"/>
      <c r="M310" s="54"/>
      <c r="N310" s="86"/>
      <c r="R310" s="92" t="s">
        <v>105</v>
      </c>
      <c r="S310" s="84">
        <f>7+5</f>
        <v>12</v>
      </c>
      <c r="T310" s="54">
        <v>5</v>
      </c>
      <c r="U310" s="84"/>
      <c r="V310" s="45"/>
      <c r="W310" s="85"/>
      <c r="X310" s="18"/>
      <c r="Y310" s="11"/>
      <c r="Z310" s="179"/>
      <c r="AA310" s="54"/>
      <c r="AB310" s="86"/>
      <c r="AG310" t="s">
        <v>6</v>
      </c>
      <c r="AJ310" t="s">
        <v>236</v>
      </c>
      <c r="AL310">
        <f>SUM(U307)</f>
        <v>0</v>
      </c>
      <c r="AP310" t="s">
        <v>236</v>
      </c>
      <c r="AR310">
        <f>SUM(AJ306)</f>
        <v>2319</v>
      </c>
      <c r="AX310" s="196" t="s">
        <v>1602</v>
      </c>
      <c r="AY310" s="138">
        <v>3</v>
      </c>
      <c r="AZ310" s="141">
        <v>2</v>
      </c>
      <c r="BA310" s="138"/>
      <c r="BB310" s="28"/>
      <c r="BC310" s="141"/>
      <c r="BD310" s="138"/>
      <c r="BE310" s="141"/>
      <c r="BF310" s="138"/>
      <c r="BG310" s="28"/>
      <c r="BH310" s="141"/>
    </row>
    <row r="311" spans="3:80" x14ac:dyDescent="0.3">
      <c r="D311" s="127" t="s">
        <v>97</v>
      </c>
      <c r="E311" s="84">
        <v>12</v>
      </c>
      <c r="F311" s="86">
        <v>5</v>
      </c>
      <c r="G311" s="45"/>
      <c r="H311" s="45"/>
      <c r="I311" s="45"/>
      <c r="J311" s="84"/>
      <c r="K311" s="85"/>
      <c r="L311" s="52"/>
      <c r="M311" s="54"/>
      <c r="N311" s="40"/>
      <c r="R311" s="67" t="s">
        <v>564</v>
      </c>
      <c r="S311" s="84">
        <v>8</v>
      </c>
      <c r="T311" s="54">
        <v>6</v>
      </c>
      <c r="U311" s="84"/>
      <c r="V311" s="45"/>
      <c r="W311" s="85"/>
      <c r="X311" s="45"/>
      <c r="Y311" s="85"/>
      <c r="Z311" s="179"/>
      <c r="AA311" s="54"/>
      <c r="AB311" s="180"/>
      <c r="AH311" t="s">
        <v>238</v>
      </c>
      <c r="AI311" t="s">
        <v>239</v>
      </c>
      <c r="AK311" t="s">
        <v>240</v>
      </c>
      <c r="AL311" t="s">
        <v>241</v>
      </c>
      <c r="AO311" t="s">
        <v>242</v>
      </c>
      <c r="AP311" t="s">
        <v>243</v>
      </c>
      <c r="AX311" s="196" t="s">
        <v>99</v>
      </c>
      <c r="AY311" s="138">
        <v>0</v>
      </c>
      <c r="AZ311" s="141">
        <v>2</v>
      </c>
      <c r="BA311" s="138" t="s">
        <v>150</v>
      </c>
      <c r="BB311" s="28"/>
      <c r="BC311" s="141"/>
      <c r="BD311" s="138"/>
      <c r="BE311" s="141"/>
      <c r="BF311" s="138" t="s">
        <v>151</v>
      </c>
      <c r="BG311" s="28"/>
      <c r="BH311" s="141"/>
    </row>
    <row r="312" spans="3:80" ht="21" x14ac:dyDescent="0.4">
      <c r="D312" s="127" t="s">
        <v>431</v>
      </c>
      <c r="E312" s="84">
        <v>4</v>
      </c>
      <c r="F312" s="86">
        <v>4</v>
      </c>
      <c r="G312" s="45"/>
      <c r="H312" s="45"/>
      <c r="I312" s="45"/>
      <c r="J312" s="84"/>
      <c r="K312" s="85"/>
      <c r="L312" s="52"/>
      <c r="M312" s="54"/>
      <c r="N312" s="40"/>
      <c r="R312" s="67" t="s">
        <v>220</v>
      </c>
      <c r="S312" s="84">
        <v>3</v>
      </c>
      <c r="T312" s="54">
        <f>3+8</f>
        <v>11</v>
      </c>
      <c r="U312" s="84"/>
      <c r="V312" s="45"/>
      <c r="W312" s="85"/>
      <c r="X312" s="45"/>
      <c r="Y312" s="85"/>
      <c r="Z312" s="179"/>
      <c r="AA312" s="54"/>
      <c r="AB312" s="180"/>
      <c r="AH312" t="s">
        <v>233</v>
      </c>
      <c r="AJ312" t="e">
        <f>SUM(#REF!)</f>
        <v>#REF!</v>
      </c>
      <c r="AK312" t="s">
        <v>233</v>
      </c>
      <c r="AM312">
        <f>SUM(F294)</f>
        <v>98</v>
      </c>
      <c r="AN312" t="s">
        <v>233</v>
      </c>
      <c r="AP312">
        <f>SUM(AM312+AI306)</f>
        <v>2021</v>
      </c>
      <c r="AQ312" t="s">
        <v>245</v>
      </c>
      <c r="AR312" t="e">
        <f>SUM(AJ312+AP312)</f>
        <v>#REF!</v>
      </c>
      <c r="AX312" s="196" t="s">
        <v>85</v>
      </c>
      <c r="AY312" s="138">
        <v>0</v>
      </c>
      <c r="AZ312" s="141">
        <v>0</v>
      </c>
      <c r="BA312" s="138"/>
      <c r="BB312" s="28"/>
      <c r="BC312" s="141"/>
      <c r="BD312" s="138"/>
      <c r="BE312" s="141"/>
      <c r="BF312" s="316" t="s">
        <v>1089</v>
      </c>
      <c r="BG312" s="257" t="s">
        <v>819</v>
      </c>
      <c r="BH312" s="141" t="s">
        <v>380</v>
      </c>
      <c r="BQ312" s="28"/>
      <c r="BR312" s="28"/>
      <c r="BS312" s="261"/>
      <c r="BT312" s="184"/>
      <c r="BV312" s="329" t="s">
        <v>1873</v>
      </c>
      <c r="BZ312" s="258"/>
      <c r="CA312" s="28"/>
      <c r="CB312" s="28"/>
    </row>
    <row r="313" spans="3:80" x14ac:dyDescent="0.3">
      <c r="D313" s="127" t="s">
        <v>99</v>
      </c>
      <c r="E313" s="84">
        <v>3</v>
      </c>
      <c r="F313" s="86">
        <v>0</v>
      </c>
      <c r="G313" s="28"/>
      <c r="H313" s="45"/>
      <c r="I313" s="28"/>
      <c r="J313" s="84"/>
      <c r="K313" s="85"/>
      <c r="L313" s="98"/>
      <c r="M313" s="54"/>
      <c r="N313" s="86"/>
      <c r="R313" s="127" t="s">
        <v>775</v>
      </c>
      <c r="S313" s="84">
        <v>4</v>
      </c>
      <c r="T313" s="54">
        <v>0</v>
      </c>
      <c r="U313" s="42"/>
      <c r="V313" s="45"/>
      <c r="W313" s="40"/>
      <c r="X313" s="45"/>
      <c r="Y313" s="85"/>
      <c r="Z313" s="158"/>
      <c r="AA313" s="54"/>
      <c r="AB313" s="86"/>
      <c r="AH313" t="s">
        <v>236</v>
      </c>
      <c r="AJ313" t="e">
        <f>SUM(#REF!)</f>
        <v>#REF!</v>
      </c>
      <c r="AK313" t="s">
        <v>236</v>
      </c>
      <c r="AM313">
        <f>SUM(G294)</f>
        <v>0</v>
      </c>
      <c r="AN313" t="s">
        <v>236</v>
      </c>
      <c r="AP313">
        <f>SUM(AM313+AJ306)</f>
        <v>2319</v>
      </c>
      <c r="AR313" t="e">
        <f>SUM(AJ313+AP313)</f>
        <v>#REF!</v>
      </c>
      <c r="AX313" s="196" t="s">
        <v>107</v>
      </c>
      <c r="AY313" s="138">
        <v>0</v>
      </c>
      <c r="AZ313" s="141">
        <v>0</v>
      </c>
      <c r="BA313" s="138"/>
      <c r="BB313" s="28"/>
      <c r="BC313" s="141"/>
      <c r="BD313" s="138"/>
      <c r="BE313" s="141"/>
      <c r="BF313" s="138" t="s">
        <v>408</v>
      </c>
      <c r="BG313" s="28" t="s">
        <v>497</v>
      </c>
      <c r="BH313" s="141" t="s">
        <v>1078</v>
      </c>
      <c r="BU313" t="s">
        <v>1445</v>
      </c>
      <c r="BX313" s="28"/>
      <c r="BY313" s="28"/>
      <c r="BZ313" s="28"/>
      <c r="CA313" s="28"/>
      <c r="CB313" s="28"/>
    </row>
    <row r="314" spans="3:80" x14ac:dyDescent="0.3">
      <c r="D314" s="127" t="s">
        <v>218</v>
      </c>
      <c r="E314" s="84">
        <v>13</v>
      </c>
      <c r="F314" s="86">
        <v>18</v>
      </c>
      <c r="G314" s="28"/>
      <c r="H314" s="45">
        <v>23</v>
      </c>
      <c r="I314" s="28"/>
      <c r="J314" s="84"/>
      <c r="K314" s="85"/>
      <c r="L314" s="52"/>
      <c r="M314" s="54"/>
      <c r="N314" s="40"/>
      <c r="R314" s="127" t="s">
        <v>218</v>
      </c>
      <c r="S314" s="84">
        <v>25</v>
      </c>
      <c r="T314" s="54">
        <v>10</v>
      </c>
      <c r="U314" s="42"/>
      <c r="V314" s="45">
        <v>0</v>
      </c>
      <c r="W314" s="40"/>
      <c r="X314" s="45"/>
      <c r="Y314" s="85"/>
      <c r="Z314" s="179"/>
      <c r="AA314" s="54"/>
      <c r="AB314" s="180"/>
      <c r="AX314" s="196" t="s">
        <v>1603</v>
      </c>
      <c r="AY314" s="138">
        <v>0</v>
      </c>
      <c r="AZ314" s="141">
        <v>4</v>
      </c>
      <c r="BA314" s="138"/>
      <c r="BB314" s="28"/>
      <c r="BC314" s="141"/>
      <c r="BD314" s="138"/>
      <c r="BE314" s="141"/>
      <c r="BF314" s="138" t="s">
        <v>1604</v>
      </c>
      <c r="BG314" s="28" t="s">
        <v>822</v>
      </c>
      <c r="BH314" s="141" t="s">
        <v>1605</v>
      </c>
      <c r="BV314" t="s">
        <v>2</v>
      </c>
      <c r="BX314" s="28"/>
      <c r="BY314" s="28"/>
      <c r="BZ314" s="28"/>
      <c r="CA314" s="28"/>
      <c r="CB314" s="28"/>
    </row>
    <row r="315" spans="3:80" x14ac:dyDescent="0.3">
      <c r="D315" s="98" t="s">
        <v>432</v>
      </c>
      <c r="E315" s="10">
        <v>7</v>
      </c>
      <c r="F315" s="11">
        <v>0</v>
      </c>
      <c r="G315" s="18"/>
      <c r="H315" s="18"/>
      <c r="I315" s="18"/>
      <c r="J315" s="10"/>
      <c r="K315" s="11"/>
      <c r="L315" s="52"/>
      <c r="M315" s="37"/>
      <c r="N315" s="129"/>
      <c r="R315" s="181" t="s">
        <v>358</v>
      </c>
      <c r="S315" s="10">
        <v>6</v>
      </c>
      <c r="T315" s="18">
        <v>4</v>
      </c>
      <c r="U315" s="10"/>
      <c r="V315" s="18"/>
      <c r="W315" s="11"/>
      <c r="X315" s="18"/>
      <c r="Y315" s="11"/>
      <c r="Z315" s="179"/>
      <c r="AA315" s="37"/>
      <c r="AB315" s="182"/>
      <c r="AX315" s="196" t="s">
        <v>133</v>
      </c>
      <c r="AY315" s="138">
        <f>2+7+3+2</f>
        <v>14</v>
      </c>
      <c r="AZ315" s="141">
        <f>6+6+3</f>
        <v>15</v>
      </c>
      <c r="BA315" s="138"/>
      <c r="BB315" s="28"/>
      <c r="BC315" s="141"/>
      <c r="BD315" s="138"/>
      <c r="BE315" s="141"/>
      <c r="BF315" s="138" t="s">
        <v>1587</v>
      </c>
      <c r="BG315" s="43" t="s">
        <v>891</v>
      </c>
      <c r="BH315" s="141" t="s">
        <v>615</v>
      </c>
      <c r="BT315" t="s">
        <v>1451</v>
      </c>
      <c r="BX315" s="28"/>
      <c r="BY315" s="28"/>
      <c r="BZ315" s="28"/>
      <c r="CA315" s="28"/>
      <c r="CB315" s="28"/>
    </row>
    <row r="316" spans="3:80" ht="15" thickBot="1" x14ac:dyDescent="0.35">
      <c r="D316" s="13" t="s">
        <v>84</v>
      </c>
      <c r="E316" s="13">
        <f>SUM(E293:E315)</f>
        <v>214</v>
      </c>
      <c r="F316" s="26">
        <f>SUM(F293:F315)</f>
        <v>223</v>
      </c>
      <c r="G316" s="27">
        <v>0</v>
      </c>
      <c r="H316" s="27">
        <f>SUM(H293:H315)</f>
        <v>23</v>
      </c>
      <c r="I316" s="27">
        <v>0</v>
      </c>
      <c r="J316" s="130">
        <v>0</v>
      </c>
      <c r="K316" s="26">
        <v>0</v>
      </c>
      <c r="L316" s="59"/>
      <c r="M316" s="27"/>
      <c r="N316" s="26">
        <f>9+6+11+13+5+11+11+14+7+4+5</f>
        <v>96</v>
      </c>
      <c r="R316" s="13" t="s">
        <v>84</v>
      </c>
      <c r="S316" s="13">
        <f>SUM(S291:S315)</f>
        <v>224</v>
      </c>
      <c r="T316" s="27">
        <f>SUM(T291:T315)</f>
        <v>251</v>
      </c>
      <c r="U316" s="13">
        <v>0</v>
      </c>
      <c r="V316" s="27">
        <f>SUM(V291:V315)</f>
        <v>0</v>
      </c>
      <c r="W316" s="26">
        <v>0</v>
      </c>
      <c r="X316" s="58">
        <v>0</v>
      </c>
      <c r="Y316" s="26">
        <v>0</v>
      </c>
      <c r="Z316" s="81"/>
      <c r="AA316" s="27"/>
      <c r="AB316" s="26">
        <f>5+4+10+10+3+13+12+6+5+17+7+4+4+1</f>
        <v>101</v>
      </c>
      <c r="AX316" s="196" t="s">
        <v>1580</v>
      </c>
      <c r="AY316" s="138">
        <v>8</v>
      </c>
      <c r="AZ316" s="141">
        <v>0</v>
      </c>
      <c r="BA316" s="138"/>
      <c r="BB316" s="28"/>
      <c r="BC316" s="141"/>
      <c r="BD316" s="138"/>
      <c r="BE316" s="141"/>
      <c r="BF316" s="138" t="s">
        <v>1606</v>
      </c>
      <c r="BG316" s="43" t="s">
        <v>1607</v>
      </c>
      <c r="BH316" s="141" t="s">
        <v>1039</v>
      </c>
      <c r="BQ316" s="327"/>
      <c r="BR316" s="327"/>
      <c r="BS316" s="327"/>
      <c r="BT316" s="327"/>
      <c r="BU316" s="250"/>
      <c r="BV316" s="250" t="s">
        <v>1878</v>
      </c>
      <c r="BW316" s="250"/>
      <c r="BX316" s="107"/>
      <c r="BY316" s="107"/>
      <c r="BZ316" s="330" t="s">
        <v>950</v>
      </c>
      <c r="CA316" s="107"/>
      <c r="CB316" s="28"/>
    </row>
    <row r="317" spans="3:80" ht="15" thickBot="1" x14ac:dyDescent="0.35">
      <c r="D317" s="13" t="s">
        <v>223</v>
      </c>
      <c r="E317" s="13">
        <f>SUM(E316+E292+E289+E285+E282+E279+E277+E275)</f>
        <v>1847</v>
      </c>
      <c r="F317" s="26">
        <f>SUM(F316+F292+F289+F285+F282+F279+F277+F275)</f>
        <v>1895</v>
      </c>
      <c r="G317" s="27">
        <f>SUM(G316+G292+G285+G281+G279+G277+G274)</f>
        <v>0</v>
      </c>
      <c r="H317" s="27">
        <f>SUM(H293:H315)</f>
        <v>23</v>
      </c>
      <c r="I317" s="27">
        <f>SUM(I316+I292+I285+I281+I279+I277+I274)</f>
        <v>0</v>
      </c>
      <c r="J317" s="13">
        <f>SUM(J316+J292+J285+J281+J279+J277+J274)</f>
        <v>102649</v>
      </c>
      <c r="K317" s="26">
        <f>SUM(K316+K292+K285+K281+K279+K277+K274)</f>
        <v>17569</v>
      </c>
      <c r="L317" s="81"/>
      <c r="M317" s="27" t="s">
        <v>189</v>
      </c>
      <c r="N317" s="26">
        <f>SUM(N274:N315)</f>
        <v>172</v>
      </c>
      <c r="R317" s="13" t="s">
        <v>223</v>
      </c>
      <c r="S317" s="13">
        <f>SUM(S316+S290+S287+S283+S280+S277+S275)</f>
        <v>1933</v>
      </c>
      <c r="T317" s="26">
        <f>SUM(T316+T290+T287+T283+T280+T277+T275)</f>
        <v>1906</v>
      </c>
      <c r="U317" s="26">
        <f>SUM(U316+U290+U287+U283+U280+U277+U275)</f>
        <v>0</v>
      </c>
      <c r="V317" s="26">
        <f>SUM(V316+V290+V287+V283+V280+V277+V275)</f>
        <v>0</v>
      </c>
      <c r="W317" s="26">
        <f>SUM(W316+W290+W287+W283+W280+W277+W275)</f>
        <v>0</v>
      </c>
      <c r="X317" s="160">
        <f>SUM(X316+X290+X287+X283+X279+X277+X275)</f>
        <v>52067</v>
      </c>
      <c r="Y317" s="26">
        <f>SUM(Y316+Y290+Y287+Y283+Y279+Y277+Y275)</f>
        <v>10085</v>
      </c>
      <c r="Z317" s="81"/>
      <c r="AA317" s="27" t="s">
        <v>247</v>
      </c>
      <c r="AB317" s="26">
        <f>SUM(AB275:AB316)</f>
        <v>258</v>
      </c>
      <c r="AL317" t="s">
        <v>5</v>
      </c>
      <c r="AW317" t="s">
        <v>6</v>
      </c>
      <c r="AX317" s="196" t="s">
        <v>1588</v>
      </c>
      <c r="AY317" s="138">
        <v>0</v>
      </c>
      <c r="AZ317" s="141">
        <v>0</v>
      </c>
      <c r="BA317" s="138"/>
      <c r="BB317" s="28"/>
      <c r="BC317" s="141"/>
      <c r="BD317" s="138"/>
      <c r="BE317" s="141"/>
      <c r="BF317" s="315" t="s">
        <v>1570</v>
      </c>
      <c r="BG317" s="228" t="s">
        <v>1608</v>
      </c>
      <c r="BH317" s="141" t="s">
        <v>1609</v>
      </c>
      <c r="BN317" s="195" t="s">
        <v>17</v>
      </c>
      <c r="BO317" s="134" t="s">
        <v>27</v>
      </c>
      <c r="BP317" s="135"/>
      <c r="BQ317" s="134" t="s">
        <v>28</v>
      </c>
      <c r="BR317" s="135"/>
      <c r="BS317" s="136"/>
      <c r="BT317" s="134" t="s">
        <v>1459</v>
      </c>
      <c r="BU317" s="136"/>
      <c r="BV317" s="135" t="s">
        <v>31</v>
      </c>
      <c r="BW317" s="135"/>
      <c r="BX317" s="136"/>
      <c r="BY317" s="28"/>
    </row>
    <row r="318" spans="3:80" x14ac:dyDescent="0.3">
      <c r="D318" s="131" t="s">
        <v>225</v>
      </c>
      <c r="F318">
        <f>SUM(N316)</f>
        <v>96</v>
      </c>
      <c r="I318" s="132"/>
      <c r="R318" s="131" t="s">
        <v>225</v>
      </c>
      <c r="T318">
        <f>SUM(AB316)</f>
        <v>101</v>
      </c>
      <c r="V318" t="s">
        <v>776</v>
      </c>
      <c r="W318" s="132"/>
      <c r="AM318" t="s">
        <v>2</v>
      </c>
      <c r="AX318" s="196" t="s">
        <v>64</v>
      </c>
      <c r="AY318" s="138">
        <v>2</v>
      </c>
      <c r="AZ318" s="141">
        <v>0</v>
      </c>
      <c r="BA318" s="138"/>
      <c r="BB318" s="28"/>
      <c r="BC318" s="141"/>
      <c r="BD318" s="138"/>
      <c r="BE318" s="141"/>
      <c r="BF318" s="316" t="s">
        <v>1610</v>
      </c>
      <c r="BG318" s="43" t="s">
        <v>279</v>
      </c>
      <c r="BH318" s="209" t="s">
        <v>1063</v>
      </c>
      <c r="BN318" s="196"/>
      <c r="BO318" s="138"/>
      <c r="BP318" s="28"/>
      <c r="BQ318" s="138"/>
      <c r="BR318" s="28"/>
      <c r="BS318" s="141"/>
      <c r="BT318" s="138"/>
      <c r="BU318" s="141"/>
      <c r="BV318" s="28" t="s">
        <v>41</v>
      </c>
      <c r="BW318" s="28"/>
      <c r="BX318" s="141"/>
      <c r="BY318" s="28"/>
    </row>
    <row r="319" spans="3:80" ht="15.6" x14ac:dyDescent="0.3">
      <c r="D319" t="s">
        <v>229</v>
      </c>
      <c r="F319">
        <v>22</v>
      </c>
      <c r="R319" t="s">
        <v>229</v>
      </c>
      <c r="T319">
        <v>20</v>
      </c>
      <c r="AK319" t="s">
        <v>13</v>
      </c>
      <c r="AX319" s="196" t="s">
        <v>1611</v>
      </c>
      <c r="AY319" s="138">
        <f>2+3</f>
        <v>5</v>
      </c>
      <c r="AZ319" s="141">
        <v>0</v>
      </c>
      <c r="BA319" s="138"/>
      <c r="BB319" s="28"/>
      <c r="BC319" s="141"/>
      <c r="BD319" s="138"/>
      <c r="BE319" s="141"/>
      <c r="BF319" s="138" t="s">
        <v>1612</v>
      </c>
      <c r="BG319" s="258" t="s">
        <v>1613</v>
      </c>
      <c r="BH319" s="261" t="s">
        <v>607</v>
      </c>
      <c r="BN319" s="199" t="s">
        <v>42</v>
      </c>
      <c r="BO319" s="142" t="s">
        <v>43</v>
      </c>
      <c r="BP319" s="143" t="s">
        <v>44</v>
      </c>
      <c r="BQ319" s="142" t="s">
        <v>45</v>
      </c>
      <c r="BR319" s="143" t="s">
        <v>46</v>
      </c>
      <c r="BS319" s="146" t="s">
        <v>52</v>
      </c>
      <c r="BT319" s="142" t="s">
        <v>43</v>
      </c>
      <c r="BU319" s="146"/>
      <c r="BV319" s="143" t="s">
        <v>54</v>
      </c>
      <c r="BW319" s="143"/>
      <c r="BX319" s="146"/>
      <c r="BY319" s="28"/>
    </row>
    <row r="320" spans="3:80" x14ac:dyDescent="0.3">
      <c r="D320" t="s">
        <v>232</v>
      </c>
      <c r="F320" t="s">
        <v>233</v>
      </c>
      <c r="H320" t="e">
        <f>SUM(#REF!)</f>
        <v>#REF!</v>
      </c>
      <c r="J320" t="s">
        <v>234</v>
      </c>
      <c r="L320" t="s">
        <v>233</v>
      </c>
      <c r="N320">
        <f>SUM(E317)</f>
        <v>1847</v>
      </c>
      <c r="R320" t="s">
        <v>232</v>
      </c>
      <c r="T320" t="s">
        <v>233</v>
      </c>
      <c r="V320">
        <f>SUM(G317)</f>
        <v>0</v>
      </c>
      <c r="X320" t="s">
        <v>234</v>
      </c>
      <c r="Z320" t="s">
        <v>233</v>
      </c>
      <c r="AB320">
        <f>SUM(S317)</f>
        <v>1933</v>
      </c>
      <c r="AM320" t="s">
        <v>1044</v>
      </c>
      <c r="AQ320" s="194" t="s">
        <v>950</v>
      </c>
      <c r="AX320" s="196" t="s">
        <v>502</v>
      </c>
      <c r="AY320" s="138">
        <v>0</v>
      </c>
      <c r="AZ320" s="141">
        <v>0</v>
      </c>
      <c r="BA320" s="138"/>
      <c r="BB320" s="28"/>
      <c r="BC320" s="141"/>
      <c r="BD320" s="138"/>
      <c r="BE320" s="141"/>
      <c r="BF320" s="138" t="s">
        <v>1614</v>
      </c>
      <c r="BG320" s="222" t="s">
        <v>799</v>
      </c>
      <c r="BH320" s="141" t="s">
        <v>206</v>
      </c>
      <c r="BN320" s="195"/>
      <c r="BO320" s="134"/>
      <c r="BP320" s="136"/>
      <c r="BQ320" s="134">
        <v>0</v>
      </c>
      <c r="BR320" s="135">
        <v>0</v>
      </c>
      <c r="BS320" s="136">
        <v>0</v>
      </c>
      <c r="BT320" s="134">
        <v>0</v>
      </c>
      <c r="BU320" s="136">
        <v>0</v>
      </c>
      <c r="BV320" s="134" t="s">
        <v>58</v>
      </c>
      <c r="BW320" s="135"/>
      <c r="BX320" s="136"/>
    </row>
    <row r="321" spans="4:77" ht="15.6" x14ac:dyDescent="0.3">
      <c r="F321" t="s">
        <v>236</v>
      </c>
      <c r="H321" t="e">
        <f>SUM(#REF!)</f>
        <v>#REF!</v>
      </c>
      <c r="L321" t="s">
        <v>236</v>
      </c>
      <c r="N321">
        <f>SUM(F317)</f>
        <v>1895</v>
      </c>
      <c r="Q321" t="s">
        <v>6</v>
      </c>
      <c r="T321" t="s">
        <v>236</v>
      </c>
      <c r="V321">
        <f>SUM(H317)</f>
        <v>23</v>
      </c>
      <c r="Z321" t="s">
        <v>236</v>
      </c>
      <c r="AB321">
        <f>SUM(T317)</f>
        <v>1906</v>
      </c>
      <c r="AH321" s="195" t="s">
        <v>17</v>
      </c>
      <c r="AI321" s="134" t="s">
        <v>27</v>
      </c>
      <c r="AJ321" s="136"/>
      <c r="AK321" s="135" t="s">
        <v>28</v>
      </c>
      <c r="AL321" s="135"/>
      <c r="AM321" s="135"/>
      <c r="AN321" s="135" t="s">
        <v>29</v>
      </c>
      <c r="AO321" s="135" t="s">
        <v>30</v>
      </c>
      <c r="AP321" s="135" t="s">
        <v>31</v>
      </c>
      <c r="AQ321" s="135"/>
      <c r="AR321" s="136"/>
      <c r="AS321" s="28"/>
      <c r="AT321" s="28"/>
      <c r="AX321" s="259" t="s">
        <v>220</v>
      </c>
      <c r="AY321" s="138">
        <v>7</v>
      </c>
      <c r="AZ321" s="141">
        <v>0</v>
      </c>
      <c r="BA321" s="138"/>
      <c r="BB321" s="28"/>
      <c r="BC321" s="141"/>
      <c r="BD321" s="138"/>
      <c r="BE321" s="141"/>
      <c r="BF321" s="138"/>
      <c r="BG321" s="258"/>
      <c r="BH321" s="141"/>
      <c r="BN321" s="196" t="s">
        <v>107</v>
      </c>
      <c r="BO321" s="138"/>
      <c r="BP321" s="141"/>
      <c r="BQ321" s="138">
        <v>0</v>
      </c>
      <c r="BR321" s="43">
        <v>0</v>
      </c>
      <c r="BS321" s="209">
        <v>0</v>
      </c>
      <c r="BT321" s="138">
        <v>0</v>
      </c>
      <c r="BU321" s="141">
        <v>0</v>
      </c>
      <c r="BV321" s="212">
        <v>9</v>
      </c>
      <c r="BW321" s="28" t="s">
        <v>65</v>
      </c>
      <c r="BX321" s="141" t="s">
        <v>1880</v>
      </c>
    </row>
    <row r="322" spans="4:77" ht="15.6" x14ac:dyDescent="0.3">
      <c r="D322" s="134" t="s">
        <v>238</v>
      </c>
      <c r="E322" s="135" t="s">
        <v>239</v>
      </c>
      <c r="F322" s="136"/>
      <c r="G322" s="134" t="s">
        <v>240</v>
      </c>
      <c r="H322" s="135" t="s">
        <v>241</v>
      </c>
      <c r="I322" s="136"/>
      <c r="J322" s="134"/>
      <c r="K322" s="135" t="s">
        <v>242</v>
      </c>
      <c r="L322" s="137" t="s">
        <v>243</v>
      </c>
      <c r="M322" s="135"/>
      <c r="N322" s="135"/>
      <c r="O322" s="136"/>
      <c r="R322" s="134" t="s">
        <v>238</v>
      </c>
      <c r="S322" s="135" t="s">
        <v>239</v>
      </c>
      <c r="T322" s="136"/>
      <c r="U322" s="134" t="s">
        <v>240</v>
      </c>
      <c r="V322" s="135" t="s">
        <v>241</v>
      </c>
      <c r="W322" s="136"/>
      <c r="X322" s="134"/>
      <c r="Y322" s="135" t="s">
        <v>242</v>
      </c>
      <c r="Z322" s="137" t="s">
        <v>243</v>
      </c>
      <c r="AA322" s="135"/>
      <c r="AB322" s="135"/>
      <c r="AC322" s="136"/>
      <c r="AD322" s="28"/>
      <c r="AE322" s="28"/>
      <c r="AF322" s="28"/>
      <c r="AH322" s="196"/>
      <c r="AI322" s="138"/>
      <c r="AJ322" s="141"/>
      <c r="AK322" s="28"/>
      <c r="AL322" s="28"/>
      <c r="AM322" s="28"/>
      <c r="AN322" s="28"/>
      <c r="AO322" s="28" t="s">
        <v>6</v>
      </c>
      <c r="AP322" s="28" t="s">
        <v>41</v>
      </c>
      <c r="AQ322" s="28"/>
      <c r="AR322" s="141"/>
      <c r="AS322" s="28"/>
      <c r="AT322" s="28"/>
      <c r="AU322" s="28"/>
      <c r="AX322" s="196" t="s">
        <v>564</v>
      </c>
      <c r="AY322" s="138">
        <v>6</v>
      </c>
      <c r="AZ322" s="141">
        <v>6</v>
      </c>
      <c r="BA322" s="138"/>
      <c r="BB322" s="28"/>
      <c r="BC322" s="141"/>
      <c r="BD322" s="138"/>
      <c r="BE322" s="141"/>
      <c r="BF322" s="138"/>
      <c r="BG322" s="258"/>
      <c r="BH322" s="141"/>
      <c r="BN322" s="196" t="s">
        <v>64</v>
      </c>
      <c r="BO322" s="138">
        <v>102</v>
      </c>
      <c r="BP322" s="141">
        <v>100</v>
      </c>
      <c r="BQ322" s="138">
        <v>0</v>
      </c>
      <c r="BR322" s="43">
        <v>0</v>
      </c>
      <c r="BS322" s="209">
        <v>0</v>
      </c>
      <c r="BT322" s="138">
        <v>0</v>
      </c>
      <c r="BU322" s="141">
        <v>0</v>
      </c>
      <c r="BV322" s="138">
        <v>1</v>
      </c>
      <c r="BW322" s="28" t="s">
        <v>69</v>
      </c>
      <c r="BX322" s="141"/>
    </row>
    <row r="323" spans="4:77" x14ac:dyDescent="0.3">
      <c r="D323" s="138" t="s">
        <v>233</v>
      </c>
      <c r="E323" s="28"/>
      <c r="F323" s="139" t="e">
        <f>SUM(#REF!)</f>
        <v>#REF!</v>
      </c>
      <c r="G323" s="138" t="s">
        <v>233</v>
      </c>
      <c r="H323" s="28"/>
      <c r="I323" s="139" t="e">
        <f>SUM(#REF!)</f>
        <v>#REF!</v>
      </c>
      <c r="J323" s="138" t="s">
        <v>233</v>
      </c>
      <c r="K323" s="28"/>
      <c r="L323" s="140" t="e">
        <f>SUM(N320+I323)</f>
        <v>#REF!</v>
      </c>
      <c r="M323" s="28" t="s">
        <v>245</v>
      </c>
      <c r="N323" s="28" t="e">
        <f>SUM(L323+F323)</f>
        <v>#REF!</v>
      </c>
      <c r="O323" s="141"/>
      <c r="R323" s="138" t="s">
        <v>233</v>
      </c>
      <c r="S323" s="28"/>
      <c r="T323" s="139" t="e">
        <f>SUM(#REF!)</f>
        <v>#REF!</v>
      </c>
      <c r="U323" s="138" t="s">
        <v>233</v>
      </c>
      <c r="V323" s="28"/>
      <c r="W323" s="139" t="e">
        <f>SUM(#REF!)</f>
        <v>#REF!</v>
      </c>
      <c r="X323" s="138" t="s">
        <v>233</v>
      </c>
      <c r="Y323" s="28"/>
      <c r="Z323" s="140" t="e">
        <f>SUM(AB320+W323)</f>
        <v>#REF!</v>
      </c>
      <c r="AA323" s="28" t="s">
        <v>245</v>
      </c>
      <c r="AB323" s="140" t="e">
        <f>SUM(Z323+T323)</f>
        <v>#REF!</v>
      </c>
      <c r="AC323" s="139"/>
      <c r="AD323" s="140"/>
      <c r="AE323" s="140"/>
      <c r="AF323" s="140"/>
      <c r="AH323" s="199" t="s">
        <v>42</v>
      </c>
      <c r="AI323" s="142" t="s">
        <v>43</v>
      </c>
      <c r="AJ323" s="146" t="s">
        <v>44</v>
      </c>
      <c r="AK323" s="143" t="s">
        <v>45</v>
      </c>
      <c r="AL323" s="143" t="s">
        <v>46</v>
      </c>
      <c r="AM323" s="143" t="s">
        <v>52</v>
      </c>
      <c r="AN323" s="143" t="s">
        <v>43</v>
      </c>
      <c r="AO323" s="143" t="s">
        <v>44</v>
      </c>
      <c r="AP323" s="143" t="s">
        <v>54</v>
      </c>
      <c r="AQ323" s="143"/>
      <c r="AR323" s="146"/>
      <c r="AS323" s="28"/>
      <c r="AT323" s="28"/>
      <c r="AU323" s="28"/>
      <c r="AX323" s="196" t="s">
        <v>862</v>
      </c>
      <c r="AY323" s="138">
        <v>1</v>
      </c>
      <c r="AZ323" s="141">
        <v>0</v>
      </c>
      <c r="BA323" s="138"/>
      <c r="BB323" s="28"/>
      <c r="BC323" s="141"/>
      <c r="BD323" s="138"/>
      <c r="BE323" s="141"/>
      <c r="BF323" s="138"/>
      <c r="BG323" s="28"/>
      <c r="BH323" s="141"/>
      <c r="BN323" s="211" t="s">
        <v>84</v>
      </c>
      <c r="BO323" s="142">
        <v>102</v>
      </c>
      <c r="BP323" s="146">
        <v>100</v>
      </c>
      <c r="BQ323" s="142">
        <v>0</v>
      </c>
      <c r="BR323" s="143">
        <v>0</v>
      </c>
      <c r="BS323" s="146">
        <v>0</v>
      </c>
      <c r="BT323" s="142">
        <v>0</v>
      </c>
      <c r="BU323" s="146">
        <v>0</v>
      </c>
      <c r="BV323" s="142">
        <v>1</v>
      </c>
      <c r="BW323" s="143" t="s">
        <v>1881</v>
      </c>
      <c r="BX323" s="146">
        <v>14</v>
      </c>
      <c r="BY323" s="28"/>
    </row>
    <row r="324" spans="4:77" x14ac:dyDescent="0.3">
      <c r="D324" s="142" t="s">
        <v>236</v>
      </c>
      <c r="E324" s="143"/>
      <c r="F324" s="144" t="e">
        <f>SUM(#REF!)</f>
        <v>#REF!</v>
      </c>
      <c r="G324" s="142" t="s">
        <v>236</v>
      </c>
      <c r="H324" s="143"/>
      <c r="I324" s="144" t="e">
        <f>SUM(#REF!)</f>
        <v>#REF!</v>
      </c>
      <c r="J324" s="142" t="s">
        <v>236</v>
      </c>
      <c r="K324" s="143"/>
      <c r="L324" s="145" t="e">
        <f>SUM(N321+I324)</f>
        <v>#REF!</v>
      </c>
      <c r="M324" s="143"/>
      <c r="N324" s="143" t="e">
        <f>SUM(L324+F324)</f>
        <v>#REF!</v>
      </c>
      <c r="O324" s="146"/>
      <c r="R324" s="142" t="s">
        <v>236</v>
      </c>
      <c r="S324" s="143"/>
      <c r="T324" s="144" t="e">
        <f>SUM(#REF!)</f>
        <v>#REF!</v>
      </c>
      <c r="U324" s="142" t="s">
        <v>236</v>
      </c>
      <c r="V324" s="143"/>
      <c r="W324" s="144" t="e">
        <f>SUM(#REF!)</f>
        <v>#REF!</v>
      </c>
      <c r="X324" s="142" t="s">
        <v>236</v>
      </c>
      <c r="Y324" s="143"/>
      <c r="Z324" s="145" t="e">
        <f>SUM(AB321+W324)</f>
        <v>#REF!</v>
      </c>
      <c r="AA324" s="143"/>
      <c r="AB324" s="145" t="e">
        <f>SUM(Z324+T324)</f>
        <v>#REF!</v>
      </c>
      <c r="AC324" s="144"/>
      <c r="AD324" s="140"/>
      <c r="AE324" s="140"/>
      <c r="AF324" s="140"/>
      <c r="AH324" s="195" t="s">
        <v>85</v>
      </c>
      <c r="AI324" s="135">
        <v>0</v>
      </c>
      <c r="AJ324" s="135">
        <v>0</v>
      </c>
      <c r="AK324" s="134"/>
      <c r="AL324" s="135"/>
      <c r="AM324" s="135"/>
      <c r="AN324" s="134"/>
      <c r="AO324" s="136"/>
      <c r="AP324" s="135" t="s">
        <v>58</v>
      </c>
      <c r="AQ324" s="135"/>
      <c r="AR324" s="136"/>
      <c r="AS324" s="28"/>
      <c r="AT324" s="28"/>
      <c r="AU324" s="28"/>
      <c r="AX324" s="196" t="s">
        <v>200</v>
      </c>
      <c r="AY324" s="138">
        <v>10</v>
      </c>
      <c r="AZ324" s="141">
        <v>15</v>
      </c>
      <c r="BA324" s="138"/>
      <c r="BB324" s="28"/>
      <c r="BC324" s="141"/>
      <c r="BD324" s="138"/>
      <c r="BE324" s="141"/>
      <c r="BF324" s="138"/>
      <c r="BG324" s="28"/>
      <c r="BH324" s="141"/>
      <c r="BN324" s="195"/>
      <c r="BO324" s="135"/>
      <c r="BP324" s="136"/>
      <c r="BQ324" s="240"/>
      <c r="BR324" s="241"/>
      <c r="BS324" s="242"/>
      <c r="BT324" s="134"/>
      <c r="BU324" s="136"/>
      <c r="BV324" s="135"/>
      <c r="BW324" s="135" t="s">
        <v>92</v>
      </c>
      <c r="BX324" s="136"/>
    </row>
    <row r="325" spans="4:77" x14ac:dyDescent="0.3">
      <c r="AB325" s="184"/>
      <c r="AC325" s="184"/>
      <c r="AD325" s="184"/>
      <c r="AE325" s="184"/>
      <c r="AF325" s="184"/>
      <c r="AH325" s="196" t="s">
        <v>64</v>
      </c>
      <c r="AI325" s="28">
        <f>122+14</f>
        <v>136</v>
      </c>
      <c r="AJ325" s="28">
        <v>141</v>
      </c>
      <c r="AK325" s="138">
        <v>0</v>
      </c>
      <c r="AL325" s="28">
        <v>0</v>
      </c>
      <c r="AM325" s="28">
        <v>0</v>
      </c>
      <c r="AN325" s="138">
        <v>0</v>
      </c>
      <c r="AO325" s="141">
        <v>0</v>
      </c>
      <c r="AP325" s="43">
        <v>17</v>
      </c>
      <c r="AQ325" s="28" t="s">
        <v>474</v>
      </c>
      <c r="AR325" s="141" t="s">
        <v>6</v>
      </c>
      <c r="AS325" s="28"/>
      <c r="AT325" s="28"/>
      <c r="AU325" s="28"/>
      <c r="AX325" s="196" t="s">
        <v>169</v>
      </c>
      <c r="AY325" s="138">
        <v>0</v>
      </c>
      <c r="AZ325" s="141">
        <v>2</v>
      </c>
      <c r="BA325" s="138"/>
      <c r="BB325" s="28"/>
      <c r="BC325" s="141"/>
      <c r="BD325" s="138"/>
      <c r="BE325" s="141"/>
      <c r="BF325" s="138"/>
      <c r="BG325" s="28"/>
      <c r="BH325" s="141"/>
      <c r="BN325" s="196"/>
      <c r="BO325" s="28"/>
      <c r="BP325" s="141"/>
      <c r="BQ325" s="138"/>
      <c r="BR325" s="43"/>
      <c r="BS325" s="141"/>
      <c r="BT325" s="138"/>
      <c r="BU325" s="141"/>
      <c r="BV325" s="43">
        <v>9</v>
      </c>
      <c r="BW325" s="43" t="s">
        <v>1297</v>
      </c>
      <c r="BX325" s="141"/>
    </row>
    <row r="326" spans="4:77" x14ac:dyDescent="0.3">
      <c r="AH326" s="196" t="s">
        <v>108</v>
      </c>
      <c r="AI326">
        <v>10</v>
      </c>
      <c r="AJ326">
        <v>15</v>
      </c>
      <c r="AK326" s="138"/>
      <c r="AL326" s="28"/>
      <c r="AM326" s="28"/>
      <c r="AN326" s="138"/>
      <c r="AO326" s="141"/>
      <c r="AP326" s="28">
        <v>2</v>
      </c>
      <c r="AQ326" s="28" t="s">
        <v>1045</v>
      </c>
      <c r="AR326" s="141"/>
      <c r="AS326" s="28"/>
      <c r="AT326" s="28"/>
      <c r="AU326" s="28"/>
      <c r="AX326" s="196" t="s">
        <v>596</v>
      </c>
      <c r="AY326" s="138">
        <v>2</v>
      </c>
      <c r="AZ326" s="141">
        <v>6</v>
      </c>
      <c r="BA326" s="138"/>
      <c r="BB326" s="28"/>
      <c r="BC326" s="141"/>
      <c r="BD326" s="138"/>
      <c r="BE326" s="141"/>
      <c r="BF326" s="138"/>
      <c r="BG326" s="28"/>
      <c r="BH326" s="141"/>
      <c r="BN326" s="196" t="s">
        <v>1247</v>
      </c>
      <c r="BO326" s="28"/>
      <c r="BP326" s="141"/>
      <c r="BQ326" s="212">
        <v>0</v>
      </c>
      <c r="BR326" s="43">
        <v>0</v>
      </c>
      <c r="BS326" s="209">
        <v>0</v>
      </c>
      <c r="BT326" s="28"/>
      <c r="BU326" s="141"/>
      <c r="BV326" s="43">
        <v>17</v>
      </c>
      <c r="BW326" s="43" t="s">
        <v>1882</v>
      </c>
      <c r="BX326" s="141"/>
      <c r="BY326" s="28"/>
    </row>
    <row r="327" spans="4:77" x14ac:dyDescent="0.3">
      <c r="AH327" s="199" t="s">
        <v>84</v>
      </c>
      <c r="AI327" s="143">
        <f>SUM(AI324:AI326)</f>
        <v>146</v>
      </c>
      <c r="AJ327" s="143">
        <f>SUM(AJ324:AJ326)</f>
        <v>156</v>
      </c>
      <c r="AK327" s="142"/>
      <c r="AL327" s="143"/>
      <c r="AM327" s="143"/>
      <c r="AN327" s="142"/>
      <c r="AO327" s="146"/>
      <c r="AP327" s="143">
        <v>3</v>
      </c>
      <c r="AQ327" s="143" t="s">
        <v>69</v>
      </c>
      <c r="AR327" s="146">
        <f>SUM(AP325:AP327)</f>
        <v>22</v>
      </c>
      <c r="AS327" s="28"/>
      <c r="AT327" s="28"/>
      <c r="AU327" s="28"/>
      <c r="AX327" s="196" t="s">
        <v>218</v>
      </c>
      <c r="AY327" s="138">
        <v>0</v>
      </c>
      <c r="AZ327" s="141">
        <f>29+3</f>
        <v>32</v>
      </c>
      <c r="BA327" s="138"/>
      <c r="BB327" s="28">
        <v>0</v>
      </c>
      <c r="BC327" s="141"/>
      <c r="BD327" s="138"/>
      <c r="BE327" s="141"/>
      <c r="BF327" s="138"/>
      <c r="BG327" s="28"/>
      <c r="BH327" s="141"/>
      <c r="BN327" s="196" t="s">
        <v>99</v>
      </c>
      <c r="BO327" s="43"/>
      <c r="BP327" s="141"/>
      <c r="BQ327" s="138">
        <v>0</v>
      </c>
      <c r="BR327" s="43">
        <v>0</v>
      </c>
      <c r="BS327" s="141">
        <v>0</v>
      </c>
      <c r="BT327" s="43">
        <v>77759</v>
      </c>
      <c r="BU327" s="141">
        <v>26000</v>
      </c>
      <c r="BV327" s="43"/>
      <c r="BW327" s="28"/>
      <c r="BX327" s="141"/>
    </row>
    <row r="328" spans="4:77" x14ac:dyDescent="0.3">
      <c r="AH328" s="195" t="s">
        <v>174</v>
      </c>
      <c r="AI328" s="134"/>
      <c r="AJ328" s="136"/>
      <c r="AK328" s="135"/>
      <c r="AL328" s="135">
        <v>0</v>
      </c>
      <c r="AM328" s="135"/>
      <c r="AN328" s="134"/>
      <c r="AO328" s="136"/>
      <c r="AP328" s="135" t="s">
        <v>82</v>
      </c>
      <c r="AQ328" s="135"/>
      <c r="AR328" s="136"/>
      <c r="AS328" s="28"/>
      <c r="AT328" s="28"/>
      <c r="AU328" s="28"/>
      <c r="AX328" s="196" t="s">
        <v>93</v>
      </c>
      <c r="AY328" s="138">
        <v>0</v>
      </c>
      <c r="AZ328" s="141">
        <v>3</v>
      </c>
      <c r="BA328" s="138"/>
      <c r="BB328" s="28"/>
      <c r="BC328" s="141"/>
      <c r="BD328" s="138"/>
      <c r="BE328" s="141"/>
      <c r="BF328" s="138"/>
      <c r="BG328" s="28"/>
      <c r="BH328" s="141"/>
      <c r="BN328" s="211" t="s">
        <v>174</v>
      </c>
      <c r="BO328" s="28"/>
      <c r="BP328" s="141"/>
      <c r="BQ328" s="138">
        <v>0</v>
      </c>
      <c r="BR328" s="43">
        <v>0</v>
      </c>
      <c r="BS328" s="141">
        <v>0</v>
      </c>
      <c r="BT328" s="28"/>
      <c r="BU328" s="141"/>
      <c r="BV328" s="28"/>
      <c r="BW328" s="28"/>
      <c r="BX328" s="141"/>
      <c r="BY328" s="28"/>
    </row>
    <row r="329" spans="4:77" x14ac:dyDescent="0.3">
      <c r="AH329" s="199" t="s">
        <v>85</v>
      </c>
      <c r="AI329" s="142">
        <v>0</v>
      </c>
      <c r="AJ329" s="146">
        <v>0</v>
      </c>
      <c r="AK329" s="143"/>
      <c r="AL329" s="143">
        <v>0</v>
      </c>
      <c r="AM329" s="143">
        <v>0</v>
      </c>
      <c r="AN329" s="142">
        <v>0</v>
      </c>
      <c r="AO329" s="146">
        <v>0</v>
      </c>
      <c r="AP329" s="143">
        <v>0</v>
      </c>
      <c r="AQ329" s="143" t="s">
        <v>86</v>
      </c>
      <c r="AR329" s="146">
        <f>SUM(AP329)</f>
        <v>0</v>
      </c>
      <c r="AS329" s="28"/>
      <c r="AT329" s="28"/>
      <c r="AU329" s="28"/>
      <c r="AX329" s="199" t="s">
        <v>84</v>
      </c>
      <c r="AY329" s="142">
        <f>SUM(AY305:AY328)</f>
        <v>128</v>
      </c>
      <c r="AZ329" s="146">
        <f>SUM(AZ305:AZ328)</f>
        <v>142</v>
      </c>
      <c r="BA329" s="142">
        <v>0</v>
      </c>
      <c r="BB329" s="143">
        <f>SUM(BB305:BB328)</f>
        <v>0</v>
      </c>
      <c r="BC329" s="146">
        <f>SUM(BC305:BC328)</f>
        <v>0</v>
      </c>
      <c r="BD329" s="142">
        <v>0</v>
      </c>
      <c r="BE329" s="146">
        <v>0</v>
      </c>
      <c r="BF329" s="142"/>
      <c r="BG329" s="143"/>
      <c r="BH329" s="146">
        <f>8+4+8+5+4+8+4+4+5+6</f>
        <v>56</v>
      </c>
      <c r="BN329" s="196" t="s">
        <v>64</v>
      </c>
      <c r="BO329" s="43"/>
      <c r="BP329" s="141"/>
      <c r="BQ329" s="138">
        <v>0</v>
      </c>
      <c r="BR329" s="43">
        <v>0</v>
      </c>
      <c r="BS329" s="141">
        <v>0</v>
      </c>
      <c r="BT329" s="43"/>
      <c r="BU329" s="141"/>
      <c r="BV329" s="43"/>
      <c r="BW329" s="43"/>
      <c r="BX329" s="141"/>
      <c r="BY329" s="28"/>
    </row>
    <row r="330" spans="4:77" ht="15.6" x14ac:dyDescent="0.3">
      <c r="U330" s="1"/>
      <c r="V330" s="1" t="s">
        <v>5</v>
      </c>
      <c r="W330" s="1"/>
      <c r="X330" s="1"/>
      <c r="Y330" s="1"/>
      <c r="Z330" s="1"/>
      <c r="AH330" s="195" t="s">
        <v>107</v>
      </c>
      <c r="AI330" s="134">
        <v>0</v>
      </c>
      <c r="AJ330" s="136">
        <v>0</v>
      </c>
      <c r="AK330" s="135"/>
      <c r="AL330" s="135"/>
      <c r="AM330" s="135"/>
      <c r="AN330" s="134"/>
      <c r="AO330" s="136"/>
      <c r="AP330" s="135"/>
      <c r="AQ330" s="135" t="s">
        <v>92</v>
      </c>
      <c r="AR330" s="136"/>
      <c r="AS330" s="28"/>
      <c r="AT330" s="28"/>
      <c r="AU330" s="28"/>
      <c r="AX330" t="s">
        <v>223</v>
      </c>
      <c r="AY330">
        <f>SUM(AY329+AY304+AY299+AY293+AY290+AY288+AY301)</f>
        <v>3931</v>
      </c>
      <c r="AZ330">
        <f>SUM(AZ329+AZ304+AZ299+AZ293+AZ288+AZ290+AZ301)</f>
        <v>4063</v>
      </c>
      <c r="BA330">
        <v>0</v>
      </c>
      <c r="BB330">
        <f>SUM(BB329+BB304+BB299+BB293+BB290+BB286)</f>
        <v>0</v>
      </c>
      <c r="BC330">
        <f>SUM(BC329)</f>
        <v>0</v>
      </c>
      <c r="BD330">
        <f>SUM(BD329+BD304+BD299+BD292+BD290+BD286)</f>
        <v>75459</v>
      </c>
      <c r="BE330">
        <f>SUM(BE329+BE304+BE299+BE292+BE290+BE286)</f>
        <v>20907</v>
      </c>
      <c r="BG330" t="s">
        <v>939</v>
      </c>
      <c r="BH330">
        <f>SUM(+BH304+BH299+BH293+BH290+BH288)</f>
        <v>180</v>
      </c>
      <c r="BN330" s="211" t="s">
        <v>84</v>
      </c>
      <c r="BO330" s="43"/>
      <c r="BP330" s="209"/>
      <c r="BQ330" s="138">
        <v>0</v>
      </c>
      <c r="BR330" s="43">
        <v>0</v>
      </c>
      <c r="BS330" s="141">
        <v>0</v>
      </c>
      <c r="BT330" s="43">
        <v>77759</v>
      </c>
      <c r="BU330" s="209">
        <v>26000</v>
      </c>
      <c r="BV330" s="28"/>
      <c r="BW330" s="43"/>
      <c r="BX330" s="141">
        <v>26</v>
      </c>
      <c r="BY330" s="28"/>
    </row>
    <row r="331" spans="4:77" x14ac:dyDescent="0.3">
      <c r="W331" t="s">
        <v>2</v>
      </c>
      <c r="AH331" s="196" t="s">
        <v>99</v>
      </c>
      <c r="AI331" s="138">
        <v>0</v>
      </c>
      <c r="AJ331" s="141">
        <v>0</v>
      </c>
      <c r="AK331" s="28">
        <v>0</v>
      </c>
      <c r="AL331" s="28">
        <v>0</v>
      </c>
      <c r="AM331" s="28">
        <v>0</v>
      </c>
      <c r="AN331" s="138">
        <v>66127</v>
      </c>
      <c r="AO331" s="141">
        <v>19998</v>
      </c>
      <c r="AP331" s="43">
        <v>24</v>
      </c>
      <c r="AQ331" s="28" t="s">
        <v>100</v>
      </c>
      <c r="AR331" s="141"/>
      <c r="AS331" s="28"/>
      <c r="AT331" s="28"/>
      <c r="AU331" s="28"/>
      <c r="AX331" t="s">
        <v>1340</v>
      </c>
      <c r="AZ331">
        <f>SUM(BH329)</f>
        <v>56</v>
      </c>
      <c r="BK331" s="135" t="s">
        <v>91</v>
      </c>
      <c r="BL331">
        <v>2018</v>
      </c>
      <c r="BM331">
        <v>5</v>
      </c>
      <c r="BN331" s="233" t="s">
        <v>137</v>
      </c>
      <c r="BO331" s="135">
        <v>965</v>
      </c>
      <c r="BP331" s="136">
        <v>990</v>
      </c>
      <c r="BQ331" s="134">
        <v>0</v>
      </c>
      <c r="BR331" s="135">
        <v>0</v>
      </c>
      <c r="BS331" s="136">
        <v>0</v>
      </c>
      <c r="BT331" s="134"/>
      <c r="BU331" s="135"/>
      <c r="BV331" s="134"/>
      <c r="BW331" s="135" t="s">
        <v>91</v>
      </c>
      <c r="BX331" s="136"/>
      <c r="BY331" s="28"/>
    </row>
    <row r="332" spans="4:77" x14ac:dyDescent="0.3">
      <c r="U332" t="s">
        <v>13</v>
      </c>
      <c r="AH332" s="199" t="s">
        <v>84</v>
      </c>
      <c r="AI332" s="138">
        <f>SUM(AI330:AI331)</f>
        <v>0</v>
      </c>
      <c r="AJ332" s="141">
        <f>SUM(AJ329:AJ331)</f>
        <v>0</v>
      </c>
      <c r="AK332" s="143"/>
      <c r="AL332" s="143"/>
      <c r="AM332" s="143"/>
      <c r="AN332" s="142"/>
      <c r="AO332" s="146"/>
      <c r="AP332" s="143">
        <v>0</v>
      </c>
      <c r="AQ332" s="143" t="s">
        <v>506</v>
      </c>
      <c r="AR332" s="146">
        <f>SUM(AP331:AP332)</f>
        <v>24</v>
      </c>
      <c r="AS332" s="28"/>
      <c r="AT332" s="28"/>
      <c r="AU332" s="28"/>
      <c r="AX332" t="s">
        <v>229</v>
      </c>
      <c r="AZ332">
        <f>3+1+12+2+6+1</f>
        <v>25</v>
      </c>
      <c r="BK332" s="135" t="s">
        <v>91</v>
      </c>
      <c r="BL332">
        <v>2018</v>
      </c>
      <c r="BM332">
        <v>5</v>
      </c>
      <c r="BN332" s="196" t="s">
        <v>88</v>
      </c>
      <c r="BO332" s="43">
        <v>253</v>
      </c>
      <c r="BP332" s="141">
        <v>245</v>
      </c>
      <c r="BQ332" s="138">
        <v>0</v>
      </c>
      <c r="BR332" s="43">
        <v>0</v>
      </c>
      <c r="BS332" s="141">
        <v>0</v>
      </c>
      <c r="BT332" s="138"/>
      <c r="BU332" s="43"/>
      <c r="BV332" s="212"/>
      <c r="BW332" s="43"/>
      <c r="BX332" s="141"/>
      <c r="BY332" s="28"/>
    </row>
    <row r="333" spans="4:77" ht="15" thickBot="1" x14ac:dyDescent="0.35">
      <c r="W333" t="s">
        <v>777</v>
      </c>
      <c r="AA333" s="5" t="s">
        <v>16</v>
      </c>
      <c r="AE333" s="28" t="s">
        <v>91</v>
      </c>
      <c r="AF333">
        <v>2016</v>
      </c>
      <c r="AG333">
        <v>6</v>
      </c>
      <c r="AH333" s="138" t="s">
        <v>89</v>
      </c>
      <c r="AI333" s="134">
        <v>540</v>
      </c>
      <c r="AJ333" s="136">
        <v>570</v>
      </c>
      <c r="AN333" s="134"/>
      <c r="AO333" s="136"/>
      <c r="AP333" s="28"/>
      <c r="AQ333" s="28" t="s">
        <v>91</v>
      </c>
      <c r="AR333" s="141"/>
      <c r="AS333" s="28"/>
      <c r="AT333" s="28"/>
      <c r="AU333" s="28"/>
      <c r="AW333" t="s">
        <v>6</v>
      </c>
      <c r="AX333" t="s">
        <v>232</v>
      </c>
      <c r="AZ333" s="28" t="s">
        <v>233</v>
      </c>
      <c r="BB333">
        <f>SUM(AJ326)</f>
        <v>15</v>
      </c>
      <c r="BD333" t="s">
        <v>234</v>
      </c>
      <c r="BF333" t="s">
        <v>233</v>
      </c>
      <c r="BH333">
        <f>SUM(AY330)</f>
        <v>3931</v>
      </c>
      <c r="BK333" s="135" t="s">
        <v>91</v>
      </c>
      <c r="BL333">
        <v>2018</v>
      </c>
      <c r="BM333">
        <v>5</v>
      </c>
      <c r="BN333" s="211" t="s">
        <v>97</v>
      </c>
      <c r="BO333" s="43">
        <v>2862</v>
      </c>
      <c r="BP333" s="209">
        <v>2903</v>
      </c>
      <c r="BQ333" s="138">
        <v>0</v>
      </c>
      <c r="BR333" s="43">
        <v>0</v>
      </c>
      <c r="BS333" s="141">
        <v>0</v>
      </c>
      <c r="BT333" s="138"/>
      <c r="BU333" s="43"/>
      <c r="BV333" s="138"/>
      <c r="BW333" s="43"/>
      <c r="BX333" s="141"/>
      <c r="BY333" s="28"/>
    </row>
    <row r="334" spans="4:77" x14ac:dyDescent="0.3">
      <c r="R334" s="6" t="s">
        <v>17</v>
      </c>
      <c r="S334" s="6" t="s">
        <v>27</v>
      </c>
      <c r="T334" s="7"/>
      <c r="U334" s="8" t="s">
        <v>28</v>
      </c>
      <c r="V334" s="8"/>
      <c r="W334" s="8"/>
      <c r="X334" s="6" t="s">
        <v>29</v>
      </c>
      <c r="Y334" s="7" t="s">
        <v>30</v>
      </c>
      <c r="Z334" s="8" t="s">
        <v>31</v>
      </c>
      <c r="AA334" s="8"/>
      <c r="AB334" s="7"/>
      <c r="AE334" s="28" t="s">
        <v>91</v>
      </c>
      <c r="AF334">
        <v>2016</v>
      </c>
      <c r="AG334">
        <v>6</v>
      </c>
      <c r="AH334" s="138" t="s">
        <v>137</v>
      </c>
      <c r="AI334" s="138">
        <v>139</v>
      </c>
      <c r="AJ334" s="141">
        <v>117</v>
      </c>
      <c r="AN334" s="138"/>
      <c r="AO334" s="141"/>
      <c r="AP334" s="43">
        <v>37</v>
      </c>
      <c r="AQ334" s="43" t="s">
        <v>145</v>
      </c>
      <c r="AR334" s="141"/>
      <c r="AS334" s="28"/>
      <c r="AT334" s="28"/>
      <c r="AU334" s="28"/>
      <c r="AZ334" t="s">
        <v>236</v>
      </c>
      <c r="BB334">
        <f>SUM(AK326)</f>
        <v>0</v>
      </c>
      <c r="BF334" t="s">
        <v>236</v>
      </c>
      <c r="BH334">
        <f>SUM(AZ330)</f>
        <v>4063</v>
      </c>
      <c r="BK334" s="135" t="s">
        <v>91</v>
      </c>
      <c r="BL334">
        <v>2018</v>
      </c>
      <c r="BM334">
        <v>5</v>
      </c>
      <c r="BN334" s="211" t="s">
        <v>113</v>
      </c>
      <c r="BO334" s="43">
        <v>593</v>
      </c>
      <c r="BP334" s="141">
        <v>619</v>
      </c>
      <c r="BQ334" s="138">
        <v>0</v>
      </c>
      <c r="BR334" s="43">
        <v>0</v>
      </c>
      <c r="BS334" s="141">
        <v>0</v>
      </c>
      <c r="BT334" s="138"/>
      <c r="BU334" s="43"/>
      <c r="BV334" s="212">
        <v>52</v>
      </c>
      <c r="BW334" s="28" t="s">
        <v>1464</v>
      </c>
      <c r="BX334" s="141"/>
      <c r="BY334" s="28"/>
    </row>
    <row r="335" spans="4:77" x14ac:dyDescent="0.3">
      <c r="R335" s="10"/>
      <c r="S335" s="10"/>
      <c r="T335" s="11"/>
      <c r="U335" s="3"/>
      <c r="V335" s="3"/>
      <c r="W335" s="3"/>
      <c r="X335" s="10"/>
      <c r="Y335" s="11" t="s">
        <v>6</v>
      </c>
      <c r="Z335" s="3" t="s">
        <v>41</v>
      </c>
      <c r="AA335" s="3"/>
      <c r="AB335" s="11"/>
      <c r="AE335" s="28" t="s">
        <v>91</v>
      </c>
      <c r="AF335">
        <v>2016</v>
      </c>
      <c r="AG335">
        <v>6</v>
      </c>
      <c r="AH335" s="138" t="s">
        <v>113</v>
      </c>
      <c r="AI335" s="138">
        <v>816</v>
      </c>
      <c r="AJ335" s="141">
        <v>847</v>
      </c>
      <c r="AN335" s="138"/>
      <c r="AO335" s="141"/>
      <c r="AP335" s="43">
        <v>51</v>
      </c>
      <c r="AQ335" s="28" t="s">
        <v>73</v>
      </c>
      <c r="AR335" s="141"/>
      <c r="AS335" s="28"/>
      <c r="AT335" s="28"/>
      <c r="AU335" s="28"/>
      <c r="AX335" t="s">
        <v>238</v>
      </c>
      <c r="AY335" t="s">
        <v>239</v>
      </c>
      <c r="BA335" t="s">
        <v>240</v>
      </c>
      <c r="BB335" t="s">
        <v>241</v>
      </c>
      <c r="BE335" t="s">
        <v>242</v>
      </c>
      <c r="BF335" s="131" t="s">
        <v>243</v>
      </c>
      <c r="BN335" s="211"/>
      <c r="BO335" s="43"/>
      <c r="BP335" s="209"/>
      <c r="BQ335" s="138">
        <v>0</v>
      </c>
      <c r="BR335" s="43">
        <v>0</v>
      </c>
      <c r="BS335" s="141">
        <v>0</v>
      </c>
      <c r="BT335" s="138"/>
      <c r="BU335" s="43"/>
      <c r="BV335" s="138"/>
      <c r="BW335" s="43"/>
      <c r="BX335" s="141"/>
      <c r="BY335" s="28"/>
    </row>
    <row r="336" spans="4:77" ht="15" thickBot="1" x14ac:dyDescent="0.35">
      <c r="R336" s="13" t="s">
        <v>42</v>
      </c>
      <c r="S336" s="13" t="s">
        <v>43</v>
      </c>
      <c r="T336" s="26" t="s">
        <v>44</v>
      </c>
      <c r="U336" s="27" t="s">
        <v>45</v>
      </c>
      <c r="V336" s="27" t="s">
        <v>46</v>
      </c>
      <c r="W336" s="27" t="s">
        <v>52</v>
      </c>
      <c r="X336" s="13" t="s">
        <v>43</v>
      </c>
      <c r="Y336" s="26" t="s">
        <v>44</v>
      </c>
      <c r="Z336" s="27" t="s">
        <v>54</v>
      </c>
      <c r="AA336" s="27"/>
      <c r="AB336" s="26"/>
      <c r="AE336" s="28" t="s">
        <v>91</v>
      </c>
      <c r="AF336">
        <v>2016</v>
      </c>
      <c r="AG336">
        <v>6</v>
      </c>
      <c r="AH336" s="138" t="s">
        <v>84</v>
      </c>
      <c r="AI336" s="138">
        <f>SUM(AI333:AI335)</f>
        <v>1495</v>
      </c>
      <c r="AJ336" s="141">
        <f>SUM(AJ333:AJ335)</f>
        <v>1534</v>
      </c>
      <c r="AK336">
        <v>0</v>
      </c>
      <c r="AL336">
        <v>0</v>
      </c>
      <c r="AM336">
        <v>0</v>
      </c>
      <c r="AN336" s="138">
        <v>0</v>
      </c>
      <c r="AO336" s="141">
        <v>0</v>
      </c>
      <c r="AP336" s="28"/>
      <c r="AQ336" s="28"/>
      <c r="AR336" s="141">
        <f>SUM(AP335)</f>
        <v>51</v>
      </c>
      <c r="AS336" s="28"/>
      <c r="AT336" s="28"/>
      <c r="AU336" s="28"/>
      <c r="AX336" t="s">
        <v>233</v>
      </c>
      <c r="AZ336" t="e">
        <f>SUM(#REF!)</f>
        <v>#REF!</v>
      </c>
      <c r="BA336" s="236" t="s">
        <v>233</v>
      </c>
      <c r="BC336">
        <f>SUM(S320)</f>
        <v>0</v>
      </c>
      <c r="BD336" t="s">
        <v>233</v>
      </c>
      <c r="BF336">
        <f>SUM(BC336+AY330)</f>
        <v>3931</v>
      </c>
      <c r="BG336" t="s">
        <v>245</v>
      </c>
      <c r="BH336" t="e">
        <f>SUM(AZ336+BF336)</f>
        <v>#REF!</v>
      </c>
      <c r="BN336" s="211" t="s">
        <v>1883</v>
      </c>
      <c r="BO336" s="43"/>
      <c r="BP336" s="209">
        <v>10</v>
      </c>
      <c r="BQ336" s="138">
        <v>0</v>
      </c>
      <c r="BR336" s="43">
        <v>0</v>
      </c>
      <c r="BS336" s="141">
        <v>0</v>
      </c>
      <c r="BT336" s="138"/>
      <c r="BU336" s="43"/>
      <c r="BV336" s="138">
        <v>50</v>
      </c>
      <c r="BW336" s="43" t="s">
        <v>1305</v>
      </c>
      <c r="BX336" s="141"/>
      <c r="BY336" s="28"/>
    </row>
    <row r="337" spans="3:77" ht="16.2" thickBot="1" x14ac:dyDescent="0.35">
      <c r="G337" s="1"/>
      <c r="H337" s="1" t="s">
        <v>5</v>
      </c>
      <c r="I337" s="1"/>
      <c r="J337" s="1"/>
      <c r="K337" s="1"/>
      <c r="L337" s="1"/>
      <c r="R337" s="32" t="s">
        <v>85</v>
      </c>
      <c r="T337">
        <v>25</v>
      </c>
      <c r="U337" s="33"/>
      <c r="V337" s="34"/>
      <c r="W337" s="34"/>
      <c r="X337" s="33"/>
      <c r="Y337" s="35"/>
      <c r="Z337" s="34" t="s">
        <v>58</v>
      </c>
      <c r="AA337" s="8"/>
      <c r="AB337" s="7"/>
      <c r="AG337">
        <v>6</v>
      </c>
      <c r="AH337" s="134"/>
      <c r="AI337" s="134"/>
      <c r="AJ337" s="136"/>
      <c r="AK337" s="135"/>
      <c r="AL337" s="135"/>
      <c r="AM337" s="135"/>
      <c r="AN337" s="134"/>
      <c r="AO337" s="136"/>
      <c r="AP337" s="135" t="s">
        <v>1025</v>
      </c>
      <c r="AQ337" s="135"/>
      <c r="AR337" s="136"/>
      <c r="AS337" s="28"/>
      <c r="AT337" s="28"/>
      <c r="AU337" s="28"/>
      <c r="AX337" t="s">
        <v>236</v>
      </c>
      <c r="AZ337" t="e">
        <f>SUM(#REF!)</f>
        <v>#REF!</v>
      </c>
      <c r="BA337" s="236" t="s">
        <v>236</v>
      </c>
      <c r="BC337">
        <f>SUM(T320)</f>
        <v>0</v>
      </c>
      <c r="BD337" t="s">
        <v>236</v>
      </c>
      <c r="BF337">
        <f>SUM(BC337+AZ330)</f>
        <v>4063</v>
      </c>
      <c r="BH337" t="e">
        <f>SUM(AZ337+BF337)</f>
        <v>#REF!</v>
      </c>
      <c r="BI337" t="e">
        <f>SUM(BH336:BH337)</f>
        <v>#REF!</v>
      </c>
      <c r="BK337" s="135" t="s">
        <v>91</v>
      </c>
      <c r="BL337">
        <v>2018</v>
      </c>
      <c r="BM337">
        <v>5</v>
      </c>
      <c r="BN337" s="211" t="s">
        <v>89</v>
      </c>
      <c r="BO337" s="43">
        <v>2133</v>
      </c>
      <c r="BP337" s="209">
        <v>2057</v>
      </c>
      <c r="BQ337" s="138">
        <v>0</v>
      </c>
      <c r="BR337" s="43">
        <v>0</v>
      </c>
      <c r="BS337" s="141">
        <v>0</v>
      </c>
      <c r="BT337" s="138"/>
      <c r="BU337" s="43"/>
      <c r="BV337" s="138">
        <v>1</v>
      </c>
      <c r="BW337" s="43" t="s">
        <v>1294</v>
      </c>
      <c r="BX337" s="141"/>
      <c r="BY337" s="28"/>
    </row>
    <row r="338" spans="3:77" ht="15.6" x14ac:dyDescent="0.3">
      <c r="I338" t="s">
        <v>2</v>
      </c>
      <c r="R338" s="44" t="s">
        <v>64</v>
      </c>
      <c r="S338" s="18">
        <v>114</v>
      </c>
      <c r="T338" s="18">
        <v>128</v>
      </c>
      <c r="U338" s="10">
        <v>0</v>
      </c>
      <c r="V338" s="18">
        <v>0</v>
      </c>
      <c r="W338" s="18">
        <v>0</v>
      </c>
      <c r="X338" s="10">
        <v>0</v>
      </c>
      <c r="Y338" s="11">
        <v>0</v>
      </c>
      <c r="Z338" s="45">
        <v>9</v>
      </c>
      <c r="AA338" s="28" t="s">
        <v>474</v>
      </c>
      <c r="AB338" s="11"/>
      <c r="AG338">
        <v>6</v>
      </c>
      <c r="AH338" s="142" t="s">
        <v>64</v>
      </c>
      <c r="AI338" s="142">
        <v>67</v>
      </c>
      <c r="AJ338" s="146">
        <v>41</v>
      </c>
      <c r="AK338" s="143"/>
      <c r="AL338" s="143"/>
      <c r="AM338" s="143"/>
      <c r="AN338" s="142"/>
      <c r="AO338" s="146"/>
      <c r="AP338" s="143">
        <v>10</v>
      </c>
      <c r="AQ338" s="143" t="s">
        <v>1026</v>
      </c>
      <c r="AR338" s="146">
        <f>SUM(AP338)</f>
        <v>10</v>
      </c>
      <c r="AS338" s="28"/>
      <c r="AT338" s="28"/>
      <c r="AU338" s="28"/>
      <c r="AX338" s="321" t="s">
        <v>1532</v>
      </c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5"/>
      <c r="BN338" s="211" t="s">
        <v>108</v>
      </c>
      <c r="BO338" s="43"/>
      <c r="BP338" s="209"/>
      <c r="BQ338" s="212">
        <v>0</v>
      </c>
      <c r="BR338" s="43">
        <v>0</v>
      </c>
      <c r="BS338" s="209">
        <v>0</v>
      </c>
      <c r="BT338" s="212"/>
      <c r="BU338" s="43"/>
      <c r="BV338" s="138"/>
      <c r="BW338" s="43"/>
      <c r="BX338" s="209">
        <v>103</v>
      </c>
      <c r="BY338" s="28"/>
    </row>
    <row r="339" spans="3:77" ht="15" thickBot="1" x14ac:dyDescent="0.35">
      <c r="G339" t="s">
        <v>13</v>
      </c>
      <c r="Q339" s="28"/>
      <c r="R339" s="46" t="s">
        <v>84</v>
      </c>
      <c r="S339">
        <f>SUM(S337:S338)</f>
        <v>114</v>
      </c>
      <c r="T339">
        <f>SUM(T337:T338)</f>
        <v>153</v>
      </c>
      <c r="U339" s="47"/>
      <c r="V339" s="48"/>
      <c r="W339" s="48"/>
      <c r="X339" s="47"/>
      <c r="Y339" s="49"/>
      <c r="Z339" s="48"/>
      <c r="AA339" s="48" t="s">
        <v>249</v>
      </c>
      <c r="AB339" s="49">
        <f>SUM(Z338:Z339)+0</f>
        <v>9</v>
      </c>
      <c r="AE339" s="135" t="s">
        <v>994</v>
      </c>
      <c r="AF339">
        <v>2016</v>
      </c>
      <c r="AG339">
        <v>6</v>
      </c>
      <c r="AH339" s="138" t="s">
        <v>113</v>
      </c>
      <c r="AI339" s="138">
        <v>380</v>
      </c>
      <c r="AJ339" s="141">
        <v>394</v>
      </c>
      <c r="AK339" s="28"/>
      <c r="AL339" s="28"/>
      <c r="AM339" s="28"/>
      <c r="AN339" s="138"/>
      <c r="AO339" s="141"/>
      <c r="AP339" s="28" t="s">
        <v>994</v>
      </c>
      <c r="AQ339" s="28"/>
      <c r="AR339" s="141"/>
      <c r="AS339" s="28"/>
      <c r="AT339" s="28"/>
      <c r="AU339" s="28"/>
      <c r="AX339" s="42" t="s">
        <v>238</v>
      </c>
      <c r="AY339" s="28" t="s">
        <v>239</v>
      </c>
      <c r="AZ339" s="28"/>
      <c r="BA339" s="28" t="s">
        <v>240</v>
      </c>
      <c r="BB339" s="28" t="s">
        <v>241</v>
      </c>
      <c r="BC339" s="28"/>
      <c r="BD339" s="28"/>
      <c r="BE339" s="28" t="s">
        <v>242</v>
      </c>
      <c r="BF339" s="257" t="s">
        <v>243</v>
      </c>
      <c r="BG339" s="28"/>
      <c r="BH339" s="28"/>
      <c r="BI339" s="40"/>
      <c r="BN339" s="247" t="s">
        <v>84</v>
      </c>
      <c r="BO339" s="247">
        <v>6806</v>
      </c>
      <c r="BP339" s="248">
        <v>6824</v>
      </c>
      <c r="BQ339" s="197">
        <v>0</v>
      </c>
      <c r="BR339" s="198">
        <v>0</v>
      </c>
      <c r="BS339" s="249">
        <v>0</v>
      </c>
      <c r="BT339" s="197"/>
      <c r="BU339" s="249"/>
      <c r="BV339" s="197"/>
      <c r="BW339" s="198"/>
      <c r="BX339" s="249"/>
      <c r="BY339" s="28"/>
    </row>
    <row r="340" spans="3:77" ht="15" thickBot="1" x14ac:dyDescent="0.35">
      <c r="I340" t="s">
        <v>434</v>
      </c>
      <c r="M340" s="5" t="s">
        <v>16</v>
      </c>
      <c r="Q340" s="28"/>
      <c r="R340" s="33"/>
      <c r="S340" s="33"/>
      <c r="T340" s="35"/>
      <c r="U340" s="34"/>
      <c r="V340" s="34"/>
      <c r="W340" s="34"/>
      <c r="X340" s="33"/>
      <c r="Y340" s="35"/>
      <c r="Z340" s="53" t="s">
        <v>82</v>
      </c>
      <c r="AA340" s="34"/>
      <c r="AB340" s="35"/>
      <c r="AE340" s="135" t="s">
        <v>994</v>
      </c>
      <c r="AF340">
        <v>2016</v>
      </c>
      <c r="AG340">
        <v>6</v>
      </c>
      <c r="AH340" s="138" t="s">
        <v>475</v>
      </c>
      <c r="AI340" s="138">
        <v>12</v>
      </c>
      <c r="AJ340" s="141">
        <v>13</v>
      </c>
      <c r="AK340" s="28"/>
      <c r="AL340" s="28"/>
      <c r="AM340" s="28"/>
      <c r="AN340" s="138"/>
      <c r="AO340" s="141"/>
      <c r="AP340" s="28">
        <v>11</v>
      </c>
      <c r="AQ340" s="28" t="s">
        <v>100</v>
      </c>
      <c r="AR340" s="141"/>
      <c r="AS340" s="28"/>
      <c r="AT340" s="28"/>
      <c r="AU340" s="28"/>
      <c r="AX340" s="42" t="s">
        <v>233</v>
      </c>
      <c r="AY340" s="28"/>
      <c r="AZ340" s="28" t="e">
        <f>SUM(#REF!)</f>
        <v>#REF!</v>
      </c>
      <c r="BA340" s="218" t="s">
        <v>233</v>
      </c>
      <c r="BB340" s="28"/>
      <c r="BC340" s="28">
        <f>SUM(S323)</f>
        <v>0</v>
      </c>
      <c r="BD340" s="28" t="s">
        <v>233</v>
      </c>
      <c r="BE340" s="28"/>
      <c r="BF340" s="28">
        <f>2169+1923</f>
        <v>4092</v>
      </c>
      <c r="BG340" s="28" t="s">
        <v>245</v>
      </c>
      <c r="BH340" s="28" t="e">
        <f>SUM(AZ340+BF340)</f>
        <v>#REF!</v>
      </c>
      <c r="BI340" s="40"/>
      <c r="BN340" s="195" t="s">
        <v>56</v>
      </c>
      <c r="BO340" s="134"/>
      <c r="BP340" s="136"/>
      <c r="BQ340" s="134"/>
      <c r="BR340" s="135"/>
      <c r="BS340" s="136"/>
      <c r="BT340" s="134"/>
      <c r="BU340" s="136"/>
      <c r="BV340" s="134" t="s">
        <v>1025</v>
      </c>
      <c r="BW340" s="135"/>
      <c r="BX340" s="136"/>
      <c r="BY340" s="28"/>
    </row>
    <row r="341" spans="3:77" ht="15" thickBot="1" x14ac:dyDescent="0.35">
      <c r="D341" s="6" t="s">
        <v>17</v>
      </c>
      <c r="E341" s="6" t="s">
        <v>27</v>
      </c>
      <c r="F341" s="7"/>
      <c r="G341" s="8" t="s">
        <v>28</v>
      </c>
      <c r="H341" s="8"/>
      <c r="I341" s="8"/>
      <c r="J341" s="6" t="s">
        <v>29</v>
      </c>
      <c r="K341" s="7" t="s">
        <v>30</v>
      </c>
      <c r="L341" s="8" t="s">
        <v>31</v>
      </c>
      <c r="M341" s="8"/>
      <c r="N341" s="7"/>
      <c r="Q341" s="28"/>
      <c r="R341" s="47" t="s">
        <v>85</v>
      </c>
      <c r="S341" s="47"/>
      <c r="T341" s="49"/>
      <c r="U341" s="48"/>
      <c r="V341" s="48">
        <v>0</v>
      </c>
      <c r="W341" s="48">
        <v>0</v>
      </c>
      <c r="X341" s="47">
        <v>0</v>
      </c>
      <c r="Y341" s="49">
        <v>0</v>
      </c>
      <c r="Z341" s="51"/>
      <c r="AA341" s="48" t="s">
        <v>86</v>
      </c>
      <c r="AB341" s="49">
        <f>SUM(Z341)</f>
        <v>0</v>
      </c>
      <c r="AE341" s="135" t="s">
        <v>994</v>
      </c>
      <c r="AF341">
        <v>2016</v>
      </c>
      <c r="AG341">
        <v>6</v>
      </c>
      <c r="AH341" s="142" t="s">
        <v>84</v>
      </c>
      <c r="AI341" s="142">
        <f>SUM(AI339:AI340)</f>
        <v>392</v>
      </c>
      <c r="AJ341" s="146">
        <f>SUM(AJ339:AJ340)</f>
        <v>407</v>
      </c>
      <c r="AK341" s="143">
        <v>0</v>
      </c>
      <c r="AL341" s="143">
        <v>0</v>
      </c>
      <c r="AM341" s="143">
        <v>0</v>
      </c>
      <c r="AN341" s="142">
        <v>0</v>
      </c>
      <c r="AO341" s="146">
        <v>0</v>
      </c>
      <c r="AP341" s="43">
        <v>35</v>
      </c>
      <c r="AQ341" s="43" t="s">
        <v>73</v>
      </c>
      <c r="AR341" s="146">
        <f>SUM(AP341)</f>
        <v>35</v>
      </c>
      <c r="AS341" s="28"/>
      <c r="AT341" s="28"/>
      <c r="AU341" s="28"/>
      <c r="AV341" t="s">
        <v>6</v>
      </c>
      <c r="AX341" s="47" t="s">
        <v>236</v>
      </c>
      <c r="AY341" s="48"/>
      <c r="AZ341" s="48" t="e">
        <f>SUM(#REF!)</f>
        <v>#REF!</v>
      </c>
      <c r="BA341" s="320" t="s">
        <v>236</v>
      </c>
      <c r="BB341" s="48"/>
      <c r="BC341" s="48" t="e">
        <f>SUM(T323)</f>
        <v>#REF!</v>
      </c>
      <c r="BD341" s="48" t="s">
        <v>236</v>
      </c>
      <c r="BE341" s="48"/>
      <c r="BF341" s="48">
        <f>2100+2314</f>
        <v>4414</v>
      </c>
      <c r="BG341" s="48"/>
      <c r="BH341" s="48" t="e">
        <f>SUM(AZ341+BF341)</f>
        <v>#REF!</v>
      </c>
      <c r="BI341" s="49" t="e">
        <f>SUM(BH340:BH341)</f>
        <v>#REF!</v>
      </c>
      <c r="BN341" s="196" t="s">
        <v>64</v>
      </c>
      <c r="BO341" s="138">
        <v>62</v>
      </c>
      <c r="BP341" s="141">
        <v>64</v>
      </c>
      <c r="BQ341" s="138">
        <v>0</v>
      </c>
      <c r="BR341" s="43">
        <v>0</v>
      </c>
      <c r="BS341" s="209">
        <v>0</v>
      </c>
      <c r="BT341" s="138"/>
      <c r="BU341" s="141"/>
      <c r="BV341" s="138" t="s">
        <v>1407</v>
      </c>
      <c r="BW341" s="28"/>
      <c r="BX341" s="141"/>
      <c r="BY341" s="28"/>
    </row>
    <row r="342" spans="3:77" x14ac:dyDescent="0.3">
      <c r="D342" s="10"/>
      <c r="E342" s="10"/>
      <c r="F342" s="11"/>
      <c r="G342" s="3"/>
      <c r="H342" s="3"/>
      <c r="I342" s="3"/>
      <c r="J342" s="10"/>
      <c r="K342" s="11" t="s">
        <v>6</v>
      </c>
      <c r="L342" s="3" t="s">
        <v>41</v>
      </c>
      <c r="M342" s="3"/>
      <c r="N342" s="11"/>
      <c r="Q342" s="28"/>
      <c r="R342" s="50" t="s">
        <v>107</v>
      </c>
      <c r="S342" s="31">
        <v>0</v>
      </c>
      <c r="T342" s="31">
        <v>0</v>
      </c>
      <c r="U342" s="29"/>
      <c r="V342" s="31"/>
      <c r="W342" s="30"/>
      <c r="X342" s="55">
        <v>0</v>
      </c>
      <c r="Y342" s="8">
        <v>0</v>
      </c>
      <c r="Z342" s="29"/>
      <c r="AA342" s="34" t="s">
        <v>92</v>
      </c>
      <c r="AB342" s="35"/>
      <c r="AH342" s="196" t="s">
        <v>608</v>
      </c>
      <c r="AI342" s="138">
        <v>7</v>
      </c>
      <c r="AJ342" s="141">
        <v>5</v>
      </c>
      <c r="AK342" s="134"/>
      <c r="AL342" s="135"/>
      <c r="AM342" s="136"/>
      <c r="AN342" s="138"/>
      <c r="AO342" s="141"/>
      <c r="AP342" s="134" t="s">
        <v>140</v>
      </c>
      <c r="AQ342" s="135"/>
      <c r="AR342" s="136"/>
      <c r="AS342" s="28"/>
      <c r="AT342" s="28"/>
      <c r="AU342" s="28"/>
      <c r="BN342" s="239" t="s">
        <v>84</v>
      </c>
      <c r="BO342" s="142">
        <v>62</v>
      </c>
      <c r="BP342" s="146">
        <v>64</v>
      </c>
      <c r="BQ342" s="142"/>
      <c r="BR342" s="143"/>
      <c r="BS342" s="146"/>
      <c r="BT342" s="142"/>
      <c r="BU342" s="146"/>
      <c r="BV342" s="142" t="s">
        <v>1408</v>
      </c>
      <c r="BW342" s="143"/>
      <c r="BX342" s="146">
        <v>8</v>
      </c>
      <c r="BY342" s="28"/>
    </row>
    <row r="343" spans="3:77" ht="15" thickBot="1" x14ac:dyDescent="0.35">
      <c r="D343" s="13" t="s">
        <v>42</v>
      </c>
      <c r="E343" s="13" t="s">
        <v>43</v>
      </c>
      <c r="F343" s="26" t="s">
        <v>44</v>
      </c>
      <c r="G343" s="27" t="s">
        <v>45</v>
      </c>
      <c r="H343" s="27" t="s">
        <v>46</v>
      </c>
      <c r="I343" s="27" t="s">
        <v>52</v>
      </c>
      <c r="J343" s="13" t="s">
        <v>43</v>
      </c>
      <c r="K343" s="26" t="s">
        <v>44</v>
      </c>
      <c r="L343" s="27" t="s">
        <v>54</v>
      </c>
      <c r="M343" s="27"/>
      <c r="N343" s="26"/>
      <c r="Q343" s="28"/>
      <c r="R343" s="41" t="s">
        <v>99</v>
      </c>
      <c r="S343" s="45">
        <v>0</v>
      </c>
      <c r="T343" s="45">
        <v>0</v>
      </c>
      <c r="U343" s="42">
        <v>0</v>
      </c>
      <c r="V343" s="45">
        <v>0</v>
      </c>
      <c r="W343" s="40">
        <v>0</v>
      </c>
      <c r="X343" s="45">
        <v>37622</v>
      </c>
      <c r="Y343" s="56">
        <v>9541</v>
      </c>
      <c r="Z343" s="52">
        <v>24</v>
      </c>
      <c r="AA343" s="37" t="s">
        <v>100</v>
      </c>
      <c r="AB343" s="40"/>
      <c r="AH343" s="196" t="s">
        <v>158</v>
      </c>
      <c r="AI343" s="138">
        <v>5</v>
      </c>
      <c r="AJ343" s="141">
        <v>0</v>
      </c>
      <c r="AK343" s="138"/>
      <c r="AL343" s="28"/>
      <c r="AM343" s="141"/>
      <c r="AN343" s="138"/>
      <c r="AO343" s="141"/>
      <c r="AP343" s="138"/>
      <c r="AQ343" s="28"/>
      <c r="AR343" s="141"/>
      <c r="AS343" s="28"/>
      <c r="AT343" s="28"/>
      <c r="AU343" s="28"/>
      <c r="BN343" s="138"/>
      <c r="BO343" s="134"/>
      <c r="BP343" s="136"/>
      <c r="BQ343" s="134"/>
      <c r="BR343" s="135"/>
      <c r="BS343" s="136"/>
      <c r="BT343" s="138"/>
      <c r="BU343" s="141"/>
      <c r="BV343" s="28" t="s">
        <v>994</v>
      </c>
      <c r="BW343" s="28"/>
      <c r="BX343" s="141"/>
      <c r="BY343" s="28"/>
    </row>
    <row r="344" spans="3:77" ht="15" thickBot="1" x14ac:dyDescent="0.35">
      <c r="D344" s="32" t="s">
        <v>85</v>
      </c>
      <c r="E344">
        <v>0</v>
      </c>
      <c r="F344">
        <v>0</v>
      </c>
      <c r="G344" s="33"/>
      <c r="H344" s="34"/>
      <c r="I344" s="34"/>
      <c r="J344" s="33"/>
      <c r="K344" s="35"/>
      <c r="L344" s="34" t="s">
        <v>58</v>
      </c>
      <c r="M344" s="8"/>
      <c r="N344" s="7"/>
      <c r="Q344" s="28"/>
      <c r="R344" s="17" t="s">
        <v>84</v>
      </c>
      <c r="S344" s="18">
        <f>SUM(S342:S343)</f>
        <v>0</v>
      </c>
      <c r="T344" s="18">
        <f>SUM(T342:T343)</f>
        <v>0</v>
      </c>
      <c r="U344" s="13"/>
      <c r="V344" s="27"/>
      <c r="W344" s="26"/>
      <c r="X344" s="58">
        <f>+X343+X342</f>
        <v>37622</v>
      </c>
      <c r="Y344" s="27">
        <f>+Y343+Y342</f>
        <v>9541</v>
      </c>
      <c r="Z344" s="59"/>
      <c r="AA344" s="48" t="s">
        <v>506</v>
      </c>
      <c r="AB344" s="60">
        <f>SUM(Z343:Z344)</f>
        <v>24</v>
      </c>
      <c r="AH344" s="196" t="s">
        <v>174</v>
      </c>
      <c r="AI344" s="138">
        <v>5</v>
      </c>
      <c r="AJ344" s="141">
        <v>5</v>
      </c>
      <c r="AK344" s="138"/>
      <c r="AL344" s="28"/>
      <c r="AM344" s="141"/>
      <c r="AN344" s="138"/>
      <c r="AO344" s="141"/>
      <c r="AP344" s="138"/>
      <c r="AQ344" s="28"/>
      <c r="AR344" s="141"/>
      <c r="AS344" s="28"/>
      <c r="AT344" s="28"/>
      <c r="AU344" s="28"/>
      <c r="BK344" s="28" t="s">
        <v>994</v>
      </c>
      <c r="BL344">
        <v>2018</v>
      </c>
      <c r="BM344">
        <v>5</v>
      </c>
      <c r="BN344" s="138" t="s">
        <v>113</v>
      </c>
      <c r="BO344" s="138">
        <v>569</v>
      </c>
      <c r="BP344" s="141">
        <v>539</v>
      </c>
      <c r="BQ344" s="138">
        <v>0</v>
      </c>
      <c r="BR344" s="43">
        <v>0</v>
      </c>
      <c r="BS344" s="209">
        <v>0</v>
      </c>
      <c r="BT344" s="138"/>
      <c r="BU344" s="141"/>
      <c r="BV344" s="43">
        <v>26</v>
      </c>
      <c r="BW344" s="28" t="s">
        <v>1297</v>
      </c>
      <c r="BX344" s="141"/>
      <c r="BY344" s="28"/>
    </row>
    <row r="345" spans="3:77" ht="15" thickBot="1" x14ac:dyDescent="0.35">
      <c r="D345" s="44" t="s">
        <v>64</v>
      </c>
      <c r="E345" s="18">
        <v>99</v>
      </c>
      <c r="F345" s="18">
        <v>89</v>
      </c>
      <c r="G345" s="10">
        <v>0</v>
      </c>
      <c r="H345" s="18">
        <v>0</v>
      </c>
      <c r="I345" s="18">
        <v>0</v>
      </c>
      <c r="J345" s="10">
        <v>0</v>
      </c>
      <c r="K345" s="11">
        <v>0</v>
      </c>
      <c r="L345" s="45"/>
      <c r="M345" s="28" t="s">
        <v>249</v>
      </c>
      <c r="N345" s="11" t="s">
        <v>435</v>
      </c>
      <c r="Q345" s="28"/>
      <c r="R345" s="32"/>
      <c r="S345" s="63">
        <v>0</v>
      </c>
      <c r="T345" s="64">
        <v>0</v>
      </c>
      <c r="U345" s="33"/>
      <c r="V345" s="8"/>
      <c r="W345" s="35"/>
      <c r="X345" s="65"/>
      <c r="Y345" s="66"/>
      <c r="Z345" s="29"/>
      <c r="AA345" s="31"/>
      <c r="AB345" s="35"/>
      <c r="AH345" s="196" t="s">
        <v>113</v>
      </c>
      <c r="AI345" s="138">
        <f>3+6</f>
        <v>9</v>
      </c>
      <c r="AJ345" s="141">
        <v>5</v>
      </c>
      <c r="AK345" s="138"/>
      <c r="AL345" s="28"/>
      <c r="AM345" s="141"/>
      <c r="AN345" s="138"/>
      <c r="AO345" s="141"/>
      <c r="AP345" s="138" t="s">
        <v>142</v>
      </c>
      <c r="AQ345" s="28"/>
      <c r="AR345" s="141" t="s">
        <v>954</v>
      </c>
      <c r="AS345" s="28"/>
      <c r="AT345" s="28"/>
      <c r="AU345" s="28"/>
      <c r="BB345" t="s">
        <v>5</v>
      </c>
      <c r="BN345" s="142" t="s">
        <v>84</v>
      </c>
      <c r="BO345" s="142">
        <v>569</v>
      </c>
      <c r="BP345" s="146">
        <v>539</v>
      </c>
      <c r="BQ345" s="138">
        <v>0</v>
      </c>
      <c r="BR345" s="43">
        <v>0</v>
      </c>
      <c r="BS345" s="209">
        <v>0</v>
      </c>
      <c r="BT345" s="142"/>
      <c r="BU345" s="146"/>
      <c r="BV345" s="43">
        <v>23</v>
      </c>
      <c r="BW345" s="43" t="s">
        <v>1292</v>
      </c>
      <c r="BX345" s="146">
        <v>49</v>
      </c>
      <c r="BY345" s="28"/>
    </row>
    <row r="346" spans="3:77" ht="15" thickBot="1" x14ac:dyDescent="0.35">
      <c r="C346" s="28"/>
      <c r="D346" s="46" t="s">
        <v>84</v>
      </c>
      <c r="E346">
        <f>SUM(E344:E345)</f>
        <v>99</v>
      </c>
      <c r="F346">
        <f>SUM(F344:F345)</f>
        <v>89</v>
      </c>
      <c r="G346" s="47"/>
      <c r="H346" s="48"/>
      <c r="I346" s="48"/>
      <c r="J346" s="47"/>
      <c r="K346" s="49"/>
      <c r="L346" s="48">
        <v>10</v>
      </c>
      <c r="M346" s="48" t="s">
        <v>69</v>
      </c>
      <c r="N346" s="49">
        <f>SUM(L345:L346)</f>
        <v>10</v>
      </c>
      <c r="Q346" s="28"/>
      <c r="R346" s="41"/>
      <c r="S346" s="70">
        <v>0</v>
      </c>
      <c r="T346" s="71">
        <v>0</v>
      </c>
      <c r="U346" s="42"/>
      <c r="V346" s="28"/>
      <c r="W346" s="40"/>
      <c r="X346" s="42"/>
      <c r="Y346" s="40"/>
      <c r="Z346" s="42"/>
      <c r="AA346" s="54"/>
      <c r="AB346" s="40"/>
      <c r="AH346" s="196" t="s">
        <v>108</v>
      </c>
      <c r="AI346" s="138">
        <v>0</v>
      </c>
      <c r="AJ346" s="141">
        <v>5</v>
      </c>
      <c r="AK346" s="138"/>
      <c r="AL346" s="28"/>
      <c r="AM346" s="141"/>
      <c r="AN346" s="138"/>
      <c r="AO346" s="141"/>
      <c r="AP346" s="138" t="s">
        <v>146</v>
      </c>
      <c r="AQ346" s="28"/>
      <c r="AR346" s="141" t="s">
        <v>1051</v>
      </c>
      <c r="AS346" s="28"/>
      <c r="AT346" s="28"/>
      <c r="AU346" s="28"/>
      <c r="BC346" t="s">
        <v>2</v>
      </c>
      <c r="BN346" s="195" t="s">
        <v>596</v>
      </c>
      <c r="BO346" s="134">
        <v>8</v>
      </c>
      <c r="BP346" s="135">
        <v>0</v>
      </c>
      <c r="BQ346" s="32" t="s">
        <v>1472</v>
      </c>
      <c r="BR346" s="284" t="s">
        <v>1357</v>
      </c>
      <c r="BS346" s="285"/>
      <c r="BT346" s="135"/>
      <c r="BU346" s="136"/>
      <c r="BV346" s="134" t="s">
        <v>140</v>
      </c>
      <c r="BW346" s="135"/>
      <c r="BX346" s="136"/>
      <c r="BY346" s="28"/>
    </row>
    <row r="347" spans="3:77" ht="15" thickBot="1" x14ac:dyDescent="0.35">
      <c r="C347" s="28"/>
      <c r="D347" s="33"/>
      <c r="E347" s="33"/>
      <c r="F347" s="35"/>
      <c r="G347" s="34"/>
      <c r="H347" s="34"/>
      <c r="I347" s="34"/>
      <c r="J347" s="33"/>
      <c r="K347" s="35"/>
      <c r="L347" s="8" t="s">
        <v>6</v>
      </c>
      <c r="M347" s="34"/>
      <c r="N347" s="35"/>
      <c r="Q347" s="28" t="s">
        <v>6</v>
      </c>
      <c r="R347" s="68"/>
      <c r="S347">
        <f>SUM(S345:S346)</f>
        <v>0</v>
      </c>
      <c r="T347">
        <f>SUM(T345:T346)</f>
        <v>0</v>
      </c>
      <c r="U347" s="47">
        <v>0</v>
      </c>
      <c r="V347" s="27">
        <v>0</v>
      </c>
      <c r="W347" s="49">
        <v>0</v>
      </c>
      <c r="X347" s="75">
        <v>0</v>
      </c>
      <c r="Y347" s="49">
        <v>0</v>
      </c>
      <c r="Z347" s="47"/>
      <c r="AA347" s="51"/>
      <c r="AB347" s="49">
        <f>SUM(Z346:Z347)</f>
        <v>0</v>
      </c>
      <c r="AG347" t="s">
        <v>6</v>
      </c>
      <c r="AH347" s="196" t="s">
        <v>1052</v>
      </c>
      <c r="AI347" s="138">
        <v>0</v>
      </c>
      <c r="AJ347" s="141">
        <v>10</v>
      </c>
      <c r="AK347" s="138"/>
      <c r="AL347" s="28"/>
      <c r="AM347" s="141"/>
      <c r="AN347" s="138"/>
      <c r="AO347" s="141"/>
      <c r="AP347" s="138"/>
      <c r="AQ347" s="28"/>
      <c r="AR347" s="141"/>
      <c r="AS347" s="28"/>
      <c r="AT347" s="28"/>
      <c r="AU347" s="28"/>
      <c r="BA347" t="s">
        <v>13</v>
      </c>
      <c r="BN347" s="196" t="s">
        <v>169</v>
      </c>
      <c r="BO347" s="138">
        <v>0</v>
      </c>
      <c r="BP347" s="43">
        <v>2</v>
      </c>
      <c r="BQ347" s="46" t="s">
        <v>42</v>
      </c>
      <c r="BR347" s="72" t="s">
        <v>43</v>
      </c>
      <c r="BS347" s="49" t="s">
        <v>44</v>
      </c>
      <c r="BT347" s="43"/>
      <c r="BU347" s="141"/>
      <c r="BV347" s="138"/>
      <c r="BW347" s="28"/>
      <c r="BX347" s="141"/>
      <c r="BY347" s="28"/>
    </row>
    <row r="348" spans="3:77" ht="15" thickBot="1" x14ac:dyDescent="0.35">
      <c r="C348" s="28"/>
      <c r="D348" s="47" t="s">
        <v>6</v>
      </c>
      <c r="E348" s="47"/>
      <c r="F348" s="49"/>
      <c r="G348" s="48">
        <v>0</v>
      </c>
      <c r="H348" s="48">
        <v>0</v>
      </c>
      <c r="I348" s="48">
        <v>0</v>
      </c>
      <c r="J348" s="47">
        <v>0</v>
      </c>
      <c r="K348" s="49">
        <v>0</v>
      </c>
      <c r="L348" s="51"/>
      <c r="M348" s="48" t="s">
        <v>6</v>
      </c>
      <c r="N348" s="49">
        <f>SUM(L348)</f>
        <v>0</v>
      </c>
      <c r="O348" s="34" t="s">
        <v>91</v>
      </c>
      <c r="P348">
        <v>2015</v>
      </c>
      <c r="Q348" s="28">
        <v>6</v>
      </c>
      <c r="R348" s="33" t="s">
        <v>89</v>
      </c>
      <c r="S348" s="78">
        <v>307</v>
      </c>
      <c r="T348" s="79">
        <v>296</v>
      </c>
      <c r="U348" s="34"/>
      <c r="V348" s="8"/>
      <c r="W348" s="35"/>
      <c r="X348" s="80"/>
      <c r="Y348" s="34"/>
      <c r="Z348" s="33"/>
      <c r="AA348" s="34" t="s">
        <v>91</v>
      </c>
      <c r="AB348" s="35"/>
      <c r="AH348" s="196" t="s">
        <v>99</v>
      </c>
      <c r="AI348" s="138">
        <v>1</v>
      </c>
      <c r="AJ348" s="141">
        <v>3</v>
      </c>
      <c r="AK348" s="138" t="s">
        <v>150</v>
      </c>
      <c r="AL348" s="28"/>
      <c r="AM348" s="141"/>
      <c r="AN348" s="138"/>
      <c r="AO348" s="141"/>
      <c r="AP348" s="138" t="s">
        <v>151</v>
      </c>
      <c r="AQ348" s="28"/>
      <c r="AR348" s="141"/>
      <c r="AS348" s="28"/>
      <c r="AT348" s="28"/>
      <c r="AU348" s="28"/>
      <c r="BC348" t="s">
        <v>1615</v>
      </c>
      <c r="BG348" s="194" t="s">
        <v>950</v>
      </c>
      <c r="BN348" s="196" t="s">
        <v>164</v>
      </c>
      <c r="BO348" s="138">
        <v>0</v>
      </c>
      <c r="BP348" s="43">
        <v>2</v>
      </c>
      <c r="BQ348" s="28"/>
      <c r="BR348" s="43"/>
      <c r="BS348" s="28"/>
      <c r="BT348" s="43"/>
      <c r="BU348" s="141"/>
      <c r="BV348" s="138"/>
      <c r="BW348" s="28"/>
      <c r="BX348" s="141"/>
      <c r="BY348" s="28"/>
    </row>
    <row r="349" spans="3:77" ht="15" thickBot="1" x14ac:dyDescent="0.35">
      <c r="C349" s="28"/>
      <c r="D349" s="33"/>
      <c r="E349" s="33"/>
      <c r="F349" s="35"/>
      <c r="G349" s="34"/>
      <c r="H349" s="34"/>
      <c r="I349" s="34"/>
      <c r="J349" s="33"/>
      <c r="K349" s="35"/>
      <c r="L349" s="53" t="s">
        <v>82</v>
      </c>
      <c r="M349" s="34"/>
      <c r="N349" s="35"/>
      <c r="O349" s="34" t="s">
        <v>91</v>
      </c>
      <c r="P349">
        <v>2015</v>
      </c>
      <c r="Q349" s="28">
        <v>6</v>
      </c>
      <c r="R349" s="52" t="s">
        <v>85</v>
      </c>
      <c r="S349" s="42">
        <v>0</v>
      </c>
      <c r="T349" s="40">
        <v>0</v>
      </c>
      <c r="U349" s="28"/>
      <c r="V349" s="28"/>
      <c r="W349" s="40"/>
      <c r="Z349" s="42"/>
      <c r="AA349" s="43"/>
      <c r="AB349" s="40"/>
      <c r="AH349" s="196" t="s">
        <v>85</v>
      </c>
      <c r="AI349" s="138">
        <v>2</v>
      </c>
      <c r="AJ349" s="141">
        <v>8</v>
      </c>
      <c r="AK349" s="138"/>
      <c r="AL349" s="28"/>
      <c r="AM349" s="141"/>
      <c r="AN349" s="138"/>
      <c r="AO349" s="141"/>
      <c r="AP349" s="138" t="s">
        <v>1053</v>
      </c>
      <c r="AQ349" s="28" t="s">
        <v>318</v>
      </c>
      <c r="AR349" s="141" t="s">
        <v>1054</v>
      </c>
      <c r="AS349" s="28"/>
      <c r="AT349" s="28"/>
      <c r="AU349" s="28"/>
      <c r="AX349" s="195" t="s">
        <v>17</v>
      </c>
      <c r="AY349" s="134" t="s">
        <v>27</v>
      </c>
      <c r="AZ349" s="136"/>
      <c r="BA349" s="135" t="s">
        <v>28</v>
      </c>
      <c r="BB349" s="135"/>
      <c r="BC349" s="135"/>
      <c r="BD349" s="135" t="s">
        <v>29</v>
      </c>
      <c r="BE349" s="135" t="s">
        <v>30</v>
      </c>
      <c r="BF349" s="135" t="s">
        <v>31</v>
      </c>
      <c r="BG349" s="135"/>
      <c r="BH349" s="136"/>
      <c r="BN349" s="196" t="s">
        <v>523</v>
      </c>
      <c r="BO349" s="138">
        <v>0</v>
      </c>
      <c r="BP349" s="141">
        <v>5</v>
      </c>
      <c r="BQ349" s="268" t="s">
        <v>1473</v>
      </c>
      <c r="BR349" s="43"/>
      <c r="BS349" s="141"/>
      <c r="BT349" s="43"/>
      <c r="BU349" s="141"/>
      <c r="BV349" s="138" t="s">
        <v>142</v>
      </c>
      <c r="BW349" s="43"/>
      <c r="BX349" s="141" t="s">
        <v>1890</v>
      </c>
      <c r="BY349" s="28"/>
    </row>
    <row r="350" spans="3:77" ht="15" thickBot="1" x14ac:dyDescent="0.35">
      <c r="C350" s="28"/>
      <c r="D350" s="47" t="s">
        <v>85</v>
      </c>
      <c r="E350" s="47">
        <v>2</v>
      </c>
      <c r="F350" s="49">
        <v>1</v>
      </c>
      <c r="G350" s="48"/>
      <c r="H350" s="48">
        <v>0</v>
      </c>
      <c r="I350" s="48">
        <v>0</v>
      </c>
      <c r="J350" s="47">
        <v>0</v>
      </c>
      <c r="K350" s="49">
        <v>0</v>
      </c>
      <c r="L350" s="51">
        <v>2</v>
      </c>
      <c r="M350" s="48" t="s">
        <v>86</v>
      </c>
      <c r="N350" s="49">
        <f>SUM(L350)</f>
        <v>2</v>
      </c>
      <c r="O350" s="34" t="s">
        <v>91</v>
      </c>
      <c r="P350">
        <v>2015</v>
      </c>
      <c r="Q350" s="28">
        <v>6</v>
      </c>
      <c r="R350" s="67" t="s">
        <v>113</v>
      </c>
      <c r="S350" s="42">
        <v>576</v>
      </c>
      <c r="T350" s="40">
        <v>575</v>
      </c>
      <c r="U350" s="28"/>
      <c r="V350" s="28"/>
      <c r="W350" s="40"/>
      <c r="X350" s="28"/>
      <c r="Y350" s="28"/>
      <c r="Z350" s="67">
        <v>67</v>
      </c>
      <c r="AA350" s="43" t="s">
        <v>73</v>
      </c>
      <c r="AB350" s="40"/>
      <c r="AH350" s="196" t="s">
        <v>358</v>
      </c>
      <c r="AI350" s="138">
        <v>9</v>
      </c>
      <c r="AJ350" s="141">
        <v>9</v>
      </c>
      <c r="AK350" s="138"/>
      <c r="AL350" s="28"/>
      <c r="AM350" s="141"/>
      <c r="AN350" s="138"/>
      <c r="AO350" s="141"/>
      <c r="AP350" s="138" t="s">
        <v>720</v>
      </c>
      <c r="AQ350" s="28" t="s">
        <v>179</v>
      </c>
      <c r="AR350" s="141" t="s">
        <v>1055</v>
      </c>
      <c r="AS350" s="28"/>
      <c r="AT350" s="28"/>
      <c r="AU350" s="28"/>
      <c r="AX350" s="196"/>
      <c r="AY350" s="138"/>
      <c r="AZ350" s="141"/>
      <c r="BA350" s="28"/>
      <c r="BB350" s="28"/>
      <c r="BC350" s="28"/>
      <c r="BD350" s="28"/>
      <c r="BE350" s="28" t="s">
        <v>6</v>
      </c>
      <c r="BF350" s="28" t="s">
        <v>41</v>
      </c>
      <c r="BG350" s="28"/>
      <c r="BH350" s="141"/>
      <c r="BN350" s="196" t="s">
        <v>113</v>
      </c>
      <c r="BO350" s="138">
        <v>103</v>
      </c>
      <c r="BP350" s="141">
        <v>109</v>
      </c>
      <c r="BQ350" s="268" t="s">
        <v>652</v>
      </c>
      <c r="BR350" s="255">
        <v>4</v>
      </c>
      <c r="BS350" s="141">
        <v>4</v>
      </c>
      <c r="BT350" s="43"/>
      <c r="BU350" s="141"/>
      <c r="BV350" s="138" t="s">
        <v>146</v>
      </c>
      <c r="BW350" s="28"/>
      <c r="BX350" s="256" t="s">
        <v>1476</v>
      </c>
      <c r="BY350" s="28"/>
    </row>
    <row r="351" spans="3:77" ht="15" thickBot="1" x14ac:dyDescent="0.35">
      <c r="C351" s="28"/>
      <c r="D351" s="50"/>
      <c r="E351" s="31"/>
      <c r="F351" s="31"/>
      <c r="G351" s="29"/>
      <c r="H351" s="31"/>
      <c r="I351" s="30"/>
      <c r="J351" s="55"/>
      <c r="K351" s="8"/>
      <c r="L351" s="29"/>
      <c r="M351" s="34" t="s">
        <v>92</v>
      </c>
      <c r="N351" s="35"/>
      <c r="Q351" s="28">
        <v>6</v>
      </c>
      <c r="R351" s="47" t="s">
        <v>84</v>
      </c>
      <c r="S351" s="47">
        <f>SUM(S348:S350)</f>
        <v>883</v>
      </c>
      <c r="T351" s="49">
        <f>SUM(T348:T350)</f>
        <v>871</v>
      </c>
      <c r="U351" s="81">
        <v>0</v>
      </c>
      <c r="V351" s="27">
        <v>0</v>
      </c>
      <c r="W351" s="82">
        <f>+W348</f>
        <v>0</v>
      </c>
      <c r="X351" s="74">
        <v>0</v>
      </c>
      <c r="Y351" s="74">
        <v>0</v>
      </c>
      <c r="Z351" s="47"/>
      <c r="AA351" s="51"/>
      <c r="AB351" s="49">
        <f>SUM(Z350)</f>
        <v>67</v>
      </c>
      <c r="AH351" s="196" t="s">
        <v>549</v>
      </c>
      <c r="AI351" s="138">
        <v>0</v>
      </c>
      <c r="AJ351" s="141">
        <v>5</v>
      </c>
      <c r="AK351" s="138"/>
      <c r="AL351" s="28"/>
      <c r="AM351" s="141"/>
      <c r="AN351" s="138"/>
      <c r="AO351" s="141"/>
      <c r="AP351" s="138" t="s">
        <v>651</v>
      </c>
      <c r="AQ351" s="28" t="s">
        <v>986</v>
      </c>
      <c r="AR351" s="141" t="s">
        <v>207</v>
      </c>
      <c r="AS351" s="28"/>
      <c r="AT351" s="28"/>
      <c r="AU351" s="28"/>
      <c r="AX351" s="199" t="s">
        <v>42</v>
      </c>
      <c r="AY351" s="142" t="s">
        <v>43</v>
      </c>
      <c r="AZ351" s="146" t="s">
        <v>44</v>
      </c>
      <c r="BA351" s="143" t="s">
        <v>45</v>
      </c>
      <c r="BB351" s="143" t="s">
        <v>46</v>
      </c>
      <c r="BC351" s="143" t="s">
        <v>52</v>
      </c>
      <c r="BD351" s="143" t="s">
        <v>43</v>
      </c>
      <c r="BE351" s="143" t="s">
        <v>44</v>
      </c>
      <c r="BF351" s="143" t="s">
        <v>54</v>
      </c>
      <c r="BG351" s="143"/>
      <c r="BH351" s="146"/>
      <c r="BN351" s="196" t="s">
        <v>85</v>
      </c>
      <c r="BO351" s="138">
        <v>5</v>
      </c>
      <c r="BP351" s="141">
        <v>0</v>
      </c>
      <c r="BQ351" s="268" t="s">
        <v>1247</v>
      </c>
      <c r="BR351" s="43"/>
      <c r="BS351" s="141"/>
      <c r="BT351" s="43"/>
      <c r="BU351" s="141"/>
      <c r="BV351" s="212" t="s">
        <v>1892</v>
      </c>
      <c r="BW351" s="43" t="s">
        <v>1893</v>
      </c>
      <c r="BX351" s="209" t="s">
        <v>1894</v>
      </c>
      <c r="BY351" s="28"/>
    </row>
    <row r="352" spans="3:77" x14ac:dyDescent="0.3">
      <c r="C352" s="28"/>
      <c r="D352" s="41" t="s">
        <v>99</v>
      </c>
      <c r="E352" s="45">
        <v>0</v>
      </c>
      <c r="F352" s="45">
        <v>0</v>
      </c>
      <c r="G352" s="42">
        <v>0</v>
      </c>
      <c r="H352" s="45">
        <v>0</v>
      </c>
      <c r="I352" s="40">
        <v>0</v>
      </c>
      <c r="J352" s="45">
        <v>48658</v>
      </c>
      <c r="K352" s="56">
        <v>12652</v>
      </c>
      <c r="L352" s="52">
        <v>29</v>
      </c>
      <c r="M352" s="37" t="s">
        <v>100</v>
      </c>
      <c r="N352" s="40"/>
      <c r="O352" s="34" t="s">
        <v>130</v>
      </c>
      <c r="P352">
        <v>2015</v>
      </c>
      <c r="Q352" s="28">
        <v>6</v>
      </c>
      <c r="R352" s="52" t="s">
        <v>113</v>
      </c>
      <c r="S352" s="42">
        <v>712</v>
      </c>
      <c r="T352" s="85">
        <v>646</v>
      </c>
      <c r="U352" s="37"/>
      <c r="V352" s="18"/>
      <c r="W352" s="54"/>
      <c r="X352" s="52"/>
      <c r="Y352" s="40"/>
      <c r="Z352" s="67"/>
      <c r="AA352" s="34" t="s">
        <v>130</v>
      </c>
      <c r="AB352" s="40"/>
      <c r="AH352" s="196" t="s">
        <v>169</v>
      </c>
      <c r="AI352" s="138">
        <v>5</v>
      </c>
      <c r="AJ352" s="141">
        <v>5</v>
      </c>
      <c r="AK352" s="138"/>
      <c r="AL352" s="28"/>
      <c r="AM352" s="141"/>
      <c r="AN352" s="138"/>
      <c r="AO352" s="141"/>
      <c r="AP352" s="138" t="s">
        <v>1056</v>
      </c>
      <c r="AQ352" s="43" t="s">
        <v>894</v>
      </c>
      <c r="AR352" s="141" t="s">
        <v>1057</v>
      </c>
      <c r="AS352" s="28"/>
      <c r="AT352" s="28"/>
      <c r="AU352" s="28"/>
      <c r="AX352" s="195" t="s">
        <v>64</v>
      </c>
      <c r="AY352" s="135">
        <v>114</v>
      </c>
      <c r="AZ352" s="135">
        <v>128</v>
      </c>
      <c r="BA352" s="134"/>
      <c r="BB352" s="135"/>
      <c r="BC352" s="135"/>
      <c r="BD352" s="134"/>
      <c r="BE352" s="136"/>
      <c r="BF352" s="135" t="s">
        <v>58</v>
      </c>
      <c r="BG352" s="135"/>
      <c r="BH352" s="136"/>
      <c r="BN352" s="196" t="s">
        <v>1670</v>
      </c>
      <c r="BO352" s="138">
        <v>4</v>
      </c>
      <c r="BP352" s="141">
        <v>0</v>
      </c>
      <c r="BQ352" s="268" t="s">
        <v>158</v>
      </c>
      <c r="BR352" s="43">
        <v>8</v>
      </c>
      <c r="BS352" s="141">
        <v>0</v>
      </c>
      <c r="BT352" s="43"/>
      <c r="BU352" s="141"/>
      <c r="BV352" s="212" t="s">
        <v>757</v>
      </c>
      <c r="BW352" s="43" t="s">
        <v>1897</v>
      </c>
      <c r="BX352" s="209" t="s">
        <v>1898</v>
      </c>
      <c r="BY352" s="28"/>
    </row>
    <row r="353" spans="1:77" ht="15" thickBot="1" x14ac:dyDescent="0.35">
      <c r="C353" s="28"/>
      <c r="D353" s="17" t="s">
        <v>84</v>
      </c>
      <c r="E353" s="18">
        <f>SUM(E351:E352)</f>
        <v>0</v>
      </c>
      <c r="F353" s="18">
        <f>SUM(F351:F352)</f>
        <v>0</v>
      </c>
      <c r="G353" s="13"/>
      <c r="H353" s="27"/>
      <c r="I353" s="26"/>
      <c r="J353" s="58"/>
      <c r="K353" s="27"/>
      <c r="L353" s="59"/>
      <c r="M353" s="48"/>
      <c r="N353" s="60">
        <f>SUM(L352:L353)</f>
        <v>29</v>
      </c>
      <c r="Q353" s="28"/>
      <c r="R353" s="42" t="s">
        <v>475</v>
      </c>
      <c r="S353" s="67">
        <v>0</v>
      </c>
      <c r="T353" s="85">
        <v>19</v>
      </c>
      <c r="U353" s="28"/>
      <c r="V353" s="18"/>
      <c r="W353" s="28"/>
      <c r="X353" s="52"/>
      <c r="Y353" s="86"/>
      <c r="Z353" s="52">
        <v>52</v>
      </c>
      <c r="AA353" s="43" t="s">
        <v>73</v>
      </c>
      <c r="AB353" s="40"/>
      <c r="AC353" t="s">
        <v>6</v>
      </c>
      <c r="AH353" s="196" t="s">
        <v>403</v>
      </c>
      <c r="AI353" s="138">
        <v>2</v>
      </c>
      <c r="AJ353" s="141">
        <v>0</v>
      </c>
      <c r="AK353" s="138"/>
      <c r="AL353" s="28"/>
      <c r="AM353" s="141"/>
      <c r="AN353" s="138"/>
      <c r="AO353" s="141"/>
      <c r="AP353" s="138" t="s">
        <v>693</v>
      </c>
      <c r="AQ353" s="43" t="s">
        <v>1058</v>
      </c>
      <c r="AR353" s="141" t="s">
        <v>1059</v>
      </c>
      <c r="AS353" s="28"/>
      <c r="AT353" s="28"/>
      <c r="AU353" s="28"/>
      <c r="AX353" s="196" t="s">
        <v>108</v>
      </c>
      <c r="AY353" s="28">
        <v>0</v>
      </c>
      <c r="AZ353" s="28">
        <v>0</v>
      </c>
      <c r="BA353" s="138">
        <v>0</v>
      </c>
      <c r="BB353" s="28">
        <v>0</v>
      </c>
      <c r="BC353" s="28">
        <v>0</v>
      </c>
      <c r="BD353" s="138">
        <v>0</v>
      </c>
      <c r="BE353" s="141">
        <v>0</v>
      </c>
      <c r="BF353" s="43">
        <v>17</v>
      </c>
      <c r="BG353" s="28" t="s">
        <v>474</v>
      </c>
      <c r="BH353" s="141" t="s">
        <v>6</v>
      </c>
      <c r="BN353" s="196" t="s">
        <v>99</v>
      </c>
      <c r="BO353" s="138">
        <v>3</v>
      </c>
      <c r="BP353" s="141">
        <v>15</v>
      </c>
      <c r="BQ353" s="268" t="s">
        <v>574</v>
      </c>
      <c r="BR353" s="43"/>
      <c r="BS353" s="141"/>
      <c r="BT353" s="43"/>
      <c r="BU353" s="141"/>
      <c r="BV353" s="333" t="s">
        <v>1899</v>
      </c>
      <c r="BW353" s="222" t="s">
        <v>1900</v>
      </c>
      <c r="BX353" s="209" t="s">
        <v>1901</v>
      </c>
      <c r="BY353" s="28"/>
    </row>
    <row r="354" spans="1:77" ht="15" thickBot="1" x14ac:dyDescent="0.35">
      <c r="A354" s="31" t="s">
        <v>57</v>
      </c>
      <c r="B354">
        <v>2014</v>
      </c>
      <c r="C354" s="28">
        <v>6</v>
      </c>
      <c r="D354" s="32" t="s">
        <v>6</v>
      </c>
      <c r="E354" s="63">
        <v>0</v>
      </c>
      <c r="F354" s="64">
        <v>0</v>
      </c>
      <c r="G354" s="33"/>
      <c r="H354" s="8"/>
      <c r="I354" s="35"/>
      <c r="J354" s="65"/>
      <c r="K354" s="66"/>
      <c r="L354" s="29"/>
      <c r="M354" s="31" t="s">
        <v>57</v>
      </c>
      <c r="N354" s="35"/>
      <c r="Q354" s="28"/>
      <c r="R354" s="59" t="s">
        <v>84</v>
      </c>
      <c r="S354" s="13">
        <f>SUM(S352:S353)</f>
        <v>712</v>
      </c>
      <c r="T354" s="60">
        <f>SUM(T352:T353)</f>
        <v>665</v>
      </c>
      <c r="U354" s="81">
        <v>0</v>
      </c>
      <c r="V354" s="27">
        <v>0</v>
      </c>
      <c r="W354" s="27">
        <v>0</v>
      </c>
      <c r="X354" s="13">
        <v>0</v>
      </c>
      <c r="Y354" s="26">
        <v>0</v>
      </c>
      <c r="Z354" s="13"/>
      <c r="AA354" s="43"/>
      <c r="AB354" s="26">
        <f>SUM(Z352:Z353)</f>
        <v>52</v>
      </c>
      <c r="AH354" s="196" t="s">
        <v>504</v>
      </c>
      <c r="AI354" s="138">
        <v>3</v>
      </c>
      <c r="AJ354" s="141">
        <v>0</v>
      </c>
      <c r="AK354" s="138"/>
      <c r="AL354" s="28"/>
      <c r="AM354" s="141"/>
      <c r="AN354" s="138"/>
      <c r="AO354" s="141"/>
      <c r="AP354" s="214" t="s">
        <v>1060</v>
      </c>
      <c r="AQ354" s="43" t="s">
        <v>6</v>
      </c>
      <c r="AR354" s="141" t="s">
        <v>6</v>
      </c>
      <c r="AS354" s="28"/>
      <c r="AT354" s="28"/>
      <c r="AU354" s="28"/>
      <c r="AX354" s="199" t="s">
        <v>84</v>
      </c>
      <c r="AY354" s="143">
        <f>SUM(AY352:AY353)</f>
        <v>114</v>
      </c>
      <c r="AZ354" s="143">
        <f>SUM(AZ352:AZ353)</f>
        <v>128</v>
      </c>
      <c r="BA354" s="138">
        <v>0</v>
      </c>
      <c r="BB354" s="28">
        <v>0</v>
      </c>
      <c r="BC354" s="28">
        <v>0</v>
      </c>
      <c r="BD354" s="138">
        <v>0</v>
      </c>
      <c r="BE354" s="141">
        <v>0</v>
      </c>
      <c r="BF354" s="143"/>
      <c r="BG354" s="143" t="s">
        <v>69</v>
      </c>
      <c r="BH354" s="146">
        <f>SUM(BF353:BF354)</f>
        <v>17</v>
      </c>
      <c r="BN354" s="196" t="s">
        <v>200</v>
      </c>
      <c r="BO354" s="138">
        <v>16</v>
      </c>
      <c r="BP354" s="141">
        <v>10</v>
      </c>
      <c r="BQ354" s="268" t="s">
        <v>1482</v>
      </c>
      <c r="BR354" s="43"/>
      <c r="BS354" s="141"/>
      <c r="BT354" s="43"/>
      <c r="BU354" s="141"/>
      <c r="BV354" s="212" t="s">
        <v>1902</v>
      </c>
      <c r="BW354" s="43" t="s">
        <v>1903</v>
      </c>
      <c r="BX354" s="209" t="s">
        <v>1904</v>
      </c>
      <c r="BY354" s="28"/>
    </row>
    <row r="355" spans="1:77" ht="15" thickBot="1" x14ac:dyDescent="0.35">
      <c r="A355" s="31" t="s">
        <v>57</v>
      </c>
      <c r="B355">
        <v>2014</v>
      </c>
      <c r="C355" s="28">
        <v>6</v>
      </c>
      <c r="D355" s="41" t="s">
        <v>113</v>
      </c>
      <c r="E355" s="70">
        <v>390</v>
      </c>
      <c r="F355" s="71">
        <v>450</v>
      </c>
      <c r="G355" s="42"/>
      <c r="H355" s="28"/>
      <c r="I355" s="40"/>
      <c r="J355" s="42"/>
      <c r="K355" s="40"/>
      <c r="L355" s="42" t="s">
        <v>6</v>
      </c>
      <c r="M355" s="43"/>
      <c r="N355" s="40"/>
      <c r="Q355" s="28"/>
      <c r="R355" s="88" t="s">
        <v>139</v>
      </c>
      <c r="S355" s="33">
        <v>1</v>
      </c>
      <c r="T355" s="34">
        <v>7</v>
      </c>
      <c r="U355" s="152"/>
      <c r="V355" s="89"/>
      <c r="W355" s="66"/>
      <c r="X355" s="8"/>
      <c r="Y355" s="35"/>
      <c r="Z355" s="34" t="s">
        <v>140</v>
      </c>
      <c r="AA355" s="34"/>
      <c r="AB355" s="35"/>
      <c r="AH355" s="196" t="s">
        <v>658</v>
      </c>
      <c r="AI355" s="138">
        <v>4</v>
      </c>
      <c r="AJ355" s="141">
        <v>1</v>
      </c>
      <c r="AK355" s="138"/>
      <c r="AL355" s="28"/>
      <c r="AM355" s="141"/>
      <c r="AN355" s="138"/>
      <c r="AO355" s="141"/>
      <c r="AP355" s="138" t="s">
        <v>508</v>
      </c>
      <c r="AQ355" s="43" t="s">
        <v>1061</v>
      </c>
      <c r="AR355" s="141" t="s">
        <v>6</v>
      </c>
      <c r="AS355" s="28"/>
      <c r="AT355" s="28"/>
      <c r="AU355" s="28"/>
      <c r="AX355" s="195" t="s">
        <v>6</v>
      </c>
      <c r="AY355" s="134" t="s">
        <v>6</v>
      </c>
      <c r="AZ355" s="136"/>
      <c r="BA355" s="135"/>
      <c r="BB355" s="135">
        <v>0</v>
      </c>
      <c r="BC355" s="135"/>
      <c r="BD355" s="134"/>
      <c r="BE355" s="136"/>
      <c r="BF355" s="135" t="s">
        <v>1092</v>
      </c>
      <c r="BG355" s="135"/>
      <c r="BH355" s="136"/>
      <c r="BN355" s="196" t="s">
        <v>250</v>
      </c>
      <c r="BO355" s="138">
        <v>0</v>
      </c>
      <c r="BP355" s="141">
        <v>1</v>
      </c>
      <c r="BQ355" s="268" t="s">
        <v>1484</v>
      </c>
      <c r="BR355" s="43"/>
      <c r="BS355" s="141"/>
      <c r="BT355" s="43"/>
      <c r="BU355" s="141"/>
      <c r="BV355" s="212" t="s">
        <v>1905</v>
      </c>
      <c r="BW355" s="43" t="s">
        <v>1906</v>
      </c>
      <c r="BX355" s="209" t="s">
        <v>1907</v>
      </c>
      <c r="BY355" s="28"/>
    </row>
    <row r="356" spans="1:77" ht="15" thickBot="1" x14ac:dyDescent="0.35">
      <c r="A356" s="31" t="s">
        <v>57</v>
      </c>
      <c r="B356">
        <v>2014</v>
      </c>
      <c r="C356" s="28">
        <v>6</v>
      </c>
      <c r="D356" s="68" t="s">
        <v>84</v>
      </c>
      <c r="E356">
        <f>SUM(E354:E355)</f>
        <v>390</v>
      </c>
      <c r="F356">
        <f>SUM(F354:F355)</f>
        <v>450</v>
      </c>
      <c r="G356" s="47">
        <v>0</v>
      </c>
      <c r="H356" s="27">
        <v>0</v>
      </c>
      <c r="I356" s="49">
        <v>0</v>
      </c>
      <c r="J356" s="75">
        <v>0</v>
      </c>
      <c r="K356" s="49">
        <v>0</v>
      </c>
      <c r="L356" s="47">
        <v>37</v>
      </c>
      <c r="M356" s="51" t="s">
        <v>73</v>
      </c>
      <c r="N356" s="49">
        <f>SUM(L355:L356)</f>
        <v>37</v>
      </c>
      <c r="Q356" s="28"/>
      <c r="R356" s="42" t="s">
        <v>786</v>
      </c>
      <c r="S356" s="42">
        <v>0</v>
      </c>
      <c r="T356" s="43">
        <v>10</v>
      </c>
      <c r="U356" s="42"/>
      <c r="V356" s="28"/>
      <c r="W356" s="40"/>
      <c r="X356" s="28"/>
      <c r="Y356" s="40"/>
      <c r="Z356" s="28"/>
      <c r="AA356" s="28"/>
      <c r="AB356" s="40"/>
      <c r="AH356" s="196" t="s">
        <v>64</v>
      </c>
      <c r="AI356" s="138"/>
      <c r="AJ356" s="141"/>
      <c r="AK356" s="138"/>
      <c r="AL356" s="28"/>
      <c r="AM356" s="141"/>
      <c r="AN356" s="138"/>
      <c r="AO356" s="141"/>
      <c r="AP356" s="138" t="s">
        <v>577</v>
      </c>
      <c r="AQ356" s="43" t="s">
        <v>1062</v>
      </c>
      <c r="AR356" s="209" t="s">
        <v>6</v>
      </c>
      <c r="AS356" s="43"/>
      <c r="AT356" s="43"/>
      <c r="AU356" s="135" t="s">
        <v>1092</v>
      </c>
      <c r="AV356">
        <v>2017</v>
      </c>
      <c r="AW356">
        <v>6</v>
      </c>
      <c r="AX356" s="199" t="s">
        <v>108</v>
      </c>
      <c r="AY356" s="142">
        <v>265</v>
      </c>
      <c r="AZ356" s="146">
        <v>226</v>
      </c>
      <c r="BA356" s="143"/>
      <c r="BB356" s="143">
        <v>0</v>
      </c>
      <c r="BC356" s="143">
        <v>0</v>
      </c>
      <c r="BD356" s="142">
        <v>0</v>
      </c>
      <c r="BE356" s="146">
        <v>0</v>
      </c>
      <c r="BF356" s="143">
        <v>5</v>
      </c>
      <c r="BG356" s="143" t="s">
        <v>780</v>
      </c>
      <c r="BH356" s="146">
        <f>SUM(BF356)</f>
        <v>5</v>
      </c>
      <c r="BN356" s="196" t="s">
        <v>218</v>
      </c>
      <c r="BO356" s="138">
        <v>7</v>
      </c>
      <c r="BP356" s="141">
        <v>34</v>
      </c>
      <c r="BQ356" s="268" t="s">
        <v>358</v>
      </c>
      <c r="BR356" s="270">
        <v>0</v>
      </c>
      <c r="BS356" s="141">
        <v>4</v>
      </c>
      <c r="BT356" s="43"/>
      <c r="BU356" s="141"/>
      <c r="BV356" s="212" t="s">
        <v>1908</v>
      </c>
      <c r="BW356" s="43" t="s">
        <v>1909</v>
      </c>
      <c r="BX356" s="209" t="s">
        <v>333</v>
      </c>
      <c r="BY356" s="28"/>
    </row>
    <row r="357" spans="1:77" ht="15" thickBot="1" x14ac:dyDescent="0.35">
      <c r="A357" s="31"/>
      <c r="B357">
        <v>2014</v>
      </c>
      <c r="C357" s="28">
        <v>6</v>
      </c>
      <c r="D357" s="33" t="s">
        <v>108</v>
      </c>
      <c r="E357" s="78">
        <v>0</v>
      </c>
      <c r="F357" s="79">
        <v>0</v>
      </c>
      <c r="G357" s="34"/>
      <c r="H357" s="8"/>
      <c r="I357" s="35"/>
      <c r="J357" s="80"/>
      <c r="K357" s="34"/>
      <c r="L357" s="33"/>
      <c r="M357" s="34" t="s">
        <v>91</v>
      </c>
      <c r="N357" s="35"/>
      <c r="Q357" s="28"/>
      <c r="R357" s="153" t="s">
        <v>783</v>
      </c>
      <c r="S357" s="42">
        <v>2</v>
      </c>
      <c r="T357" s="43">
        <v>1</v>
      </c>
      <c r="U357" s="42"/>
      <c r="V357" s="28"/>
      <c r="W357" s="40"/>
      <c r="X357" s="28"/>
      <c r="Y357" s="40"/>
      <c r="Z357" s="28"/>
      <c r="AA357" s="28"/>
      <c r="AB357" s="40"/>
      <c r="AH357" s="196" t="s">
        <v>196</v>
      </c>
      <c r="AI357" s="138">
        <v>0</v>
      </c>
      <c r="AJ357" s="141">
        <v>1</v>
      </c>
      <c r="AK357" s="138"/>
      <c r="AL357" s="28"/>
      <c r="AM357" s="141"/>
      <c r="AN357" s="138"/>
      <c r="AO357" s="141"/>
      <c r="AP357" s="138" t="s">
        <v>1063</v>
      </c>
      <c r="AQ357" s="43"/>
      <c r="AR357" s="213"/>
      <c r="AS357" s="228"/>
      <c r="AT357" s="228"/>
      <c r="AU357" s="28"/>
      <c r="AX357" s="195" t="s">
        <v>107</v>
      </c>
      <c r="AY357" s="134">
        <v>0</v>
      </c>
      <c r="AZ357" s="136">
        <v>0</v>
      </c>
      <c r="BA357" s="135"/>
      <c r="BB357" s="135"/>
      <c r="BC357" s="135"/>
      <c r="BD357" s="134"/>
      <c r="BE357" s="136"/>
      <c r="BF357" s="135"/>
      <c r="BG357" s="135" t="s">
        <v>92</v>
      </c>
      <c r="BH357" s="136"/>
      <c r="BN357" s="196" t="s">
        <v>1910</v>
      </c>
      <c r="BO357" s="138">
        <v>0</v>
      </c>
      <c r="BP357" s="141">
        <v>5</v>
      </c>
      <c r="BQ357" s="268" t="s">
        <v>1487</v>
      </c>
      <c r="BR357" s="43"/>
      <c r="BS357" s="141"/>
      <c r="BT357" s="43"/>
      <c r="BU357" s="141"/>
      <c r="BV357" s="212" t="s">
        <v>1911</v>
      </c>
      <c r="BW357" s="334" t="s">
        <v>1912</v>
      </c>
      <c r="BX357" s="209" t="s">
        <v>1913</v>
      </c>
      <c r="BY357" s="28"/>
    </row>
    <row r="358" spans="1:77" ht="15" thickBot="1" x14ac:dyDescent="0.35">
      <c r="A358" s="34" t="s">
        <v>91</v>
      </c>
      <c r="B358">
        <v>2014</v>
      </c>
      <c r="C358" s="28">
        <v>6</v>
      </c>
      <c r="D358" s="52" t="s">
        <v>85</v>
      </c>
      <c r="E358" s="42">
        <v>0</v>
      </c>
      <c r="F358" s="40">
        <v>0</v>
      </c>
      <c r="G358" s="28"/>
      <c r="H358" s="28"/>
      <c r="I358" s="40"/>
      <c r="L358" s="42" t="s">
        <v>6</v>
      </c>
      <c r="M358" s="28"/>
      <c r="N358" s="40"/>
      <c r="Q358" s="28"/>
      <c r="R358" s="92" t="s">
        <v>113</v>
      </c>
      <c r="S358" s="67">
        <f>2+42+12+2+1+5+3+4</f>
        <v>71</v>
      </c>
      <c r="T358" s="43">
        <f>5+35+8+1+6+3+1</f>
        <v>59</v>
      </c>
      <c r="U358" s="52"/>
      <c r="V358" s="54">
        <v>5</v>
      </c>
      <c r="W358" s="85"/>
      <c r="X358" s="18"/>
      <c r="Y358" s="40"/>
      <c r="Z358" s="18" t="s">
        <v>142</v>
      </c>
      <c r="AA358" s="18"/>
      <c r="AB358" s="39" t="s">
        <v>730</v>
      </c>
      <c r="AH358" s="196" t="s">
        <v>701</v>
      </c>
      <c r="AI358" s="138">
        <v>7</v>
      </c>
      <c r="AJ358" s="141">
        <v>0</v>
      </c>
      <c r="AK358" s="138"/>
      <c r="AL358" s="28"/>
      <c r="AM358" s="141"/>
      <c r="AN358" s="138"/>
      <c r="AO358" s="141"/>
      <c r="AP358" s="138"/>
      <c r="AQ358" s="43"/>
      <c r="AR358" s="141"/>
      <c r="AS358" s="28"/>
      <c r="AT358" s="28"/>
      <c r="AU358" s="28"/>
      <c r="AX358" s="196" t="s">
        <v>99</v>
      </c>
      <c r="AY358" s="138">
        <v>0</v>
      </c>
      <c r="AZ358" s="141">
        <v>0</v>
      </c>
      <c r="BA358" s="28">
        <v>0</v>
      </c>
      <c r="BB358" s="28">
        <v>0</v>
      </c>
      <c r="BC358" s="28">
        <v>0</v>
      </c>
      <c r="BD358" s="138">
        <v>83397</v>
      </c>
      <c r="BE358" s="141">
        <v>20907</v>
      </c>
      <c r="BF358" s="43">
        <v>27</v>
      </c>
      <c r="BG358" s="28" t="s">
        <v>100</v>
      </c>
      <c r="BH358" s="141"/>
      <c r="BM358" s="28"/>
      <c r="BN358" s="196" t="s">
        <v>108</v>
      </c>
      <c r="BO358" s="138">
        <v>25</v>
      </c>
      <c r="BP358" s="141">
        <v>4</v>
      </c>
      <c r="BQ358" s="268" t="s">
        <v>297</v>
      </c>
      <c r="BR358" s="43"/>
      <c r="BS358" s="141"/>
      <c r="BT358" s="43"/>
      <c r="BU358" s="141"/>
      <c r="BV358" s="212" t="s">
        <v>1914</v>
      </c>
      <c r="BW358" s="43" t="s">
        <v>1915</v>
      </c>
      <c r="BX358" s="141" t="s">
        <v>1916</v>
      </c>
      <c r="BY358" s="28"/>
    </row>
    <row r="359" spans="1:77" ht="15" thickBot="1" x14ac:dyDescent="0.35">
      <c r="A359" s="34" t="s">
        <v>91</v>
      </c>
      <c r="B359">
        <v>2014</v>
      </c>
      <c r="C359" s="28">
        <v>6</v>
      </c>
      <c r="D359" s="67" t="s">
        <v>113</v>
      </c>
      <c r="E359" s="42">
        <v>425</v>
      </c>
      <c r="F359" s="40">
        <v>430</v>
      </c>
      <c r="G359" s="28"/>
      <c r="H359" s="28"/>
      <c r="I359" s="40"/>
      <c r="J359" s="28"/>
      <c r="K359" s="28"/>
      <c r="L359" s="67">
        <v>42</v>
      </c>
      <c r="M359" s="43" t="s">
        <v>73</v>
      </c>
      <c r="N359" s="40"/>
      <c r="Q359" s="28"/>
      <c r="R359" s="42" t="s">
        <v>164</v>
      </c>
      <c r="S359" s="67">
        <v>4</v>
      </c>
      <c r="T359" s="43">
        <v>2</v>
      </c>
      <c r="U359" s="52"/>
      <c r="V359" s="54"/>
      <c r="W359" s="85"/>
      <c r="X359" s="18"/>
      <c r="Y359" s="40"/>
      <c r="Z359" s="154" t="s">
        <v>146</v>
      </c>
      <c r="AA359" s="28"/>
      <c r="AB359" s="94" t="s">
        <v>591</v>
      </c>
      <c r="AH359" s="196" t="s">
        <v>1064</v>
      </c>
      <c r="AI359" s="138">
        <v>0</v>
      </c>
      <c r="AJ359" s="141">
        <v>6</v>
      </c>
      <c r="AK359" s="138"/>
      <c r="AL359" s="28"/>
      <c r="AM359" s="141"/>
      <c r="AN359" s="138"/>
      <c r="AO359" s="141"/>
      <c r="AP359" s="138"/>
      <c r="AQ359" s="43"/>
      <c r="AR359" s="141"/>
      <c r="AS359" s="28"/>
      <c r="AT359" s="28"/>
      <c r="AU359" s="28"/>
      <c r="AX359" s="199" t="s">
        <v>84</v>
      </c>
      <c r="AY359" s="138">
        <f>SUM(AY357:AY358)</f>
        <v>0</v>
      </c>
      <c r="AZ359" s="141">
        <f>SUM(AZ357:AZ358)</f>
        <v>0</v>
      </c>
      <c r="BA359" s="143"/>
      <c r="BB359" s="143"/>
      <c r="BC359" s="143"/>
      <c r="BD359" s="138"/>
      <c r="BE359" s="141"/>
      <c r="BF359" s="28">
        <v>0</v>
      </c>
      <c r="BG359" s="28" t="s">
        <v>506</v>
      </c>
      <c r="BH359" s="141">
        <f>SUM(BF358:BF359)</f>
        <v>27</v>
      </c>
      <c r="BM359" s="43"/>
      <c r="BN359" s="196" t="s">
        <v>1917</v>
      </c>
      <c r="BO359" s="138">
        <v>0</v>
      </c>
      <c r="BP359" s="141">
        <v>21</v>
      </c>
      <c r="BQ359" s="268" t="s">
        <v>1492</v>
      </c>
      <c r="BR359" s="270"/>
      <c r="BS359" s="141"/>
      <c r="BT359" s="43"/>
      <c r="BU359" s="141"/>
      <c r="BV359" s="138" t="s">
        <v>1918</v>
      </c>
      <c r="BW359" s="43" t="s">
        <v>1919</v>
      </c>
      <c r="BX359" s="260" t="s">
        <v>1920</v>
      </c>
      <c r="BY359" s="28"/>
    </row>
    <row r="360" spans="1:77" ht="15" thickBot="1" x14ac:dyDescent="0.35">
      <c r="A360" s="34" t="s">
        <v>91</v>
      </c>
      <c r="B360">
        <v>2014</v>
      </c>
      <c r="C360" s="28">
        <v>6</v>
      </c>
      <c r="D360" s="47" t="s">
        <v>84</v>
      </c>
      <c r="E360" s="47">
        <f>SUM(E357:E359)</f>
        <v>425</v>
      </c>
      <c r="F360" s="49">
        <f>SUM(F357:F359)</f>
        <v>430</v>
      </c>
      <c r="G360" s="81">
        <v>0</v>
      </c>
      <c r="H360" s="27">
        <v>0</v>
      </c>
      <c r="I360" s="82">
        <v>0</v>
      </c>
      <c r="J360" s="74">
        <v>0</v>
      </c>
      <c r="K360" s="74">
        <v>0</v>
      </c>
      <c r="L360" s="47"/>
      <c r="M360" s="51"/>
      <c r="N360" s="49">
        <f>SUM(L359)</f>
        <v>42</v>
      </c>
      <c r="O360" t="s">
        <v>6</v>
      </c>
      <c r="Q360" s="28"/>
      <c r="R360" s="127" t="s">
        <v>97</v>
      </c>
      <c r="S360" s="67">
        <v>0</v>
      </c>
      <c r="T360" s="43">
        <v>1</v>
      </c>
      <c r="U360" s="42"/>
      <c r="V360" s="28"/>
      <c r="W360" s="40"/>
      <c r="X360" s="28"/>
      <c r="Y360" s="40"/>
      <c r="Z360" s="28"/>
      <c r="AA360" s="28"/>
      <c r="AB360" s="40"/>
      <c r="AH360" s="196" t="s">
        <v>200</v>
      </c>
      <c r="AI360" s="138">
        <v>4</v>
      </c>
      <c r="AJ360" s="141">
        <v>0</v>
      </c>
      <c r="AK360" s="138"/>
      <c r="AL360" s="28"/>
      <c r="AM360" s="141"/>
      <c r="AN360" s="138"/>
      <c r="AO360" s="141"/>
      <c r="AP360" s="138"/>
      <c r="AQ360" s="43"/>
      <c r="AR360" s="141"/>
      <c r="AS360" s="28"/>
      <c r="AT360" s="28"/>
      <c r="AU360" s="135" t="s">
        <v>91</v>
      </c>
      <c r="AV360">
        <v>2017</v>
      </c>
      <c r="AW360">
        <v>6</v>
      </c>
      <c r="AX360" s="138" t="s">
        <v>89</v>
      </c>
      <c r="AY360" s="134">
        <v>1061</v>
      </c>
      <c r="AZ360" s="136">
        <v>1477</v>
      </c>
      <c r="BD360" s="134"/>
      <c r="BE360" s="135"/>
      <c r="BF360" s="134"/>
      <c r="BG360" s="135" t="s">
        <v>91</v>
      </c>
      <c r="BH360" s="136"/>
      <c r="BM360" s="43"/>
      <c r="BN360" s="196" t="s">
        <v>1661</v>
      </c>
      <c r="BO360" s="138">
        <v>0</v>
      </c>
      <c r="BP360" s="141">
        <v>6</v>
      </c>
      <c r="BQ360" s="268" t="s">
        <v>1495</v>
      </c>
      <c r="BR360" s="270"/>
      <c r="BS360" s="141"/>
      <c r="BT360" s="43"/>
      <c r="BU360" s="141"/>
      <c r="BV360" s="138" t="s">
        <v>1921</v>
      </c>
      <c r="BW360" s="43" t="s">
        <v>1891</v>
      </c>
      <c r="BX360" s="209" t="s">
        <v>1922</v>
      </c>
      <c r="BY360" s="28"/>
    </row>
    <row r="361" spans="1:77" ht="15" thickBot="1" x14ac:dyDescent="0.35">
      <c r="A361" s="34" t="s">
        <v>130</v>
      </c>
      <c r="B361">
        <v>2014</v>
      </c>
      <c r="C361" s="28">
        <v>6</v>
      </c>
      <c r="D361" s="52" t="s">
        <v>113</v>
      </c>
      <c r="E361" s="42">
        <v>627</v>
      </c>
      <c r="F361" s="85">
        <v>571</v>
      </c>
      <c r="G361" s="37"/>
      <c r="H361" s="18"/>
      <c r="I361" s="54"/>
      <c r="J361" s="52"/>
      <c r="K361" s="40"/>
      <c r="L361" s="67"/>
      <c r="M361" s="34" t="s">
        <v>130</v>
      </c>
      <c r="N361" s="40"/>
      <c r="Q361" s="28"/>
      <c r="R361" s="52" t="s">
        <v>133</v>
      </c>
      <c r="S361" s="67">
        <f>1+1</f>
        <v>2</v>
      </c>
      <c r="T361" s="43">
        <v>1</v>
      </c>
      <c r="U361" s="52" t="s">
        <v>150</v>
      </c>
      <c r="V361" s="54"/>
      <c r="W361" s="85"/>
      <c r="X361" s="18"/>
      <c r="Y361" s="40"/>
      <c r="Z361" s="28" t="s">
        <v>151</v>
      </c>
      <c r="AA361" s="28"/>
      <c r="AB361" s="185"/>
      <c r="AH361" s="196" t="s">
        <v>801</v>
      </c>
      <c r="AI361" s="138">
        <v>0</v>
      </c>
      <c r="AJ361" s="141">
        <v>2</v>
      </c>
      <c r="AK361" s="138"/>
      <c r="AL361" s="28"/>
      <c r="AM361" s="141"/>
      <c r="AN361" s="138"/>
      <c r="AO361" s="141"/>
      <c r="AP361" s="138"/>
      <c r="AQ361" s="28"/>
      <c r="AR361" s="141"/>
      <c r="AS361" s="28"/>
      <c r="AT361" s="28"/>
      <c r="AU361" s="135" t="s">
        <v>91</v>
      </c>
      <c r="AV361">
        <v>2017</v>
      </c>
      <c r="AW361">
        <v>6</v>
      </c>
      <c r="AX361" s="138" t="s">
        <v>137</v>
      </c>
      <c r="AY361" s="138">
        <v>856</v>
      </c>
      <c r="AZ361" s="141">
        <v>754</v>
      </c>
      <c r="BD361" s="138"/>
      <c r="BE361" s="28"/>
      <c r="BF361" s="212"/>
      <c r="BG361" s="43"/>
      <c r="BH361" s="141"/>
      <c r="BM361" s="43"/>
      <c r="BN361" s="196" t="s">
        <v>1009</v>
      </c>
      <c r="BO361" s="138">
        <v>0</v>
      </c>
      <c r="BP361" s="141">
        <v>1</v>
      </c>
      <c r="BQ361" s="268" t="s">
        <v>1425</v>
      </c>
      <c r="BR361" s="270"/>
      <c r="BS361" s="141"/>
      <c r="BT361" s="43"/>
      <c r="BU361" s="141"/>
      <c r="BV361" s="138" t="s">
        <v>1924</v>
      </c>
      <c r="BW361" s="43"/>
      <c r="BX361" s="141"/>
      <c r="BY361" s="28"/>
    </row>
    <row r="362" spans="1:77" ht="16.2" thickBot="1" x14ac:dyDescent="0.35">
      <c r="A362" s="34" t="s">
        <v>130</v>
      </c>
      <c r="B362">
        <v>2014</v>
      </c>
      <c r="C362" s="28">
        <v>6</v>
      </c>
      <c r="D362" s="42" t="s">
        <v>133</v>
      </c>
      <c r="E362" s="67">
        <v>0</v>
      </c>
      <c r="F362" s="85">
        <v>0</v>
      </c>
      <c r="G362" s="28"/>
      <c r="H362" s="18"/>
      <c r="I362" s="28"/>
      <c r="J362" s="52"/>
      <c r="K362" s="86"/>
      <c r="L362" s="52">
        <v>51</v>
      </c>
      <c r="M362" s="43" t="s">
        <v>73</v>
      </c>
      <c r="N362" s="40"/>
      <c r="Q362" s="28"/>
      <c r="R362" s="52" t="s">
        <v>85</v>
      </c>
      <c r="S362" s="42">
        <f>7+4</f>
        <v>11</v>
      </c>
      <c r="T362" s="43">
        <v>0</v>
      </c>
      <c r="U362" s="42"/>
      <c r="V362" s="54"/>
      <c r="W362" s="40"/>
      <c r="X362" s="45"/>
      <c r="Y362" s="56"/>
      <c r="Z362" s="43" t="s">
        <v>787</v>
      </c>
      <c r="AA362" s="28" t="s">
        <v>788</v>
      </c>
      <c r="AB362" s="40" t="s">
        <v>626</v>
      </c>
      <c r="AH362" s="196" t="s">
        <v>1066</v>
      </c>
      <c r="AI362" s="138">
        <v>2</v>
      </c>
      <c r="AJ362" s="141">
        <v>0</v>
      </c>
      <c r="AK362" s="138"/>
      <c r="AL362" s="28"/>
      <c r="AM362" s="141"/>
      <c r="AN362" s="138"/>
      <c r="AO362" s="141"/>
      <c r="AP362" s="138"/>
      <c r="AQ362" s="28"/>
      <c r="AR362" s="141"/>
      <c r="AS362" s="28"/>
      <c r="AT362" s="28"/>
      <c r="AU362" s="135" t="s">
        <v>91</v>
      </c>
      <c r="AV362">
        <v>2017</v>
      </c>
      <c r="AW362">
        <v>6</v>
      </c>
      <c r="AX362" s="212" t="s">
        <v>97</v>
      </c>
      <c r="AY362" s="212">
        <v>539</v>
      </c>
      <c r="AZ362" s="209">
        <v>403</v>
      </c>
      <c r="BD362" s="138"/>
      <c r="BE362" s="28"/>
      <c r="BF362" s="138">
        <v>24</v>
      </c>
      <c r="BG362" s="43" t="s">
        <v>1134</v>
      </c>
      <c r="BH362" s="141"/>
      <c r="BM362" s="28"/>
      <c r="BN362" s="259" t="s">
        <v>133</v>
      </c>
      <c r="BO362" s="138">
        <v>29</v>
      </c>
      <c r="BP362" s="141">
        <v>17</v>
      </c>
      <c r="BQ362" s="268" t="s">
        <v>526</v>
      </c>
      <c r="BR362" s="270"/>
      <c r="BS362" s="141"/>
      <c r="BT362" s="43"/>
      <c r="BU362" s="141"/>
      <c r="BV362" s="138"/>
      <c r="BW362" s="258"/>
      <c r="BX362" s="260"/>
      <c r="BY362" s="28"/>
    </row>
    <row r="363" spans="1:77" ht="16.2" thickBot="1" x14ac:dyDescent="0.35">
      <c r="A363" s="34" t="s">
        <v>130</v>
      </c>
      <c r="B363">
        <v>2014</v>
      </c>
      <c r="C363" s="28">
        <v>6</v>
      </c>
      <c r="D363" s="59" t="s">
        <v>84</v>
      </c>
      <c r="E363" s="13">
        <f>SUM(E361:E362)</f>
        <v>627</v>
      </c>
      <c r="F363" s="60">
        <f>SUM(F361:F362)</f>
        <v>571</v>
      </c>
      <c r="G363" s="81">
        <v>0</v>
      </c>
      <c r="H363" s="27">
        <v>0</v>
      </c>
      <c r="I363" s="27">
        <v>0</v>
      </c>
      <c r="J363" s="13">
        <v>0</v>
      </c>
      <c r="K363" s="26">
        <v>0</v>
      </c>
      <c r="L363" s="13"/>
      <c r="M363" s="43"/>
      <c r="N363" s="26">
        <f>SUM(L361:L362)</f>
        <v>51</v>
      </c>
      <c r="Q363" s="28"/>
      <c r="R363" s="151" t="s">
        <v>93</v>
      </c>
      <c r="S363" s="36">
        <v>0</v>
      </c>
      <c r="T363" s="37">
        <v>11</v>
      </c>
      <c r="U363" s="10"/>
      <c r="V363" s="18"/>
      <c r="W363" s="11"/>
      <c r="X363" s="18"/>
      <c r="Y363" s="11"/>
      <c r="Z363" s="158" t="s">
        <v>609</v>
      </c>
      <c r="AA363" s="178" t="s">
        <v>180</v>
      </c>
      <c r="AB363" s="94" t="s">
        <v>165</v>
      </c>
      <c r="AH363" s="196" t="s">
        <v>384</v>
      </c>
      <c r="AI363" s="138">
        <v>1</v>
      </c>
      <c r="AJ363" s="141">
        <v>1</v>
      </c>
      <c r="AK363" s="138"/>
      <c r="AL363" s="28"/>
      <c r="AM363" s="141"/>
      <c r="AN363" s="138"/>
      <c r="AO363" s="141"/>
      <c r="AP363" s="138"/>
      <c r="AQ363" s="28"/>
      <c r="AR363" s="141"/>
      <c r="AS363" s="28"/>
      <c r="AT363" s="28"/>
      <c r="AU363" s="135" t="s">
        <v>91</v>
      </c>
      <c r="AV363">
        <v>2017</v>
      </c>
      <c r="AW363">
        <v>6</v>
      </c>
      <c r="AX363" s="138" t="s">
        <v>113</v>
      </c>
      <c r="AY363" s="138">
        <v>641</v>
      </c>
      <c r="AZ363" s="141">
        <v>686</v>
      </c>
      <c r="BD363" s="138"/>
      <c r="BE363" s="28"/>
      <c r="BF363" s="212">
        <v>57</v>
      </c>
      <c r="BG363" s="28" t="s">
        <v>73</v>
      </c>
      <c r="BH363" s="141"/>
      <c r="BM363" s="28"/>
      <c r="BN363" s="196" t="s">
        <v>93</v>
      </c>
      <c r="BO363" s="138"/>
      <c r="BP363" s="141"/>
      <c r="BQ363" s="268" t="s">
        <v>190</v>
      </c>
      <c r="BR363" s="270">
        <v>2</v>
      </c>
      <c r="BS363" s="141">
        <v>1</v>
      </c>
      <c r="BT363" s="43"/>
      <c r="BU363" s="141"/>
      <c r="BV363" s="138"/>
      <c r="BW363" s="258"/>
      <c r="BX363" s="141"/>
      <c r="BY363" s="28"/>
    </row>
    <row r="364" spans="1:77" x14ac:dyDescent="0.3">
      <c r="C364" s="28"/>
      <c r="D364" s="88" t="s">
        <v>139</v>
      </c>
      <c r="E364" s="33">
        <v>0</v>
      </c>
      <c r="F364" s="35">
        <v>43</v>
      </c>
      <c r="G364" s="89"/>
      <c r="H364" s="89"/>
      <c r="I364" s="80"/>
      <c r="J364" s="6"/>
      <c r="K364" s="35"/>
      <c r="L364" s="33" t="s">
        <v>140</v>
      </c>
      <c r="M364" s="34"/>
      <c r="N364" s="35"/>
      <c r="Q364" s="28"/>
      <c r="R364" s="42" t="s">
        <v>789</v>
      </c>
      <c r="S364" s="42">
        <v>2</v>
      </c>
      <c r="T364" s="54">
        <v>0</v>
      </c>
      <c r="U364" s="10"/>
      <c r="V364" s="18"/>
      <c r="W364" s="11"/>
      <c r="X364" s="18"/>
      <c r="Y364" s="11"/>
      <c r="Z364" s="158" t="s">
        <v>425</v>
      </c>
      <c r="AA364" s="186" t="s">
        <v>790</v>
      </c>
      <c r="AB364" s="39" t="s">
        <v>791</v>
      </c>
      <c r="AH364" s="196" t="s">
        <v>211</v>
      </c>
      <c r="AI364" s="138">
        <v>22</v>
      </c>
      <c r="AJ364" s="141"/>
      <c r="AK364" s="138"/>
      <c r="AL364" s="28"/>
      <c r="AM364" s="141"/>
      <c r="AN364" s="138"/>
      <c r="AO364" s="141"/>
      <c r="AP364" s="138"/>
      <c r="AQ364" s="28"/>
      <c r="AR364" s="141"/>
      <c r="AS364" s="28"/>
      <c r="AT364" s="28"/>
      <c r="AU364" s="135" t="s">
        <v>91</v>
      </c>
      <c r="AV364">
        <v>2017</v>
      </c>
      <c r="AW364">
        <v>6</v>
      </c>
      <c r="AX364" s="212" t="s">
        <v>1120</v>
      </c>
      <c r="AY364" s="212">
        <v>109</v>
      </c>
      <c r="AZ364" s="209">
        <v>0</v>
      </c>
      <c r="BD364" s="138"/>
      <c r="BE364" s="28"/>
      <c r="BF364" s="138">
        <v>1</v>
      </c>
      <c r="BG364" s="43" t="s">
        <v>1598</v>
      </c>
      <c r="BH364" s="141"/>
      <c r="BM364" s="28"/>
      <c r="BN364" s="196" t="s">
        <v>1501</v>
      </c>
      <c r="BO364" s="138"/>
      <c r="BP364" s="141"/>
      <c r="BQ364" s="268" t="s">
        <v>214</v>
      </c>
      <c r="BR364" s="270">
        <v>2</v>
      </c>
      <c r="BS364" s="141">
        <v>0</v>
      </c>
      <c r="BT364" s="43"/>
      <c r="BU364" s="141"/>
      <c r="BV364" s="138"/>
      <c r="BW364" s="228"/>
      <c r="BX364" s="293"/>
      <c r="BY364" s="28"/>
    </row>
    <row r="365" spans="1:77" ht="15.6" x14ac:dyDescent="0.3">
      <c r="C365" s="28"/>
      <c r="D365" s="92" t="s">
        <v>113</v>
      </c>
      <c r="E365" s="67">
        <f>9+15+4+15+3+6+52</f>
        <v>104</v>
      </c>
      <c r="F365" s="56">
        <f>9+14+13+11+3+6+1+54</f>
        <v>111</v>
      </c>
      <c r="G365" s="54"/>
      <c r="H365" s="54"/>
      <c r="I365" s="45"/>
      <c r="J365" s="10"/>
      <c r="K365" s="40"/>
      <c r="L365" s="10" t="s">
        <v>142</v>
      </c>
      <c r="M365" s="18"/>
      <c r="N365" s="39" t="s">
        <v>438</v>
      </c>
      <c r="Q365" s="28"/>
      <c r="R365" s="36" t="s">
        <v>169</v>
      </c>
      <c r="S365" s="36">
        <f>2+10+2</f>
        <v>14</v>
      </c>
      <c r="T365" s="37">
        <f>3+1</f>
        <v>4</v>
      </c>
      <c r="U365" s="10"/>
      <c r="V365" s="18"/>
      <c r="W365" s="11"/>
      <c r="X365" s="18"/>
      <c r="Y365" s="11"/>
      <c r="Z365" s="158" t="s">
        <v>541</v>
      </c>
      <c r="AA365" s="37" t="s">
        <v>343</v>
      </c>
      <c r="AB365" s="39" t="s">
        <v>580</v>
      </c>
      <c r="AH365" s="196" t="s">
        <v>218</v>
      </c>
      <c r="AI365" s="138">
        <v>0</v>
      </c>
      <c r="AJ365" s="141">
        <v>33</v>
      </c>
      <c r="AK365" s="138"/>
      <c r="AL365" s="28">
        <v>0</v>
      </c>
      <c r="AM365" s="141"/>
      <c r="AN365" s="138"/>
      <c r="AO365" s="141"/>
      <c r="AP365" s="138"/>
      <c r="AQ365" s="28"/>
      <c r="AR365" s="141"/>
      <c r="AS365" s="28"/>
      <c r="AT365" s="28"/>
      <c r="AU365" s="135" t="s">
        <v>91</v>
      </c>
      <c r="AV365">
        <v>2017</v>
      </c>
      <c r="AW365">
        <v>6</v>
      </c>
      <c r="AX365" s="212" t="s">
        <v>817</v>
      </c>
      <c r="AY365" s="212">
        <v>0</v>
      </c>
      <c r="AZ365" s="209">
        <v>419</v>
      </c>
      <c r="BD365" s="138"/>
      <c r="BE365" s="28"/>
      <c r="BF365" s="138">
        <v>6</v>
      </c>
      <c r="BG365" s="43" t="s">
        <v>1577</v>
      </c>
      <c r="BH365" s="141"/>
      <c r="BI365" s="28"/>
      <c r="BM365" s="43"/>
      <c r="BN365" s="196" t="s">
        <v>1041</v>
      </c>
      <c r="BO365" s="138">
        <v>2</v>
      </c>
      <c r="BP365" s="141">
        <v>0</v>
      </c>
      <c r="BQ365" s="268" t="s">
        <v>1925</v>
      </c>
      <c r="BR365" s="270">
        <v>30</v>
      </c>
      <c r="BS365" s="141">
        <v>30</v>
      </c>
      <c r="BT365" s="43"/>
      <c r="BU365" s="141"/>
      <c r="BV365" s="138"/>
      <c r="BW365" s="258"/>
      <c r="BX365" s="141"/>
      <c r="BY365" s="28"/>
    </row>
    <row r="366" spans="1:77" ht="16.2" thickBot="1" x14ac:dyDescent="0.35">
      <c r="C366" s="28"/>
      <c r="D366" s="92" t="s">
        <v>164</v>
      </c>
      <c r="E366" s="67">
        <v>3</v>
      </c>
      <c r="F366" s="56">
        <f>5+3</f>
        <v>8</v>
      </c>
      <c r="G366" s="54"/>
      <c r="H366" s="54"/>
      <c r="I366" s="45"/>
      <c r="J366" s="10"/>
      <c r="K366" s="40"/>
      <c r="L366" s="93" t="s">
        <v>146</v>
      </c>
      <c r="M366" s="28"/>
      <c r="N366" s="94" t="s">
        <v>253</v>
      </c>
      <c r="Q366" s="28"/>
      <c r="R366" s="36" t="s">
        <v>99</v>
      </c>
      <c r="S366" s="36">
        <v>9</v>
      </c>
      <c r="T366" s="37">
        <v>9</v>
      </c>
      <c r="U366" s="10"/>
      <c r="V366" s="18"/>
      <c r="W366" s="11"/>
      <c r="X366" s="18"/>
      <c r="Y366" s="11"/>
      <c r="Z366" s="179" t="s">
        <v>792</v>
      </c>
      <c r="AA366" s="37" t="s">
        <v>793</v>
      </c>
      <c r="AB366" s="39" t="s">
        <v>534</v>
      </c>
      <c r="AH366" s="196" t="s">
        <v>93</v>
      </c>
      <c r="AI366" s="138">
        <v>0</v>
      </c>
      <c r="AJ366" s="141">
        <v>5</v>
      </c>
      <c r="AK366" s="138"/>
      <c r="AL366" s="28"/>
      <c r="AM366" s="141"/>
      <c r="AN366" s="138"/>
      <c r="AO366" s="141"/>
      <c r="AP366" s="138"/>
      <c r="AQ366" s="28"/>
      <c r="AR366" s="141"/>
      <c r="AS366" s="28"/>
      <c r="AT366" s="28"/>
      <c r="AU366" s="28"/>
      <c r="AX366" s="138" t="s">
        <v>84</v>
      </c>
      <c r="AY366" s="138">
        <f>SUM(AY360:AY365)</f>
        <v>3206</v>
      </c>
      <c r="AZ366" s="141">
        <f>SUM(AZ360:AZ365)</f>
        <v>3739</v>
      </c>
      <c r="BA366">
        <v>0</v>
      </c>
      <c r="BB366">
        <v>0</v>
      </c>
      <c r="BC366">
        <v>0</v>
      </c>
      <c r="BD366" s="142">
        <v>0</v>
      </c>
      <c r="BE366" s="143">
        <v>0</v>
      </c>
      <c r="BF366" s="142"/>
      <c r="BG366" s="143" t="s">
        <v>6</v>
      </c>
      <c r="BH366" s="146">
        <f>SUM(BF362:BF366)</f>
        <v>88</v>
      </c>
      <c r="BM366" s="28"/>
      <c r="BN366" s="196" t="s">
        <v>107</v>
      </c>
      <c r="BO366" s="138">
        <v>97</v>
      </c>
      <c r="BP366" s="141">
        <v>0</v>
      </c>
      <c r="BQ366" s="268" t="s">
        <v>467</v>
      </c>
      <c r="BR366" s="270"/>
      <c r="BS366" s="141"/>
      <c r="BT366" s="43"/>
      <c r="BU366" s="141"/>
      <c r="BV366" s="138"/>
      <c r="BW366" s="258"/>
      <c r="BX366" s="141">
        <v>84</v>
      </c>
      <c r="BY366" s="28"/>
    </row>
    <row r="367" spans="1:77" ht="15" thickBot="1" x14ac:dyDescent="0.35">
      <c r="C367" s="28" t="s">
        <v>6</v>
      </c>
      <c r="D367" s="127" t="s">
        <v>190</v>
      </c>
      <c r="E367" s="67">
        <v>1</v>
      </c>
      <c r="F367" s="56">
        <v>0</v>
      </c>
      <c r="J367" s="42"/>
      <c r="K367" s="40"/>
      <c r="L367" s="42"/>
      <c r="M367" s="28"/>
      <c r="N367" s="40"/>
      <c r="Q367" s="28"/>
      <c r="R367" s="150" t="s">
        <v>200</v>
      </c>
      <c r="S367" s="36">
        <v>5</v>
      </c>
      <c r="T367" s="37"/>
      <c r="U367" s="10"/>
      <c r="V367" s="37"/>
      <c r="W367" s="11"/>
      <c r="X367" s="18"/>
      <c r="Y367" s="11"/>
      <c r="Z367" s="158" t="s">
        <v>794</v>
      </c>
      <c r="AA367" s="54" t="s">
        <v>795</v>
      </c>
      <c r="AB367" s="39" t="s">
        <v>796</v>
      </c>
      <c r="AH367" s="199" t="s">
        <v>84</v>
      </c>
      <c r="AI367" s="142">
        <f>SUM(AI342:AI366)</f>
        <v>88</v>
      </c>
      <c r="AJ367" s="146">
        <f>SUM(AJ342:AJ366)</f>
        <v>109</v>
      </c>
      <c r="AK367" s="142">
        <v>0</v>
      </c>
      <c r="AL367" s="143">
        <f>SUM(AL342:AL366)</f>
        <v>0</v>
      </c>
      <c r="AM367" s="146">
        <v>0</v>
      </c>
      <c r="AN367" s="142">
        <v>0</v>
      </c>
      <c r="AO367" s="146">
        <v>0</v>
      </c>
      <c r="AP367" s="142"/>
      <c r="AQ367" s="143"/>
      <c r="AR367" s="146">
        <f>8+5+5+4+4+3+3+1+4+6+1</f>
        <v>44</v>
      </c>
      <c r="AS367" s="28"/>
      <c r="AT367" s="28"/>
      <c r="AU367" s="28"/>
      <c r="AX367" s="134"/>
      <c r="AY367" s="134"/>
      <c r="AZ367" s="136"/>
      <c r="BA367" s="135"/>
      <c r="BB367" s="135"/>
      <c r="BC367" s="135"/>
      <c r="BD367" s="138"/>
      <c r="BE367" s="141"/>
      <c r="BF367" s="28" t="s">
        <v>1025</v>
      </c>
      <c r="BG367" s="28"/>
      <c r="BH367" s="141"/>
      <c r="BN367" s="271" t="s">
        <v>84</v>
      </c>
      <c r="BO367" s="271">
        <v>299</v>
      </c>
      <c r="BP367" s="272">
        <v>232</v>
      </c>
      <c r="BQ367" s="34" t="s">
        <v>84</v>
      </c>
      <c r="BR367" s="34">
        <v>46</v>
      </c>
      <c r="BS367" s="34">
        <v>39</v>
      </c>
      <c r="BT367" s="33">
        <v>77759</v>
      </c>
      <c r="BU367" s="35">
        <v>26000</v>
      </c>
      <c r="BV367" s="294"/>
      <c r="BW367" s="34"/>
      <c r="BX367" s="35">
        <v>284</v>
      </c>
      <c r="BY367" s="28"/>
    </row>
    <row r="368" spans="1:77" x14ac:dyDescent="0.3">
      <c r="C368" s="28"/>
      <c r="D368" s="52" t="s">
        <v>133</v>
      </c>
      <c r="E368" s="67">
        <f>54+8</f>
        <v>62</v>
      </c>
      <c r="F368" s="56">
        <f>31+2+7</f>
        <v>40</v>
      </c>
      <c r="G368" s="54" t="s">
        <v>150</v>
      </c>
      <c r="H368" s="54"/>
      <c r="I368" s="45"/>
      <c r="J368" s="10"/>
      <c r="K368" s="40"/>
      <c r="L368" s="42" t="s">
        <v>151</v>
      </c>
      <c r="M368" s="28"/>
      <c r="N368" s="96"/>
      <c r="Q368" s="37"/>
      <c r="R368" s="36" t="s">
        <v>120</v>
      </c>
      <c r="S368" s="36">
        <v>4</v>
      </c>
      <c r="T368" s="37">
        <v>4</v>
      </c>
      <c r="U368" s="10"/>
      <c r="V368" s="18"/>
      <c r="W368" s="11"/>
      <c r="X368" s="18"/>
      <c r="Y368" s="11"/>
      <c r="Z368" s="37" t="s">
        <v>513</v>
      </c>
      <c r="AA368" s="37" t="s">
        <v>333</v>
      </c>
      <c r="AB368" s="180" t="s">
        <v>797</v>
      </c>
      <c r="AH368" t="s">
        <v>223</v>
      </c>
      <c r="AI368">
        <f>SUM(AI367+AI341+AI336+AI332+AI329+AI327+AI338)</f>
        <v>2188</v>
      </c>
      <c r="AJ368">
        <f>SUM(AJ367+AJ341+AJ336+AJ332+AJ327+AJ329+AJ338)</f>
        <v>2247</v>
      </c>
      <c r="AK368">
        <v>0</v>
      </c>
      <c r="AL368">
        <f>SUM(AL367+AL341+AL336+AL332+AL329+AL325)</f>
        <v>0</v>
      </c>
      <c r="AM368">
        <v>0</v>
      </c>
      <c r="AN368">
        <f>SUM(AN367+AN341+AN336+AN331+AN329+AN325)</f>
        <v>66127</v>
      </c>
      <c r="AO368">
        <f>SUM(AO367+AO341+AO336+AO331+AO329+AO325)</f>
        <v>19998</v>
      </c>
      <c r="AQ368" t="s">
        <v>743</v>
      </c>
      <c r="AR368">
        <f>SUM(+AR341+AR336+AR332+AR329+AR327)</f>
        <v>132</v>
      </c>
      <c r="AU368" s="28"/>
      <c r="AX368" s="142" t="s">
        <v>64</v>
      </c>
      <c r="AY368" s="142">
        <v>76</v>
      </c>
      <c r="AZ368" s="146">
        <v>47</v>
      </c>
      <c r="BA368" s="143">
        <v>0</v>
      </c>
      <c r="BB368" s="143">
        <v>0</v>
      </c>
      <c r="BC368" s="143">
        <v>0</v>
      </c>
      <c r="BD368" s="142">
        <v>0</v>
      </c>
      <c r="BE368" s="146">
        <v>0</v>
      </c>
      <c r="BF368" s="143">
        <v>8</v>
      </c>
      <c r="BG368" s="143" t="s">
        <v>1026</v>
      </c>
      <c r="BH368" s="146">
        <f>SUM(BF368)</f>
        <v>8</v>
      </c>
      <c r="BI368" t="s">
        <v>6</v>
      </c>
      <c r="BN368" s="33" t="s">
        <v>223</v>
      </c>
      <c r="BO368" s="295">
        <v>7884</v>
      </c>
      <c r="BP368" s="296">
        <v>7798</v>
      </c>
      <c r="BQ368" s="297"/>
      <c r="BR368" s="34" t="s">
        <v>1503</v>
      </c>
      <c r="BS368" s="34"/>
      <c r="BT368" s="34"/>
      <c r="BU368" s="34"/>
      <c r="BV368" s="298">
        <v>787</v>
      </c>
      <c r="BW368" s="35"/>
      <c r="BX368" s="35"/>
      <c r="BY368" s="28"/>
    </row>
    <row r="369" spans="3:77" ht="15" thickBot="1" x14ac:dyDescent="0.35">
      <c r="C369" s="28"/>
      <c r="D369" s="52" t="s">
        <v>85</v>
      </c>
      <c r="E369" s="42">
        <f>26+10</f>
        <v>36</v>
      </c>
      <c r="F369" s="56">
        <f>22+2</f>
        <v>24</v>
      </c>
      <c r="G369" s="28"/>
      <c r="H369" s="54"/>
      <c r="I369" s="28"/>
      <c r="J369" s="84"/>
      <c r="K369" s="56"/>
      <c r="L369" s="42" t="s">
        <v>439</v>
      </c>
      <c r="M369" s="28" t="s">
        <v>440</v>
      </c>
      <c r="N369" s="40" t="s">
        <v>441</v>
      </c>
      <c r="Q369" s="28"/>
      <c r="R369" s="150" t="s">
        <v>211</v>
      </c>
      <c r="S369" s="36">
        <v>10</v>
      </c>
      <c r="T369" s="37">
        <v>0</v>
      </c>
      <c r="U369" s="10"/>
      <c r="V369" s="18"/>
      <c r="W369" s="11"/>
      <c r="X369" s="18"/>
      <c r="Y369" s="11"/>
      <c r="Z369" s="159" t="s">
        <v>798</v>
      </c>
      <c r="AA369" s="37" t="s">
        <v>799</v>
      </c>
      <c r="AB369" s="39" t="s">
        <v>800</v>
      </c>
      <c r="AH369" t="s">
        <v>225</v>
      </c>
      <c r="AJ369">
        <f>SUM(AR367)</f>
        <v>44</v>
      </c>
      <c r="AU369" s="28" t="s">
        <v>994</v>
      </c>
      <c r="AV369">
        <v>2017</v>
      </c>
      <c r="AW369">
        <v>6</v>
      </c>
      <c r="AX369" s="138" t="s">
        <v>113</v>
      </c>
      <c r="AY369" s="138">
        <v>523</v>
      </c>
      <c r="AZ369" s="141">
        <v>598</v>
      </c>
      <c r="BA369" s="28"/>
      <c r="BB369" s="28"/>
      <c r="BC369" s="28"/>
      <c r="BD369" s="138"/>
      <c r="BE369" s="141"/>
      <c r="BF369" s="28" t="s">
        <v>994</v>
      </c>
      <c r="BG369" s="28"/>
      <c r="BH369" s="141"/>
      <c r="BN369" s="42" t="s">
        <v>1340</v>
      </c>
      <c r="BO369" s="28"/>
      <c r="BP369" s="299">
        <v>84</v>
      </c>
      <c r="BQ369" s="47"/>
      <c r="BR369" s="48" t="s">
        <v>1504</v>
      </c>
      <c r="BS369" s="48"/>
      <c r="BT369" s="48"/>
      <c r="BU369" s="48"/>
      <c r="BV369" s="300">
        <v>362</v>
      </c>
      <c r="BW369" s="301">
        <v>1149</v>
      </c>
      <c r="BX369" s="40"/>
      <c r="BY369" s="28"/>
    </row>
    <row r="370" spans="3:77" ht="16.2" thickBot="1" x14ac:dyDescent="0.35">
      <c r="C370" s="28"/>
      <c r="D370" s="151" t="s">
        <v>108</v>
      </c>
      <c r="E370" s="36">
        <v>2</v>
      </c>
      <c r="F370" s="39">
        <v>4</v>
      </c>
      <c r="G370" s="18"/>
      <c r="H370" s="18"/>
      <c r="I370" s="18"/>
      <c r="J370" s="10"/>
      <c r="K370" s="11"/>
      <c r="L370" s="98" t="s">
        <v>442</v>
      </c>
      <c r="M370" s="28" t="s">
        <v>443</v>
      </c>
      <c r="N370" s="99" t="s">
        <v>444</v>
      </c>
      <c r="R370" s="150" t="s">
        <v>801</v>
      </c>
      <c r="S370" s="36">
        <v>5</v>
      </c>
      <c r="T370" s="37">
        <v>5</v>
      </c>
      <c r="U370" s="10"/>
      <c r="V370" s="18"/>
      <c r="W370" s="11"/>
      <c r="X370" s="18"/>
      <c r="Y370" s="11"/>
      <c r="Z370" s="128" t="s">
        <v>677</v>
      </c>
      <c r="AA370" s="37" t="s">
        <v>802</v>
      </c>
      <c r="AB370" s="39" t="s">
        <v>442</v>
      </c>
      <c r="AH370" t="s">
        <v>229</v>
      </c>
      <c r="AJ370">
        <f>9+7+11+12+5</f>
        <v>44</v>
      </c>
      <c r="AX370" s="138" t="s">
        <v>133</v>
      </c>
      <c r="AY370" s="138">
        <v>0</v>
      </c>
      <c r="AZ370" s="141">
        <v>0</v>
      </c>
      <c r="BA370" s="28"/>
      <c r="BB370" s="28"/>
      <c r="BC370" s="28"/>
      <c r="BD370" s="138"/>
      <c r="BE370" s="141"/>
      <c r="BF370" s="28">
        <v>24</v>
      </c>
      <c r="BG370" s="28" t="s">
        <v>100</v>
      </c>
      <c r="BH370" s="141"/>
      <c r="BN370" s="47" t="s">
        <v>229</v>
      </c>
      <c r="BO370" s="48"/>
      <c r="BP370" s="302">
        <v>1</v>
      </c>
      <c r="BQ370" s="28"/>
      <c r="BR370" s="28"/>
      <c r="BS370" s="28"/>
      <c r="BT370" s="28"/>
      <c r="BU370" s="42"/>
      <c r="BV370" s="28"/>
      <c r="BW370" s="42"/>
      <c r="BX370" s="40"/>
      <c r="BY370" s="28"/>
    </row>
    <row r="371" spans="3:77" ht="15.6" x14ac:dyDescent="0.3">
      <c r="C371" s="28"/>
      <c r="D371" s="92" t="s">
        <v>445</v>
      </c>
      <c r="E371" s="42">
        <v>3</v>
      </c>
      <c r="F371" s="40">
        <v>0</v>
      </c>
      <c r="G371" s="18"/>
      <c r="H371" s="18"/>
      <c r="I371" s="18"/>
      <c r="J371" s="10"/>
      <c r="K371" s="11"/>
      <c r="L371" s="98" t="s">
        <v>446</v>
      </c>
      <c r="M371" s="100" t="s">
        <v>447</v>
      </c>
      <c r="N371" s="39" t="s">
        <v>448</v>
      </c>
      <c r="R371" s="36" t="s">
        <v>184</v>
      </c>
      <c r="S371" s="36">
        <v>6</v>
      </c>
      <c r="T371" s="37">
        <v>7</v>
      </c>
      <c r="U371" s="10"/>
      <c r="V371" s="18"/>
      <c r="W371" s="11"/>
      <c r="X371" s="18"/>
      <c r="Y371" s="11"/>
      <c r="Z371" s="128" t="s">
        <v>803</v>
      </c>
      <c r="AA371" s="37" t="s">
        <v>804</v>
      </c>
      <c r="AB371" s="39" t="s">
        <v>385</v>
      </c>
      <c r="AH371" t="s">
        <v>232</v>
      </c>
      <c r="AJ371" t="s">
        <v>233</v>
      </c>
      <c r="AL371">
        <f>SUM(T369)</f>
        <v>0</v>
      </c>
      <c r="AN371" t="s">
        <v>234</v>
      </c>
      <c r="AP371" t="s">
        <v>233</v>
      </c>
      <c r="AR371">
        <f>SUM(AI368)</f>
        <v>2188</v>
      </c>
      <c r="AX371" s="142" t="s">
        <v>84</v>
      </c>
      <c r="AY371" s="142">
        <f>SUM(AY369:AY370)</f>
        <v>523</v>
      </c>
      <c r="AZ371" s="146">
        <f>SUM(AZ369:AZ370)</f>
        <v>598</v>
      </c>
      <c r="BA371" s="143">
        <v>0</v>
      </c>
      <c r="BB371" s="143">
        <v>0</v>
      </c>
      <c r="BC371" s="143">
        <v>0</v>
      </c>
      <c r="BD371" s="142">
        <v>0</v>
      </c>
      <c r="BE371" s="146">
        <v>0</v>
      </c>
      <c r="BF371" s="43">
        <v>24</v>
      </c>
      <c r="BG371" s="43" t="s">
        <v>73</v>
      </c>
      <c r="BH371" s="146">
        <f>SUM(BF370:BF371)</f>
        <v>48</v>
      </c>
      <c r="BN371" s="33" t="s">
        <v>232</v>
      </c>
      <c r="BO371" s="34"/>
      <c r="BP371" s="303" t="s">
        <v>233</v>
      </c>
      <c r="BQ371" s="34"/>
      <c r="BR371" s="298">
        <v>2067</v>
      </c>
      <c r="BS371" s="35"/>
      <c r="BT371" s="33" t="s">
        <v>234</v>
      </c>
      <c r="BU371" s="34"/>
      <c r="BV371" s="34" t="s">
        <v>233</v>
      </c>
      <c r="BW371" s="34"/>
      <c r="BX371" s="304">
        <v>7884</v>
      </c>
      <c r="BY371" s="28"/>
    </row>
    <row r="372" spans="3:77" ht="15" thickBot="1" x14ac:dyDescent="0.35">
      <c r="C372" s="28"/>
      <c r="D372" s="36" t="s">
        <v>169</v>
      </c>
      <c r="E372" s="36">
        <v>6</v>
      </c>
      <c r="F372" s="39">
        <v>5</v>
      </c>
      <c r="G372" s="18"/>
      <c r="H372" s="18"/>
      <c r="I372" s="18"/>
      <c r="J372" s="10"/>
      <c r="K372" s="11"/>
      <c r="L372" s="98" t="s">
        <v>345</v>
      </c>
      <c r="M372" s="37" t="s">
        <v>276</v>
      </c>
      <c r="N372" s="39" t="s">
        <v>449</v>
      </c>
      <c r="R372" s="36" t="s">
        <v>805</v>
      </c>
      <c r="S372" s="10">
        <v>11</v>
      </c>
      <c r="T372" s="37">
        <v>13</v>
      </c>
      <c r="U372" s="10"/>
      <c r="V372" s="18"/>
      <c r="W372" s="39"/>
      <c r="X372" s="18"/>
      <c r="Y372" s="11"/>
      <c r="Z372" s="159" t="s">
        <v>330</v>
      </c>
      <c r="AA372" s="37" t="s">
        <v>806</v>
      </c>
      <c r="AB372" s="39" t="s">
        <v>807</v>
      </c>
      <c r="AG372" t="s">
        <v>6</v>
      </c>
      <c r="AJ372" t="s">
        <v>236</v>
      </c>
      <c r="AL372">
        <f>SUM(U369)</f>
        <v>0</v>
      </c>
      <c r="AP372" t="s">
        <v>236</v>
      </c>
      <c r="AR372">
        <f>SUM(AJ368)</f>
        <v>2247</v>
      </c>
      <c r="AX372" s="196" t="s">
        <v>785</v>
      </c>
      <c r="AY372" s="138">
        <v>0</v>
      </c>
      <c r="AZ372" s="141">
        <v>3</v>
      </c>
      <c r="BA372" s="134"/>
      <c r="BB372" s="135"/>
      <c r="BC372" s="136"/>
      <c r="BD372" s="138"/>
      <c r="BE372" s="141"/>
      <c r="BF372" s="134" t="s">
        <v>140</v>
      </c>
      <c r="BG372" s="135"/>
      <c r="BH372" s="136"/>
      <c r="BN372" s="47"/>
      <c r="BO372" s="48"/>
      <c r="BP372" s="48" t="s">
        <v>236</v>
      </c>
      <c r="BQ372" s="48"/>
      <c r="BR372" s="300">
        <v>1952</v>
      </c>
      <c r="BS372" s="49"/>
      <c r="BT372" s="42"/>
      <c r="BU372" s="28"/>
      <c r="BV372" s="28" t="s">
        <v>236</v>
      </c>
      <c r="BW372" s="28"/>
      <c r="BX372" s="174">
        <v>7798</v>
      </c>
      <c r="BY372" s="28"/>
    </row>
    <row r="373" spans="3:77" ht="15" thickBot="1" x14ac:dyDescent="0.35">
      <c r="C373" s="28"/>
      <c r="D373" s="36" t="s">
        <v>93</v>
      </c>
      <c r="E373" s="36">
        <v>0</v>
      </c>
      <c r="F373" s="39">
        <v>5</v>
      </c>
      <c r="G373" s="18"/>
      <c r="H373" s="18"/>
      <c r="I373" s="18"/>
      <c r="J373" s="10"/>
      <c r="K373" s="11"/>
      <c r="L373" s="52" t="s">
        <v>450</v>
      </c>
      <c r="M373" s="37" t="s">
        <v>451</v>
      </c>
      <c r="N373" s="39"/>
      <c r="R373" s="150" t="s">
        <v>605</v>
      </c>
      <c r="S373" s="10">
        <v>4</v>
      </c>
      <c r="T373" s="37">
        <v>4</v>
      </c>
      <c r="U373" s="10"/>
      <c r="V373" s="18"/>
      <c r="W373" s="11"/>
      <c r="X373" s="18"/>
      <c r="Y373" s="11"/>
      <c r="Z373" s="179"/>
      <c r="AA373" s="37"/>
      <c r="AB373" s="39"/>
      <c r="AH373" t="s">
        <v>238</v>
      </c>
      <c r="AI373" t="s">
        <v>239</v>
      </c>
      <c r="AK373" t="s">
        <v>240</v>
      </c>
      <c r="AL373" t="s">
        <v>241</v>
      </c>
      <c r="AO373" t="s">
        <v>242</v>
      </c>
      <c r="AP373" t="s">
        <v>243</v>
      </c>
      <c r="AX373" s="196" t="s">
        <v>214</v>
      </c>
      <c r="AY373" s="138">
        <v>1</v>
      </c>
      <c r="AZ373" s="141">
        <v>5</v>
      </c>
      <c r="BA373" s="138"/>
      <c r="BB373" s="28"/>
      <c r="BC373" s="141"/>
      <c r="BD373" s="138"/>
      <c r="BE373" s="141"/>
      <c r="BF373" s="138"/>
      <c r="BG373" s="28"/>
      <c r="BH373" s="141"/>
      <c r="BN373" s="171" t="s">
        <v>238</v>
      </c>
      <c r="BO373" s="170" t="s">
        <v>239</v>
      </c>
      <c r="BP373" s="172"/>
      <c r="BQ373" s="171" t="s">
        <v>240</v>
      </c>
      <c r="BR373" s="170" t="s">
        <v>241</v>
      </c>
      <c r="BS373" s="170"/>
      <c r="BT373" s="171"/>
      <c r="BU373" s="170" t="s">
        <v>242</v>
      </c>
      <c r="BV373" s="305" t="s">
        <v>243</v>
      </c>
      <c r="BW373" s="170"/>
      <c r="BX373" s="172"/>
      <c r="BY373" s="28"/>
    </row>
    <row r="374" spans="3:77" x14ac:dyDescent="0.3">
      <c r="C374" s="28"/>
      <c r="D374" s="150" t="s">
        <v>452</v>
      </c>
      <c r="E374" s="36">
        <v>4</v>
      </c>
      <c r="F374" s="39">
        <v>0</v>
      </c>
      <c r="G374" s="18"/>
      <c r="H374" s="37"/>
      <c r="I374" s="18"/>
      <c r="J374" s="10"/>
      <c r="K374" s="11"/>
      <c r="L374" s="93" t="s">
        <v>453</v>
      </c>
      <c r="M374" s="54" t="s">
        <v>454</v>
      </c>
      <c r="N374" s="39"/>
      <c r="R374" s="92" t="s">
        <v>250</v>
      </c>
      <c r="S374" s="84">
        <v>0</v>
      </c>
      <c r="T374" s="54">
        <v>2</v>
      </c>
      <c r="U374" s="84"/>
      <c r="V374" s="45"/>
      <c r="W374" s="85"/>
      <c r="X374" s="18"/>
      <c r="Y374" s="11"/>
      <c r="Z374" s="179"/>
      <c r="AA374" s="54"/>
      <c r="AB374" s="86"/>
      <c r="AH374" t="s">
        <v>233</v>
      </c>
      <c r="AJ374" t="e">
        <f>SUM(#REF!)</f>
        <v>#REF!</v>
      </c>
      <c r="AK374" t="s">
        <v>233</v>
      </c>
      <c r="AM374">
        <f>SUM(F356)</f>
        <v>450</v>
      </c>
      <c r="AN374" t="s">
        <v>233</v>
      </c>
      <c r="AP374">
        <f>SUM(AM374+AI368)</f>
        <v>2638</v>
      </c>
      <c r="AQ374" t="s">
        <v>245</v>
      </c>
      <c r="AR374" t="e">
        <f>SUM(AJ374+AP374)</f>
        <v>#REF!</v>
      </c>
      <c r="AX374" s="196" t="s">
        <v>211</v>
      </c>
      <c r="AY374" s="138">
        <v>23</v>
      </c>
      <c r="AZ374" s="141">
        <v>0</v>
      </c>
      <c r="BA374" s="138"/>
      <c r="BB374" s="28"/>
      <c r="BC374" s="141"/>
      <c r="BD374" s="138"/>
      <c r="BE374" s="141"/>
      <c r="BF374" s="138"/>
      <c r="BG374" s="28"/>
      <c r="BH374" s="141"/>
      <c r="BN374" s="42" t="s">
        <v>233</v>
      </c>
      <c r="BO374" s="28"/>
      <c r="BP374" s="174">
        <v>46253</v>
      </c>
      <c r="BQ374" s="306" t="s">
        <v>233</v>
      </c>
      <c r="BR374" s="28"/>
      <c r="BS374" s="174">
        <v>3239</v>
      </c>
      <c r="BT374" s="42" t="s">
        <v>233</v>
      </c>
      <c r="BU374" s="28"/>
      <c r="BV374" s="174">
        <v>11123</v>
      </c>
      <c r="BW374" s="28" t="s">
        <v>245</v>
      </c>
      <c r="BX374" s="174">
        <v>57376</v>
      </c>
      <c r="BY374" s="28"/>
    </row>
    <row r="375" spans="3:77" ht="15" thickBot="1" x14ac:dyDescent="0.35">
      <c r="C375" s="37"/>
      <c r="D375" s="36" t="s">
        <v>184</v>
      </c>
      <c r="E375" s="36">
        <v>0</v>
      </c>
      <c r="F375" s="39">
        <v>0</v>
      </c>
      <c r="G375" s="18"/>
      <c r="H375" s="18"/>
      <c r="I375" s="18"/>
      <c r="J375" s="10"/>
      <c r="K375" s="11"/>
      <c r="L375" s="36" t="s">
        <v>455</v>
      </c>
      <c r="M375" s="37" t="s">
        <v>456</v>
      </c>
      <c r="N375" s="40"/>
      <c r="R375" s="67" t="s">
        <v>564</v>
      </c>
      <c r="S375" s="84">
        <f>10+2</f>
        <v>12</v>
      </c>
      <c r="T375" s="54">
        <f>14+4+2</f>
        <v>20</v>
      </c>
      <c r="U375" s="84"/>
      <c r="V375" s="45"/>
      <c r="W375" s="85">
        <v>20</v>
      </c>
      <c r="X375" s="45"/>
      <c r="Y375" s="85"/>
      <c r="Z375" s="179"/>
      <c r="AA375" s="54"/>
      <c r="AB375" s="180"/>
      <c r="AH375" t="s">
        <v>236</v>
      </c>
      <c r="AJ375" t="e">
        <f>SUM(#REF!)</f>
        <v>#REF!</v>
      </c>
      <c r="AK375" t="s">
        <v>236</v>
      </c>
      <c r="AM375">
        <f>SUM(G356)</f>
        <v>0</v>
      </c>
      <c r="AN375" t="s">
        <v>236</v>
      </c>
      <c r="AP375">
        <f>SUM(AM375+AJ368)</f>
        <v>2247</v>
      </c>
      <c r="AR375" t="e">
        <f>SUM(AJ375+AP375)</f>
        <v>#REF!</v>
      </c>
      <c r="AW375" t="s">
        <v>6</v>
      </c>
      <c r="AX375" s="196" t="s">
        <v>113</v>
      </c>
      <c r="AY375" s="138">
        <f>3+2+38+6</f>
        <v>49</v>
      </c>
      <c r="AZ375" s="141">
        <f>3+35</f>
        <v>38</v>
      </c>
      <c r="BA375" s="138"/>
      <c r="BB375" s="28"/>
      <c r="BC375" s="141" t="s">
        <v>6</v>
      </c>
      <c r="BD375" s="138"/>
      <c r="BE375" s="141"/>
      <c r="BF375" s="138" t="s">
        <v>142</v>
      </c>
      <c r="BG375" s="28"/>
      <c r="BH375" s="141" t="s">
        <v>814</v>
      </c>
      <c r="BN375" s="47" t="s">
        <v>236</v>
      </c>
      <c r="BO375" s="48"/>
      <c r="BP375" s="301">
        <v>52748</v>
      </c>
      <c r="BQ375" s="307" t="s">
        <v>236</v>
      </c>
      <c r="BR375" s="48"/>
      <c r="BS375" s="301">
        <v>3838</v>
      </c>
      <c r="BT375" s="42" t="s">
        <v>236</v>
      </c>
      <c r="BU375" s="28"/>
      <c r="BV375" s="174">
        <v>11636</v>
      </c>
      <c r="BW375" s="28"/>
      <c r="BX375" s="174">
        <v>64384</v>
      </c>
      <c r="BY375" s="140">
        <v>121760</v>
      </c>
    </row>
    <row r="376" spans="3:77" ht="15" thickBot="1" x14ac:dyDescent="0.35">
      <c r="C376" s="28"/>
      <c r="D376" s="150" t="s">
        <v>211</v>
      </c>
      <c r="E376" s="36">
        <v>0</v>
      </c>
      <c r="F376" s="39">
        <v>0</v>
      </c>
      <c r="G376" s="18"/>
      <c r="H376" s="18"/>
      <c r="I376" s="18"/>
      <c r="J376" s="10"/>
      <c r="K376" s="11"/>
      <c r="L376" s="112" t="s">
        <v>316</v>
      </c>
      <c r="M376" s="37" t="s">
        <v>457</v>
      </c>
      <c r="N376" s="39"/>
      <c r="R376" s="67" t="s">
        <v>220</v>
      </c>
      <c r="S376" s="84">
        <v>7</v>
      </c>
      <c r="T376" s="54">
        <v>0</v>
      </c>
      <c r="U376" s="84"/>
      <c r="V376" s="45"/>
      <c r="W376" s="85"/>
      <c r="X376" s="45"/>
      <c r="Y376" s="85"/>
      <c r="Z376" s="179"/>
      <c r="AA376" s="54"/>
      <c r="AB376" s="180"/>
      <c r="AX376" s="196" t="s">
        <v>495</v>
      </c>
      <c r="AY376" s="138">
        <v>3</v>
      </c>
      <c r="AZ376" s="141">
        <v>4</v>
      </c>
      <c r="BA376" s="138"/>
      <c r="BB376" s="28"/>
      <c r="BC376" s="141"/>
      <c r="BD376" s="138"/>
      <c r="BE376" s="141"/>
      <c r="BF376" s="138" t="s">
        <v>146</v>
      </c>
      <c r="BG376" s="28"/>
      <c r="BH376" s="141" t="s">
        <v>1601</v>
      </c>
      <c r="BN376" s="271" t="s">
        <v>1505</v>
      </c>
      <c r="BO376" s="170"/>
      <c r="BP376" s="272"/>
      <c r="BQ376" s="271" t="s">
        <v>1506</v>
      </c>
      <c r="BR376" s="170"/>
      <c r="BS376" s="170"/>
      <c r="BT376" s="171"/>
      <c r="BU376" s="170" t="s">
        <v>1507</v>
      </c>
      <c r="BV376" s="170"/>
      <c r="BW376" s="170"/>
      <c r="BX376" s="308"/>
      <c r="BY376" s="28"/>
    </row>
    <row r="377" spans="3:77" x14ac:dyDescent="0.3">
      <c r="D377" s="150" t="s">
        <v>220</v>
      </c>
      <c r="E377" s="36">
        <v>2</v>
      </c>
      <c r="F377" s="39">
        <v>6</v>
      </c>
      <c r="G377" s="18"/>
      <c r="H377" s="18"/>
      <c r="I377" s="18"/>
      <c r="J377" s="10"/>
      <c r="K377" s="11"/>
      <c r="L377" s="36" t="s">
        <v>207</v>
      </c>
      <c r="M377" s="37" t="s">
        <v>458</v>
      </c>
      <c r="N377" s="114"/>
      <c r="R377" s="127" t="s">
        <v>196</v>
      </c>
      <c r="S377" s="84">
        <v>7</v>
      </c>
      <c r="T377" s="54">
        <v>0</v>
      </c>
      <c r="U377" s="42"/>
      <c r="V377" s="45"/>
      <c r="W377" s="40"/>
      <c r="X377" s="45"/>
      <c r="Y377" s="85"/>
      <c r="Z377" s="158"/>
      <c r="AA377" s="54"/>
      <c r="AB377" s="86"/>
      <c r="AX377" s="196" t="s">
        <v>704</v>
      </c>
      <c r="AY377" s="138">
        <v>4</v>
      </c>
      <c r="AZ377" s="141">
        <v>0</v>
      </c>
      <c r="BA377" s="138"/>
      <c r="BB377" s="28"/>
      <c r="BC377" s="141"/>
      <c r="BD377" s="138"/>
      <c r="BE377" s="141"/>
      <c r="BF377" s="138"/>
      <c r="BG377" s="28"/>
      <c r="BH377" s="141"/>
      <c r="BN377" s="53" t="s">
        <v>43</v>
      </c>
      <c r="BO377" s="34" t="s">
        <v>44</v>
      </c>
      <c r="BP377" s="309"/>
      <c r="BQ377" s="123" t="s">
        <v>43</v>
      </c>
      <c r="BR377" s="123" t="s">
        <v>44</v>
      </c>
      <c r="BS377" s="35"/>
      <c r="BT377" s="28"/>
      <c r="BU377" s="140">
        <v>3654</v>
      </c>
      <c r="BV377" s="28"/>
      <c r="BW377" s="28"/>
      <c r="BX377" s="40"/>
      <c r="BY377" s="28"/>
    </row>
    <row r="378" spans="3:77" ht="15" thickBot="1" x14ac:dyDescent="0.35">
      <c r="D378" s="36" t="s">
        <v>331</v>
      </c>
      <c r="E378" s="36">
        <v>0</v>
      </c>
      <c r="F378" s="39">
        <v>4</v>
      </c>
      <c r="G378" s="18"/>
      <c r="H378" s="18"/>
      <c r="I378" s="18"/>
      <c r="J378" s="10"/>
      <c r="K378" s="11"/>
      <c r="L378" s="36" t="s">
        <v>459</v>
      </c>
      <c r="M378" s="37" t="s">
        <v>460</v>
      </c>
      <c r="N378" s="39"/>
      <c r="R378" s="127" t="s">
        <v>218</v>
      </c>
      <c r="S378" s="84">
        <v>0</v>
      </c>
      <c r="T378" s="54">
        <v>29</v>
      </c>
      <c r="U378" s="42"/>
      <c r="V378" s="45">
        <v>0</v>
      </c>
      <c r="W378" s="40"/>
      <c r="X378" s="45"/>
      <c r="Y378" s="85"/>
      <c r="Z378" s="179"/>
      <c r="AA378" s="54"/>
      <c r="AB378" s="180"/>
      <c r="AX378" s="196" t="s">
        <v>99</v>
      </c>
      <c r="AY378" s="138">
        <v>4</v>
      </c>
      <c r="AZ378" s="141">
        <v>0</v>
      </c>
      <c r="BA378" s="138" t="s">
        <v>150</v>
      </c>
      <c r="BB378" s="28"/>
      <c r="BC378" s="141"/>
      <c r="BD378" s="138"/>
      <c r="BE378" s="141"/>
      <c r="BF378" s="138" t="s">
        <v>151</v>
      </c>
      <c r="BG378" s="28"/>
      <c r="BH378" s="141"/>
      <c r="BN378" s="310">
        <v>204250</v>
      </c>
      <c r="BO378" s="300">
        <v>205523</v>
      </c>
      <c r="BP378" s="311"/>
      <c r="BQ378" s="312">
        <v>80150</v>
      </c>
      <c r="BR378" s="300">
        <v>27555</v>
      </c>
      <c r="BS378" s="49"/>
      <c r="BT378" s="48"/>
      <c r="BU378" s="48"/>
      <c r="BV378" s="48"/>
      <c r="BW378" s="48"/>
      <c r="BX378" s="49"/>
      <c r="BY378" s="28"/>
    </row>
    <row r="379" spans="3:77" x14ac:dyDescent="0.3">
      <c r="D379" s="36" t="s">
        <v>429</v>
      </c>
      <c r="E379" s="10">
        <v>1</v>
      </c>
      <c r="F379" s="39">
        <v>0</v>
      </c>
      <c r="G379" s="18"/>
      <c r="H379" s="18"/>
      <c r="I379" s="37"/>
      <c r="J379" s="10"/>
      <c r="K379" s="11"/>
      <c r="L379" s="124" t="s">
        <v>461</v>
      </c>
      <c r="M379" s="37" t="s">
        <v>462</v>
      </c>
      <c r="N379" s="39"/>
      <c r="R379" s="181" t="s">
        <v>808</v>
      </c>
      <c r="S379" s="10">
        <v>2</v>
      </c>
      <c r="T379" s="18">
        <v>2</v>
      </c>
      <c r="U379" s="10"/>
      <c r="V379" s="18"/>
      <c r="W379" s="11"/>
      <c r="X379" s="18"/>
      <c r="Y379" s="11"/>
      <c r="Z379" s="179"/>
      <c r="AA379" s="37"/>
      <c r="AB379" s="182"/>
      <c r="AX379" s="196" t="s">
        <v>85</v>
      </c>
      <c r="AY379" s="138">
        <f>2+7+2</f>
        <v>11</v>
      </c>
      <c r="AZ379" s="141">
        <f>2+2+6+1</f>
        <v>11</v>
      </c>
      <c r="BA379" s="138"/>
      <c r="BB379" s="28"/>
      <c r="BC379" s="141"/>
      <c r="BD379" s="138"/>
      <c r="BE379" s="141"/>
      <c r="BF379" s="316" t="s">
        <v>1089</v>
      </c>
      <c r="BG379" s="257" t="s">
        <v>1616</v>
      </c>
      <c r="BH379" s="141" t="s">
        <v>1617</v>
      </c>
    </row>
    <row r="380" spans="3:77" ht="15" thickBot="1" x14ac:dyDescent="0.35">
      <c r="D380" s="93" t="s">
        <v>196</v>
      </c>
      <c r="E380" s="10">
        <v>2</v>
      </c>
      <c r="F380" s="39">
        <v>2</v>
      </c>
      <c r="G380" s="18"/>
      <c r="H380" s="18"/>
      <c r="I380" s="18"/>
      <c r="J380" s="10"/>
      <c r="K380" s="11"/>
      <c r="L380" s="52" t="s">
        <v>463</v>
      </c>
      <c r="M380" s="37" t="s">
        <v>464</v>
      </c>
      <c r="N380" s="39"/>
      <c r="R380" s="13" t="s">
        <v>84</v>
      </c>
      <c r="S380" s="13">
        <f>SUM(S355:S379)</f>
        <v>189</v>
      </c>
      <c r="T380" s="27">
        <f>SUM(T355:T379)</f>
        <v>191</v>
      </c>
      <c r="U380" s="13">
        <v>0</v>
      </c>
      <c r="V380" s="27">
        <f>SUM(V355:V379)</f>
        <v>5</v>
      </c>
      <c r="W380" s="26">
        <f>SUM(W355:W379)</f>
        <v>20</v>
      </c>
      <c r="X380" s="58">
        <v>0</v>
      </c>
      <c r="Y380" s="26">
        <v>0</v>
      </c>
      <c r="Z380" s="81"/>
      <c r="AA380" s="27"/>
      <c r="AB380" s="26">
        <f>5+4+11+5+5+7+11+5+6+4+7+4+4+6</f>
        <v>84</v>
      </c>
      <c r="AX380" s="196" t="s">
        <v>107</v>
      </c>
      <c r="AY380" s="138">
        <v>0</v>
      </c>
      <c r="AZ380" s="141">
        <v>0</v>
      </c>
      <c r="BA380" s="138"/>
      <c r="BB380" s="28">
        <v>8</v>
      </c>
      <c r="BC380" s="141"/>
      <c r="BD380" s="138"/>
      <c r="BE380" s="141"/>
      <c r="BF380" s="138" t="s">
        <v>343</v>
      </c>
      <c r="BG380" s="28" t="s">
        <v>1618</v>
      </c>
      <c r="BH380" s="141" t="s">
        <v>1619</v>
      </c>
    </row>
    <row r="381" spans="3:77" ht="15" thickBot="1" x14ac:dyDescent="0.35">
      <c r="D381" s="92" t="s">
        <v>64</v>
      </c>
      <c r="E381" s="84">
        <v>0</v>
      </c>
      <c r="F381" s="86">
        <v>3</v>
      </c>
      <c r="G381" s="45"/>
      <c r="H381" s="45"/>
      <c r="I381" s="45"/>
      <c r="J381" s="10"/>
      <c r="K381" s="11"/>
      <c r="L381" s="112" t="s">
        <v>465</v>
      </c>
      <c r="M381" s="54" t="s">
        <v>466</v>
      </c>
      <c r="N381" s="86"/>
      <c r="R381" s="13" t="s">
        <v>223</v>
      </c>
      <c r="S381" s="13">
        <f>SUM(S380+S354+S351+S347+S344+S341+S339)</f>
        <v>1898</v>
      </c>
      <c r="T381" s="26">
        <f>SUM(T380+T354+T351+T347+T344+T341+T339)</f>
        <v>1880</v>
      </c>
      <c r="U381" s="26">
        <f>SUM(U380+U354+U351+U347+U344+U341+U339)</f>
        <v>0</v>
      </c>
      <c r="V381" s="26">
        <f>SUM(V380+V354+V351+V347+V344+V341+V339)</f>
        <v>5</v>
      </c>
      <c r="W381" s="26">
        <f>SUM(W380+W354+W351+W347+W344+W341+W339)</f>
        <v>20</v>
      </c>
      <c r="X381" s="160">
        <f>SUM(X380+X354+X351+X347+X343+X341+X339)</f>
        <v>37622</v>
      </c>
      <c r="Y381" s="26">
        <f>SUM(Y380+Y354+Y351+Y347+Y343+Y341+Y339)</f>
        <v>9541</v>
      </c>
      <c r="Z381" s="81"/>
      <c r="AA381" s="27" t="s">
        <v>247</v>
      </c>
      <c r="AB381" s="26">
        <f>SUM(AB339:AB380)</f>
        <v>236</v>
      </c>
      <c r="AX381" s="196" t="s">
        <v>504</v>
      </c>
      <c r="AY381" s="138">
        <v>4</v>
      </c>
      <c r="AZ381" s="141">
        <v>6</v>
      </c>
      <c r="BA381" s="138"/>
      <c r="BB381" s="28"/>
      <c r="BC381" s="141"/>
      <c r="BD381" s="138"/>
      <c r="BE381" s="141"/>
      <c r="BF381" s="138" t="s">
        <v>896</v>
      </c>
      <c r="BG381" s="28" t="s">
        <v>272</v>
      </c>
      <c r="BH381" s="141" t="s">
        <v>1620</v>
      </c>
    </row>
    <row r="382" spans="3:77" x14ac:dyDescent="0.3">
      <c r="D382" s="127" t="s">
        <v>467</v>
      </c>
      <c r="E382" s="84">
        <v>24</v>
      </c>
      <c r="F382" s="86">
        <v>0</v>
      </c>
      <c r="G382" s="45"/>
      <c r="H382" s="45"/>
      <c r="I382" s="45"/>
      <c r="J382" s="84"/>
      <c r="K382" s="85"/>
      <c r="L382" s="52" t="s">
        <v>305</v>
      </c>
      <c r="M382" s="54"/>
      <c r="N382" s="40"/>
      <c r="R382" s="131" t="s">
        <v>225</v>
      </c>
      <c r="T382">
        <f>SUM(AB380)</f>
        <v>84</v>
      </c>
      <c r="V382" t="s">
        <v>809</v>
      </c>
      <c r="W382" s="132"/>
      <c r="AX382" s="196" t="s">
        <v>133</v>
      </c>
      <c r="AY382" s="138">
        <f>6+3+3</f>
        <v>12</v>
      </c>
      <c r="AZ382" s="141">
        <f>7+4+3</f>
        <v>14</v>
      </c>
      <c r="BA382" s="138"/>
      <c r="BB382" s="28"/>
      <c r="BC382" s="141"/>
      <c r="BD382" s="138"/>
      <c r="BE382" s="141"/>
      <c r="BF382" s="138" t="s">
        <v>160</v>
      </c>
      <c r="BG382" s="43" t="s">
        <v>1078</v>
      </c>
      <c r="BH382" s="141" t="s">
        <v>807</v>
      </c>
    </row>
    <row r="383" spans="3:77" x14ac:dyDescent="0.3">
      <c r="D383" s="127" t="s">
        <v>107</v>
      </c>
      <c r="E383" s="84">
        <v>2</v>
      </c>
      <c r="F383" s="86">
        <v>4</v>
      </c>
      <c r="G383" s="45"/>
      <c r="H383" s="45"/>
      <c r="I383" s="45"/>
      <c r="J383" s="84"/>
      <c r="K383" s="85"/>
      <c r="L383" s="52"/>
      <c r="M383" s="54"/>
      <c r="N383" s="40"/>
      <c r="R383" t="s">
        <v>229</v>
      </c>
      <c r="T383">
        <v>20</v>
      </c>
      <c r="AL383" t="s">
        <v>5</v>
      </c>
      <c r="AX383" s="196" t="s">
        <v>158</v>
      </c>
      <c r="AY383" s="138">
        <v>4</v>
      </c>
      <c r="AZ383" s="141">
        <v>4</v>
      </c>
      <c r="BA383" s="138"/>
      <c r="BB383" s="28"/>
      <c r="BC383" s="141"/>
      <c r="BD383" s="138"/>
      <c r="BE383" s="141"/>
      <c r="BF383" s="138" t="s">
        <v>1621</v>
      </c>
      <c r="BG383" s="220" t="s">
        <v>1622</v>
      </c>
      <c r="BH383" s="141" t="s">
        <v>258</v>
      </c>
    </row>
    <row r="384" spans="3:77" x14ac:dyDescent="0.3">
      <c r="D384" s="127" t="s">
        <v>468</v>
      </c>
      <c r="E384" s="84">
        <v>0</v>
      </c>
      <c r="F384" s="86">
        <v>2</v>
      </c>
      <c r="G384" s="28"/>
      <c r="H384" s="45"/>
      <c r="I384" s="28"/>
      <c r="J384" s="84"/>
      <c r="K384" s="85"/>
      <c r="L384" s="98"/>
      <c r="M384" s="54"/>
      <c r="N384" s="86"/>
      <c r="R384" t="s">
        <v>232</v>
      </c>
      <c r="T384" t="s">
        <v>233</v>
      </c>
      <c r="V384">
        <f>SUM(G381)</f>
        <v>0</v>
      </c>
      <c r="X384" t="s">
        <v>234</v>
      </c>
      <c r="Z384" t="s">
        <v>233</v>
      </c>
      <c r="AB384">
        <f>SUM(S381)</f>
        <v>1898</v>
      </c>
      <c r="AM384" t="s">
        <v>2</v>
      </c>
      <c r="AW384" t="s">
        <v>6</v>
      </c>
      <c r="AX384" s="196" t="s">
        <v>139</v>
      </c>
      <c r="AY384" s="138">
        <v>8</v>
      </c>
      <c r="AZ384" s="141">
        <v>2</v>
      </c>
      <c r="BA384" s="138"/>
      <c r="BB384" s="28"/>
      <c r="BC384" s="141"/>
      <c r="BD384" s="138"/>
      <c r="BE384" s="141"/>
      <c r="BF384" s="315" t="s">
        <v>1623</v>
      </c>
      <c r="BG384" s="220" t="s">
        <v>981</v>
      </c>
      <c r="BH384" s="141" t="s">
        <v>563</v>
      </c>
    </row>
    <row r="385" spans="3:60" x14ac:dyDescent="0.3">
      <c r="D385" s="127" t="s">
        <v>218</v>
      </c>
      <c r="E385" s="84">
        <v>27</v>
      </c>
      <c r="F385" s="86">
        <f>27+12</f>
        <v>39</v>
      </c>
      <c r="G385" s="28"/>
      <c r="H385" s="45">
        <v>1</v>
      </c>
      <c r="I385" s="28"/>
      <c r="J385" s="84"/>
      <c r="K385" s="85"/>
      <c r="L385" s="52"/>
      <c r="M385" s="54"/>
      <c r="N385" s="40"/>
      <c r="Q385" t="s">
        <v>6</v>
      </c>
      <c r="T385" t="s">
        <v>236</v>
      </c>
      <c r="V385">
        <f>SUM(H381)</f>
        <v>0</v>
      </c>
      <c r="Z385" t="s">
        <v>236</v>
      </c>
      <c r="AB385">
        <f>SUM(T381)</f>
        <v>1880</v>
      </c>
      <c r="AK385" t="s">
        <v>13</v>
      </c>
      <c r="AX385" s="196" t="s">
        <v>1624</v>
      </c>
      <c r="AY385" s="138">
        <v>0</v>
      </c>
      <c r="AZ385" s="141">
        <v>130</v>
      </c>
      <c r="BA385" s="138"/>
      <c r="BB385" s="28"/>
      <c r="BC385" s="141"/>
      <c r="BD385" s="138"/>
      <c r="BE385" s="141"/>
      <c r="BF385" s="316" t="s">
        <v>283</v>
      </c>
      <c r="BG385" s="220" t="s">
        <v>517</v>
      </c>
      <c r="BH385" s="209" t="s">
        <v>1063</v>
      </c>
    </row>
    <row r="386" spans="3:60" ht="15.6" x14ac:dyDescent="0.3">
      <c r="D386" s="98" t="s">
        <v>470</v>
      </c>
      <c r="E386" s="10">
        <v>0</v>
      </c>
      <c r="F386" s="11">
        <v>2</v>
      </c>
      <c r="G386" s="18"/>
      <c r="H386" s="18"/>
      <c r="I386" s="18"/>
      <c r="J386" s="10"/>
      <c r="K386" s="11"/>
      <c r="L386" s="52"/>
      <c r="M386" s="37"/>
      <c r="N386" s="129"/>
      <c r="R386" s="134" t="s">
        <v>238</v>
      </c>
      <c r="S386" s="135" t="s">
        <v>239</v>
      </c>
      <c r="T386" s="136"/>
      <c r="U386" s="134" t="s">
        <v>240</v>
      </c>
      <c r="V386" s="135" t="s">
        <v>241</v>
      </c>
      <c r="W386" s="136"/>
      <c r="X386" s="134"/>
      <c r="Y386" s="135" t="s">
        <v>242</v>
      </c>
      <c r="Z386" s="137" t="s">
        <v>243</v>
      </c>
      <c r="AA386" s="135"/>
      <c r="AB386" s="135"/>
      <c r="AC386" s="136"/>
      <c r="AD386" s="28"/>
      <c r="AE386" s="28"/>
      <c r="AF386" s="28"/>
      <c r="AM386" t="s">
        <v>1070</v>
      </c>
      <c r="AQ386" s="194" t="s">
        <v>950</v>
      </c>
      <c r="AX386" s="196" t="s">
        <v>1611</v>
      </c>
      <c r="AY386" s="138">
        <v>0</v>
      </c>
      <c r="AZ386" s="141">
        <v>0</v>
      </c>
      <c r="BA386" s="138"/>
      <c r="BB386" s="28"/>
      <c r="BC386" s="141"/>
      <c r="BD386" s="138"/>
      <c r="BE386" s="141"/>
      <c r="BF386" s="138" t="s">
        <v>1625</v>
      </c>
      <c r="BG386" s="258" t="s">
        <v>942</v>
      </c>
      <c r="BH386" s="261" t="s">
        <v>1277</v>
      </c>
    </row>
    <row r="387" spans="3:60" ht="15" thickBot="1" x14ac:dyDescent="0.35">
      <c r="D387" s="13" t="s">
        <v>84</v>
      </c>
      <c r="E387" s="13">
        <f>SUM(E364:E386)</f>
        <v>279</v>
      </c>
      <c r="F387" s="26">
        <f>SUM(F364:F386)</f>
        <v>302</v>
      </c>
      <c r="G387" s="27">
        <v>0</v>
      </c>
      <c r="H387" s="27">
        <f>SUM(H364:H386)</f>
        <v>1</v>
      </c>
      <c r="I387" s="27">
        <v>0</v>
      </c>
      <c r="J387" s="130">
        <v>0</v>
      </c>
      <c r="K387" s="26">
        <v>0</v>
      </c>
      <c r="L387" s="59"/>
      <c r="M387" s="27"/>
      <c r="N387" s="26">
        <f>10+4+6+6+7+10+2+2+1+1+5+3+2+12+2+2+6+4+7+6+5+12+1</f>
        <v>116</v>
      </c>
      <c r="R387" s="138" t="s">
        <v>233</v>
      </c>
      <c r="S387" s="28"/>
      <c r="T387" s="139" t="e">
        <f>SUM(#REF!)</f>
        <v>#REF!</v>
      </c>
      <c r="U387" s="138" t="s">
        <v>233</v>
      </c>
      <c r="V387" s="28"/>
      <c r="W387" s="139" t="e">
        <f>SUM(#REF!)</f>
        <v>#REF!</v>
      </c>
      <c r="X387" s="138" t="s">
        <v>233</v>
      </c>
      <c r="Y387" s="28"/>
      <c r="Z387" s="140" t="e">
        <f>SUM(AB384+W387)</f>
        <v>#REF!</v>
      </c>
      <c r="AA387" s="28" t="s">
        <v>245</v>
      </c>
      <c r="AB387" s="140" t="e">
        <f>SUM(Z387+T387)</f>
        <v>#REF!</v>
      </c>
      <c r="AC387" s="139"/>
      <c r="AD387" s="140"/>
      <c r="AE387" s="140"/>
      <c r="AF387" s="140"/>
      <c r="AH387" s="195" t="s">
        <v>17</v>
      </c>
      <c r="AI387" s="134" t="s">
        <v>27</v>
      </c>
      <c r="AJ387" s="136"/>
      <c r="AK387" s="135" t="s">
        <v>28</v>
      </c>
      <c r="AL387" s="135"/>
      <c r="AM387" s="135"/>
      <c r="AN387" s="135" t="s">
        <v>29</v>
      </c>
      <c r="AO387" s="135" t="s">
        <v>30</v>
      </c>
      <c r="AP387" s="135" t="s">
        <v>31</v>
      </c>
      <c r="AQ387" s="135"/>
      <c r="AR387" s="136"/>
      <c r="AS387" s="28"/>
      <c r="AT387" s="28"/>
      <c r="AX387" s="196" t="s">
        <v>108</v>
      </c>
      <c r="AY387" s="138">
        <v>2</v>
      </c>
      <c r="AZ387" s="141">
        <v>9</v>
      </c>
      <c r="BA387" s="138"/>
      <c r="BB387" s="28"/>
      <c r="BC387" s="141"/>
      <c r="BD387" s="138"/>
      <c r="BE387" s="141"/>
      <c r="BF387" s="138" t="s">
        <v>1074</v>
      </c>
      <c r="BG387" s="222" t="s">
        <v>744</v>
      </c>
      <c r="BH387" s="141" t="s">
        <v>1626</v>
      </c>
    </row>
    <row r="388" spans="3:60" ht="16.2" thickBot="1" x14ac:dyDescent="0.35">
      <c r="D388" s="13" t="s">
        <v>223</v>
      </c>
      <c r="E388" s="13">
        <f>SUM(E387+E363+E360+E356+E353+E350+E348+E346)</f>
        <v>1822</v>
      </c>
      <c r="F388" s="26">
        <f>SUM(F387+F363+F360+F356+F353+F350+F348+F346)</f>
        <v>1843</v>
      </c>
      <c r="G388" s="27">
        <f>SUM(G387+G363+G356+G352+G350+G348+G345)</f>
        <v>0</v>
      </c>
      <c r="H388" s="27">
        <f>SUM(H364:H386)</f>
        <v>1</v>
      </c>
      <c r="I388" s="27">
        <f>SUM(I387+I363+I356+I352+I350+I348+I345)</f>
        <v>0</v>
      </c>
      <c r="J388" s="13">
        <f>SUM(J387+J363+J356+J352+J350+J348+J345)</f>
        <v>48658</v>
      </c>
      <c r="K388" s="26">
        <f>SUM(K387+K363+K356+K352+K350+K348+K345)</f>
        <v>12652</v>
      </c>
      <c r="L388" s="81"/>
      <c r="M388" s="27" t="s">
        <v>189</v>
      </c>
      <c r="N388" s="26">
        <f>SUM(N345:N386)</f>
        <v>171</v>
      </c>
      <c r="R388" s="142" t="s">
        <v>236</v>
      </c>
      <c r="S388" s="143"/>
      <c r="T388" s="144" t="e">
        <f>SUM(#REF!)</f>
        <v>#REF!</v>
      </c>
      <c r="U388" s="142" t="s">
        <v>236</v>
      </c>
      <c r="V388" s="143"/>
      <c r="W388" s="144" t="e">
        <f>SUM(#REF!)</f>
        <v>#REF!</v>
      </c>
      <c r="X388" s="142" t="s">
        <v>236</v>
      </c>
      <c r="Y388" s="143"/>
      <c r="Z388" s="145" t="e">
        <f>SUM(AB385+W388)</f>
        <v>#REF!</v>
      </c>
      <c r="AA388" s="143"/>
      <c r="AB388" s="145" t="e">
        <f>SUM(Z388+T388)</f>
        <v>#REF!</v>
      </c>
      <c r="AC388" s="144"/>
      <c r="AD388" s="140"/>
      <c r="AE388" s="140"/>
      <c r="AF388" s="140"/>
      <c r="AH388" s="196"/>
      <c r="AI388" s="138"/>
      <c r="AJ388" s="141"/>
      <c r="AK388" s="28"/>
      <c r="AL388" s="28"/>
      <c r="AM388" s="28"/>
      <c r="AN388" s="28"/>
      <c r="AO388" s="28" t="s">
        <v>6</v>
      </c>
      <c r="AP388" s="28" t="s">
        <v>41</v>
      </c>
      <c r="AQ388" s="28"/>
      <c r="AR388" s="141"/>
      <c r="AS388" s="28"/>
      <c r="AT388" s="28"/>
      <c r="AX388" s="259" t="s">
        <v>220</v>
      </c>
      <c r="AY388" s="138">
        <v>0</v>
      </c>
      <c r="AZ388" s="141">
        <v>0</v>
      </c>
      <c r="BA388" s="138"/>
      <c r="BB388" s="28"/>
      <c r="BC388" s="141"/>
      <c r="BD388" s="138"/>
      <c r="BE388" s="141"/>
      <c r="BF388" s="138" t="s">
        <v>1627</v>
      </c>
      <c r="BG388" s="258" t="s">
        <v>1568</v>
      </c>
      <c r="BH388" s="141" t="s">
        <v>456</v>
      </c>
    </row>
    <row r="389" spans="3:60" ht="15.6" x14ac:dyDescent="0.3">
      <c r="D389" s="131" t="s">
        <v>225</v>
      </c>
      <c r="F389">
        <f>SUM(N387)</f>
        <v>116</v>
      </c>
      <c r="I389" s="132"/>
      <c r="AB389" s="184"/>
      <c r="AC389" s="184"/>
      <c r="AD389" s="184"/>
      <c r="AE389" s="184"/>
      <c r="AF389" s="184"/>
      <c r="AH389" s="199" t="s">
        <v>42</v>
      </c>
      <c r="AI389" s="142" t="s">
        <v>43</v>
      </c>
      <c r="AJ389" s="146" t="s">
        <v>44</v>
      </c>
      <c r="AK389" s="143" t="s">
        <v>45</v>
      </c>
      <c r="AL389" s="143" t="s">
        <v>46</v>
      </c>
      <c r="AM389" s="143" t="s">
        <v>52</v>
      </c>
      <c r="AN389" s="143" t="s">
        <v>43</v>
      </c>
      <c r="AO389" s="143" t="s">
        <v>44</v>
      </c>
      <c r="AP389" s="143" t="s">
        <v>54</v>
      </c>
      <c r="AQ389" s="143"/>
      <c r="AR389" s="146"/>
      <c r="AS389" s="28"/>
      <c r="AT389" s="28"/>
      <c r="AU389" s="28"/>
      <c r="AX389" s="196" t="s">
        <v>564</v>
      </c>
      <c r="AY389" s="138">
        <f>7+4</f>
        <v>11</v>
      </c>
      <c r="AZ389" s="141">
        <f>7+4</f>
        <v>11</v>
      </c>
      <c r="BA389" s="138"/>
      <c r="BB389" s="28"/>
      <c r="BC389" s="141"/>
      <c r="BD389" s="138"/>
      <c r="BE389" s="141"/>
      <c r="BF389" s="138" t="s">
        <v>1086</v>
      </c>
      <c r="BG389" s="258" t="s">
        <v>1628</v>
      </c>
      <c r="BH389" s="141" t="s">
        <v>1629</v>
      </c>
    </row>
    <row r="390" spans="3:60" ht="15.6" x14ac:dyDescent="0.3">
      <c r="D390" t="s">
        <v>229</v>
      </c>
      <c r="F390">
        <v>32</v>
      </c>
      <c r="AH390" s="195" t="s">
        <v>1071</v>
      </c>
      <c r="AI390" s="135">
        <v>43</v>
      </c>
      <c r="AJ390" s="135">
        <v>29</v>
      </c>
      <c r="AK390" s="134"/>
      <c r="AL390" s="135"/>
      <c r="AM390" s="135"/>
      <c r="AN390" s="134"/>
      <c r="AO390" s="136"/>
      <c r="AP390" s="135" t="s">
        <v>58</v>
      </c>
      <c r="AQ390" s="135"/>
      <c r="AR390" s="136"/>
      <c r="AS390" s="28"/>
      <c r="AT390" s="28"/>
      <c r="AU390" s="28"/>
      <c r="AX390" s="196" t="s">
        <v>862</v>
      </c>
      <c r="AY390" s="138">
        <v>0</v>
      </c>
      <c r="AZ390" s="141">
        <v>17</v>
      </c>
      <c r="BA390" s="138"/>
      <c r="BB390" s="28"/>
      <c r="BC390" s="141"/>
      <c r="BD390" s="138"/>
      <c r="BE390" s="141"/>
      <c r="BF390" s="138" t="s">
        <v>614</v>
      </c>
      <c r="BG390" s="258" t="s">
        <v>890</v>
      </c>
      <c r="BH390" s="141" t="s">
        <v>1630</v>
      </c>
    </row>
    <row r="391" spans="3:60" x14ac:dyDescent="0.3">
      <c r="D391" t="s">
        <v>232</v>
      </c>
      <c r="F391" t="s">
        <v>233</v>
      </c>
      <c r="H391" t="e">
        <f>SUM(#REF!)</f>
        <v>#REF!</v>
      </c>
      <c r="J391" t="s">
        <v>234</v>
      </c>
      <c r="L391" t="s">
        <v>233</v>
      </c>
      <c r="N391">
        <f>SUM(E388)</f>
        <v>1822</v>
      </c>
      <c r="AH391" s="196" t="s">
        <v>64</v>
      </c>
      <c r="AI391" s="28">
        <v>155</v>
      </c>
      <c r="AJ391" s="28">
        <v>148</v>
      </c>
      <c r="AK391" s="138">
        <v>0</v>
      </c>
      <c r="AL391" s="28">
        <v>0</v>
      </c>
      <c r="AM391" s="28">
        <v>0</v>
      </c>
      <c r="AN391" s="138">
        <v>0</v>
      </c>
      <c r="AO391" s="141">
        <v>0</v>
      </c>
      <c r="AP391" s="43">
        <v>16</v>
      </c>
      <c r="AQ391" s="28" t="s">
        <v>474</v>
      </c>
      <c r="AR391" s="141" t="s">
        <v>6</v>
      </c>
      <c r="AS391" s="28"/>
      <c r="AT391" s="28"/>
      <c r="AU391" s="28"/>
      <c r="AX391" s="196" t="s">
        <v>200</v>
      </c>
      <c r="AY391" s="138">
        <v>10</v>
      </c>
      <c r="AZ391" s="141">
        <v>2</v>
      </c>
      <c r="BA391" s="138"/>
      <c r="BB391" s="28"/>
      <c r="BC391" s="141"/>
      <c r="BD391" s="138"/>
      <c r="BE391" s="141"/>
      <c r="BF391" s="138"/>
      <c r="BG391" s="28"/>
      <c r="BH391" s="141"/>
    </row>
    <row r="392" spans="3:60" x14ac:dyDescent="0.3">
      <c r="C392" t="s">
        <v>6</v>
      </c>
      <c r="F392" t="s">
        <v>236</v>
      </c>
      <c r="H392" t="e">
        <f>SUM(#REF!)</f>
        <v>#REF!</v>
      </c>
      <c r="L392" t="s">
        <v>236</v>
      </c>
      <c r="N392">
        <f>SUM(F388)</f>
        <v>1843</v>
      </c>
      <c r="AH392" s="196" t="s">
        <v>108</v>
      </c>
      <c r="AI392">
        <v>5</v>
      </c>
      <c r="AJ392">
        <v>14</v>
      </c>
      <c r="AK392" s="138"/>
      <c r="AL392" s="28"/>
      <c r="AM392" s="28"/>
      <c r="AN392" s="138"/>
      <c r="AO392" s="141"/>
      <c r="AP392" s="28">
        <v>2</v>
      </c>
      <c r="AQ392" s="28" t="s">
        <v>1045</v>
      </c>
      <c r="AR392" s="141"/>
      <c r="AS392" s="28"/>
      <c r="AT392" s="28"/>
      <c r="AU392" s="28"/>
      <c r="AX392" s="196" t="s">
        <v>169</v>
      </c>
      <c r="AY392" s="138">
        <v>16</v>
      </c>
      <c r="AZ392" s="141">
        <f>2+2+1</f>
        <v>5</v>
      </c>
      <c r="BA392" s="138"/>
      <c r="BB392" s="28"/>
      <c r="BC392" s="141"/>
      <c r="BD392" s="138"/>
      <c r="BE392" s="141"/>
      <c r="BF392" s="138"/>
      <c r="BG392" s="28"/>
      <c r="BH392" s="141"/>
    </row>
    <row r="393" spans="3:60" x14ac:dyDescent="0.3">
      <c r="D393" s="134" t="s">
        <v>238</v>
      </c>
      <c r="E393" s="135" t="s">
        <v>239</v>
      </c>
      <c r="F393" s="136"/>
      <c r="G393" s="134" t="s">
        <v>240</v>
      </c>
      <c r="H393" s="135" t="s">
        <v>241</v>
      </c>
      <c r="I393" s="136"/>
      <c r="J393" s="134"/>
      <c r="K393" s="135" t="s">
        <v>242</v>
      </c>
      <c r="L393" s="137" t="s">
        <v>243</v>
      </c>
      <c r="M393" s="135"/>
      <c r="N393" s="135"/>
      <c r="O393" s="136"/>
      <c r="AH393" s="199" t="s">
        <v>84</v>
      </c>
      <c r="AI393" s="143">
        <f>SUM(AI390:AI392)</f>
        <v>203</v>
      </c>
      <c r="AJ393" s="143">
        <f>SUM(AJ390:AJ392)</f>
        <v>191</v>
      </c>
      <c r="AK393" s="142"/>
      <c r="AL393" s="143"/>
      <c r="AM393" s="143"/>
      <c r="AN393" s="142"/>
      <c r="AO393" s="146"/>
      <c r="AP393" s="143">
        <v>6</v>
      </c>
      <c r="AQ393" s="143" t="s">
        <v>69</v>
      </c>
      <c r="AR393" s="146">
        <f>SUM(AP391:AP393)</f>
        <v>24</v>
      </c>
      <c r="AS393" s="28"/>
      <c r="AT393" s="28"/>
      <c r="AU393" s="28"/>
      <c r="AX393" s="196" t="s">
        <v>596</v>
      </c>
      <c r="AY393" s="138">
        <v>1</v>
      </c>
      <c r="AZ393" s="141">
        <v>0</v>
      </c>
      <c r="BA393" s="138"/>
      <c r="BB393" s="28"/>
      <c r="BC393" s="141"/>
      <c r="BD393" s="138"/>
      <c r="BE393" s="141"/>
      <c r="BF393" s="138"/>
      <c r="BG393" s="28"/>
      <c r="BH393" s="141"/>
    </row>
    <row r="394" spans="3:60" x14ac:dyDescent="0.3">
      <c r="D394" s="138" t="s">
        <v>233</v>
      </c>
      <c r="E394" s="28"/>
      <c r="F394" s="139" t="e">
        <f>SUM(#REF!)</f>
        <v>#REF!</v>
      </c>
      <c r="G394" s="138" t="s">
        <v>233</v>
      </c>
      <c r="H394" s="28"/>
      <c r="I394" s="139" t="e">
        <f>SUM(#REF!)</f>
        <v>#REF!</v>
      </c>
      <c r="J394" s="138" t="s">
        <v>233</v>
      </c>
      <c r="K394" s="28"/>
      <c r="L394" s="140" t="e">
        <f>SUM(N391+I394)</f>
        <v>#REF!</v>
      </c>
      <c r="M394" s="28" t="s">
        <v>245</v>
      </c>
      <c r="N394" s="28" t="e">
        <f>SUM(L394+F394)</f>
        <v>#REF!</v>
      </c>
      <c r="O394" s="141"/>
      <c r="AH394" s="195" t="s">
        <v>174</v>
      </c>
      <c r="AI394" s="134"/>
      <c r="AJ394" s="136"/>
      <c r="AK394" s="135"/>
      <c r="AL394" s="135">
        <v>0</v>
      </c>
      <c r="AM394" s="135"/>
      <c r="AN394" s="134"/>
      <c r="AO394" s="136"/>
      <c r="AP394" s="135" t="s">
        <v>82</v>
      </c>
      <c r="AQ394" s="135"/>
      <c r="AR394" s="136"/>
      <c r="AS394" s="28"/>
      <c r="AT394" s="28"/>
      <c r="AU394" s="28"/>
      <c r="AX394" s="196" t="s">
        <v>218</v>
      </c>
      <c r="AY394" s="138">
        <v>0</v>
      </c>
      <c r="AZ394" s="141">
        <f>40+5</f>
        <v>45</v>
      </c>
      <c r="BA394" s="138"/>
      <c r="BB394" s="28">
        <v>0</v>
      </c>
      <c r="BC394" s="141"/>
      <c r="BD394" s="138"/>
      <c r="BE394" s="141"/>
      <c r="BF394" s="138"/>
      <c r="BG394" s="28"/>
      <c r="BH394" s="141"/>
    </row>
    <row r="395" spans="3:60" x14ac:dyDescent="0.3">
      <c r="D395" s="142" t="s">
        <v>236</v>
      </c>
      <c r="E395" s="143"/>
      <c r="F395" s="144" t="e">
        <f>SUM(#REF!)</f>
        <v>#REF!</v>
      </c>
      <c r="G395" s="142" t="s">
        <v>236</v>
      </c>
      <c r="H395" s="143"/>
      <c r="I395" s="144" t="e">
        <f>SUM(#REF!)</f>
        <v>#REF!</v>
      </c>
      <c r="J395" s="142" t="s">
        <v>236</v>
      </c>
      <c r="K395" s="143"/>
      <c r="L395" s="145" t="e">
        <f>SUM(N392+I395)</f>
        <v>#REF!</v>
      </c>
      <c r="M395" s="143"/>
      <c r="N395" s="143" t="e">
        <f>SUM(L395+F395)</f>
        <v>#REF!</v>
      </c>
      <c r="O395" s="146"/>
      <c r="AH395" s="199" t="s">
        <v>85</v>
      </c>
      <c r="AI395" s="142">
        <v>0</v>
      </c>
      <c r="AJ395" s="146">
        <v>0</v>
      </c>
      <c r="AK395" s="143"/>
      <c r="AL395" s="143">
        <v>0</v>
      </c>
      <c r="AM395" s="143">
        <v>0</v>
      </c>
      <c r="AN395" s="142">
        <v>0</v>
      </c>
      <c r="AO395" s="146">
        <v>0</v>
      </c>
      <c r="AP395" s="143">
        <v>0</v>
      </c>
      <c r="AQ395" s="143" t="s">
        <v>86</v>
      </c>
      <c r="AR395" s="146">
        <f>SUM(AP395)</f>
        <v>0</v>
      </c>
      <c r="AS395" s="28"/>
      <c r="AT395" s="28"/>
      <c r="AU395" s="28"/>
      <c r="AX395" s="196" t="s">
        <v>93</v>
      </c>
      <c r="AY395" s="138">
        <v>0</v>
      </c>
      <c r="AZ395" s="141">
        <v>4</v>
      </c>
      <c r="BA395" s="138"/>
      <c r="BB395" s="28"/>
      <c r="BC395" s="141"/>
      <c r="BD395" s="138"/>
      <c r="BE395" s="141"/>
      <c r="BF395" s="138"/>
      <c r="BG395" s="28"/>
      <c r="BH395" s="141"/>
    </row>
    <row r="396" spans="3:60" ht="15.6" x14ac:dyDescent="0.3">
      <c r="U396" s="1"/>
      <c r="V396" s="1" t="s">
        <v>5</v>
      </c>
      <c r="W396" s="1"/>
      <c r="X396" s="1"/>
      <c r="Y396" s="1"/>
      <c r="Z396" s="1"/>
      <c r="AH396" s="195" t="s">
        <v>107</v>
      </c>
      <c r="AI396" s="134">
        <v>0</v>
      </c>
      <c r="AJ396" s="136">
        <v>0</v>
      </c>
      <c r="AK396" s="135"/>
      <c r="AL396" s="135"/>
      <c r="AM396" s="135"/>
      <c r="AN396" s="134"/>
      <c r="AO396" s="136"/>
      <c r="AP396" s="135"/>
      <c r="AQ396" s="135" t="s">
        <v>92</v>
      </c>
      <c r="AR396" s="136"/>
      <c r="AS396" s="28"/>
      <c r="AT396" s="28"/>
      <c r="AU396" s="28"/>
      <c r="AX396" s="199" t="s">
        <v>84</v>
      </c>
      <c r="AY396" s="142">
        <f>SUM(AY372:AY395)</f>
        <v>163</v>
      </c>
      <c r="AZ396" s="146">
        <f>SUM(AZ372:AZ395)</f>
        <v>310</v>
      </c>
      <c r="BA396" s="142">
        <v>0</v>
      </c>
      <c r="BB396" s="143">
        <f>SUM(BB372:BB395)</f>
        <v>8</v>
      </c>
      <c r="BC396" s="146">
        <f>SUM(BC372:BC395)</f>
        <v>0</v>
      </c>
      <c r="BD396" s="142">
        <v>0</v>
      </c>
      <c r="BE396" s="146">
        <v>0</v>
      </c>
      <c r="BF396" s="142"/>
      <c r="BG396" s="143"/>
      <c r="BH396" s="146">
        <f>11+4+5+5+7+7+3+3+8+3+5+5+2+1</f>
        <v>69</v>
      </c>
    </row>
    <row r="397" spans="3:60" x14ac:dyDescent="0.3">
      <c r="W397" t="s">
        <v>2</v>
      </c>
      <c r="AH397" s="196" t="s">
        <v>99</v>
      </c>
      <c r="AI397" s="138">
        <v>0</v>
      </c>
      <c r="AJ397" s="141">
        <v>0</v>
      </c>
      <c r="AK397" s="28">
        <v>0</v>
      </c>
      <c r="AL397" s="28">
        <v>0</v>
      </c>
      <c r="AM397" s="28">
        <v>0</v>
      </c>
      <c r="AN397" s="138">
        <v>66214</v>
      </c>
      <c r="AO397" s="141">
        <v>19089</v>
      </c>
      <c r="AP397" s="43">
        <v>24</v>
      </c>
      <c r="AQ397" s="28" t="s">
        <v>100</v>
      </c>
      <c r="AR397" s="141"/>
      <c r="AS397" s="28"/>
      <c r="AT397" s="28"/>
      <c r="AU397" s="28"/>
      <c r="AX397" t="s">
        <v>223</v>
      </c>
      <c r="AY397">
        <f>SUM(AY396+AY371+AY366+AY359+AY356+AY354+AY368)</f>
        <v>4347</v>
      </c>
      <c r="AZ397">
        <f>SUM(AZ396+AZ371+AZ366+AZ359+AZ354+AZ356+AZ368)</f>
        <v>5048</v>
      </c>
      <c r="BA397">
        <v>0</v>
      </c>
      <c r="BB397">
        <f>SUM(BB396+BB371+BB366+BB359+BB356+BB353)</f>
        <v>8</v>
      </c>
      <c r="BC397">
        <f>SUM(BC396)</f>
        <v>0</v>
      </c>
      <c r="BD397">
        <f>SUM(BD396+BD371+BD366+BD358+BD356+BD353)</f>
        <v>83397</v>
      </c>
      <c r="BE397">
        <f>SUM(BE396+BE371+BE366+BE358+BE356+BE353)</f>
        <v>20907</v>
      </c>
      <c r="BG397" t="s">
        <v>939</v>
      </c>
      <c r="BH397">
        <f>SUM(+BH371+BH366+BH359+BH356+BH354)</f>
        <v>185</v>
      </c>
    </row>
    <row r="398" spans="3:60" x14ac:dyDescent="0.3">
      <c r="U398" t="s">
        <v>13</v>
      </c>
      <c r="AH398" s="199" t="s">
        <v>84</v>
      </c>
      <c r="AI398" s="138">
        <f>SUM(AI396:AI397)</f>
        <v>0</v>
      </c>
      <c r="AJ398" s="141">
        <f>SUM(AJ395:AJ397)</f>
        <v>0</v>
      </c>
      <c r="AK398" s="143"/>
      <c r="AL398" s="143"/>
      <c r="AM398" s="143"/>
      <c r="AN398" s="142"/>
      <c r="AO398" s="146"/>
      <c r="AP398" s="143">
        <v>0</v>
      </c>
      <c r="AQ398" s="143" t="s">
        <v>506</v>
      </c>
      <c r="AR398" s="146">
        <f>SUM(AP397:AP398)</f>
        <v>24</v>
      </c>
      <c r="AS398" s="28"/>
      <c r="AT398" s="28"/>
      <c r="AU398" s="28"/>
      <c r="AX398" t="s">
        <v>1340</v>
      </c>
      <c r="AZ398">
        <f>SUM(BH396)</f>
        <v>69</v>
      </c>
    </row>
    <row r="399" spans="3:60" ht="15" thickBot="1" x14ac:dyDescent="0.35">
      <c r="W399" t="s">
        <v>810</v>
      </c>
      <c r="AA399" s="5" t="s">
        <v>16</v>
      </c>
      <c r="AE399" s="28" t="s">
        <v>91</v>
      </c>
      <c r="AF399">
        <v>2016</v>
      </c>
      <c r="AG399">
        <v>7</v>
      </c>
      <c r="AH399" s="138" t="s">
        <v>89</v>
      </c>
      <c r="AI399" s="134">
        <v>664</v>
      </c>
      <c r="AJ399" s="136">
        <v>600</v>
      </c>
      <c r="AN399" s="134"/>
      <c r="AO399" s="136"/>
      <c r="AP399" s="28"/>
      <c r="AQ399" s="28" t="s">
        <v>91</v>
      </c>
      <c r="AR399" s="141"/>
      <c r="AS399" s="28"/>
      <c r="AT399" s="28"/>
      <c r="AU399" s="28"/>
      <c r="AX399" t="s">
        <v>229</v>
      </c>
      <c r="AZ399">
        <f>2+4+2+16+2+7</f>
        <v>33</v>
      </c>
    </row>
    <row r="400" spans="3:60" x14ac:dyDescent="0.3">
      <c r="R400" s="6" t="s">
        <v>17</v>
      </c>
      <c r="S400" s="6" t="s">
        <v>27</v>
      </c>
      <c r="T400" s="7"/>
      <c r="U400" s="8" t="s">
        <v>28</v>
      </c>
      <c r="V400" s="8"/>
      <c r="W400" s="8"/>
      <c r="X400" s="6" t="s">
        <v>29</v>
      </c>
      <c r="Y400" s="7" t="s">
        <v>30</v>
      </c>
      <c r="Z400" s="8" t="s">
        <v>31</v>
      </c>
      <c r="AA400" s="8"/>
      <c r="AB400" s="7"/>
      <c r="AE400" s="28" t="s">
        <v>91</v>
      </c>
      <c r="AF400">
        <v>2016</v>
      </c>
      <c r="AG400">
        <v>7</v>
      </c>
      <c r="AH400" s="138" t="s">
        <v>137</v>
      </c>
      <c r="AI400" s="138">
        <v>131</v>
      </c>
      <c r="AJ400" s="141">
        <v>161</v>
      </c>
      <c r="AN400" s="138"/>
      <c r="AO400" s="141"/>
      <c r="AP400" s="43">
        <v>22</v>
      </c>
      <c r="AQ400" s="43" t="s">
        <v>145</v>
      </c>
      <c r="AR400" s="141"/>
      <c r="AS400" s="28"/>
      <c r="AT400" s="28"/>
      <c r="AU400" s="28"/>
      <c r="AW400" t="s">
        <v>6</v>
      </c>
      <c r="AX400" t="s">
        <v>232</v>
      </c>
      <c r="AZ400" s="178" t="s">
        <v>233</v>
      </c>
      <c r="BB400">
        <f>SUM(AJ393)</f>
        <v>191</v>
      </c>
      <c r="BD400" t="s">
        <v>234</v>
      </c>
      <c r="BF400" t="s">
        <v>233</v>
      </c>
      <c r="BH400">
        <f>SUM(AY397)</f>
        <v>4347</v>
      </c>
    </row>
    <row r="401" spans="3:61" x14ac:dyDescent="0.3">
      <c r="R401" s="10"/>
      <c r="S401" s="10"/>
      <c r="T401" s="11"/>
      <c r="U401" s="3"/>
      <c r="V401" s="3"/>
      <c r="W401" s="3"/>
      <c r="X401" s="10"/>
      <c r="Y401" s="11" t="s">
        <v>6</v>
      </c>
      <c r="Z401" s="3" t="s">
        <v>41</v>
      </c>
      <c r="AA401" s="3"/>
      <c r="AB401" s="11"/>
      <c r="AE401" s="28" t="s">
        <v>91</v>
      </c>
      <c r="AF401">
        <v>2016</v>
      </c>
      <c r="AG401">
        <v>7</v>
      </c>
      <c r="AH401" s="138" t="s">
        <v>113</v>
      </c>
      <c r="AI401" s="138">
        <v>824</v>
      </c>
      <c r="AJ401" s="141">
        <v>929</v>
      </c>
      <c r="AN401" s="138"/>
      <c r="AO401" s="141"/>
      <c r="AP401" s="43">
        <v>81</v>
      </c>
      <c r="AQ401" s="28" t="s">
        <v>73</v>
      </c>
      <c r="AR401" s="141"/>
      <c r="AS401" s="28"/>
      <c r="AT401" s="28"/>
      <c r="AU401" s="28"/>
      <c r="AZ401" t="s">
        <v>236</v>
      </c>
      <c r="BB401">
        <f>SUM(AK393)</f>
        <v>0</v>
      </c>
      <c r="BF401" t="s">
        <v>236</v>
      </c>
      <c r="BH401">
        <f>SUM(AZ397)</f>
        <v>5048</v>
      </c>
    </row>
    <row r="402" spans="3:61" ht="15" thickBot="1" x14ac:dyDescent="0.35">
      <c r="R402" s="13" t="s">
        <v>42</v>
      </c>
      <c r="S402" s="13" t="s">
        <v>43</v>
      </c>
      <c r="T402" s="26" t="s">
        <v>44</v>
      </c>
      <c r="U402" s="27" t="s">
        <v>45</v>
      </c>
      <c r="V402" s="27" t="s">
        <v>46</v>
      </c>
      <c r="W402" s="27" t="s">
        <v>52</v>
      </c>
      <c r="X402" s="13" t="s">
        <v>43</v>
      </c>
      <c r="Y402" s="26" t="s">
        <v>44</v>
      </c>
      <c r="Z402" s="27" t="s">
        <v>54</v>
      </c>
      <c r="AA402" s="27"/>
      <c r="AB402" s="26"/>
      <c r="AE402" s="28" t="s">
        <v>91</v>
      </c>
      <c r="AF402">
        <v>2016</v>
      </c>
      <c r="AG402">
        <v>7</v>
      </c>
      <c r="AH402" s="138" t="s">
        <v>84</v>
      </c>
      <c r="AI402" s="138">
        <f>SUM(AI399:AI401)</f>
        <v>1619</v>
      </c>
      <c r="AJ402" s="141">
        <f>SUM(AJ399:AJ401)</f>
        <v>1690</v>
      </c>
      <c r="AK402">
        <v>0</v>
      </c>
      <c r="AL402">
        <v>0</v>
      </c>
      <c r="AM402">
        <v>0</v>
      </c>
      <c r="AN402" s="138">
        <v>0</v>
      </c>
      <c r="AO402" s="141">
        <v>0</v>
      </c>
      <c r="AP402" s="28"/>
      <c r="AQ402" s="28"/>
      <c r="AR402" s="141">
        <f>SUM(AP400:AP402)</f>
        <v>103</v>
      </c>
      <c r="AS402" s="28"/>
      <c r="AT402" s="28"/>
      <c r="AU402" s="28"/>
      <c r="AX402" t="s">
        <v>238</v>
      </c>
      <c r="AY402" t="s">
        <v>239</v>
      </c>
      <c r="BA402" t="s">
        <v>240</v>
      </c>
      <c r="BB402" t="s">
        <v>241</v>
      </c>
      <c r="BE402" t="s">
        <v>242</v>
      </c>
      <c r="BF402" s="131" t="s">
        <v>243</v>
      </c>
    </row>
    <row r="403" spans="3:61" x14ac:dyDescent="0.3">
      <c r="R403" s="32" t="s">
        <v>85</v>
      </c>
      <c r="S403">
        <v>4</v>
      </c>
      <c r="T403">
        <v>0</v>
      </c>
      <c r="U403" s="33"/>
      <c r="V403" s="34"/>
      <c r="W403" s="34"/>
      <c r="X403" s="33"/>
      <c r="Y403" s="35"/>
      <c r="Z403" s="34" t="s">
        <v>58</v>
      </c>
      <c r="AA403" s="8"/>
      <c r="AB403" s="7"/>
      <c r="AG403">
        <v>7</v>
      </c>
      <c r="AH403" s="134"/>
      <c r="AI403" s="134"/>
      <c r="AJ403" s="136"/>
      <c r="AK403" s="135"/>
      <c r="AL403" s="135"/>
      <c r="AM403" s="135"/>
      <c r="AN403" s="134"/>
      <c r="AO403" s="136"/>
      <c r="AP403" s="135" t="s">
        <v>1025</v>
      </c>
      <c r="AQ403" s="135"/>
      <c r="AR403" s="136"/>
      <c r="AS403" s="28"/>
      <c r="AT403" s="28"/>
      <c r="AU403" s="28"/>
      <c r="AX403" t="s">
        <v>233</v>
      </c>
      <c r="AZ403" t="e">
        <f>SUM(#REF!)</f>
        <v>#REF!</v>
      </c>
      <c r="BA403" s="236" t="s">
        <v>233</v>
      </c>
      <c r="BC403">
        <f>SUM(S387)</f>
        <v>0</v>
      </c>
      <c r="BD403" t="s">
        <v>233</v>
      </c>
      <c r="BF403">
        <f>SUM(BC403+AY397)</f>
        <v>4347</v>
      </c>
      <c r="BG403" t="s">
        <v>245</v>
      </c>
      <c r="BH403" t="e">
        <f>SUM(AZ403+BF403)</f>
        <v>#REF!</v>
      </c>
    </row>
    <row r="404" spans="3:61" ht="15" thickBot="1" x14ac:dyDescent="0.35">
      <c r="R404" s="44" t="s">
        <v>64</v>
      </c>
      <c r="S404" s="18">
        <v>197</v>
      </c>
      <c r="T404" s="18">
        <v>116</v>
      </c>
      <c r="U404" s="10">
        <v>0</v>
      </c>
      <c r="V404" s="18">
        <v>0</v>
      </c>
      <c r="W404" s="18">
        <v>0</v>
      </c>
      <c r="X404" s="10">
        <v>0</v>
      </c>
      <c r="Y404" s="11">
        <v>0</v>
      </c>
      <c r="Z404" s="45">
        <v>6</v>
      </c>
      <c r="AA404" s="28" t="s">
        <v>474</v>
      </c>
      <c r="AB404" s="11" t="s">
        <v>753</v>
      </c>
      <c r="AG404">
        <v>7</v>
      </c>
      <c r="AH404" s="142" t="s">
        <v>64</v>
      </c>
      <c r="AI404" s="142">
        <v>90</v>
      </c>
      <c r="AJ404" s="146">
        <v>70</v>
      </c>
      <c r="AK404" s="143"/>
      <c r="AL404" s="143"/>
      <c r="AM404" s="143"/>
      <c r="AN404" s="142"/>
      <c r="AO404" s="146"/>
      <c r="AP404" s="143">
        <v>9</v>
      </c>
      <c r="AQ404" s="143" t="s">
        <v>1026</v>
      </c>
      <c r="AR404" s="146">
        <f>SUM(AP404)</f>
        <v>9</v>
      </c>
      <c r="AS404" s="28"/>
      <c r="AT404" s="28"/>
      <c r="AU404" s="28"/>
      <c r="AX404" t="s">
        <v>236</v>
      </c>
      <c r="AZ404" t="e">
        <f>SUM(#REF!)</f>
        <v>#REF!</v>
      </c>
      <c r="BA404" s="236" t="s">
        <v>236</v>
      </c>
      <c r="BC404" t="e">
        <f>SUM(T387)</f>
        <v>#REF!</v>
      </c>
      <c r="BD404" t="s">
        <v>236</v>
      </c>
      <c r="BF404" t="e">
        <f>SUM(BC404+AZ397)</f>
        <v>#REF!</v>
      </c>
      <c r="BH404" t="e">
        <f>SUM(AZ404+BF404)</f>
        <v>#REF!</v>
      </c>
      <c r="BI404" t="e">
        <f>SUM(BH403:BH404)</f>
        <v>#REF!</v>
      </c>
    </row>
    <row r="405" spans="3:61" ht="16.2" thickBot="1" x14ac:dyDescent="0.35">
      <c r="Q405" s="28"/>
      <c r="R405" s="46" t="s">
        <v>84</v>
      </c>
      <c r="S405">
        <f>SUM(S403:S404)</f>
        <v>201</v>
      </c>
      <c r="T405">
        <f>SUM(T403:T404)</f>
        <v>116</v>
      </c>
      <c r="U405" s="47"/>
      <c r="V405" s="48"/>
      <c r="W405" s="48"/>
      <c r="X405" s="47"/>
      <c r="Y405" s="49"/>
      <c r="Z405" s="48">
        <v>2</v>
      </c>
      <c r="AA405" s="48" t="s">
        <v>249</v>
      </c>
      <c r="AB405" s="49">
        <f>SUM(Z404:Z405)+3</f>
        <v>11</v>
      </c>
      <c r="AE405" s="135" t="s">
        <v>994</v>
      </c>
      <c r="AF405">
        <v>2016</v>
      </c>
      <c r="AG405">
        <v>7</v>
      </c>
      <c r="AH405" s="138" t="s">
        <v>113</v>
      </c>
      <c r="AI405" s="138">
        <v>377</v>
      </c>
      <c r="AJ405" s="141">
        <v>390</v>
      </c>
      <c r="AK405" s="28"/>
      <c r="AL405" s="28"/>
      <c r="AM405" s="28"/>
      <c r="AN405" s="138"/>
      <c r="AO405" s="141"/>
      <c r="AP405" s="28" t="s">
        <v>994</v>
      </c>
      <c r="AQ405" s="28"/>
      <c r="AR405" s="141"/>
      <c r="AS405" s="28"/>
      <c r="AT405" s="28"/>
      <c r="AU405" s="28"/>
      <c r="AX405" s="321" t="s">
        <v>1532</v>
      </c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5"/>
    </row>
    <row r="406" spans="3:61" x14ac:dyDescent="0.3">
      <c r="Q406" s="28"/>
      <c r="R406" s="33"/>
      <c r="S406" s="33"/>
      <c r="T406" s="35"/>
      <c r="U406" s="34"/>
      <c r="V406" s="34"/>
      <c r="W406" s="34"/>
      <c r="X406" s="33"/>
      <c r="Y406" s="35"/>
      <c r="Z406" s="53" t="s">
        <v>82</v>
      </c>
      <c r="AA406" s="34"/>
      <c r="AB406" s="35"/>
      <c r="AE406" s="135" t="s">
        <v>994</v>
      </c>
      <c r="AF406">
        <v>2016</v>
      </c>
      <c r="AG406">
        <v>7</v>
      </c>
      <c r="AH406" s="138" t="s">
        <v>475</v>
      </c>
      <c r="AI406" s="138">
        <v>0</v>
      </c>
      <c r="AJ406" s="141">
        <v>0</v>
      </c>
      <c r="AK406" s="28"/>
      <c r="AL406" s="28"/>
      <c r="AM406" s="28"/>
      <c r="AN406" s="138"/>
      <c r="AO406" s="141"/>
      <c r="AP406" s="28">
        <v>22</v>
      </c>
      <c r="AQ406" s="28" t="s">
        <v>100</v>
      </c>
      <c r="AR406" s="141"/>
      <c r="AS406" s="28"/>
      <c r="AT406" s="28"/>
      <c r="AU406" s="28"/>
      <c r="AX406" s="42" t="s">
        <v>238</v>
      </c>
      <c r="AY406" s="28" t="s">
        <v>239</v>
      </c>
      <c r="AZ406" s="28"/>
      <c r="BA406" s="28" t="s">
        <v>240</v>
      </c>
      <c r="BB406" s="28" t="s">
        <v>241</v>
      </c>
      <c r="BC406" s="28"/>
      <c r="BD406" s="28"/>
      <c r="BE406" s="28" t="s">
        <v>242</v>
      </c>
      <c r="BF406" s="257" t="s">
        <v>243</v>
      </c>
      <c r="BG406" s="28"/>
      <c r="BH406" s="28"/>
      <c r="BI406" s="40"/>
    </row>
    <row r="407" spans="3:61" ht="16.2" thickBot="1" x14ac:dyDescent="0.35">
      <c r="G407" s="1"/>
      <c r="H407" s="1" t="s">
        <v>5</v>
      </c>
      <c r="I407" s="1"/>
      <c r="J407" s="1"/>
      <c r="K407" s="1"/>
      <c r="L407" s="1"/>
      <c r="Q407" s="28"/>
      <c r="R407" s="47" t="s">
        <v>85</v>
      </c>
      <c r="S407" s="47">
        <v>0</v>
      </c>
      <c r="T407" s="49">
        <v>0</v>
      </c>
      <c r="U407" s="48"/>
      <c r="V407" s="48">
        <v>0</v>
      </c>
      <c r="W407" s="48">
        <v>0</v>
      </c>
      <c r="X407" s="47">
        <v>0</v>
      </c>
      <c r="Y407" s="49">
        <v>0</v>
      </c>
      <c r="Z407" s="51"/>
      <c r="AA407" s="48" t="s">
        <v>86</v>
      </c>
      <c r="AB407" s="49">
        <f>SUM(Z407)</f>
        <v>0</v>
      </c>
      <c r="AE407" s="135" t="s">
        <v>994</v>
      </c>
      <c r="AF407">
        <v>2016</v>
      </c>
      <c r="AG407">
        <v>7</v>
      </c>
      <c r="AH407" s="142" t="s">
        <v>84</v>
      </c>
      <c r="AI407" s="142">
        <f>SUM(AI405:AI406)</f>
        <v>377</v>
      </c>
      <c r="AJ407" s="146">
        <f>SUM(AJ405:AJ406)</f>
        <v>390</v>
      </c>
      <c r="AK407" s="143">
        <v>0</v>
      </c>
      <c r="AL407" s="143">
        <v>0</v>
      </c>
      <c r="AM407" s="143">
        <v>0</v>
      </c>
      <c r="AN407" s="142">
        <v>0</v>
      </c>
      <c r="AO407" s="146">
        <v>0</v>
      </c>
      <c r="AP407" s="43">
        <v>24</v>
      </c>
      <c r="AQ407" s="43" t="s">
        <v>73</v>
      </c>
      <c r="AR407" s="146">
        <f>SUM(AP406:AP407)</f>
        <v>46</v>
      </c>
      <c r="AS407" s="28"/>
      <c r="AT407" s="28"/>
      <c r="AU407" s="28"/>
      <c r="AX407" s="42" t="s">
        <v>233</v>
      </c>
      <c r="AY407" s="28"/>
      <c r="AZ407" s="28" t="e">
        <f>SUM(#REF!)</f>
        <v>#REF!</v>
      </c>
      <c r="BA407" s="218" t="s">
        <v>233</v>
      </c>
      <c r="BB407" s="28"/>
      <c r="BC407" s="28">
        <f>SUM(S390)</f>
        <v>0</v>
      </c>
      <c r="BD407" s="28" t="s">
        <v>233</v>
      </c>
      <c r="BE407" s="28"/>
      <c r="BF407" s="28">
        <v>4825</v>
      </c>
      <c r="BG407" s="28" t="s">
        <v>245</v>
      </c>
      <c r="BH407" s="28" t="e">
        <f>SUM(AZ407+BF407)</f>
        <v>#REF!</v>
      </c>
      <c r="BI407" s="40"/>
    </row>
    <row r="408" spans="3:61" ht="15" thickBot="1" x14ac:dyDescent="0.35">
      <c r="I408" t="s">
        <v>2</v>
      </c>
      <c r="Q408" s="28"/>
      <c r="R408" s="50" t="s">
        <v>107</v>
      </c>
      <c r="S408" s="31">
        <v>0</v>
      </c>
      <c r="T408" s="31">
        <v>0</v>
      </c>
      <c r="U408" s="29"/>
      <c r="V408" s="31"/>
      <c r="W408" s="30"/>
      <c r="X408" s="55">
        <v>0</v>
      </c>
      <c r="Y408" s="8">
        <v>0</v>
      </c>
      <c r="Z408" s="29"/>
      <c r="AA408" s="34" t="s">
        <v>92</v>
      </c>
      <c r="AB408" s="35"/>
      <c r="AH408" s="196" t="s">
        <v>502</v>
      </c>
      <c r="AI408" s="138">
        <v>0</v>
      </c>
      <c r="AJ408" s="141">
        <v>66</v>
      </c>
      <c r="AK408" s="134"/>
      <c r="AL408" s="135"/>
      <c r="AM408" s="136"/>
      <c r="AN408" s="138"/>
      <c r="AO408" s="141"/>
      <c r="AP408" s="134" t="s">
        <v>140</v>
      </c>
      <c r="AQ408" s="135"/>
      <c r="AR408" s="136"/>
      <c r="AS408" s="28"/>
      <c r="AT408" s="28"/>
      <c r="AU408" s="28"/>
      <c r="AV408" t="s">
        <v>6</v>
      </c>
      <c r="AX408" s="47" t="s">
        <v>236</v>
      </c>
      <c r="AY408" s="48"/>
      <c r="AZ408" s="48" t="e">
        <f>SUM(#REF!)</f>
        <v>#REF!</v>
      </c>
      <c r="BA408" s="320" t="s">
        <v>236</v>
      </c>
      <c r="BB408" s="48"/>
      <c r="BC408" s="48">
        <f>SUM(T390)</f>
        <v>0</v>
      </c>
      <c r="BD408" s="48" t="s">
        <v>236</v>
      </c>
      <c r="BE408" s="48"/>
      <c r="BF408" s="48">
        <v>5141</v>
      </c>
      <c r="BG408" s="48"/>
      <c r="BH408" s="48" t="e">
        <f>SUM(AZ408+BF408)</f>
        <v>#REF!</v>
      </c>
      <c r="BI408" s="49" t="e">
        <f>SUM(BH407:BH408)</f>
        <v>#REF!</v>
      </c>
    </row>
    <row r="409" spans="3:61" x14ac:dyDescent="0.3">
      <c r="G409" t="s">
        <v>13</v>
      </c>
      <c r="Q409" s="28"/>
      <c r="R409" s="41" t="s">
        <v>99</v>
      </c>
      <c r="S409" s="45">
        <v>0</v>
      </c>
      <c r="T409" s="45">
        <v>0</v>
      </c>
      <c r="U409" s="42">
        <v>0</v>
      </c>
      <c r="V409" s="45">
        <v>0</v>
      </c>
      <c r="W409" s="40">
        <v>0</v>
      </c>
      <c r="X409" s="45">
        <v>10013</v>
      </c>
      <c r="Y409" s="56">
        <v>2727</v>
      </c>
      <c r="Z409" s="52">
        <v>30</v>
      </c>
      <c r="AA409" s="37" t="s">
        <v>100</v>
      </c>
      <c r="AB409" s="40"/>
      <c r="AH409" s="196" t="s">
        <v>475</v>
      </c>
      <c r="AI409" s="138">
        <v>3</v>
      </c>
      <c r="AJ409" s="141">
        <v>0</v>
      </c>
      <c r="AK409" s="138"/>
      <c r="AL409" s="28"/>
      <c r="AM409" s="141"/>
      <c r="AN409" s="138"/>
      <c r="AO409" s="141"/>
      <c r="AP409" s="138"/>
      <c r="AQ409" s="28"/>
      <c r="AR409" s="141"/>
      <c r="AS409" s="28"/>
      <c r="AT409" s="28"/>
      <c r="AU409" s="28"/>
    </row>
    <row r="410" spans="3:61" ht="15" thickBot="1" x14ac:dyDescent="0.35">
      <c r="I410" t="s">
        <v>473</v>
      </c>
      <c r="M410" s="5" t="s">
        <v>16</v>
      </c>
      <c r="Q410" s="28"/>
      <c r="R410" s="17" t="s">
        <v>84</v>
      </c>
      <c r="S410" s="18">
        <f>SUM(S408:S409)</f>
        <v>0</v>
      </c>
      <c r="T410" s="18">
        <f>SUM(T408:T409)</f>
        <v>0</v>
      </c>
      <c r="U410" s="13"/>
      <c r="V410" s="27"/>
      <c r="W410" s="26"/>
      <c r="X410" s="58">
        <f>+X409+X408</f>
        <v>10013</v>
      </c>
      <c r="Y410" s="27">
        <f>+Y409+Y408</f>
        <v>2727</v>
      </c>
      <c r="Z410" s="59">
        <v>1</v>
      </c>
      <c r="AA410" s="48" t="s">
        <v>506</v>
      </c>
      <c r="AB410" s="60">
        <f>SUM(Z409:Z410)</f>
        <v>31</v>
      </c>
      <c r="AH410" s="196" t="s">
        <v>107</v>
      </c>
      <c r="AI410" s="138">
        <v>1</v>
      </c>
      <c r="AJ410" s="141">
        <v>0</v>
      </c>
      <c r="AK410" s="138"/>
      <c r="AL410" s="28"/>
      <c r="AM410" s="141"/>
      <c r="AN410" s="138"/>
      <c r="AO410" s="141"/>
      <c r="AP410" s="138"/>
      <c r="AQ410" s="28"/>
      <c r="AR410" s="141"/>
      <c r="AS410" s="28"/>
      <c r="AT410" s="28"/>
      <c r="AU410" s="28"/>
    </row>
    <row r="411" spans="3:61" x14ac:dyDescent="0.3">
      <c r="D411" s="6" t="s">
        <v>17</v>
      </c>
      <c r="E411" s="6" t="s">
        <v>27</v>
      </c>
      <c r="F411" s="7"/>
      <c r="G411" s="8" t="s">
        <v>28</v>
      </c>
      <c r="H411" s="8"/>
      <c r="I411" s="8"/>
      <c r="J411" s="6" t="s">
        <v>29</v>
      </c>
      <c r="K411" s="7" t="s">
        <v>30</v>
      </c>
      <c r="L411" s="8" t="s">
        <v>31</v>
      </c>
      <c r="M411" s="8"/>
      <c r="N411" s="7"/>
      <c r="Q411" s="28"/>
      <c r="R411" s="32"/>
      <c r="S411" s="63">
        <v>0</v>
      </c>
      <c r="T411" s="64">
        <v>0</v>
      </c>
      <c r="U411" s="33"/>
      <c r="V411" s="8"/>
      <c r="W411" s="35"/>
      <c r="X411" s="65"/>
      <c r="Y411" s="66"/>
      <c r="Z411" s="29"/>
      <c r="AA411" s="31"/>
      <c r="AB411" s="35"/>
      <c r="AH411" s="196" t="s">
        <v>113</v>
      </c>
      <c r="AI411" s="138">
        <f>2+5+22</f>
        <v>29</v>
      </c>
      <c r="AJ411" s="141">
        <v>21</v>
      </c>
      <c r="AK411" s="138"/>
      <c r="AL411" s="28"/>
      <c r="AM411" s="141"/>
      <c r="AN411" s="138"/>
      <c r="AO411" s="141"/>
      <c r="AP411" s="138" t="s">
        <v>142</v>
      </c>
      <c r="AQ411" s="28"/>
      <c r="AR411" s="141" t="s">
        <v>620</v>
      </c>
      <c r="AS411" s="28"/>
      <c r="AT411" s="28"/>
      <c r="AU411" s="28"/>
    </row>
    <row r="412" spans="3:61" x14ac:dyDescent="0.3">
      <c r="D412" s="10"/>
      <c r="E412" s="10"/>
      <c r="F412" s="11"/>
      <c r="G412" s="3"/>
      <c r="H412" s="3"/>
      <c r="I412" s="3"/>
      <c r="J412" s="10"/>
      <c r="K412" s="11" t="s">
        <v>6</v>
      </c>
      <c r="L412" s="3" t="s">
        <v>41</v>
      </c>
      <c r="M412" s="3"/>
      <c r="N412" s="11"/>
      <c r="Q412" s="28"/>
      <c r="R412" s="41"/>
      <c r="S412" s="70">
        <v>0</v>
      </c>
      <c r="T412" s="71">
        <v>0</v>
      </c>
      <c r="U412" s="42"/>
      <c r="V412" s="28"/>
      <c r="W412" s="40"/>
      <c r="X412" s="42"/>
      <c r="Y412" s="40"/>
      <c r="Z412" s="42"/>
      <c r="AA412" s="54"/>
      <c r="AB412" s="40"/>
      <c r="AH412" s="196" t="s">
        <v>108</v>
      </c>
      <c r="AI412" s="138">
        <v>0</v>
      </c>
      <c r="AJ412" s="141">
        <v>0</v>
      </c>
      <c r="AK412" s="138"/>
      <c r="AL412" s="28"/>
      <c r="AM412" s="141"/>
      <c r="AN412" s="138"/>
      <c r="AO412" s="141"/>
      <c r="AP412" s="138" t="s">
        <v>146</v>
      </c>
      <c r="AQ412" s="28"/>
      <c r="AR412" s="141" t="s">
        <v>955</v>
      </c>
      <c r="AS412" s="28"/>
      <c r="AT412" s="28"/>
      <c r="AU412" s="28"/>
    </row>
    <row r="413" spans="3:61" ht="15" thickBot="1" x14ac:dyDescent="0.35">
      <c r="D413" s="13" t="s">
        <v>42</v>
      </c>
      <c r="E413" s="13" t="s">
        <v>43</v>
      </c>
      <c r="F413" s="26" t="s">
        <v>44</v>
      </c>
      <c r="G413" s="27" t="s">
        <v>45</v>
      </c>
      <c r="H413" s="27" t="s">
        <v>46</v>
      </c>
      <c r="I413" s="27" t="s">
        <v>52</v>
      </c>
      <c r="J413" s="13" t="s">
        <v>43</v>
      </c>
      <c r="K413" s="26" t="s">
        <v>44</v>
      </c>
      <c r="L413" s="27" t="s">
        <v>54</v>
      </c>
      <c r="M413" s="27"/>
      <c r="N413" s="26"/>
      <c r="Q413" s="28" t="s">
        <v>6</v>
      </c>
      <c r="R413" s="68"/>
      <c r="S413">
        <f>SUM(S411:S412)</f>
        <v>0</v>
      </c>
      <c r="T413">
        <f>SUM(T411:T412)</f>
        <v>0</v>
      </c>
      <c r="U413" s="47">
        <v>0</v>
      </c>
      <c r="V413" s="27">
        <v>0</v>
      </c>
      <c r="W413" s="49">
        <v>0</v>
      </c>
      <c r="X413" s="75">
        <v>0</v>
      </c>
      <c r="Y413" s="49">
        <v>0</v>
      </c>
      <c r="Z413" s="47"/>
      <c r="AA413" s="51"/>
      <c r="AB413" s="49">
        <f>SUM(Z412:Z413)</f>
        <v>0</v>
      </c>
      <c r="AG413" t="s">
        <v>6</v>
      </c>
      <c r="AH413" s="196" t="s">
        <v>133</v>
      </c>
      <c r="AI413" s="138">
        <f>3+4</f>
        <v>7</v>
      </c>
      <c r="AJ413" s="141">
        <f>3+3+9</f>
        <v>15</v>
      </c>
      <c r="AK413" s="138"/>
      <c r="AL413" s="28"/>
      <c r="AM413" s="141"/>
      <c r="AN413" s="138"/>
      <c r="AO413" s="141"/>
      <c r="AP413" s="138"/>
      <c r="AQ413" s="28"/>
      <c r="AR413" s="141"/>
      <c r="AS413" s="28"/>
      <c r="AT413" s="28"/>
      <c r="AU413" s="28"/>
    </row>
    <row r="414" spans="3:61" ht="15" thickBot="1" x14ac:dyDescent="0.35">
      <c r="D414" s="32" t="s">
        <v>85</v>
      </c>
      <c r="E414">
        <v>0</v>
      </c>
      <c r="F414">
        <v>0</v>
      </c>
      <c r="G414" s="33"/>
      <c r="H414" s="34"/>
      <c r="I414" s="34"/>
      <c r="J414" s="33"/>
      <c r="K414" s="35"/>
      <c r="L414" s="34" t="s">
        <v>58</v>
      </c>
      <c r="M414" s="8"/>
      <c r="N414" s="7"/>
      <c r="O414" s="34" t="s">
        <v>91</v>
      </c>
      <c r="P414">
        <v>2015</v>
      </c>
      <c r="Q414" s="28">
        <v>7</v>
      </c>
      <c r="R414" s="33" t="s">
        <v>89</v>
      </c>
      <c r="S414" s="78">
        <v>385</v>
      </c>
      <c r="T414" s="79">
        <v>415</v>
      </c>
      <c r="U414" s="34"/>
      <c r="V414" s="8"/>
      <c r="W414" s="35"/>
      <c r="X414" s="80"/>
      <c r="Y414" s="34"/>
      <c r="Z414" s="33"/>
      <c r="AA414" s="34" t="s">
        <v>91</v>
      </c>
      <c r="AB414" s="35"/>
      <c r="AH414" s="196" t="s">
        <v>99</v>
      </c>
      <c r="AI414" s="138">
        <v>0</v>
      </c>
      <c r="AJ414" s="141">
        <v>4</v>
      </c>
      <c r="AK414" s="138" t="s">
        <v>150</v>
      </c>
      <c r="AL414" s="28"/>
      <c r="AM414" s="141"/>
      <c r="AN414" s="138"/>
      <c r="AO414" s="141"/>
      <c r="AP414" s="138" t="s">
        <v>151</v>
      </c>
      <c r="AQ414" s="28"/>
      <c r="AR414" s="141"/>
      <c r="AS414" s="28"/>
      <c r="AT414" s="28"/>
      <c r="AU414" s="28"/>
      <c r="BB414" t="s">
        <v>5</v>
      </c>
    </row>
    <row r="415" spans="3:61" ht="15" thickBot="1" x14ac:dyDescent="0.35">
      <c r="D415" s="44" t="s">
        <v>64</v>
      </c>
      <c r="E415" s="18">
        <v>157</v>
      </c>
      <c r="F415" s="18">
        <v>128</v>
      </c>
      <c r="G415" s="10">
        <v>0</v>
      </c>
      <c r="H415" s="18">
        <v>0</v>
      </c>
      <c r="I415" s="18">
        <v>0</v>
      </c>
      <c r="J415" s="10">
        <v>0</v>
      </c>
      <c r="K415" s="11">
        <v>0</v>
      </c>
      <c r="L415" s="45">
        <v>7</v>
      </c>
      <c r="M415" s="28" t="s">
        <v>474</v>
      </c>
      <c r="N415" s="11" t="s">
        <v>6</v>
      </c>
      <c r="O415" s="34" t="s">
        <v>91</v>
      </c>
      <c r="P415">
        <v>2015</v>
      </c>
      <c r="Q415" s="28">
        <v>7</v>
      </c>
      <c r="R415" s="52" t="s">
        <v>85</v>
      </c>
      <c r="S415" s="42">
        <v>0</v>
      </c>
      <c r="T415" s="40">
        <v>0</v>
      </c>
      <c r="U415" s="28"/>
      <c r="V415" s="28"/>
      <c r="W415" s="40"/>
      <c r="Z415" s="42"/>
      <c r="AA415" s="43"/>
      <c r="AB415" s="40"/>
      <c r="AH415" s="196" t="s">
        <v>85</v>
      </c>
      <c r="AI415" s="138">
        <v>3</v>
      </c>
      <c r="AJ415" s="141">
        <v>0</v>
      </c>
      <c r="AK415" s="138"/>
      <c r="AL415" s="28"/>
      <c r="AM415" s="141"/>
      <c r="AN415" s="138"/>
      <c r="AO415" s="141"/>
      <c r="AP415" s="138" t="s">
        <v>1073</v>
      </c>
      <c r="AQ415" s="28" t="s">
        <v>1074</v>
      </c>
      <c r="AR415" s="141" t="s">
        <v>546</v>
      </c>
      <c r="AS415" s="28"/>
      <c r="AT415" s="28"/>
      <c r="AU415" s="28"/>
      <c r="BC415" t="s">
        <v>2</v>
      </c>
    </row>
    <row r="416" spans="3:61" ht="15" thickBot="1" x14ac:dyDescent="0.35">
      <c r="C416" s="28"/>
      <c r="D416" s="46" t="s">
        <v>84</v>
      </c>
      <c r="E416">
        <f>SUM(E414:E415)</f>
        <v>157</v>
      </c>
      <c r="F416">
        <f>SUM(F414:F415)</f>
        <v>128</v>
      </c>
      <c r="G416" s="47"/>
      <c r="H416" s="48"/>
      <c r="I416" s="48"/>
      <c r="J416" s="47"/>
      <c r="K416" s="49"/>
      <c r="L416" s="48">
        <v>3</v>
      </c>
      <c r="M416" s="48" t="s">
        <v>69</v>
      </c>
      <c r="N416" s="49">
        <f>SUM(L415:L416)</f>
        <v>10</v>
      </c>
      <c r="O416" s="34" t="s">
        <v>91</v>
      </c>
      <c r="P416">
        <v>2015</v>
      </c>
      <c r="Q416" s="28">
        <v>7</v>
      </c>
      <c r="R416" s="67" t="s">
        <v>113</v>
      </c>
      <c r="S416" s="42">
        <v>601</v>
      </c>
      <c r="T416" s="40">
        <v>654</v>
      </c>
      <c r="U416" s="28"/>
      <c r="V416" s="28"/>
      <c r="W416" s="40"/>
      <c r="X416" s="28"/>
      <c r="Y416" s="28"/>
      <c r="Z416" s="67">
        <v>70</v>
      </c>
      <c r="AA416" s="43" t="s">
        <v>73</v>
      </c>
      <c r="AB416" s="40"/>
      <c r="AH416" s="196" t="s">
        <v>358</v>
      </c>
      <c r="AI416" s="138">
        <v>9</v>
      </c>
      <c r="AJ416" s="141">
        <v>9</v>
      </c>
      <c r="AK416" s="138"/>
      <c r="AL416" s="28"/>
      <c r="AM416" s="141"/>
      <c r="AN416" s="138"/>
      <c r="AO416" s="141"/>
      <c r="AP416" s="138" t="s">
        <v>521</v>
      </c>
      <c r="AQ416" s="28" t="s">
        <v>325</v>
      </c>
      <c r="AR416" s="141" t="s">
        <v>333</v>
      </c>
      <c r="AS416" s="28"/>
      <c r="AT416" s="28"/>
      <c r="AU416" s="28"/>
      <c r="BA416" t="s">
        <v>13</v>
      </c>
    </row>
    <row r="417" spans="1:60" ht="15" thickBot="1" x14ac:dyDescent="0.35">
      <c r="C417" s="28"/>
      <c r="D417" s="33"/>
      <c r="E417" s="33"/>
      <c r="F417" s="35"/>
      <c r="G417" s="34"/>
      <c r="H417" s="34"/>
      <c r="I417" s="34"/>
      <c r="J417" s="33"/>
      <c r="K417" s="35"/>
      <c r="L417" s="8" t="s">
        <v>6</v>
      </c>
      <c r="M417" s="34"/>
      <c r="N417" s="35"/>
      <c r="Q417" s="28">
        <v>7</v>
      </c>
      <c r="R417" s="47" t="s">
        <v>84</v>
      </c>
      <c r="S417" s="47">
        <f>SUM(S414:S416)</f>
        <v>986</v>
      </c>
      <c r="T417" s="49">
        <f>SUM(T414:T416)</f>
        <v>1069</v>
      </c>
      <c r="U417" s="81">
        <v>0</v>
      </c>
      <c r="V417" s="27">
        <v>0</v>
      </c>
      <c r="W417" s="82">
        <f>+W414</f>
        <v>0</v>
      </c>
      <c r="X417" s="74">
        <v>0</v>
      </c>
      <c r="Y417" s="74">
        <v>0</v>
      </c>
      <c r="Z417" s="47"/>
      <c r="AA417" s="51"/>
      <c r="AB417" s="49">
        <f>SUM(Z416)</f>
        <v>70</v>
      </c>
      <c r="AH417" s="196" t="s">
        <v>549</v>
      </c>
      <c r="AI417" s="138">
        <v>2</v>
      </c>
      <c r="AJ417" s="141">
        <v>0</v>
      </c>
      <c r="AK417" s="138"/>
      <c r="AL417" s="28"/>
      <c r="AM417" s="141"/>
      <c r="AN417" s="138"/>
      <c r="AO417" s="141"/>
      <c r="AP417" s="138" t="s">
        <v>522</v>
      </c>
      <c r="AQ417" s="28" t="s">
        <v>603</v>
      </c>
      <c r="AR417" s="141" t="s">
        <v>1075</v>
      </c>
      <c r="AS417" s="28"/>
      <c r="AT417" s="28"/>
      <c r="AU417" s="28"/>
      <c r="BC417" t="s">
        <v>1631</v>
      </c>
      <c r="BG417" s="194" t="s">
        <v>950</v>
      </c>
    </row>
    <row r="418" spans="1:60" ht="15" thickBot="1" x14ac:dyDescent="0.35">
      <c r="C418" s="28"/>
      <c r="D418" s="47" t="s">
        <v>6</v>
      </c>
      <c r="E418" s="47"/>
      <c r="F418" s="49"/>
      <c r="G418" s="48">
        <v>0</v>
      </c>
      <c r="H418" s="48">
        <v>0</v>
      </c>
      <c r="I418" s="48">
        <v>0</v>
      </c>
      <c r="J418" s="47">
        <v>0</v>
      </c>
      <c r="K418" s="49">
        <v>0</v>
      </c>
      <c r="L418" s="51"/>
      <c r="M418" s="48" t="s">
        <v>6</v>
      </c>
      <c r="N418" s="49">
        <f>SUM(L418)</f>
        <v>0</v>
      </c>
      <c r="O418" s="34" t="s">
        <v>130</v>
      </c>
      <c r="P418">
        <v>2015</v>
      </c>
      <c r="Q418" s="28">
        <v>7</v>
      </c>
      <c r="R418" s="52" t="s">
        <v>113</v>
      </c>
      <c r="S418" s="42">
        <v>669</v>
      </c>
      <c r="T418" s="85">
        <v>649</v>
      </c>
      <c r="U418" s="37"/>
      <c r="V418" s="18"/>
      <c r="W418" s="54"/>
      <c r="X418" s="52"/>
      <c r="Y418" s="40"/>
      <c r="Z418" s="67"/>
      <c r="AA418" s="34" t="s">
        <v>130</v>
      </c>
      <c r="AB418" s="40"/>
      <c r="AH418" s="196" t="s">
        <v>169</v>
      </c>
      <c r="AI418" s="138">
        <v>4</v>
      </c>
      <c r="AJ418" s="141">
        <v>2</v>
      </c>
      <c r="AK418" s="138"/>
      <c r="AL418" s="28"/>
      <c r="AM418" s="141"/>
      <c r="AN418" s="138"/>
      <c r="AO418" s="141"/>
      <c r="AP418" s="138" t="s">
        <v>482</v>
      </c>
      <c r="AQ418" s="43" t="s">
        <v>1076</v>
      </c>
      <c r="AR418" s="141" t="s">
        <v>894</v>
      </c>
      <c r="AS418" s="28"/>
      <c r="AT418" s="28"/>
      <c r="AU418" s="28"/>
      <c r="AX418" s="195" t="s">
        <v>17</v>
      </c>
      <c r="AY418" s="134" t="s">
        <v>27</v>
      </c>
      <c r="AZ418" s="136"/>
      <c r="BA418" s="134" t="s">
        <v>28</v>
      </c>
      <c r="BB418" s="135"/>
      <c r="BC418" s="135"/>
      <c r="BD418" s="134" t="s">
        <v>29</v>
      </c>
      <c r="BE418" s="136" t="s">
        <v>30</v>
      </c>
      <c r="BF418" s="135" t="s">
        <v>31</v>
      </c>
      <c r="BG418" s="135"/>
      <c r="BH418" s="136"/>
    </row>
    <row r="419" spans="1:60" x14ac:dyDescent="0.3">
      <c r="C419" s="28"/>
      <c r="D419" s="33"/>
      <c r="E419" s="33"/>
      <c r="F419" s="35"/>
      <c r="G419" s="34"/>
      <c r="H419" s="34"/>
      <c r="I419" s="34"/>
      <c r="J419" s="33"/>
      <c r="K419" s="35"/>
      <c r="L419" s="53" t="s">
        <v>82</v>
      </c>
      <c r="M419" s="34"/>
      <c r="N419" s="35"/>
      <c r="Q419" s="28"/>
      <c r="R419" s="42" t="s">
        <v>475</v>
      </c>
      <c r="S419" s="67"/>
      <c r="T419" s="85"/>
      <c r="U419" s="28"/>
      <c r="V419" s="18"/>
      <c r="W419" s="28"/>
      <c r="X419" s="52"/>
      <c r="Y419" s="86"/>
      <c r="Z419" s="52">
        <v>58</v>
      </c>
      <c r="AA419" s="43" t="s">
        <v>73</v>
      </c>
      <c r="AB419" s="40"/>
      <c r="AC419" t="s">
        <v>6</v>
      </c>
      <c r="AH419" s="196" t="s">
        <v>997</v>
      </c>
      <c r="AI419" s="138">
        <v>2</v>
      </c>
      <c r="AJ419" s="141">
        <v>0</v>
      </c>
      <c r="AK419" s="138"/>
      <c r="AL419" s="28"/>
      <c r="AM419" s="141"/>
      <c r="AN419" s="138"/>
      <c r="AO419" s="141"/>
      <c r="AP419" s="138" t="s">
        <v>1077</v>
      </c>
      <c r="AQ419" s="43" t="s">
        <v>283</v>
      </c>
      <c r="AR419" s="141" t="s">
        <v>1078</v>
      </c>
      <c r="AS419" s="28"/>
      <c r="AT419" s="28"/>
      <c r="AU419" s="28"/>
      <c r="AX419" s="196"/>
      <c r="AY419" s="138"/>
      <c r="AZ419" s="141"/>
      <c r="BA419" s="138"/>
      <c r="BB419" s="28"/>
      <c r="BC419" s="28"/>
      <c r="BD419" s="138"/>
      <c r="BE419" s="141" t="s">
        <v>6</v>
      </c>
      <c r="BF419" s="28" t="s">
        <v>41</v>
      </c>
      <c r="BG419" s="28"/>
      <c r="BH419" s="141"/>
    </row>
    <row r="420" spans="1:60" ht="15" thickBot="1" x14ac:dyDescent="0.35">
      <c r="C420" s="28"/>
      <c r="D420" s="47" t="s">
        <v>85</v>
      </c>
      <c r="E420" s="47">
        <v>0</v>
      </c>
      <c r="F420" s="49">
        <v>0</v>
      </c>
      <c r="G420" s="48"/>
      <c r="H420" s="48">
        <v>0</v>
      </c>
      <c r="I420" s="48">
        <v>0</v>
      </c>
      <c r="J420" s="47">
        <v>0</v>
      </c>
      <c r="K420" s="49">
        <v>0</v>
      </c>
      <c r="L420" s="51"/>
      <c r="M420" s="48" t="s">
        <v>86</v>
      </c>
      <c r="N420" s="49">
        <f>SUM(L420)</f>
        <v>0</v>
      </c>
      <c r="Q420" s="28"/>
      <c r="R420" s="59" t="s">
        <v>84</v>
      </c>
      <c r="S420" s="13">
        <f>SUM(S418:S419)</f>
        <v>669</v>
      </c>
      <c r="T420" s="60">
        <f>SUM(T418:T419)</f>
        <v>649</v>
      </c>
      <c r="U420" s="81">
        <v>0</v>
      </c>
      <c r="V420" s="27">
        <v>0</v>
      </c>
      <c r="W420" s="27">
        <v>0</v>
      </c>
      <c r="X420" s="13">
        <v>0</v>
      </c>
      <c r="Y420" s="26">
        <v>0</v>
      </c>
      <c r="Z420" s="13"/>
      <c r="AA420" s="43"/>
      <c r="AB420" s="26">
        <f>SUM(Z418:Z419)</f>
        <v>58</v>
      </c>
      <c r="AH420" s="196" t="s">
        <v>504</v>
      </c>
      <c r="AI420" s="138">
        <v>0</v>
      </c>
      <c r="AJ420" s="141">
        <v>0</v>
      </c>
      <c r="AK420" s="138"/>
      <c r="AL420" s="28"/>
      <c r="AM420" s="141"/>
      <c r="AN420" s="138"/>
      <c r="AO420" s="141"/>
      <c r="AP420" s="217" t="s">
        <v>1079</v>
      </c>
      <c r="AQ420" s="218" t="s">
        <v>1080</v>
      </c>
      <c r="AR420" s="141" t="s">
        <v>447</v>
      </c>
      <c r="AS420" s="28"/>
      <c r="AT420" s="28"/>
      <c r="AU420" s="28"/>
      <c r="AX420" s="199" t="s">
        <v>42</v>
      </c>
      <c r="AY420" s="142" t="s">
        <v>43</v>
      </c>
      <c r="AZ420" s="146" t="s">
        <v>44</v>
      </c>
      <c r="BA420" s="142" t="s">
        <v>45</v>
      </c>
      <c r="BB420" s="143" t="s">
        <v>46</v>
      </c>
      <c r="BC420" s="143" t="s">
        <v>52</v>
      </c>
      <c r="BD420" s="142" t="s">
        <v>43</v>
      </c>
      <c r="BE420" s="146" t="s">
        <v>44</v>
      </c>
      <c r="BF420" s="143" t="s">
        <v>54</v>
      </c>
      <c r="BG420" s="143"/>
      <c r="BH420" s="146"/>
    </row>
    <row r="421" spans="1:60" x14ac:dyDescent="0.3">
      <c r="C421" s="28"/>
      <c r="D421" s="50" t="s">
        <v>107</v>
      </c>
      <c r="E421" s="31">
        <v>19</v>
      </c>
      <c r="F421" s="31">
        <v>12</v>
      </c>
      <c r="G421" s="29"/>
      <c r="H421" s="31"/>
      <c r="I421" s="30"/>
      <c r="J421" s="55"/>
      <c r="K421" s="8"/>
      <c r="L421" s="29"/>
      <c r="M421" s="34" t="s">
        <v>92</v>
      </c>
      <c r="N421" s="35"/>
      <c r="Q421" s="28"/>
      <c r="R421" s="88" t="s">
        <v>139</v>
      </c>
      <c r="S421" s="33">
        <v>0</v>
      </c>
      <c r="T421" s="34">
        <v>1</v>
      </c>
      <c r="U421" s="152"/>
      <c r="V421" s="89"/>
      <c r="W421" s="66"/>
      <c r="X421" s="8"/>
      <c r="Y421" s="35"/>
      <c r="Z421" s="34" t="s">
        <v>140</v>
      </c>
      <c r="AA421" s="34"/>
      <c r="AB421" s="35"/>
      <c r="AH421" s="219" t="s">
        <v>1081</v>
      </c>
      <c r="AI421" s="138">
        <v>8</v>
      </c>
      <c r="AJ421" s="141">
        <v>8</v>
      </c>
      <c r="AK421" s="138"/>
      <c r="AL421" s="28"/>
      <c r="AM421" s="141"/>
      <c r="AN421" s="138"/>
      <c r="AO421" s="141"/>
      <c r="AP421" s="138" t="s">
        <v>1082</v>
      </c>
      <c r="AQ421" s="220" t="s">
        <v>1083</v>
      </c>
      <c r="AR421" s="141"/>
      <c r="AS421" s="28"/>
      <c r="AT421" s="28"/>
      <c r="AU421" s="28"/>
      <c r="AX421" s="195" t="s">
        <v>64</v>
      </c>
      <c r="AY421" s="135">
        <v>230</v>
      </c>
      <c r="AZ421" s="135">
        <v>166</v>
      </c>
      <c r="BA421" s="134"/>
      <c r="BB421" s="135"/>
      <c r="BC421" s="135"/>
      <c r="BD421" s="134"/>
      <c r="BE421" s="136"/>
      <c r="BF421" s="135" t="s">
        <v>58</v>
      </c>
      <c r="BG421" s="135"/>
      <c r="BH421" s="136"/>
    </row>
    <row r="422" spans="1:60" x14ac:dyDescent="0.3">
      <c r="C422" s="28"/>
      <c r="D422" s="41" t="s">
        <v>99</v>
      </c>
      <c r="E422" s="45">
        <v>0</v>
      </c>
      <c r="F422" s="45">
        <v>0</v>
      </c>
      <c r="G422" s="42">
        <v>0</v>
      </c>
      <c r="H422" s="45">
        <v>0</v>
      </c>
      <c r="I422" s="40">
        <v>0</v>
      </c>
      <c r="J422" s="45">
        <v>38735</v>
      </c>
      <c r="K422" s="56">
        <v>10592</v>
      </c>
      <c r="L422" s="52">
        <v>27</v>
      </c>
      <c r="M422" s="37" t="s">
        <v>100</v>
      </c>
      <c r="N422" s="40"/>
      <c r="Q422" s="28"/>
      <c r="R422" s="42" t="s">
        <v>108</v>
      </c>
      <c r="S422" s="42">
        <f>8+7</f>
        <v>15</v>
      </c>
      <c r="T422" s="43">
        <v>0</v>
      </c>
      <c r="U422" s="42"/>
      <c r="V422" s="28"/>
      <c r="W422" s="40"/>
      <c r="X422" s="28"/>
      <c r="Y422" s="40"/>
      <c r="Z422" s="28"/>
      <c r="AA422" s="28"/>
      <c r="AB422" s="40"/>
      <c r="AH422" s="196" t="s">
        <v>64</v>
      </c>
      <c r="AI422" s="138">
        <f>3+3</f>
        <v>6</v>
      </c>
      <c r="AJ422" s="141">
        <f>3+5</f>
        <v>8</v>
      </c>
      <c r="AK422" s="138"/>
      <c r="AL422" s="28"/>
      <c r="AM422" s="141"/>
      <c r="AN422" s="138"/>
      <c r="AO422" s="141"/>
      <c r="AP422" s="221" t="s">
        <v>1084</v>
      </c>
      <c r="AQ422" s="43" t="s">
        <v>1085</v>
      </c>
      <c r="AR422" s="209" t="s">
        <v>807</v>
      </c>
      <c r="AS422" s="43"/>
      <c r="AT422" s="43"/>
      <c r="AU422" s="28"/>
      <c r="AX422" s="196" t="s">
        <v>85</v>
      </c>
      <c r="AY422" s="28">
        <v>6</v>
      </c>
      <c r="AZ422" s="28">
        <v>0</v>
      </c>
      <c r="BA422" s="138">
        <v>0</v>
      </c>
      <c r="BB422" s="28">
        <v>0</v>
      </c>
      <c r="BC422" s="28">
        <v>0</v>
      </c>
      <c r="BD422" s="138">
        <v>0</v>
      </c>
      <c r="BE422" s="141">
        <v>0</v>
      </c>
      <c r="BF422" s="43">
        <v>12</v>
      </c>
      <c r="BG422" s="28" t="s">
        <v>474</v>
      </c>
      <c r="BH422" s="141" t="s">
        <v>1632</v>
      </c>
    </row>
    <row r="423" spans="1:60" ht="15" thickBot="1" x14ac:dyDescent="0.35">
      <c r="C423" s="28"/>
      <c r="D423" s="17" t="s">
        <v>84</v>
      </c>
      <c r="E423" s="18">
        <f>SUM(E421:E422)</f>
        <v>19</v>
      </c>
      <c r="F423" s="18">
        <f>SUM(F421:F422)</f>
        <v>12</v>
      </c>
      <c r="G423" s="13"/>
      <c r="H423" s="27"/>
      <c r="I423" s="26"/>
      <c r="J423" s="58"/>
      <c r="K423" s="27"/>
      <c r="L423" s="59"/>
      <c r="M423" s="48"/>
      <c r="N423" s="60">
        <f>SUM(L422:L423)</f>
        <v>27</v>
      </c>
      <c r="Q423" s="28"/>
      <c r="R423" s="153" t="s">
        <v>783</v>
      </c>
      <c r="S423" s="42">
        <v>0</v>
      </c>
      <c r="T423" s="43">
        <v>0</v>
      </c>
      <c r="U423" s="42"/>
      <c r="V423" s="28"/>
      <c r="W423" s="40"/>
      <c r="X423" s="28"/>
      <c r="Y423" s="40"/>
      <c r="Z423" s="28"/>
      <c r="AA423" s="28"/>
      <c r="AB423" s="40"/>
      <c r="AH423" s="196" t="s">
        <v>196</v>
      </c>
      <c r="AI423" s="138">
        <v>3</v>
      </c>
      <c r="AJ423" s="141">
        <v>0</v>
      </c>
      <c r="AK423" s="138"/>
      <c r="AL423" s="28"/>
      <c r="AM423" s="141"/>
      <c r="AN423" s="138"/>
      <c r="AO423" s="141"/>
      <c r="AP423" s="138" t="s">
        <v>1086</v>
      </c>
      <c r="AQ423" s="43" t="s">
        <v>378</v>
      </c>
      <c r="AR423" s="213" t="s">
        <v>1087</v>
      </c>
      <c r="AS423" s="228"/>
      <c r="AT423" s="228"/>
      <c r="AU423" s="28"/>
      <c r="AX423" s="199" t="s">
        <v>84</v>
      </c>
      <c r="AY423" s="143">
        <f>SUM(AY421:AY422)</f>
        <v>236</v>
      </c>
      <c r="AZ423" s="143">
        <f>SUM(AZ421:AZ422)</f>
        <v>166</v>
      </c>
      <c r="BA423" s="138">
        <v>0</v>
      </c>
      <c r="BB423" s="28">
        <v>0</v>
      </c>
      <c r="BC423" s="28">
        <v>0</v>
      </c>
      <c r="BD423" s="138">
        <v>0</v>
      </c>
      <c r="BE423" s="141">
        <v>0</v>
      </c>
      <c r="BF423" s="143">
        <v>6</v>
      </c>
      <c r="BG423" s="143" t="s">
        <v>69</v>
      </c>
      <c r="BH423" s="146">
        <f>SUM(BF422:BF423)+1</f>
        <v>19</v>
      </c>
    </row>
    <row r="424" spans="1:60" ht="15" thickBot="1" x14ac:dyDescent="0.35">
      <c r="A424" s="31" t="s">
        <v>57</v>
      </c>
      <c r="B424">
        <v>2014</v>
      </c>
      <c r="C424" s="28">
        <v>7</v>
      </c>
      <c r="D424" s="32" t="s">
        <v>107</v>
      </c>
      <c r="E424" s="63">
        <v>0</v>
      </c>
      <c r="F424" s="64">
        <v>19</v>
      </c>
      <c r="G424" s="33"/>
      <c r="H424" s="8"/>
      <c r="I424" s="35"/>
      <c r="J424" s="65"/>
      <c r="K424" s="66"/>
      <c r="L424" s="29"/>
      <c r="M424" s="31" t="s">
        <v>57</v>
      </c>
      <c r="N424" s="35"/>
      <c r="Q424" s="28"/>
      <c r="R424" s="92" t="s">
        <v>113</v>
      </c>
      <c r="S424" s="67">
        <f>42+4+5+2+4</f>
        <v>57</v>
      </c>
      <c r="T424" s="43">
        <f>39+7+1</f>
        <v>47</v>
      </c>
      <c r="U424" s="52"/>
      <c r="V424" s="54"/>
      <c r="W424" s="85"/>
      <c r="X424" s="18"/>
      <c r="Y424" s="40"/>
      <c r="Z424" s="18" t="s">
        <v>142</v>
      </c>
      <c r="AA424" s="18"/>
      <c r="AB424" s="39" t="s">
        <v>814</v>
      </c>
      <c r="AH424" s="196" t="s">
        <v>88</v>
      </c>
      <c r="AI424" s="138">
        <v>0</v>
      </c>
      <c r="AJ424" s="141">
        <v>2</v>
      </c>
      <c r="AK424" s="138"/>
      <c r="AL424" s="28"/>
      <c r="AM424" s="141"/>
      <c r="AN424" s="138"/>
      <c r="AO424" s="141"/>
      <c r="AP424" s="138" t="s">
        <v>1088</v>
      </c>
      <c r="AQ424" s="43" t="s">
        <v>799</v>
      </c>
      <c r="AR424" s="141" t="s">
        <v>1089</v>
      </c>
      <c r="AS424" s="28"/>
      <c r="AT424" s="28"/>
      <c r="AU424" s="43"/>
      <c r="AX424" s="195" t="s">
        <v>6</v>
      </c>
      <c r="AY424" s="134" t="s">
        <v>6</v>
      </c>
      <c r="AZ424" s="136"/>
      <c r="BA424" s="135"/>
      <c r="BB424" s="135">
        <v>0</v>
      </c>
      <c r="BC424" s="135"/>
      <c r="BD424" s="134"/>
      <c r="BE424" s="136"/>
      <c r="BF424" s="135" t="s">
        <v>1092</v>
      </c>
      <c r="BG424" s="135"/>
      <c r="BH424" s="136"/>
    </row>
    <row r="425" spans="1:60" ht="15" thickBot="1" x14ac:dyDescent="0.35">
      <c r="A425" s="31" t="s">
        <v>57</v>
      </c>
      <c r="B425">
        <v>2014</v>
      </c>
      <c r="C425" s="28">
        <v>7</v>
      </c>
      <c r="D425" s="41" t="s">
        <v>113</v>
      </c>
      <c r="E425" s="70">
        <v>405</v>
      </c>
      <c r="F425" s="71">
        <v>478</v>
      </c>
      <c r="G425" s="42"/>
      <c r="H425" s="28"/>
      <c r="I425" s="40"/>
      <c r="J425" s="42"/>
      <c r="K425" s="40"/>
      <c r="L425" s="42" t="s">
        <v>6</v>
      </c>
      <c r="M425" s="43"/>
      <c r="N425" s="40"/>
      <c r="Q425" s="28"/>
      <c r="R425" s="42" t="s">
        <v>164</v>
      </c>
      <c r="S425" s="67">
        <v>0</v>
      </c>
      <c r="T425" s="43">
        <v>0</v>
      </c>
      <c r="U425" s="52"/>
      <c r="V425" s="54"/>
      <c r="W425" s="85"/>
      <c r="X425" s="18"/>
      <c r="Y425" s="40"/>
      <c r="Z425" s="154" t="s">
        <v>146</v>
      </c>
      <c r="AA425" s="28"/>
      <c r="AB425" s="94" t="s">
        <v>816</v>
      </c>
      <c r="AH425" s="196" t="s">
        <v>1090</v>
      </c>
      <c r="AI425" s="138">
        <v>5</v>
      </c>
      <c r="AJ425" s="141">
        <v>6</v>
      </c>
      <c r="AK425" s="138"/>
      <c r="AL425" s="28"/>
      <c r="AM425" s="141"/>
      <c r="AN425" s="138"/>
      <c r="AO425" s="141"/>
      <c r="AP425" s="138"/>
      <c r="AQ425" s="43"/>
      <c r="AR425" s="141"/>
      <c r="AS425" s="28"/>
      <c r="AT425" s="28"/>
      <c r="AU425" s="135" t="s">
        <v>1092</v>
      </c>
      <c r="AV425">
        <v>2017</v>
      </c>
      <c r="AW425">
        <v>7</v>
      </c>
      <c r="AX425" s="199" t="s">
        <v>108</v>
      </c>
      <c r="AY425" s="142">
        <v>265</v>
      </c>
      <c r="AZ425" s="146">
        <v>171</v>
      </c>
      <c r="BA425" s="143"/>
      <c r="BB425" s="143">
        <v>0</v>
      </c>
      <c r="BC425" s="143">
        <v>0</v>
      </c>
      <c r="BD425" s="142">
        <v>0</v>
      </c>
      <c r="BE425" s="146">
        <v>0</v>
      </c>
      <c r="BF425" s="143">
        <v>5</v>
      </c>
      <c r="BG425" s="143" t="s">
        <v>780</v>
      </c>
      <c r="BH425" s="146">
        <f>SUM(BF425)</f>
        <v>5</v>
      </c>
    </row>
    <row r="426" spans="1:60" ht="15" thickBot="1" x14ac:dyDescent="0.35">
      <c r="A426" s="31" t="s">
        <v>57</v>
      </c>
      <c r="B426">
        <v>2014</v>
      </c>
      <c r="C426" s="28">
        <v>7</v>
      </c>
      <c r="D426" s="68" t="s">
        <v>84</v>
      </c>
      <c r="E426">
        <f>SUM(E424:E425)</f>
        <v>405</v>
      </c>
      <c r="F426">
        <f>SUM(F424:F425)</f>
        <v>497</v>
      </c>
      <c r="G426" s="47">
        <v>0</v>
      </c>
      <c r="H426" s="27">
        <v>0</v>
      </c>
      <c r="I426" s="49">
        <v>0</v>
      </c>
      <c r="J426" s="75">
        <v>0</v>
      </c>
      <c r="K426" s="49">
        <v>0</v>
      </c>
      <c r="L426" s="47">
        <v>43</v>
      </c>
      <c r="M426" s="51" t="s">
        <v>73</v>
      </c>
      <c r="N426" s="49">
        <f>SUM(L425:L426)</f>
        <v>43</v>
      </c>
      <c r="Q426" s="28"/>
      <c r="R426" s="127" t="s">
        <v>817</v>
      </c>
      <c r="S426" s="67">
        <v>3</v>
      </c>
      <c r="T426" s="43">
        <v>0</v>
      </c>
      <c r="U426" s="42"/>
      <c r="V426" s="28"/>
      <c r="W426" s="40"/>
      <c r="X426" s="28"/>
      <c r="Y426" s="40"/>
      <c r="Z426" s="28"/>
      <c r="AA426" s="28"/>
      <c r="AB426" s="40"/>
      <c r="AH426" s="196" t="s">
        <v>200</v>
      </c>
      <c r="AI426" s="138">
        <v>7</v>
      </c>
      <c r="AJ426" s="141">
        <v>0</v>
      </c>
      <c r="AK426" s="138"/>
      <c r="AL426" s="28"/>
      <c r="AM426" s="141"/>
      <c r="AN426" s="138"/>
      <c r="AO426" s="141"/>
      <c r="AP426" s="138"/>
      <c r="AQ426" s="43"/>
      <c r="AR426" s="141"/>
      <c r="AS426" s="28"/>
      <c r="AT426" s="28"/>
      <c r="AU426" s="28"/>
      <c r="AX426" s="195" t="s">
        <v>107</v>
      </c>
      <c r="AY426" s="134">
        <v>0</v>
      </c>
      <c r="AZ426" s="136">
        <v>0</v>
      </c>
      <c r="BA426" s="135"/>
      <c r="BB426" s="135"/>
      <c r="BC426" s="135"/>
      <c r="BD426" s="134"/>
      <c r="BE426" s="136"/>
      <c r="BF426" s="135"/>
      <c r="BG426" s="135" t="s">
        <v>92</v>
      </c>
      <c r="BH426" s="136"/>
    </row>
    <row r="427" spans="1:60" ht="15" thickBot="1" x14ac:dyDescent="0.35">
      <c r="A427" s="31"/>
      <c r="B427">
        <v>2014</v>
      </c>
      <c r="C427" s="28">
        <v>7</v>
      </c>
      <c r="D427" s="33" t="s">
        <v>108</v>
      </c>
      <c r="E427" s="78">
        <v>0</v>
      </c>
      <c r="F427" s="79">
        <v>0</v>
      </c>
      <c r="G427" s="34"/>
      <c r="H427" s="8"/>
      <c r="I427" s="35"/>
      <c r="J427" s="80"/>
      <c r="K427" s="34"/>
      <c r="L427" s="33"/>
      <c r="M427" s="34" t="s">
        <v>91</v>
      </c>
      <c r="N427" s="35"/>
      <c r="Q427" s="28"/>
      <c r="R427" s="52" t="s">
        <v>133</v>
      </c>
      <c r="S427" s="67">
        <f>2+5</f>
        <v>7</v>
      </c>
      <c r="T427" s="43">
        <f>2+4+1+1</f>
        <v>8</v>
      </c>
      <c r="U427" s="52" t="s">
        <v>150</v>
      </c>
      <c r="V427" s="54"/>
      <c r="W427" s="85"/>
      <c r="X427" s="18"/>
      <c r="Y427" s="40"/>
      <c r="Z427" s="28" t="s">
        <v>151</v>
      </c>
      <c r="AA427" s="28"/>
      <c r="AB427" s="185"/>
      <c r="AH427" s="196" t="s">
        <v>801</v>
      </c>
      <c r="AI427" s="138">
        <v>0</v>
      </c>
      <c r="AJ427" s="141">
        <v>0</v>
      </c>
      <c r="AK427" s="138"/>
      <c r="AL427" s="28"/>
      <c r="AM427" s="141"/>
      <c r="AN427" s="138"/>
      <c r="AO427" s="141"/>
      <c r="AP427" s="138"/>
      <c r="AQ427" s="28"/>
      <c r="AR427" s="141"/>
      <c r="AS427" s="28"/>
      <c r="AT427" s="28"/>
      <c r="AU427" s="28"/>
      <c r="AX427" s="196" t="s">
        <v>99</v>
      </c>
      <c r="AY427" s="138">
        <v>0</v>
      </c>
      <c r="AZ427" s="141">
        <v>0</v>
      </c>
      <c r="BA427" s="28">
        <v>0</v>
      </c>
      <c r="BB427" s="28">
        <v>0</v>
      </c>
      <c r="BC427" s="28">
        <v>0</v>
      </c>
      <c r="BD427" s="138">
        <v>85577</v>
      </c>
      <c r="BE427" s="141">
        <v>19998</v>
      </c>
      <c r="BF427" s="43">
        <v>28</v>
      </c>
      <c r="BG427" s="28" t="s">
        <v>100</v>
      </c>
      <c r="BH427" s="141"/>
    </row>
    <row r="428" spans="1:60" ht="15" thickBot="1" x14ac:dyDescent="0.35">
      <c r="A428" s="34" t="s">
        <v>91</v>
      </c>
      <c r="B428">
        <v>2014</v>
      </c>
      <c r="C428" s="28">
        <v>7</v>
      </c>
      <c r="D428" s="52" t="s">
        <v>85</v>
      </c>
      <c r="E428" s="42">
        <v>0</v>
      </c>
      <c r="F428" s="40">
        <v>0</v>
      </c>
      <c r="G428" s="28"/>
      <c r="H428" s="28"/>
      <c r="I428" s="40"/>
      <c r="L428" s="42"/>
      <c r="M428" s="28"/>
      <c r="N428" s="40"/>
      <c r="Q428" s="28"/>
      <c r="R428" s="52" t="s">
        <v>85</v>
      </c>
      <c r="S428" s="42">
        <v>0</v>
      </c>
      <c r="T428" s="43">
        <v>3</v>
      </c>
      <c r="U428" s="42"/>
      <c r="V428" s="54"/>
      <c r="W428" s="40"/>
      <c r="X428" s="45"/>
      <c r="Y428" s="56"/>
      <c r="Z428" s="43" t="s">
        <v>519</v>
      </c>
      <c r="AA428" s="28" t="s">
        <v>347</v>
      </c>
      <c r="AB428" s="40" t="s">
        <v>580</v>
      </c>
      <c r="AH428" s="196" t="s">
        <v>862</v>
      </c>
      <c r="AI428" s="138">
        <v>3</v>
      </c>
      <c r="AJ428" s="141">
        <v>1</v>
      </c>
      <c r="AK428" s="138"/>
      <c r="AL428" s="28"/>
      <c r="AM428" s="141"/>
      <c r="AN428" s="138"/>
      <c r="AO428" s="141"/>
      <c r="AP428" s="138"/>
      <c r="AQ428" s="28"/>
      <c r="AR428" s="141"/>
      <c r="AS428" s="28"/>
      <c r="AT428" s="28"/>
      <c r="AU428" s="28"/>
      <c r="AX428" s="199" t="s">
        <v>84</v>
      </c>
      <c r="AY428" s="138">
        <f>SUM(AY426:AY427)</f>
        <v>0</v>
      </c>
      <c r="AZ428" s="141">
        <f>SUM(AZ426:AZ427)</f>
        <v>0</v>
      </c>
      <c r="BA428" s="143"/>
      <c r="BB428" s="143"/>
      <c r="BC428" s="143"/>
      <c r="BD428" s="138"/>
      <c r="BE428" s="141"/>
      <c r="BF428" s="28">
        <v>0</v>
      </c>
      <c r="BG428" s="28" t="s">
        <v>506</v>
      </c>
      <c r="BH428" s="141">
        <f>SUM(BF427:BF428)</f>
        <v>28</v>
      </c>
    </row>
    <row r="429" spans="1:60" ht="16.2" thickBot="1" x14ac:dyDescent="0.35">
      <c r="A429" s="34" t="s">
        <v>91</v>
      </c>
      <c r="B429">
        <v>2014</v>
      </c>
      <c r="C429" s="28">
        <v>7</v>
      </c>
      <c r="D429" s="67" t="s">
        <v>113</v>
      </c>
      <c r="E429" s="42">
        <v>522</v>
      </c>
      <c r="F429" s="40">
        <v>450</v>
      </c>
      <c r="G429" s="28"/>
      <c r="H429" s="28"/>
      <c r="I429" s="40"/>
      <c r="J429" s="28"/>
      <c r="K429" s="28"/>
      <c r="L429" s="67">
        <v>47</v>
      </c>
      <c r="M429" s="43" t="s">
        <v>73</v>
      </c>
      <c r="N429" s="40"/>
      <c r="Q429" s="28"/>
      <c r="R429" s="151" t="s">
        <v>93</v>
      </c>
      <c r="S429" s="36">
        <v>0</v>
      </c>
      <c r="T429" s="37">
        <v>2</v>
      </c>
      <c r="U429" s="10"/>
      <c r="V429" s="18"/>
      <c r="W429" s="11"/>
      <c r="X429" s="18"/>
      <c r="Y429" s="11"/>
      <c r="Z429" s="158" t="s">
        <v>818</v>
      </c>
      <c r="AA429" s="178" t="s">
        <v>500</v>
      </c>
      <c r="AB429" s="114" t="s">
        <v>819</v>
      </c>
      <c r="AH429" s="196" t="s">
        <v>384</v>
      </c>
      <c r="AI429" s="138">
        <v>0</v>
      </c>
      <c r="AJ429" s="141">
        <v>0</v>
      </c>
      <c r="AK429" s="138"/>
      <c r="AL429" s="28"/>
      <c r="AM429" s="141"/>
      <c r="AN429" s="138"/>
      <c r="AO429" s="141"/>
      <c r="AP429" s="138"/>
      <c r="AQ429" s="28"/>
      <c r="AR429" s="141"/>
      <c r="AS429" s="28"/>
      <c r="AT429" s="28"/>
      <c r="AU429" s="135" t="s">
        <v>91</v>
      </c>
      <c r="AV429">
        <v>2017</v>
      </c>
      <c r="AW429">
        <v>7</v>
      </c>
      <c r="AX429" s="138" t="s">
        <v>89</v>
      </c>
      <c r="AY429" s="134">
        <v>1175</v>
      </c>
      <c r="AZ429" s="136">
        <v>1267</v>
      </c>
      <c r="BD429" s="134"/>
      <c r="BE429" s="135"/>
      <c r="BF429" s="134"/>
      <c r="BG429" s="135" t="s">
        <v>91</v>
      </c>
      <c r="BH429" s="136"/>
    </row>
    <row r="430" spans="1:60" ht="15" thickBot="1" x14ac:dyDescent="0.35">
      <c r="A430" s="34" t="s">
        <v>91</v>
      </c>
      <c r="B430">
        <v>2014</v>
      </c>
      <c r="C430" s="28">
        <v>7</v>
      </c>
      <c r="D430" s="47" t="s">
        <v>84</v>
      </c>
      <c r="E430" s="47">
        <f>SUM(E427:E429)</f>
        <v>522</v>
      </c>
      <c r="F430" s="49">
        <f>SUM(F427:F429)</f>
        <v>450</v>
      </c>
      <c r="G430" s="81">
        <v>0</v>
      </c>
      <c r="H430" s="27">
        <v>0</v>
      </c>
      <c r="I430" s="82">
        <v>0</v>
      </c>
      <c r="J430" s="74">
        <v>0</v>
      </c>
      <c r="K430" s="74">
        <v>0</v>
      </c>
      <c r="L430" s="47"/>
      <c r="M430" s="51"/>
      <c r="N430" s="49">
        <f>SUM(L429)</f>
        <v>47</v>
      </c>
      <c r="O430" t="s">
        <v>6</v>
      </c>
      <c r="Q430" s="28"/>
      <c r="R430" s="42" t="s">
        <v>699</v>
      </c>
      <c r="S430" s="42">
        <v>2</v>
      </c>
      <c r="T430" s="54">
        <v>2</v>
      </c>
      <c r="U430" s="10"/>
      <c r="V430" s="18"/>
      <c r="W430" s="11"/>
      <c r="X430" s="18"/>
      <c r="Y430" s="11"/>
      <c r="Z430" s="158" t="s">
        <v>820</v>
      </c>
      <c r="AA430" s="186" t="s">
        <v>627</v>
      </c>
      <c r="AB430" s="39" t="s">
        <v>371</v>
      </c>
      <c r="AH430" s="196" t="s">
        <v>211</v>
      </c>
      <c r="AI430" s="138">
        <v>43</v>
      </c>
      <c r="AJ430" s="141">
        <v>26</v>
      </c>
      <c r="AK430" s="138"/>
      <c r="AL430" s="28"/>
      <c r="AM430" s="141"/>
      <c r="AN430" s="138"/>
      <c r="AO430" s="141"/>
      <c r="AP430" s="138"/>
      <c r="AQ430" s="28"/>
      <c r="AR430" s="141"/>
      <c r="AS430" s="28"/>
      <c r="AT430" s="28"/>
      <c r="AU430" s="135" t="s">
        <v>91</v>
      </c>
      <c r="AV430">
        <v>2017</v>
      </c>
      <c r="AW430">
        <v>7</v>
      </c>
      <c r="AX430" s="138" t="s">
        <v>137</v>
      </c>
      <c r="AY430" s="138">
        <v>787</v>
      </c>
      <c r="AZ430" s="141">
        <v>902</v>
      </c>
      <c r="BD430" s="138"/>
      <c r="BE430" s="28"/>
      <c r="BF430" s="212"/>
      <c r="BG430" s="43"/>
      <c r="BH430" s="141"/>
    </row>
    <row r="431" spans="1:60" ht="15" thickBot="1" x14ac:dyDescent="0.35">
      <c r="A431" s="34" t="s">
        <v>130</v>
      </c>
      <c r="B431">
        <v>2014</v>
      </c>
      <c r="C431" s="28">
        <v>7</v>
      </c>
      <c r="D431" s="52" t="s">
        <v>113</v>
      </c>
      <c r="E431" s="42">
        <v>580</v>
      </c>
      <c r="F431" s="85">
        <v>588</v>
      </c>
      <c r="G431" s="37"/>
      <c r="H431" s="18"/>
      <c r="I431" s="54"/>
      <c r="J431" s="52"/>
      <c r="K431" s="40"/>
      <c r="L431" s="67"/>
      <c r="M431" s="34" t="s">
        <v>130</v>
      </c>
      <c r="N431" s="40"/>
      <c r="Q431" s="28"/>
      <c r="R431" s="36" t="s">
        <v>169</v>
      </c>
      <c r="S431" s="36">
        <f>4+5</f>
        <v>9</v>
      </c>
      <c r="T431" s="37">
        <v>11</v>
      </c>
      <c r="U431" s="10"/>
      <c r="V431" s="18"/>
      <c r="W431" s="11"/>
      <c r="X431" s="18"/>
      <c r="Y431" s="11"/>
      <c r="Z431" s="158" t="s">
        <v>821</v>
      </c>
      <c r="AA431" s="37" t="s">
        <v>482</v>
      </c>
      <c r="AB431" s="39" t="s">
        <v>822</v>
      </c>
      <c r="AH431" s="196" t="s">
        <v>218</v>
      </c>
      <c r="AI431" s="138">
        <v>3</v>
      </c>
      <c r="AJ431" s="141">
        <v>17</v>
      </c>
      <c r="AK431" s="138"/>
      <c r="AL431" s="28">
        <v>0</v>
      </c>
      <c r="AM431" s="141"/>
      <c r="AN431" s="138"/>
      <c r="AO431" s="141"/>
      <c r="AP431" s="138"/>
      <c r="AQ431" s="28"/>
      <c r="AR431" s="141"/>
      <c r="AS431" s="28"/>
      <c r="AT431" s="28"/>
      <c r="AU431" s="135" t="s">
        <v>91</v>
      </c>
      <c r="AV431">
        <v>2017</v>
      </c>
      <c r="AW431">
        <v>7</v>
      </c>
      <c r="AX431" s="212" t="s">
        <v>97</v>
      </c>
      <c r="AY431" s="212">
        <v>1007</v>
      </c>
      <c r="AZ431" s="209">
        <v>855</v>
      </c>
      <c r="BD431" s="138"/>
      <c r="BE431" s="28"/>
      <c r="BF431" s="138">
        <v>36</v>
      </c>
      <c r="BG431" s="43" t="s">
        <v>1134</v>
      </c>
      <c r="BH431" s="141"/>
    </row>
    <row r="432" spans="1:60" ht="15" thickBot="1" x14ac:dyDescent="0.35">
      <c r="A432" s="34" t="s">
        <v>130</v>
      </c>
      <c r="B432">
        <v>2014</v>
      </c>
      <c r="C432" s="28">
        <v>7</v>
      </c>
      <c r="D432" s="42" t="s">
        <v>475</v>
      </c>
      <c r="E432" s="67">
        <f>15+28</f>
        <v>43</v>
      </c>
      <c r="F432" s="85">
        <v>0</v>
      </c>
      <c r="G432" s="28"/>
      <c r="H432" s="18"/>
      <c r="I432" s="28"/>
      <c r="J432" s="52"/>
      <c r="K432" s="86"/>
      <c r="L432" s="52">
        <v>59</v>
      </c>
      <c r="M432" s="43" t="s">
        <v>73</v>
      </c>
      <c r="N432" s="40"/>
      <c r="Q432" s="28"/>
      <c r="R432" s="36" t="s">
        <v>99</v>
      </c>
      <c r="S432" s="36">
        <v>4</v>
      </c>
      <c r="T432" s="37">
        <f>2+12</f>
        <v>14</v>
      </c>
      <c r="U432" s="10"/>
      <c r="V432" s="18"/>
      <c r="W432" s="11"/>
      <c r="X432" s="18"/>
      <c r="Y432" s="11"/>
      <c r="Z432" s="179" t="s">
        <v>332</v>
      </c>
      <c r="AA432" s="37" t="s">
        <v>823</v>
      </c>
      <c r="AB432" s="39" t="s">
        <v>603</v>
      </c>
      <c r="AH432" s="196" t="s">
        <v>93</v>
      </c>
      <c r="AI432" s="138">
        <v>0</v>
      </c>
      <c r="AJ432" s="141">
        <v>0</v>
      </c>
      <c r="AK432" s="138"/>
      <c r="AL432" s="28"/>
      <c r="AM432" s="141"/>
      <c r="AN432" s="138"/>
      <c r="AO432" s="141"/>
      <c r="AP432" s="138"/>
      <c r="AQ432" s="28"/>
      <c r="AR432" s="141"/>
      <c r="AS432" s="28"/>
      <c r="AT432" s="28"/>
      <c r="AU432" s="135" t="s">
        <v>91</v>
      </c>
      <c r="AV432">
        <v>2017</v>
      </c>
      <c r="AW432">
        <v>7</v>
      </c>
      <c r="AX432" s="138" t="s">
        <v>113</v>
      </c>
      <c r="AY432" s="138">
        <f>11+522</f>
        <v>533</v>
      </c>
      <c r="AZ432" s="141">
        <f>6+501</f>
        <v>507</v>
      </c>
      <c r="BD432" s="138"/>
      <c r="BE432" s="28"/>
      <c r="BF432" s="212">
        <v>54</v>
      </c>
      <c r="BG432" s="28" t="s">
        <v>73</v>
      </c>
      <c r="BH432" s="141"/>
    </row>
    <row r="433" spans="1:61" ht="15" thickBot="1" x14ac:dyDescent="0.35">
      <c r="A433" s="34" t="s">
        <v>130</v>
      </c>
      <c r="B433">
        <v>2014</v>
      </c>
      <c r="C433" s="28">
        <v>7</v>
      </c>
      <c r="D433" s="59" t="s">
        <v>84</v>
      </c>
      <c r="E433" s="13">
        <f>SUM(E431:E432)</f>
        <v>623</v>
      </c>
      <c r="F433" s="60">
        <f>SUM(F431:F432)</f>
        <v>588</v>
      </c>
      <c r="G433" s="81">
        <v>0</v>
      </c>
      <c r="H433" s="27">
        <v>0</v>
      </c>
      <c r="I433" s="27">
        <v>0</v>
      </c>
      <c r="J433" s="13">
        <v>0</v>
      </c>
      <c r="K433" s="26">
        <v>0</v>
      </c>
      <c r="L433" s="13"/>
      <c r="M433" s="43"/>
      <c r="N433" s="26">
        <f>SUM(L431:L432)</f>
        <v>59</v>
      </c>
      <c r="Q433" s="28"/>
      <c r="R433" s="150" t="s">
        <v>200</v>
      </c>
      <c r="S433" s="36">
        <v>6</v>
      </c>
      <c r="T433" s="37">
        <v>6</v>
      </c>
      <c r="U433" s="10"/>
      <c r="V433" s="37"/>
      <c r="W433" s="11"/>
      <c r="X433" s="18"/>
      <c r="Y433" s="11"/>
      <c r="Z433" s="158" t="s">
        <v>269</v>
      </c>
      <c r="AA433" s="54" t="s">
        <v>677</v>
      </c>
      <c r="AB433" s="39" t="s">
        <v>824</v>
      </c>
      <c r="AH433" s="199" t="s">
        <v>84</v>
      </c>
      <c r="AI433" s="142">
        <f>SUM(AI408:AI432)</f>
        <v>138</v>
      </c>
      <c r="AJ433" s="146">
        <f>SUM(AJ408:AJ432)</f>
        <v>185</v>
      </c>
      <c r="AK433" s="142">
        <v>0</v>
      </c>
      <c r="AL433" s="143">
        <f>SUM(AL408:AL432)</f>
        <v>0</v>
      </c>
      <c r="AM433" s="146">
        <v>0</v>
      </c>
      <c r="AN433" s="142">
        <v>0</v>
      </c>
      <c r="AO433" s="146">
        <v>0</v>
      </c>
      <c r="AP433" s="142"/>
      <c r="AQ433" s="143"/>
      <c r="AR433" s="146">
        <f>9+4+4+4+5+4+4+3+4+3+5</f>
        <v>49</v>
      </c>
      <c r="AS433" s="28"/>
      <c r="AT433" s="28"/>
      <c r="AU433" s="135" t="s">
        <v>91</v>
      </c>
      <c r="AV433">
        <v>2017</v>
      </c>
      <c r="AW433">
        <v>7</v>
      </c>
      <c r="AX433" s="212" t="s">
        <v>1120</v>
      </c>
      <c r="AY433" s="212">
        <v>110</v>
      </c>
      <c r="AZ433" s="209">
        <v>139</v>
      </c>
      <c r="BD433" s="138"/>
      <c r="BE433" s="28"/>
      <c r="BF433" s="138">
        <v>1</v>
      </c>
      <c r="BG433" s="43" t="s">
        <v>1294</v>
      </c>
      <c r="BH433" s="141"/>
    </row>
    <row r="434" spans="1:61" x14ac:dyDescent="0.3">
      <c r="C434" s="28"/>
      <c r="D434" s="88" t="s">
        <v>139</v>
      </c>
      <c r="E434" s="33">
        <v>4</v>
      </c>
      <c r="F434" s="35">
        <v>6</v>
      </c>
      <c r="G434" s="89"/>
      <c r="H434" s="89"/>
      <c r="I434" s="80"/>
      <c r="J434" s="6"/>
      <c r="K434" s="35"/>
      <c r="L434" s="33" t="s">
        <v>140</v>
      </c>
      <c r="M434" s="34"/>
      <c r="N434" s="35"/>
      <c r="Q434" s="37"/>
      <c r="R434" s="36" t="s">
        <v>358</v>
      </c>
      <c r="S434" s="36">
        <v>1</v>
      </c>
      <c r="T434" s="37">
        <v>7</v>
      </c>
      <c r="U434" s="10"/>
      <c r="V434" s="18"/>
      <c r="W434" s="11"/>
      <c r="X434" s="18"/>
      <c r="Y434" s="11"/>
      <c r="Z434" s="37" t="s">
        <v>825</v>
      </c>
      <c r="AA434" s="37" t="s">
        <v>609</v>
      </c>
      <c r="AB434" s="180" t="s">
        <v>373</v>
      </c>
      <c r="AH434" t="s">
        <v>223</v>
      </c>
      <c r="AI434">
        <f>SUM(AI433+AI407+AI402+AI398+AI395+AI393+AI404)</f>
        <v>2427</v>
      </c>
      <c r="AJ434">
        <f>SUM(AJ433+AJ407+AJ402+AJ398+AJ393+AJ395+AJ404)</f>
        <v>2526</v>
      </c>
      <c r="AK434">
        <v>0</v>
      </c>
      <c r="AL434">
        <f>SUM(AL433+AL407+AL402+AL398+AL395+AL391)</f>
        <v>0</v>
      </c>
      <c r="AM434">
        <v>0</v>
      </c>
      <c r="AN434">
        <f>SUM(AN433+AN407+AN402+AN397+AN395+AN391)</f>
        <v>66214</v>
      </c>
      <c r="AO434">
        <f>SUM(AO433+AO407+AO402+AO397+AO395+AO391)</f>
        <v>19089</v>
      </c>
      <c r="AQ434" t="s">
        <v>939</v>
      </c>
      <c r="AR434">
        <f>SUM(+AR407+AR402+AR398+AR395+AR393)</f>
        <v>197</v>
      </c>
      <c r="AU434" s="135" t="s">
        <v>91</v>
      </c>
      <c r="AV434">
        <v>2017</v>
      </c>
      <c r="AW434">
        <v>7</v>
      </c>
      <c r="AX434" s="212" t="s">
        <v>817</v>
      </c>
      <c r="AY434" s="212">
        <v>33</v>
      </c>
      <c r="AZ434" s="209">
        <v>1035</v>
      </c>
      <c r="BD434" s="138"/>
      <c r="BE434" s="28"/>
      <c r="BF434" s="138">
        <v>0</v>
      </c>
      <c r="BG434" s="43" t="s">
        <v>1577</v>
      </c>
      <c r="BH434" s="141"/>
      <c r="BI434" s="28"/>
    </row>
    <row r="435" spans="1:61" x14ac:dyDescent="0.3">
      <c r="C435" s="28"/>
      <c r="D435" s="92" t="s">
        <v>113</v>
      </c>
      <c r="E435" s="67">
        <f>6+49+4+1</f>
        <v>60</v>
      </c>
      <c r="F435" s="56">
        <f>5+55+2+3+1</f>
        <v>66</v>
      </c>
      <c r="G435" s="54"/>
      <c r="H435" s="54"/>
      <c r="I435" s="45"/>
      <c r="J435" s="10"/>
      <c r="K435" s="40"/>
      <c r="L435" s="10" t="s">
        <v>142</v>
      </c>
      <c r="M435" s="18"/>
      <c r="N435" s="39" t="s">
        <v>438</v>
      </c>
      <c r="Q435" s="28"/>
      <c r="R435" s="150" t="s">
        <v>211</v>
      </c>
      <c r="S435" s="36">
        <v>70</v>
      </c>
      <c r="T435" s="37">
        <v>25</v>
      </c>
      <c r="U435" s="10"/>
      <c r="V435" s="18"/>
      <c r="W435" s="11"/>
      <c r="X435" s="18"/>
      <c r="Y435" s="11"/>
      <c r="Z435" s="159"/>
      <c r="AA435" s="37"/>
      <c r="AB435" s="39"/>
      <c r="AH435" t="s">
        <v>225</v>
      </c>
      <c r="AJ435">
        <f>SUM(AR433)</f>
        <v>49</v>
      </c>
      <c r="AU435" s="28"/>
      <c r="AX435" s="138" t="s">
        <v>84</v>
      </c>
      <c r="AY435" s="138">
        <f>SUM(AY429:AY434)</f>
        <v>3645</v>
      </c>
      <c r="AZ435" s="141">
        <f>SUM(AZ429:AZ434)</f>
        <v>4705</v>
      </c>
      <c r="BA435">
        <v>0</v>
      </c>
      <c r="BB435">
        <v>0</v>
      </c>
      <c r="BC435">
        <v>0</v>
      </c>
      <c r="BD435" s="142">
        <v>0</v>
      </c>
      <c r="BE435" s="143">
        <v>0</v>
      </c>
      <c r="BF435" s="142"/>
      <c r="BG435" s="143" t="s">
        <v>6</v>
      </c>
      <c r="BH435" s="146">
        <f>SUM(BF431:BF435)</f>
        <v>91</v>
      </c>
    </row>
    <row r="436" spans="1:61" x14ac:dyDescent="0.3">
      <c r="C436" s="28"/>
      <c r="D436" s="92" t="s">
        <v>164</v>
      </c>
      <c r="E436" s="67">
        <v>3</v>
      </c>
      <c r="F436" s="56">
        <v>6</v>
      </c>
      <c r="G436" s="54"/>
      <c r="H436" s="54"/>
      <c r="I436" s="45"/>
      <c r="J436" s="10"/>
      <c r="K436" s="40"/>
      <c r="L436" s="93" t="s">
        <v>146</v>
      </c>
      <c r="M436" s="28"/>
      <c r="N436" s="94" t="s">
        <v>253</v>
      </c>
      <c r="R436" s="150" t="s">
        <v>64</v>
      </c>
      <c r="S436" s="36">
        <v>5</v>
      </c>
      <c r="T436" s="37">
        <v>3</v>
      </c>
      <c r="U436" s="10"/>
      <c r="V436" s="18"/>
      <c r="W436" s="11"/>
      <c r="X436" s="18"/>
      <c r="Y436" s="11"/>
      <c r="Z436" s="128"/>
      <c r="AA436" s="37"/>
      <c r="AB436" s="39"/>
      <c r="AH436" t="s">
        <v>229</v>
      </c>
      <c r="AJ436">
        <v>12</v>
      </c>
      <c r="AU436" s="28"/>
      <c r="AX436" s="134"/>
      <c r="AY436" s="134"/>
      <c r="AZ436" s="136"/>
      <c r="BA436" s="135"/>
      <c r="BB436" s="135"/>
      <c r="BC436" s="135"/>
      <c r="BD436" s="138"/>
      <c r="BE436" s="141"/>
      <c r="BF436" s="28" t="s">
        <v>1025</v>
      </c>
      <c r="BG436" s="28"/>
      <c r="BH436" s="141"/>
    </row>
    <row r="437" spans="1:61" x14ac:dyDescent="0.3">
      <c r="C437" s="28" t="s">
        <v>6</v>
      </c>
      <c r="D437" s="127" t="s">
        <v>200</v>
      </c>
      <c r="E437" s="67">
        <v>0</v>
      </c>
      <c r="F437" s="56">
        <v>7</v>
      </c>
      <c r="J437" s="42"/>
      <c r="K437" s="40"/>
      <c r="L437" s="42"/>
      <c r="M437" s="28"/>
      <c r="N437" s="40"/>
      <c r="R437" s="36" t="s">
        <v>184</v>
      </c>
      <c r="S437" s="36">
        <v>0</v>
      </c>
      <c r="T437" s="37">
        <v>0</v>
      </c>
      <c r="U437" s="10"/>
      <c r="V437" s="18"/>
      <c r="W437" s="11"/>
      <c r="X437" s="18"/>
      <c r="Y437" s="11"/>
      <c r="Z437" s="128"/>
      <c r="AA437" s="37"/>
      <c r="AB437" s="39"/>
      <c r="AH437" t="s">
        <v>232</v>
      </c>
      <c r="AJ437" t="s">
        <v>233</v>
      </c>
      <c r="AL437">
        <f>SUM(T434)</f>
        <v>7</v>
      </c>
      <c r="AN437" t="s">
        <v>234</v>
      </c>
      <c r="AP437" t="s">
        <v>233</v>
      </c>
      <c r="AR437">
        <f>SUM(AI434)</f>
        <v>2427</v>
      </c>
      <c r="AU437" s="28"/>
      <c r="AX437" s="142" t="s">
        <v>64</v>
      </c>
      <c r="AY437" s="142">
        <v>104</v>
      </c>
      <c r="AZ437" s="146">
        <v>76</v>
      </c>
      <c r="BA437" s="143">
        <v>0</v>
      </c>
      <c r="BB437" s="143">
        <v>0</v>
      </c>
      <c r="BC437" s="143">
        <v>0</v>
      </c>
      <c r="BD437" s="142">
        <v>0</v>
      </c>
      <c r="BE437" s="146">
        <v>0</v>
      </c>
      <c r="BF437" s="143">
        <v>9</v>
      </c>
      <c r="BG437" s="143" t="s">
        <v>1026</v>
      </c>
      <c r="BH437" s="146">
        <f>SUM(BF437)</f>
        <v>9</v>
      </c>
      <c r="BI437" t="s">
        <v>6</v>
      </c>
    </row>
    <row r="438" spans="1:61" x14ac:dyDescent="0.3">
      <c r="C438" s="28"/>
      <c r="D438" s="52" t="s">
        <v>133</v>
      </c>
      <c r="E438" s="67">
        <f>17+5</f>
        <v>22</v>
      </c>
      <c r="F438" s="56">
        <f>36+5</f>
        <v>41</v>
      </c>
      <c r="G438" s="54" t="s">
        <v>150</v>
      </c>
      <c r="H438" s="54"/>
      <c r="I438" s="45"/>
      <c r="J438" s="10"/>
      <c r="K438" s="40"/>
      <c r="L438" s="42" t="s">
        <v>151</v>
      </c>
      <c r="M438" s="28"/>
      <c r="N438" s="96"/>
      <c r="R438" s="36" t="s">
        <v>805</v>
      </c>
      <c r="S438" s="10">
        <v>0</v>
      </c>
      <c r="T438" s="37">
        <v>0</v>
      </c>
      <c r="U438" s="10"/>
      <c r="V438" s="18"/>
      <c r="W438" s="39"/>
      <c r="X438" s="18"/>
      <c r="Y438" s="11"/>
      <c r="Z438" s="159"/>
      <c r="AA438" s="37"/>
      <c r="AB438" s="39"/>
      <c r="AG438" t="s">
        <v>6</v>
      </c>
      <c r="AJ438" t="s">
        <v>236</v>
      </c>
      <c r="AL438">
        <f>SUM(U434)</f>
        <v>0</v>
      </c>
      <c r="AP438" t="s">
        <v>236</v>
      </c>
      <c r="AR438">
        <f>SUM(AJ434)</f>
        <v>2526</v>
      </c>
      <c r="AU438" s="28" t="s">
        <v>994</v>
      </c>
      <c r="AV438">
        <v>2017</v>
      </c>
      <c r="AW438">
        <v>7</v>
      </c>
      <c r="AX438" s="138" t="s">
        <v>113</v>
      </c>
      <c r="AY438" s="138">
        <v>451</v>
      </c>
      <c r="AZ438" s="141">
        <v>477</v>
      </c>
      <c r="BA438" s="28"/>
      <c r="BB438" s="28"/>
      <c r="BC438" s="28"/>
      <c r="BD438" s="138"/>
      <c r="BE438" s="141"/>
      <c r="BF438" s="28" t="s">
        <v>994</v>
      </c>
      <c r="BG438" s="28"/>
      <c r="BH438" s="141"/>
    </row>
    <row r="439" spans="1:61" x14ac:dyDescent="0.3">
      <c r="C439" s="28"/>
      <c r="D439" s="52" t="s">
        <v>85</v>
      </c>
      <c r="E439" s="42">
        <f>5+13</f>
        <v>18</v>
      </c>
      <c r="F439" s="56">
        <f>2+1+6</f>
        <v>9</v>
      </c>
      <c r="G439" s="28"/>
      <c r="H439" s="54"/>
      <c r="I439" s="28"/>
      <c r="J439" s="84"/>
      <c r="K439" s="56"/>
      <c r="L439" s="42" t="s">
        <v>159</v>
      </c>
      <c r="M439" s="28" t="s">
        <v>476</v>
      </c>
      <c r="N439" s="40"/>
      <c r="R439" s="150" t="s">
        <v>826</v>
      </c>
      <c r="S439" s="10">
        <v>6</v>
      </c>
      <c r="T439" s="37">
        <v>6</v>
      </c>
      <c r="U439" s="10"/>
      <c r="V439" s="18"/>
      <c r="W439" s="11"/>
      <c r="X439" s="18"/>
      <c r="Y439" s="11"/>
      <c r="Z439" s="179"/>
      <c r="AA439" s="37"/>
      <c r="AB439" s="39"/>
      <c r="AH439" t="s">
        <v>238</v>
      </c>
      <c r="AI439" t="s">
        <v>239</v>
      </c>
      <c r="AK439" t="s">
        <v>240</v>
      </c>
      <c r="AL439" t="s">
        <v>241</v>
      </c>
      <c r="AO439" t="s">
        <v>242</v>
      </c>
      <c r="AP439" t="s">
        <v>243</v>
      </c>
      <c r="AX439" s="138" t="s">
        <v>133</v>
      </c>
      <c r="AY439" s="138">
        <v>0</v>
      </c>
      <c r="AZ439" s="141">
        <v>0</v>
      </c>
      <c r="BA439" s="28"/>
      <c r="BB439" s="28"/>
      <c r="BC439" s="28"/>
      <c r="BD439" s="138"/>
      <c r="BE439" s="141"/>
      <c r="BF439" s="28">
        <v>19</v>
      </c>
      <c r="BG439" s="28" t="s">
        <v>100</v>
      </c>
      <c r="BH439" s="141"/>
    </row>
    <row r="440" spans="1:61" ht="15.6" x14ac:dyDescent="0.3">
      <c r="C440" s="28"/>
      <c r="D440" s="151" t="s">
        <v>108</v>
      </c>
      <c r="E440" s="36">
        <v>3</v>
      </c>
      <c r="F440" s="39">
        <v>7</v>
      </c>
      <c r="G440" s="18"/>
      <c r="H440" s="18"/>
      <c r="I440" s="18"/>
      <c r="J440" s="10"/>
      <c r="K440" s="11"/>
      <c r="L440" s="98" t="s">
        <v>477</v>
      </c>
      <c r="M440" s="28" t="s">
        <v>478</v>
      </c>
      <c r="N440" s="99"/>
      <c r="R440" s="92" t="s">
        <v>250</v>
      </c>
      <c r="S440" s="84">
        <v>0</v>
      </c>
      <c r="T440" s="54">
        <v>1</v>
      </c>
      <c r="U440" s="84"/>
      <c r="V440" s="45"/>
      <c r="W440" s="85"/>
      <c r="X440" s="18"/>
      <c r="Y440" s="11"/>
      <c r="Z440" s="179"/>
      <c r="AA440" s="54"/>
      <c r="AB440" s="86"/>
      <c r="AH440" t="s">
        <v>233</v>
      </c>
      <c r="AJ440" t="e">
        <f>SUM(#REF!)</f>
        <v>#REF!</v>
      </c>
      <c r="AK440" t="s">
        <v>233</v>
      </c>
      <c r="AM440">
        <f>SUM(F422)</f>
        <v>0</v>
      </c>
      <c r="AN440" t="s">
        <v>233</v>
      </c>
      <c r="AP440">
        <f>SUM(AM440+AI434)</f>
        <v>2427</v>
      </c>
      <c r="AQ440" t="s">
        <v>245</v>
      </c>
      <c r="AR440" t="e">
        <f>SUM(AJ440+AP440)</f>
        <v>#REF!</v>
      </c>
      <c r="AX440" s="142" t="s">
        <v>84</v>
      </c>
      <c r="AY440" s="142">
        <f>SUM(AY438:AY439)</f>
        <v>451</v>
      </c>
      <c r="AZ440" s="146">
        <f>SUM(AZ438:AZ439)</f>
        <v>477</v>
      </c>
      <c r="BA440" s="143">
        <v>0</v>
      </c>
      <c r="BB440" s="143">
        <v>0</v>
      </c>
      <c r="BC440" s="143">
        <v>0</v>
      </c>
      <c r="BD440" s="142">
        <v>0</v>
      </c>
      <c r="BE440" s="146">
        <v>0</v>
      </c>
      <c r="BF440" s="43">
        <v>22</v>
      </c>
      <c r="BG440" s="43" t="s">
        <v>73</v>
      </c>
      <c r="BH440" s="146">
        <f>SUM(BF439:BF440)</f>
        <v>41</v>
      </c>
    </row>
    <row r="441" spans="1:61" ht="15.6" x14ac:dyDescent="0.3">
      <c r="C441" s="28"/>
      <c r="D441" s="92" t="s">
        <v>102</v>
      </c>
      <c r="E441" s="42">
        <v>1</v>
      </c>
      <c r="F441" s="40">
        <v>0</v>
      </c>
      <c r="G441" s="18"/>
      <c r="H441" s="18"/>
      <c r="I441" s="18"/>
      <c r="J441" s="10"/>
      <c r="K441" s="11"/>
      <c r="L441" s="98" t="s">
        <v>479</v>
      </c>
      <c r="M441" s="100" t="s">
        <v>480</v>
      </c>
      <c r="N441" s="39"/>
      <c r="R441" s="67" t="s">
        <v>564</v>
      </c>
      <c r="S441" s="84">
        <v>7</v>
      </c>
      <c r="T441" s="54">
        <v>7</v>
      </c>
      <c r="U441" s="84"/>
      <c r="V441" s="45"/>
      <c r="W441" s="85"/>
      <c r="X441" s="45"/>
      <c r="Y441" s="85"/>
      <c r="Z441" s="179"/>
      <c r="AA441" s="54"/>
      <c r="AB441" s="180"/>
      <c r="AH441" t="s">
        <v>236</v>
      </c>
      <c r="AJ441" t="e">
        <f>SUM(#REF!)</f>
        <v>#REF!</v>
      </c>
      <c r="AK441" t="s">
        <v>236</v>
      </c>
      <c r="AM441">
        <f>SUM(G422)</f>
        <v>0</v>
      </c>
      <c r="AN441" t="s">
        <v>236</v>
      </c>
      <c r="AP441">
        <f>SUM(AM441+AJ434)</f>
        <v>2526</v>
      </c>
      <c r="AR441" t="e">
        <f>SUM(AJ441+AP441)</f>
        <v>#REF!</v>
      </c>
      <c r="AX441" s="196" t="s">
        <v>384</v>
      </c>
      <c r="AY441" s="138">
        <v>0</v>
      </c>
      <c r="AZ441" s="141">
        <v>1</v>
      </c>
      <c r="BA441" s="134"/>
      <c r="BB441" s="135"/>
      <c r="BC441" s="136"/>
      <c r="BD441" s="138"/>
      <c r="BE441" s="141"/>
      <c r="BF441" s="134" t="s">
        <v>140</v>
      </c>
      <c r="BG441" s="135"/>
      <c r="BH441" s="136"/>
    </row>
    <row r="442" spans="1:61" x14ac:dyDescent="0.3">
      <c r="C442" s="28"/>
      <c r="D442" s="36" t="s">
        <v>169</v>
      </c>
      <c r="E442" s="36">
        <f>2+1+1</f>
        <v>4</v>
      </c>
      <c r="F442" s="39">
        <f>2+4</f>
        <v>6</v>
      </c>
      <c r="G442" s="18"/>
      <c r="H442" s="18"/>
      <c r="I442" s="18"/>
      <c r="J442" s="10"/>
      <c r="K442" s="11"/>
      <c r="L442" s="98" t="s">
        <v>481</v>
      </c>
      <c r="M442" s="37" t="s">
        <v>333</v>
      </c>
      <c r="N442" s="39"/>
      <c r="R442" s="67" t="s">
        <v>220</v>
      </c>
      <c r="S442" s="84">
        <v>0</v>
      </c>
      <c r="T442" s="54">
        <v>11</v>
      </c>
      <c r="U442" s="84"/>
      <c r="V442" s="45"/>
      <c r="W442" s="85"/>
      <c r="X442" s="45"/>
      <c r="Y442" s="85"/>
      <c r="Z442" s="179"/>
      <c r="AA442" s="54"/>
      <c r="AB442" s="180"/>
      <c r="AX442" s="196" t="s">
        <v>1374</v>
      </c>
      <c r="AY442" s="138">
        <v>8</v>
      </c>
      <c r="AZ442" s="141">
        <v>8</v>
      </c>
      <c r="BA442" s="138"/>
      <c r="BB442" s="28"/>
      <c r="BC442" s="141"/>
      <c r="BD442" s="138"/>
      <c r="BE442" s="141"/>
      <c r="BF442" s="138"/>
      <c r="BG442" s="28"/>
      <c r="BH442" s="141"/>
    </row>
    <row r="443" spans="1:61" x14ac:dyDescent="0.3">
      <c r="C443" s="28"/>
      <c r="D443" s="36" t="s">
        <v>99</v>
      </c>
      <c r="E443" s="36">
        <v>0</v>
      </c>
      <c r="F443" s="39">
        <v>12</v>
      </c>
      <c r="G443" s="18"/>
      <c r="H443" s="18"/>
      <c r="I443" s="18"/>
      <c r="J443" s="10"/>
      <c r="K443" s="11"/>
      <c r="L443" s="52" t="s">
        <v>482</v>
      </c>
      <c r="M443" s="37" t="s">
        <v>483</v>
      </c>
      <c r="N443" s="39"/>
      <c r="R443" s="127" t="s">
        <v>549</v>
      </c>
      <c r="S443" s="84">
        <v>0</v>
      </c>
      <c r="T443" s="54">
        <v>1</v>
      </c>
      <c r="U443" s="42"/>
      <c r="V443" s="45"/>
      <c r="W443" s="40"/>
      <c r="X443" s="45"/>
      <c r="Y443" s="85"/>
      <c r="Z443" s="158"/>
      <c r="AA443" s="54"/>
      <c r="AB443" s="86"/>
      <c r="AX443" s="196" t="s">
        <v>211</v>
      </c>
      <c r="AY443" s="138">
        <v>57</v>
      </c>
      <c r="AZ443" s="141">
        <v>0</v>
      </c>
      <c r="BA443" s="138"/>
      <c r="BB443" s="28"/>
      <c r="BC443" s="141"/>
      <c r="BD443" s="138"/>
      <c r="BE443" s="141"/>
      <c r="BF443" s="138"/>
      <c r="BG443" s="28"/>
      <c r="BH443" s="141"/>
    </row>
    <row r="444" spans="1:61" x14ac:dyDescent="0.3">
      <c r="C444" s="28"/>
      <c r="D444" s="150" t="s">
        <v>486</v>
      </c>
      <c r="E444" s="36">
        <v>10</v>
      </c>
      <c r="F444" s="39">
        <v>0</v>
      </c>
      <c r="G444" s="18"/>
      <c r="H444" s="37"/>
      <c r="I444" s="18"/>
      <c r="J444" s="10"/>
      <c r="K444" s="11"/>
      <c r="L444" s="150" t="s">
        <v>487</v>
      </c>
      <c r="M444" s="54" t="s">
        <v>488</v>
      </c>
      <c r="N444" s="39"/>
      <c r="R444" s="127" t="s">
        <v>218</v>
      </c>
      <c r="S444" s="84">
        <v>19</v>
      </c>
      <c r="T444" s="54">
        <f>38+4</f>
        <v>42</v>
      </c>
      <c r="U444" s="42"/>
      <c r="V444" s="45">
        <v>0</v>
      </c>
      <c r="W444" s="40"/>
      <c r="X444" s="45"/>
      <c r="Y444" s="85"/>
      <c r="Z444" s="179"/>
      <c r="AA444" s="54"/>
      <c r="AB444" s="180"/>
      <c r="AW444" t="s">
        <v>6</v>
      </c>
      <c r="AX444" s="196" t="s">
        <v>113</v>
      </c>
      <c r="AY444" s="138">
        <f>44+12+5</f>
        <v>61</v>
      </c>
      <c r="AZ444" s="141">
        <f>56+11+5</f>
        <v>72</v>
      </c>
      <c r="BA444" s="138"/>
      <c r="BB444" s="28">
        <v>2</v>
      </c>
      <c r="BC444" s="141">
        <v>5</v>
      </c>
      <c r="BD444" s="138"/>
      <c r="BE444" s="141"/>
      <c r="BF444" s="138" t="s">
        <v>142</v>
      </c>
      <c r="BG444" s="28"/>
      <c r="BH444" s="141" t="s">
        <v>1414</v>
      </c>
    </row>
    <row r="445" spans="1:61" x14ac:dyDescent="0.3">
      <c r="C445" s="37"/>
      <c r="D445" s="36" t="s">
        <v>489</v>
      </c>
      <c r="E445" s="36">
        <v>0</v>
      </c>
      <c r="F445" s="39">
        <v>1</v>
      </c>
      <c r="G445" s="18"/>
      <c r="H445" s="18"/>
      <c r="I445" s="18"/>
      <c r="J445" s="10"/>
      <c r="K445" s="11"/>
      <c r="L445" s="36" t="s">
        <v>490</v>
      </c>
      <c r="M445" s="37" t="s">
        <v>491</v>
      </c>
      <c r="N445" s="40"/>
      <c r="R445" s="181" t="s">
        <v>669</v>
      </c>
      <c r="S445" s="10">
        <v>6</v>
      </c>
      <c r="T445" s="18">
        <v>0</v>
      </c>
      <c r="U445" s="10"/>
      <c r="V445" s="18"/>
      <c r="W445" s="11"/>
      <c r="X445" s="18"/>
      <c r="Y445" s="11"/>
      <c r="Z445" s="179"/>
      <c r="AA445" s="37"/>
      <c r="AB445" s="182"/>
      <c r="AL445" t="s">
        <v>5</v>
      </c>
      <c r="AX445" s="196" t="s">
        <v>495</v>
      </c>
      <c r="AY445" s="138">
        <v>0</v>
      </c>
      <c r="AZ445" s="141">
        <v>0</v>
      </c>
      <c r="BA445" s="138"/>
      <c r="BB445" s="28"/>
      <c r="BC445" s="141"/>
      <c r="BD445" s="138"/>
      <c r="BE445" s="141"/>
      <c r="BF445" s="138" t="s">
        <v>146</v>
      </c>
      <c r="BG445" s="28"/>
      <c r="BH445" s="141" t="s">
        <v>1634</v>
      </c>
    </row>
    <row r="446" spans="1:61" ht="15" thickBot="1" x14ac:dyDescent="0.35">
      <c r="C446" s="28"/>
      <c r="D446" s="150" t="s">
        <v>211</v>
      </c>
      <c r="E446" s="36">
        <v>10</v>
      </c>
      <c r="F446" s="39">
        <v>23</v>
      </c>
      <c r="G446" s="18"/>
      <c r="H446" s="18"/>
      <c r="I446" s="18"/>
      <c r="J446" s="10"/>
      <c r="K446" s="11"/>
      <c r="L446" s="112" t="s">
        <v>492</v>
      </c>
      <c r="M446" s="37" t="s">
        <v>340</v>
      </c>
      <c r="N446" s="39"/>
      <c r="R446" s="13" t="s">
        <v>84</v>
      </c>
      <c r="S446" s="13">
        <f>SUM(S421:S445)</f>
        <v>217</v>
      </c>
      <c r="T446" s="27">
        <f>SUM(T421:T445)</f>
        <v>197</v>
      </c>
      <c r="U446" s="13">
        <v>0</v>
      </c>
      <c r="V446" s="27">
        <f>SUM(V421:V445)</f>
        <v>0</v>
      </c>
      <c r="W446" s="26">
        <f>SUM(W421:W445)</f>
        <v>0</v>
      </c>
      <c r="X446" s="58">
        <v>0</v>
      </c>
      <c r="Y446" s="26">
        <v>0</v>
      </c>
      <c r="Z446" s="81"/>
      <c r="AA446" s="27"/>
      <c r="AB446" s="26">
        <f>11+8+4+3+7+8+5+6</f>
        <v>52</v>
      </c>
      <c r="AM446" t="s">
        <v>2</v>
      </c>
      <c r="AX446" s="196" t="s">
        <v>574</v>
      </c>
      <c r="AY446" s="138">
        <v>0</v>
      </c>
      <c r="AZ446" s="141">
        <v>7</v>
      </c>
      <c r="BA446" s="138"/>
      <c r="BB446" s="28"/>
      <c r="BC446" s="141"/>
      <c r="BD446" s="138"/>
      <c r="BE446" s="141"/>
      <c r="BF446" s="138"/>
      <c r="BG446" s="28"/>
      <c r="BH446" s="141" t="s">
        <v>712</v>
      </c>
    </row>
    <row r="447" spans="1:61" ht="15" thickBot="1" x14ac:dyDescent="0.35">
      <c r="D447" s="150" t="s">
        <v>493</v>
      </c>
      <c r="E447" s="36">
        <v>2</v>
      </c>
      <c r="F447" s="39">
        <v>0</v>
      </c>
      <c r="G447" s="18"/>
      <c r="H447" s="18"/>
      <c r="I447" s="18"/>
      <c r="J447" s="10"/>
      <c r="K447" s="11"/>
      <c r="L447" s="36" t="s">
        <v>348</v>
      </c>
      <c r="M447" s="37" t="s">
        <v>494</v>
      </c>
      <c r="N447" s="114"/>
      <c r="R447" s="13" t="s">
        <v>223</v>
      </c>
      <c r="S447" s="13">
        <f>SUM(S446+S420+S417+S413+S410+S407+S405)</f>
        <v>2073</v>
      </c>
      <c r="T447" s="26">
        <f>SUM(T446+T420+T417+T413+T410+T407+T405)</f>
        <v>2031</v>
      </c>
      <c r="U447" s="26">
        <f>SUM(U446+U420+U417+U413+U410+U407+U405)</f>
        <v>0</v>
      </c>
      <c r="V447" s="26">
        <f>SUM(V446+V420+V417+V413+V410+V407+V405)</f>
        <v>0</v>
      </c>
      <c r="W447" s="26">
        <f>SUM(W446+W420+W417+W413+W410+W407+W405)</f>
        <v>0</v>
      </c>
      <c r="X447" s="160">
        <f>SUM(X446+X420+X417+X413+X409+X407+X405)</f>
        <v>10013</v>
      </c>
      <c r="Y447" s="26">
        <f>SUM(Y446+Y420+Y417+Y413+Y409+Y407+Y405)</f>
        <v>2727</v>
      </c>
      <c r="Z447" s="81"/>
      <c r="AA447" s="27" t="s">
        <v>247</v>
      </c>
      <c r="AB447" s="26">
        <f>SUM(AB405:AB446)</f>
        <v>222</v>
      </c>
      <c r="AK447" t="s">
        <v>13</v>
      </c>
      <c r="AX447" s="196" t="s">
        <v>99</v>
      </c>
      <c r="AY447" s="138">
        <v>0</v>
      </c>
      <c r="AZ447" s="141">
        <v>0</v>
      </c>
      <c r="BA447" s="138" t="s">
        <v>150</v>
      </c>
      <c r="BB447" s="28"/>
      <c r="BC447" s="141"/>
      <c r="BD447" s="138"/>
      <c r="BE447" s="141"/>
      <c r="BF447" s="138" t="s">
        <v>151</v>
      </c>
      <c r="BG447" s="28"/>
      <c r="BH447" s="141"/>
    </row>
    <row r="448" spans="1:61" x14ac:dyDescent="0.3">
      <c r="D448" s="36" t="s">
        <v>495</v>
      </c>
      <c r="E448" s="36">
        <v>2</v>
      </c>
      <c r="F448" s="39">
        <v>0</v>
      </c>
      <c r="G448" s="18"/>
      <c r="H448" s="18"/>
      <c r="I448" s="18"/>
      <c r="J448" s="10"/>
      <c r="K448" s="11"/>
      <c r="L448" s="36" t="s">
        <v>330</v>
      </c>
      <c r="M448" s="37" t="s">
        <v>496</v>
      </c>
      <c r="N448" s="39"/>
      <c r="R448" s="131" t="s">
        <v>225</v>
      </c>
      <c r="T448">
        <f>SUM(AB446)</f>
        <v>52</v>
      </c>
      <c r="V448" t="s">
        <v>184</v>
      </c>
      <c r="W448" s="132"/>
      <c r="AM448" t="s">
        <v>1091</v>
      </c>
      <c r="AQ448" s="194" t="s">
        <v>950</v>
      </c>
      <c r="AX448" s="196" t="s">
        <v>85</v>
      </c>
      <c r="AY448" s="138">
        <v>7</v>
      </c>
      <c r="AZ448" s="141">
        <v>0</v>
      </c>
      <c r="BA448" s="138"/>
      <c r="BB448" s="28"/>
      <c r="BC448" s="141"/>
      <c r="BD448" s="138"/>
      <c r="BE448" s="141"/>
      <c r="BF448" s="316" t="s">
        <v>961</v>
      </c>
      <c r="BG448" s="257" t="s">
        <v>1636</v>
      </c>
      <c r="BH448" s="141" t="s">
        <v>1637</v>
      </c>
    </row>
    <row r="449" spans="3:60" x14ac:dyDescent="0.3">
      <c r="D449" s="36" t="s">
        <v>429</v>
      </c>
      <c r="E449" s="10">
        <v>1</v>
      </c>
      <c r="F449" s="39">
        <v>1</v>
      </c>
      <c r="G449" s="18"/>
      <c r="H449" s="18"/>
      <c r="I449" s="37"/>
      <c r="J449" s="10"/>
      <c r="K449" s="11"/>
      <c r="L449" s="124" t="s">
        <v>497</v>
      </c>
      <c r="M449" s="37" t="s">
        <v>498</v>
      </c>
      <c r="N449" s="39"/>
      <c r="R449" t="s">
        <v>229</v>
      </c>
      <c r="T449">
        <v>20</v>
      </c>
      <c r="AH449" s="195" t="s">
        <v>17</v>
      </c>
      <c r="AI449" s="134" t="s">
        <v>27</v>
      </c>
      <c r="AJ449" s="136"/>
      <c r="AK449" s="135" t="s">
        <v>28</v>
      </c>
      <c r="AL449" s="135"/>
      <c r="AM449" s="135"/>
      <c r="AN449" s="135" t="s">
        <v>29</v>
      </c>
      <c r="AO449" s="135" t="s">
        <v>30</v>
      </c>
      <c r="AP449" s="135" t="s">
        <v>31</v>
      </c>
      <c r="AQ449" s="135"/>
      <c r="AR449" s="136"/>
      <c r="AS449" s="28"/>
      <c r="AT449" s="28"/>
      <c r="AX449" s="196" t="s">
        <v>107</v>
      </c>
      <c r="AY449" s="138">
        <v>0</v>
      </c>
      <c r="AZ449" s="141">
        <v>0</v>
      </c>
      <c r="BA449" s="138"/>
      <c r="BB449" s="28"/>
      <c r="BC449" s="141"/>
      <c r="BD449" s="138"/>
      <c r="BE449" s="141"/>
      <c r="BF449" s="315" t="s">
        <v>713</v>
      </c>
      <c r="BG449" s="28" t="s">
        <v>1638</v>
      </c>
      <c r="BH449" s="141" t="s">
        <v>563</v>
      </c>
    </row>
    <row r="450" spans="3:60" x14ac:dyDescent="0.3">
      <c r="D450" s="93" t="s">
        <v>93</v>
      </c>
      <c r="E450" s="10">
        <v>0</v>
      </c>
      <c r="F450" s="39">
        <v>2</v>
      </c>
      <c r="G450" s="18"/>
      <c r="H450" s="18"/>
      <c r="I450" s="18"/>
      <c r="J450" s="10"/>
      <c r="K450" s="11"/>
      <c r="L450" s="52" t="s">
        <v>499</v>
      </c>
      <c r="M450" s="37" t="s">
        <v>500</v>
      </c>
      <c r="N450" s="39"/>
      <c r="R450" t="s">
        <v>232</v>
      </c>
      <c r="T450" t="s">
        <v>233</v>
      </c>
      <c r="V450">
        <f>SUM(G447)</f>
        <v>0</v>
      </c>
      <c r="X450" t="s">
        <v>234</v>
      </c>
      <c r="Z450" t="s">
        <v>233</v>
      </c>
      <c r="AB450">
        <f>SUM(S447)</f>
        <v>2073</v>
      </c>
      <c r="AH450" s="196"/>
      <c r="AI450" s="138"/>
      <c r="AJ450" s="141"/>
      <c r="AK450" s="28"/>
      <c r="AL450" s="28"/>
      <c r="AM450" s="28"/>
      <c r="AN450" s="28"/>
      <c r="AO450" s="28" t="s">
        <v>6</v>
      </c>
      <c r="AP450" s="28" t="s">
        <v>41</v>
      </c>
      <c r="AQ450" s="28"/>
      <c r="AR450" s="141"/>
      <c r="AS450" s="28"/>
      <c r="AT450" s="28"/>
      <c r="AX450" s="196" t="s">
        <v>523</v>
      </c>
      <c r="AY450" s="138">
        <v>0</v>
      </c>
      <c r="AZ450" s="141">
        <v>2</v>
      </c>
      <c r="BA450" s="138"/>
      <c r="BB450" s="28"/>
      <c r="BC450" s="141"/>
      <c r="BD450" s="138"/>
      <c r="BE450" s="141"/>
      <c r="BF450" s="315" t="s">
        <v>1017</v>
      </c>
      <c r="BG450" s="28" t="s">
        <v>264</v>
      </c>
      <c r="BH450" s="141"/>
    </row>
    <row r="451" spans="3:60" x14ac:dyDescent="0.3">
      <c r="D451" s="92" t="s">
        <v>64</v>
      </c>
      <c r="E451" s="84">
        <v>2</v>
      </c>
      <c r="F451" s="86">
        <v>2</v>
      </c>
      <c r="G451" s="45"/>
      <c r="H451" s="45"/>
      <c r="I451" s="45"/>
      <c r="J451" s="10"/>
      <c r="K451" s="11"/>
      <c r="L451" s="112" t="s">
        <v>325</v>
      </c>
      <c r="M451" s="54"/>
      <c r="N451" s="86"/>
      <c r="Q451" t="s">
        <v>6</v>
      </c>
      <c r="T451" t="s">
        <v>236</v>
      </c>
      <c r="V451">
        <f>SUM(H447)</f>
        <v>0</v>
      </c>
      <c r="Z451" t="s">
        <v>236</v>
      </c>
      <c r="AB451">
        <f>SUM(T447)</f>
        <v>2031</v>
      </c>
      <c r="AH451" s="199" t="s">
        <v>42</v>
      </c>
      <c r="AI451" s="142" t="s">
        <v>43</v>
      </c>
      <c r="AJ451" s="146" t="s">
        <v>44</v>
      </c>
      <c r="AK451" s="143" t="s">
        <v>45</v>
      </c>
      <c r="AL451" s="143" t="s">
        <v>46</v>
      </c>
      <c r="AM451" s="143" t="s">
        <v>52</v>
      </c>
      <c r="AN451" s="143" t="s">
        <v>43</v>
      </c>
      <c r="AO451" s="143" t="s">
        <v>44</v>
      </c>
      <c r="AP451" s="143" t="s">
        <v>54</v>
      </c>
      <c r="AQ451" s="143"/>
      <c r="AR451" s="146"/>
      <c r="AS451" s="28"/>
      <c r="AT451" s="28"/>
      <c r="AU451" s="28"/>
      <c r="AX451" s="196" t="s">
        <v>133</v>
      </c>
      <c r="AY451" s="138">
        <f>17+8+1</f>
        <v>26</v>
      </c>
      <c r="AZ451" s="141">
        <f>26+7+2</f>
        <v>35</v>
      </c>
      <c r="BA451" s="138"/>
      <c r="BB451" s="28"/>
      <c r="BC451" s="141"/>
      <c r="BD451" s="138"/>
      <c r="BE451" s="141"/>
      <c r="BF451" s="138" t="s">
        <v>638</v>
      </c>
      <c r="BG451" s="43" t="s">
        <v>1639</v>
      </c>
      <c r="BH451" s="141"/>
    </row>
    <row r="452" spans="3:60" x14ac:dyDescent="0.3">
      <c r="D452" s="127" t="s">
        <v>501</v>
      </c>
      <c r="E452" s="84">
        <v>5</v>
      </c>
      <c r="F452" s="86">
        <v>3</v>
      </c>
      <c r="G452" s="45"/>
      <c r="H452" s="45"/>
      <c r="I452" s="45"/>
      <c r="J452" s="84"/>
      <c r="K452" s="85"/>
      <c r="L452" s="52"/>
      <c r="M452" s="54"/>
      <c r="N452" s="40"/>
      <c r="R452" s="134" t="s">
        <v>238</v>
      </c>
      <c r="S452" s="135" t="s">
        <v>239</v>
      </c>
      <c r="T452" s="136"/>
      <c r="U452" s="134" t="s">
        <v>240</v>
      </c>
      <c r="V452" s="135" t="s">
        <v>241</v>
      </c>
      <c r="W452" s="136"/>
      <c r="X452" s="134"/>
      <c r="Y452" s="135" t="s">
        <v>242</v>
      </c>
      <c r="Z452" s="137" t="s">
        <v>243</v>
      </c>
      <c r="AA452" s="135"/>
      <c r="AB452" s="135"/>
      <c r="AC452" s="136"/>
      <c r="AD452" s="28"/>
      <c r="AE452" s="28"/>
      <c r="AF452" s="28"/>
      <c r="AH452" s="195" t="s">
        <v>6</v>
      </c>
      <c r="AI452" s="135"/>
      <c r="AJ452" s="135"/>
      <c r="AK452" s="134"/>
      <c r="AL452" s="135"/>
      <c r="AM452" s="135"/>
      <c r="AN452" s="134"/>
      <c r="AO452" s="136"/>
      <c r="AP452" s="135" t="s">
        <v>58</v>
      </c>
      <c r="AQ452" s="135"/>
      <c r="AR452" s="136"/>
      <c r="AS452" s="28"/>
      <c r="AT452" s="28"/>
      <c r="AU452" s="28"/>
      <c r="AX452" s="196" t="s">
        <v>158</v>
      </c>
      <c r="AY452" s="138">
        <v>0</v>
      </c>
      <c r="AZ452" s="141">
        <v>0</v>
      </c>
      <c r="BA452" s="138"/>
      <c r="BB452" s="28"/>
      <c r="BC452" s="141"/>
      <c r="BD452" s="138"/>
      <c r="BE452" s="141"/>
      <c r="BF452" s="138" t="s">
        <v>693</v>
      </c>
      <c r="BG452" s="28" t="s">
        <v>1641</v>
      </c>
      <c r="BH452" s="141"/>
    </row>
    <row r="453" spans="3:60" x14ac:dyDescent="0.3">
      <c r="D453" s="127" t="s">
        <v>107</v>
      </c>
      <c r="E453" s="84">
        <v>0</v>
      </c>
      <c r="F453" s="86">
        <v>0</v>
      </c>
      <c r="G453" s="45"/>
      <c r="H453" s="45"/>
      <c r="I453" s="45"/>
      <c r="J453" s="84"/>
      <c r="K453" s="85"/>
      <c r="L453" s="52"/>
      <c r="M453" s="54"/>
      <c r="N453" s="40"/>
      <c r="R453" s="138" t="s">
        <v>233</v>
      </c>
      <c r="S453" s="28"/>
      <c r="T453" s="139" t="e">
        <f>SUM(#REF!)</f>
        <v>#REF!</v>
      </c>
      <c r="U453" s="138" t="s">
        <v>233</v>
      </c>
      <c r="V453" s="28"/>
      <c r="W453" s="139" t="e">
        <f>SUM(#REF!)</f>
        <v>#REF!</v>
      </c>
      <c r="X453" s="138" t="s">
        <v>233</v>
      </c>
      <c r="Y453" s="28"/>
      <c r="Z453" s="140" t="e">
        <f>SUM(AB450+W453)</f>
        <v>#REF!</v>
      </c>
      <c r="AA453" s="28" t="s">
        <v>245</v>
      </c>
      <c r="AB453" s="140" t="e">
        <f>SUM(Z453+T453)</f>
        <v>#REF!</v>
      </c>
      <c r="AC453" s="139"/>
      <c r="AD453" s="140"/>
      <c r="AE453" s="140"/>
      <c r="AF453" s="140"/>
      <c r="AH453" s="196" t="s">
        <v>64</v>
      </c>
      <c r="AI453" s="28">
        <v>186</v>
      </c>
      <c r="AJ453" s="28">
        <v>197</v>
      </c>
      <c r="AK453" s="138">
        <v>0</v>
      </c>
      <c r="AL453" s="28">
        <v>0</v>
      </c>
      <c r="AM453" s="28">
        <v>0</v>
      </c>
      <c r="AN453" s="138">
        <v>0</v>
      </c>
      <c r="AO453" s="141">
        <v>0</v>
      </c>
      <c r="AP453" s="43">
        <v>16</v>
      </c>
      <c r="AQ453" s="28" t="s">
        <v>474</v>
      </c>
      <c r="AR453" s="141" t="s">
        <v>6</v>
      </c>
      <c r="AS453" s="28"/>
      <c r="AT453" s="28"/>
      <c r="AU453" s="28"/>
      <c r="AW453" t="s">
        <v>6</v>
      </c>
      <c r="AX453" s="196" t="s">
        <v>139</v>
      </c>
      <c r="AY453" s="138">
        <v>5</v>
      </c>
      <c r="AZ453" s="141">
        <v>4</v>
      </c>
      <c r="BA453" s="138"/>
      <c r="BB453" s="28"/>
      <c r="BC453" s="141"/>
      <c r="BD453" s="138"/>
      <c r="BE453" s="141"/>
      <c r="BF453" s="315" t="s">
        <v>1643</v>
      </c>
      <c r="BG453" s="28" t="s">
        <v>1644</v>
      </c>
      <c r="BH453" s="141"/>
    </row>
    <row r="454" spans="3:60" x14ac:dyDescent="0.3">
      <c r="D454" s="127" t="s">
        <v>502</v>
      </c>
      <c r="E454" s="84">
        <v>2</v>
      </c>
      <c r="F454" s="86">
        <v>0</v>
      </c>
      <c r="G454" s="28"/>
      <c r="H454" s="45"/>
      <c r="I454" s="28"/>
      <c r="J454" s="84"/>
      <c r="K454" s="85"/>
      <c r="L454" s="98"/>
      <c r="M454" s="54"/>
      <c r="N454" s="86"/>
      <c r="R454" s="142" t="s">
        <v>236</v>
      </c>
      <c r="S454" s="143"/>
      <c r="T454" s="144" t="e">
        <f>SUM(#REF!)</f>
        <v>#REF!</v>
      </c>
      <c r="U454" s="142" t="s">
        <v>236</v>
      </c>
      <c r="V454" s="143"/>
      <c r="W454" s="144" t="e">
        <f>SUM(#REF!)</f>
        <v>#REF!</v>
      </c>
      <c r="X454" s="142" t="s">
        <v>236</v>
      </c>
      <c r="Y454" s="143"/>
      <c r="Z454" s="145" t="e">
        <f>SUM(AB451+W454)</f>
        <v>#REF!</v>
      </c>
      <c r="AA454" s="143"/>
      <c r="AB454" s="145" t="e">
        <f>SUM(Z454+T454)</f>
        <v>#REF!</v>
      </c>
      <c r="AC454" s="144"/>
      <c r="AD454" s="140"/>
      <c r="AE454" s="140"/>
      <c r="AF454" s="140"/>
      <c r="AH454" s="196" t="s">
        <v>108</v>
      </c>
      <c r="AI454">
        <v>6</v>
      </c>
      <c r="AJ454">
        <v>14</v>
      </c>
      <c r="AK454" s="138"/>
      <c r="AL454" s="28"/>
      <c r="AM454" s="28"/>
      <c r="AN454" s="138"/>
      <c r="AO454" s="141"/>
      <c r="AP454" s="28">
        <v>4</v>
      </c>
      <c r="AQ454" s="28" t="s">
        <v>1045</v>
      </c>
      <c r="AR454" s="141"/>
      <c r="AS454" s="28"/>
      <c r="AT454" s="28"/>
      <c r="AU454" s="28"/>
      <c r="AX454" s="196" t="s">
        <v>1095</v>
      </c>
      <c r="AY454" s="138">
        <v>4</v>
      </c>
      <c r="AZ454" s="141">
        <v>0</v>
      </c>
      <c r="BA454" s="138"/>
      <c r="BB454" s="28"/>
      <c r="BC454" s="141"/>
      <c r="BD454" s="138"/>
      <c r="BE454" s="141"/>
      <c r="BF454" s="316" t="s">
        <v>1585</v>
      </c>
      <c r="BG454" s="186" t="s">
        <v>1271</v>
      </c>
      <c r="BH454" s="209"/>
    </row>
    <row r="455" spans="3:60" ht="15.6" x14ac:dyDescent="0.3">
      <c r="D455" s="127" t="s">
        <v>218</v>
      </c>
      <c r="E455" s="84">
        <v>13</v>
      </c>
      <c r="F455" s="86">
        <v>11</v>
      </c>
      <c r="G455" s="28"/>
      <c r="H455" s="45"/>
      <c r="I455" s="28"/>
      <c r="J455" s="84"/>
      <c r="K455" s="85"/>
      <c r="L455" s="52"/>
      <c r="M455" s="54"/>
      <c r="N455" s="40"/>
      <c r="AH455" s="199" t="s">
        <v>84</v>
      </c>
      <c r="AI455" s="143">
        <f>SUM(AI452:AI454)</f>
        <v>192</v>
      </c>
      <c r="AJ455" s="143">
        <f>SUM(AJ452:AJ454)</f>
        <v>211</v>
      </c>
      <c r="AK455" s="142"/>
      <c r="AL455" s="143"/>
      <c r="AM455" s="143"/>
      <c r="AN455" s="142"/>
      <c r="AO455" s="146"/>
      <c r="AP455" s="143">
        <v>2</v>
      </c>
      <c r="AQ455" s="143" t="s">
        <v>69</v>
      </c>
      <c r="AR455" s="146">
        <f>SUM(AP453:AP455)</f>
        <v>22</v>
      </c>
      <c r="AS455" s="28"/>
      <c r="AT455" s="28"/>
      <c r="AU455" s="28"/>
      <c r="AX455" s="196" t="s">
        <v>1611</v>
      </c>
      <c r="AY455" s="138">
        <v>0</v>
      </c>
      <c r="AZ455" s="141">
        <v>0</v>
      </c>
      <c r="BA455" s="138"/>
      <c r="BB455" s="28"/>
      <c r="BC455" s="141"/>
      <c r="BD455" s="138"/>
      <c r="BE455" s="141"/>
      <c r="BF455" s="138" t="s">
        <v>1645</v>
      </c>
      <c r="BG455" s="258" t="s">
        <v>791</v>
      </c>
      <c r="BH455" s="261"/>
    </row>
    <row r="456" spans="3:60" x14ac:dyDescent="0.3">
      <c r="D456" s="98" t="s">
        <v>504</v>
      </c>
      <c r="E456" s="10">
        <v>0</v>
      </c>
      <c r="F456" s="11">
        <v>2</v>
      </c>
      <c r="G456" s="18"/>
      <c r="H456" s="18"/>
      <c r="I456" s="18"/>
      <c r="J456" s="10"/>
      <c r="K456" s="11"/>
      <c r="L456" s="52"/>
      <c r="M456" s="37"/>
      <c r="N456" s="129"/>
      <c r="AH456" s="195" t="s">
        <v>6</v>
      </c>
      <c r="AI456" s="134" t="s">
        <v>6</v>
      </c>
      <c r="AJ456" s="136"/>
      <c r="AK456" s="135"/>
      <c r="AL456" s="135">
        <v>0</v>
      </c>
      <c r="AM456" s="135"/>
      <c r="AN456" s="134"/>
      <c r="AO456" s="136"/>
      <c r="AP456" s="135" t="s">
        <v>1092</v>
      </c>
      <c r="AQ456" s="135"/>
      <c r="AR456" s="136"/>
      <c r="AS456" s="28"/>
      <c r="AT456" s="28"/>
      <c r="AU456" s="28"/>
      <c r="AX456" s="196" t="s">
        <v>108</v>
      </c>
      <c r="AY456" s="138">
        <v>4</v>
      </c>
      <c r="AZ456" s="141">
        <v>2</v>
      </c>
      <c r="BA456" s="138"/>
      <c r="BB456" s="28"/>
      <c r="BC456" s="141"/>
      <c r="BD456" s="138"/>
      <c r="BE456" s="141"/>
      <c r="BF456" s="138" t="s">
        <v>1646</v>
      </c>
      <c r="BG456" s="186" t="s">
        <v>1647</v>
      </c>
      <c r="BH456" s="141"/>
    </row>
    <row r="457" spans="3:60" ht="16.2" thickBot="1" x14ac:dyDescent="0.35">
      <c r="D457" s="13" t="s">
        <v>84</v>
      </c>
      <c r="E457" s="13">
        <f>SUM(E434:E456)</f>
        <v>162</v>
      </c>
      <c r="F457" s="26">
        <f>SUM(F434:F456)</f>
        <v>205</v>
      </c>
      <c r="G457" s="27">
        <v>0</v>
      </c>
      <c r="H457" s="27">
        <f>SUM(H434:H456)</f>
        <v>0</v>
      </c>
      <c r="I457" s="27">
        <v>0</v>
      </c>
      <c r="J457" s="130">
        <v>0</v>
      </c>
      <c r="K457" s="26">
        <v>0</v>
      </c>
      <c r="L457" s="59"/>
      <c r="M457" s="27"/>
      <c r="N457" s="26">
        <f>10+13+10+3+2+2+8+6+8+3+2+6+5+1</f>
        <v>79</v>
      </c>
      <c r="AH457" s="199" t="s">
        <v>108</v>
      </c>
      <c r="AI457" s="142">
        <v>95</v>
      </c>
      <c r="AJ457" s="146">
        <v>67</v>
      </c>
      <c r="AK457" s="143"/>
      <c r="AL457" s="143">
        <v>0</v>
      </c>
      <c r="AM457" s="143">
        <v>0</v>
      </c>
      <c r="AN457" s="142">
        <v>0</v>
      </c>
      <c r="AO457" s="146">
        <v>0</v>
      </c>
      <c r="AP457" s="143">
        <v>7</v>
      </c>
      <c r="AQ457" s="143" t="s">
        <v>780</v>
      </c>
      <c r="AR457" s="146">
        <f>SUM(AP457)</f>
        <v>7</v>
      </c>
      <c r="AS457" s="28"/>
      <c r="AT457" s="28"/>
      <c r="AU457" s="28"/>
      <c r="AX457" s="259" t="s">
        <v>220</v>
      </c>
      <c r="AY457" s="138">
        <v>0</v>
      </c>
      <c r="AZ457" s="141">
        <v>0</v>
      </c>
      <c r="BA457" s="138"/>
      <c r="BB457" s="28"/>
      <c r="BC457" s="141"/>
      <c r="BD457" s="138"/>
      <c r="BE457" s="141"/>
      <c r="BF457" s="138" t="s">
        <v>1648</v>
      </c>
      <c r="BG457" s="258" t="s">
        <v>680</v>
      </c>
      <c r="BH457" s="141"/>
    </row>
    <row r="458" spans="3:60" ht="16.2" thickBot="1" x14ac:dyDescent="0.35">
      <c r="D458" s="13" t="s">
        <v>223</v>
      </c>
      <c r="E458" s="13">
        <f>SUM(E457+E433+E430+E426+E423+E420+E418+E416)</f>
        <v>1888</v>
      </c>
      <c r="F458" s="26">
        <f>SUM(F457+F433+F430+F426+F423+F420+F418+F416)</f>
        <v>1880</v>
      </c>
      <c r="G458" s="27">
        <f>SUM(G457+G433+G426+G422+G420+G418+G415)</f>
        <v>0</v>
      </c>
      <c r="H458" s="27">
        <f>SUM(H434:H456)</f>
        <v>0</v>
      </c>
      <c r="I458" s="27">
        <f>SUM(I457+I433+I426+I422+I420+I418+I415)</f>
        <v>0</v>
      </c>
      <c r="J458" s="13">
        <f>SUM(J457+J433+J426+J422+J420+J418+J415)</f>
        <v>38735</v>
      </c>
      <c r="K458" s="26">
        <f>SUM(K457+K433+K426+K422+K420+K418+K415)</f>
        <v>10592</v>
      </c>
      <c r="L458" s="81"/>
      <c r="M458" s="27" t="s">
        <v>189</v>
      </c>
      <c r="N458" s="26">
        <f>SUM(N415:N456)</f>
        <v>186</v>
      </c>
      <c r="AH458" s="195" t="s">
        <v>107</v>
      </c>
      <c r="AI458" s="134">
        <v>0</v>
      </c>
      <c r="AJ458" s="136">
        <v>0</v>
      </c>
      <c r="AK458" s="135"/>
      <c r="AL458" s="135"/>
      <c r="AM458" s="135"/>
      <c r="AN458" s="134"/>
      <c r="AO458" s="136"/>
      <c r="AP458" s="135"/>
      <c r="AQ458" s="135" t="s">
        <v>92</v>
      </c>
      <c r="AR458" s="136"/>
      <c r="AS458" s="28"/>
      <c r="AT458" s="28"/>
      <c r="AU458" s="28"/>
      <c r="AX458" s="196" t="s">
        <v>564</v>
      </c>
      <c r="AY458" s="138">
        <v>0</v>
      </c>
      <c r="AZ458" s="141">
        <v>0</v>
      </c>
      <c r="BA458" s="138"/>
      <c r="BB458" s="28"/>
      <c r="BC458" s="141"/>
      <c r="BD458" s="138"/>
      <c r="BE458" s="141"/>
      <c r="BF458" s="138" t="s">
        <v>1650</v>
      </c>
      <c r="BG458" s="258" t="s">
        <v>1651</v>
      </c>
      <c r="BH458" s="141"/>
    </row>
    <row r="459" spans="3:60" ht="15.6" x14ac:dyDescent="0.3">
      <c r="D459" s="131" t="s">
        <v>225</v>
      </c>
      <c r="F459">
        <f>SUM(N457)</f>
        <v>79</v>
      </c>
      <c r="I459" s="132"/>
      <c r="AH459" s="196" t="s">
        <v>99</v>
      </c>
      <c r="AI459" s="138">
        <v>0</v>
      </c>
      <c r="AJ459" s="141">
        <v>0</v>
      </c>
      <c r="AK459" s="28">
        <v>0</v>
      </c>
      <c r="AL459" s="28">
        <v>0</v>
      </c>
      <c r="AM459" s="28">
        <v>0</v>
      </c>
      <c r="AN459" s="138">
        <v>81151</v>
      </c>
      <c r="AO459" s="141">
        <v>20907</v>
      </c>
      <c r="AP459" s="43">
        <v>31</v>
      </c>
      <c r="AQ459" s="28" t="s">
        <v>100</v>
      </c>
      <c r="AR459" s="141"/>
      <c r="AS459" s="28"/>
      <c r="AT459" s="28"/>
      <c r="AU459" s="28"/>
      <c r="AX459" s="196" t="s">
        <v>862</v>
      </c>
      <c r="AY459" s="138">
        <v>4</v>
      </c>
      <c r="AZ459" s="141">
        <v>8</v>
      </c>
      <c r="BA459" s="138"/>
      <c r="BB459" s="28"/>
      <c r="BC459" s="141"/>
      <c r="BD459" s="138"/>
      <c r="BE459" s="141"/>
      <c r="BF459" s="138"/>
      <c r="BG459" s="258"/>
      <c r="BH459" s="141"/>
    </row>
    <row r="460" spans="3:60" x14ac:dyDescent="0.3">
      <c r="D460" t="s">
        <v>229</v>
      </c>
      <c r="F460">
        <v>32</v>
      </c>
      <c r="AH460" s="199" t="s">
        <v>84</v>
      </c>
      <c r="AI460" s="138">
        <f>SUM(AI458:AI459)</f>
        <v>0</v>
      </c>
      <c r="AJ460" s="141">
        <f>SUM(AJ458:AJ459)</f>
        <v>0</v>
      </c>
      <c r="AK460" s="143"/>
      <c r="AL460" s="143"/>
      <c r="AM460" s="143"/>
      <c r="AN460" s="142"/>
      <c r="AO460" s="146"/>
      <c r="AP460" s="143">
        <v>0</v>
      </c>
      <c r="AQ460" s="143" t="s">
        <v>506</v>
      </c>
      <c r="AR460" s="146">
        <f>SUM(AP459:AP460)</f>
        <v>31</v>
      </c>
      <c r="AS460" s="28"/>
      <c r="AT460" s="28"/>
      <c r="AU460" s="28"/>
      <c r="AX460" s="196" t="s">
        <v>200</v>
      </c>
      <c r="AY460" s="138">
        <v>0</v>
      </c>
      <c r="AZ460" s="141">
        <v>1</v>
      </c>
      <c r="BA460" s="138"/>
      <c r="BB460" s="28"/>
      <c r="BC460" s="141"/>
      <c r="BD460" s="138"/>
      <c r="BE460" s="141"/>
      <c r="BF460" s="138"/>
      <c r="BG460" s="28"/>
      <c r="BH460" s="141"/>
    </row>
    <row r="461" spans="3:60" x14ac:dyDescent="0.3">
      <c r="D461" t="s">
        <v>232</v>
      </c>
      <c r="F461" t="s">
        <v>233</v>
      </c>
      <c r="H461" t="e">
        <f>SUM(#REF!)</f>
        <v>#REF!</v>
      </c>
      <c r="J461" t="s">
        <v>234</v>
      </c>
      <c r="L461" t="s">
        <v>233</v>
      </c>
      <c r="N461">
        <f>SUM(E458)</f>
        <v>1888</v>
      </c>
      <c r="AE461" s="28" t="s">
        <v>91</v>
      </c>
      <c r="AF461">
        <v>2016</v>
      </c>
      <c r="AG461">
        <v>8</v>
      </c>
      <c r="AH461" s="138" t="s">
        <v>89</v>
      </c>
      <c r="AI461" s="134">
        <v>552</v>
      </c>
      <c r="AJ461" s="136">
        <v>535</v>
      </c>
      <c r="AN461" s="134"/>
      <c r="AO461" s="136"/>
      <c r="AP461" s="28"/>
      <c r="AQ461" s="28" t="s">
        <v>91</v>
      </c>
      <c r="AR461" s="141"/>
      <c r="AS461" s="28"/>
      <c r="AT461" s="28"/>
      <c r="AU461" s="28"/>
      <c r="AX461" s="196" t="s">
        <v>169</v>
      </c>
      <c r="AY461" s="138">
        <v>2</v>
      </c>
      <c r="AZ461" s="141">
        <f>1+1</f>
        <v>2</v>
      </c>
      <c r="BA461" s="138"/>
      <c r="BB461" s="28"/>
      <c r="BC461" s="141"/>
      <c r="BD461" s="138"/>
      <c r="BE461" s="141"/>
      <c r="BF461" s="138"/>
      <c r="BG461" s="28"/>
      <c r="BH461" s="141"/>
    </row>
    <row r="462" spans="3:60" ht="15.6" x14ac:dyDescent="0.3">
      <c r="C462" t="s">
        <v>6</v>
      </c>
      <c r="F462" t="s">
        <v>236</v>
      </c>
      <c r="H462" t="e">
        <f>SUM(#REF!)</f>
        <v>#REF!</v>
      </c>
      <c r="L462" t="s">
        <v>236</v>
      </c>
      <c r="N462">
        <f>SUM(F458)</f>
        <v>1880</v>
      </c>
      <c r="U462" s="1"/>
      <c r="V462" s="1" t="s">
        <v>5</v>
      </c>
      <c r="W462" s="1"/>
      <c r="X462" s="1"/>
      <c r="Y462" s="1"/>
      <c r="Z462" s="1"/>
      <c r="AE462" s="28" t="s">
        <v>91</v>
      </c>
      <c r="AF462">
        <v>2016</v>
      </c>
      <c r="AG462">
        <v>8</v>
      </c>
      <c r="AH462" s="138" t="s">
        <v>137</v>
      </c>
      <c r="AI462" s="138">
        <v>206</v>
      </c>
      <c r="AJ462" s="141">
        <v>180</v>
      </c>
      <c r="AN462" s="138"/>
      <c r="AO462" s="141"/>
      <c r="AP462" s="43">
        <v>15</v>
      </c>
      <c r="AQ462" s="43" t="s">
        <v>145</v>
      </c>
      <c r="AR462" s="141"/>
      <c r="AS462" s="28"/>
      <c r="AT462" s="28"/>
      <c r="AU462" s="28"/>
      <c r="AX462" s="196" t="s">
        <v>596</v>
      </c>
      <c r="AY462" s="138">
        <v>1</v>
      </c>
      <c r="AZ462" s="141">
        <v>1</v>
      </c>
      <c r="BA462" s="138"/>
      <c r="BB462" s="28"/>
      <c r="BC462" s="141"/>
      <c r="BD462" s="138"/>
      <c r="BE462" s="141"/>
      <c r="BF462" s="138"/>
      <c r="BG462" s="28"/>
      <c r="BH462" s="141"/>
    </row>
    <row r="463" spans="3:60" x14ac:dyDescent="0.3">
      <c r="D463" s="134" t="s">
        <v>238</v>
      </c>
      <c r="E463" s="135" t="s">
        <v>239</v>
      </c>
      <c r="F463" s="136"/>
      <c r="G463" s="134" t="s">
        <v>240</v>
      </c>
      <c r="H463" s="135" t="s">
        <v>241</v>
      </c>
      <c r="I463" s="136"/>
      <c r="J463" s="134"/>
      <c r="K463" s="135" t="s">
        <v>242</v>
      </c>
      <c r="L463" s="137" t="s">
        <v>243</v>
      </c>
      <c r="M463" s="135"/>
      <c r="N463" s="135"/>
      <c r="O463" s="136"/>
      <c r="W463" t="s">
        <v>2</v>
      </c>
      <c r="AE463" s="28" t="s">
        <v>91</v>
      </c>
      <c r="AF463">
        <v>2016</v>
      </c>
      <c r="AG463">
        <v>8</v>
      </c>
      <c r="AH463" s="138" t="s">
        <v>113</v>
      </c>
      <c r="AI463" s="138">
        <v>725</v>
      </c>
      <c r="AJ463" s="141">
        <f>802+19</f>
        <v>821</v>
      </c>
      <c r="AN463" s="138"/>
      <c r="AO463" s="141"/>
      <c r="AP463" s="43">
        <v>91</v>
      </c>
      <c r="AQ463" s="28" t="s">
        <v>73</v>
      </c>
      <c r="AR463" s="141"/>
      <c r="AS463" s="28"/>
      <c r="AT463" s="28"/>
      <c r="AU463" s="28"/>
      <c r="AX463" s="196" t="s">
        <v>218</v>
      </c>
      <c r="AY463" s="138">
        <v>0</v>
      </c>
      <c r="AZ463" s="141">
        <v>72</v>
      </c>
      <c r="BA463" s="138"/>
      <c r="BB463" s="28">
        <v>0</v>
      </c>
      <c r="BC463" s="141"/>
      <c r="BD463" s="138"/>
      <c r="BE463" s="141"/>
      <c r="BF463" s="138"/>
      <c r="BG463" s="28"/>
      <c r="BH463" s="141"/>
    </row>
    <row r="464" spans="3:60" x14ac:dyDescent="0.3">
      <c r="D464" s="138" t="s">
        <v>233</v>
      </c>
      <c r="E464" s="28"/>
      <c r="F464" s="139" t="e">
        <f>SUM(#REF!)</f>
        <v>#REF!</v>
      </c>
      <c r="G464" s="138" t="s">
        <v>233</v>
      </c>
      <c r="H464" s="28"/>
      <c r="I464" s="139" t="e">
        <f>SUM(#REF!)</f>
        <v>#REF!</v>
      </c>
      <c r="J464" s="138" t="s">
        <v>233</v>
      </c>
      <c r="K464" s="28"/>
      <c r="L464" s="140" t="e">
        <f>SUM(N461+I464)</f>
        <v>#REF!</v>
      </c>
      <c r="M464" s="28" t="s">
        <v>245</v>
      </c>
      <c r="N464" s="28" t="e">
        <f>SUM(L464+F464)</f>
        <v>#REF!</v>
      </c>
      <c r="O464" s="141"/>
      <c r="U464" t="s">
        <v>13</v>
      </c>
      <c r="AE464" s="28" t="s">
        <v>91</v>
      </c>
      <c r="AF464">
        <v>2016</v>
      </c>
      <c r="AG464">
        <v>8</v>
      </c>
      <c r="AH464" s="138" t="s">
        <v>84</v>
      </c>
      <c r="AI464" s="138">
        <f>SUM(AI461:AI463)</f>
        <v>1483</v>
      </c>
      <c r="AJ464" s="141">
        <f>SUM(AJ461:AJ463)</f>
        <v>1536</v>
      </c>
      <c r="AK464">
        <v>0</v>
      </c>
      <c r="AL464">
        <v>0</v>
      </c>
      <c r="AM464">
        <v>0</v>
      </c>
      <c r="AN464" s="138">
        <v>0</v>
      </c>
      <c r="AO464" s="141">
        <v>0</v>
      </c>
      <c r="AP464" s="28"/>
      <c r="AQ464" s="28"/>
      <c r="AR464" s="141">
        <f>SUM(AP462:AP464)</f>
        <v>106</v>
      </c>
      <c r="AS464" s="28"/>
      <c r="AT464" s="28"/>
      <c r="AU464" s="28"/>
      <c r="AX464" s="196" t="s">
        <v>93</v>
      </c>
      <c r="AY464" s="138">
        <v>0</v>
      </c>
      <c r="AZ464" s="141">
        <v>3</v>
      </c>
      <c r="BA464" s="138"/>
      <c r="BB464" s="28"/>
      <c r="BC464" s="141"/>
      <c r="BD464" s="138"/>
      <c r="BE464" s="141"/>
      <c r="BF464" s="138"/>
      <c r="BG464" s="28"/>
      <c r="BH464" s="141"/>
    </row>
    <row r="465" spans="3:61" ht="15" thickBot="1" x14ac:dyDescent="0.35">
      <c r="D465" s="142" t="s">
        <v>236</v>
      </c>
      <c r="E465" s="143"/>
      <c r="F465" s="144" t="e">
        <f>SUM(#REF!)</f>
        <v>#REF!</v>
      </c>
      <c r="G465" s="142" t="s">
        <v>236</v>
      </c>
      <c r="H465" s="143"/>
      <c r="I465" s="144" t="e">
        <f>SUM(#REF!)</f>
        <v>#REF!</v>
      </c>
      <c r="J465" s="142" t="s">
        <v>236</v>
      </c>
      <c r="K465" s="143"/>
      <c r="L465" s="145" t="e">
        <f>SUM(N462+I465)</f>
        <v>#REF!</v>
      </c>
      <c r="M465" s="143"/>
      <c r="N465" s="143" t="e">
        <f>SUM(L465+F465)</f>
        <v>#REF!</v>
      </c>
      <c r="O465" s="146"/>
      <c r="W465" t="s">
        <v>827</v>
      </c>
      <c r="AA465" s="5" t="s">
        <v>16</v>
      </c>
      <c r="AG465">
        <v>8</v>
      </c>
      <c r="AH465" s="134"/>
      <c r="AI465" s="134"/>
      <c r="AJ465" s="136"/>
      <c r="AK465" s="135"/>
      <c r="AL465" s="135"/>
      <c r="AM465" s="135"/>
      <c r="AN465" s="134"/>
      <c r="AO465" s="136"/>
      <c r="AP465" s="135" t="s">
        <v>1025</v>
      </c>
      <c r="AQ465" s="135"/>
      <c r="AR465" s="136"/>
      <c r="AS465" s="28"/>
      <c r="AT465" s="28"/>
      <c r="AU465" s="28"/>
      <c r="AX465" s="199" t="s">
        <v>84</v>
      </c>
      <c r="AY465" s="142">
        <f>SUM(AY441:AY464)</f>
        <v>179</v>
      </c>
      <c r="AZ465" s="146">
        <f>SUM(AZ441:AZ464)</f>
        <v>218</v>
      </c>
      <c r="BA465" s="142">
        <v>0</v>
      </c>
      <c r="BB465" s="143">
        <f>SUM(BB441:BB464)</f>
        <v>2</v>
      </c>
      <c r="BC465" s="146">
        <f>SUM(BC441:BC464)</f>
        <v>5</v>
      </c>
      <c r="BD465" s="142">
        <v>0</v>
      </c>
      <c r="BE465" s="146">
        <v>0</v>
      </c>
      <c r="BF465" s="142"/>
      <c r="BG465" s="143"/>
      <c r="BH465" s="146">
        <f>4+5+10+3+3+2+2+4+4+3+4+5</f>
        <v>49</v>
      </c>
    </row>
    <row r="466" spans="3:61" x14ac:dyDescent="0.3">
      <c r="R466" s="6" t="s">
        <v>17</v>
      </c>
      <c r="S466" s="6" t="s">
        <v>27</v>
      </c>
      <c r="T466" s="7"/>
      <c r="U466" s="8" t="s">
        <v>28</v>
      </c>
      <c r="V466" s="8"/>
      <c r="W466" s="8"/>
      <c r="X466" s="6" t="s">
        <v>29</v>
      </c>
      <c r="Y466" s="7" t="s">
        <v>30</v>
      </c>
      <c r="Z466" s="8" t="s">
        <v>31</v>
      </c>
      <c r="AA466" s="8"/>
      <c r="AB466" s="7"/>
      <c r="AG466">
        <v>8</v>
      </c>
      <c r="AH466" s="142" t="s">
        <v>64</v>
      </c>
      <c r="AI466" s="142">
        <v>90</v>
      </c>
      <c r="AJ466" s="146">
        <v>108</v>
      </c>
      <c r="AK466" s="143"/>
      <c r="AL466" s="143"/>
      <c r="AM466" s="143"/>
      <c r="AN466" s="142"/>
      <c r="AO466" s="146"/>
      <c r="AP466" s="143">
        <v>9</v>
      </c>
      <c r="AQ466" s="143" t="s">
        <v>1026</v>
      </c>
      <c r="AR466" s="146">
        <f>SUM(AP466)</f>
        <v>9</v>
      </c>
      <c r="AS466" s="28"/>
      <c r="AT466" s="28"/>
      <c r="AU466" s="28"/>
      <c r="AX466" t="s">
        <v>223</v>
      </c>
      <c r="AY466">
        <f>SUM(AY465+AY440+AY435+AY428+AY425+AY423+AY437)</f>
        <v>4880</v>
      </c>
      <c r="AZ466">
        <f>SUM(AZ465+AZ440+AZ435+AZ428+AZ423+AZ425+AZ437)</f>
        <v>5813</v>
      </c>
      <c r="BA466">
        <v>0</v>
      </c>
      <c r="BB466">
        <f>SUM(BB465+BB440+BB435+BB428+BB425+BB422)</f>
        <v>2</v>
      </c>
      <c r="BC466">
        <f>SUM(BC465)</f>
        <v>5</v>
      </c>
      <c r="BD466">
        <f>SUM(BD465+BD440+BD435+BD427+BD425+BD422)</f>
        <v>85577</v>
      </c>
      <c r="BE466">
        <f>SUM(BE465+BE440+BE435+BE427+BE425+BE422)</f>
        <v>19998</v>
      </c>
      <c r="BG466" t="s">
        <v>939</v>
      </c>
      <c r="BH466">
        <f>SUM(+BH440+BH435+BH428+BH425+BH423)</f>
        <v>184</v>
      </c>
    </row>
    <row r="467" spans="3:61" x14ac:dyDescent="0.3">
      <c r="R467" s="10"/>
      <c r="S467" s="10"/>
      <c r="T467" s="11"/>
      <c r="U467" s="3"/>
      <c r="V467" s="3"/>
      <c r="W467" s="3"/>
      <c r="X467" s="10"/>
      <c r="Y467" s="11" t="s">
        <v>6</v>
      </c>
      <c r="Z467" s="3" t="s">
        <v>41</v>
      </c>
      <c r="AA467" s="3"/>
      <c r="AB467" s="11"/>
      <c r="AE467" s="135" t="s">
        <v>994</v>
      </c>
      <c r="AF467">
        <v>2016</v>
      </c>
      <c r="AG467">
        <v>8</v>
      </c>
      <c r="AH467" s="138" t="s">
        <v>113</v>
      </c>
      <c r="AI467" s="138">
        <v>484</v>
      </c>
      <c r="AJ467" s="141">
        <v>433</v>
      </c>
      <c r="AK467" s="28"/>
      <c r="AL467" s="28"/>
      <c r="AM467" s="28"/>
      <c r="AN467" s="138"/>
      <c r="AO467" s="141"/>
      <c r="AP467" s="28" t="s">
        <v>994</v>
      </c>
      <c r="AQ467" s="28"/>
      <c r="AR467" s="141"/>
      <c r="AS467" s="28"/>
      <c r="AT467" s="28"/>
      <c r="AU467" s="28"/>
      <c r="AX467" t="s">
        <v>1340</v>
      </c>
      <c r="AZ467">
        <f>SUM(BH465)</f>
        <v>49</v>
      </c>
    </row>
    <row r="468" spans="3:61" ht="15" thickBot="1" x14ac:dyDescent="0.35">
      <c r="R468" s="13" t="s">
        <v>42</v>
      </c>
      <c r="S468" s="13" t="s">
        <v>43</v>
      </c>
      <c r="T468" s="26" t="s">
        <v>44</v>
      </c>
      <c r="U468" s="27" t="s">
        <v>45</v>
      </c>
      <c r="V468" s="27" t="s">
        <v>46</v>
      </c>
      <c r="W468" s="27" t="s">
        <v>52</v>
      </c>
      <c r="X468" s="13" t="s">
        <v>43</v>
      </c>
      <c r="Y468" s="26" t="s">
        <v>44</v>
      </c>
      <c r="Z468" s="27" t="s">
        <v>54</v>
      </c>
      <c r="AA468" s="27"/>
      <c r="AB468" s="26"/>
      <c r="AE468" s="135" t="s">
        <v>994</v>
      </c>
      <c r="AF468">
        <v>2016</v>
      </c>
      <c r="AG468">
        <v>8</v>
      </c>
      <c r="AH468" s="138" t="s">
        <v>475</v>
      </c>
      <c r="AI468" s="138">
        <v>0</v>
      </c>
      <c r="AJ468" s="141">
        <v>0</v>
      </c>
      <c r="AK468" s="28"/>
      <c r="AL468" s="28"/>
      <c r="AM468" s="28"/>
      <c r="AN468" s="138"/>
      <c r="AO468" s="141"/>
      <c r="AP468" s="28">
        <v>18</v>
      </c>
      <c r="AQ468" s="28" t="s">
        <v>100</v>
      </c>
      <c r="AR468" s="141"/>
      <c r="AS468" s="28"/>
      <c r="AT468" s="28"/>
      <c r="AU468" s="28"/>
      <c r="AX468" t="s">
        <v>229</v>
      </c>
      <c r="AZ468">
        <f>3+16+2</f>
        <v>21</v>
      </c>
    </row>
    <row r="469" spans="3:61" x14ac:dyDescent="0.3">
      <c r="R469" s="32" t="s">
        <v>85</v>
      </c>
      <c r="S469">
        <v>0</v>
      </c>
      <c r="T469">
        <v>0</v>
      </c>
      <c r="U469" s="33"/>
      <c r="V469" s="34"/>
      <c r="W469" s="34"/>
      <c r="X469" s="33"/>
      <c r="Y469" s="35"/>
      <c r="Z469" s="34" t="s">
        <v>58</v>
      </c>
      <c r="AA469" s="8"/>
      <c r="AB469" s="7"/>
      <c r="AE469" s="135" t="s">
        <v>994</v>
      </c>
      <c r="AF469">
        <v>2016</v>
      </c>
      <c r="AG469">
        <v>8</v>
      </c>
      <c r="AH469" s="142" t="s">
        <v>84</v>
      </c>
      <c r="AI469" s="142">
        <f>SUM(AI467:AI468)</f>
        <v>484</v>
      </c>
      <c r="AJ469" s="146">
        <f>SUM(AJ467:AJ468)</f>
        <v>433</v>
      </c>
      <c r="AK469" s="143">
        <v>0</v>
      </c>
      <c r="AL469" s="143">
        <v>0</v>
      </c>
      <c r="AM469" s="143">
        <v>0</v>
      </c>
      <c r="AN469" s="142">
        <v>0</v>
      </c>
      <c r="AO469" s="146">
        <v>0</v>
      </c>
      <c r="AP469" s="43">
        <v>26</v>
      </c>
      <c r="AQ469" s="43" t="s">
        <v>73</v>
      </c>
      <c r="AR469" s="146">
        <f>SUM(AP468:AP469)</f>
        <v>44</v>
      </c>
      <c r="AS469" s="28"/>
      <c r="AT469" s="28"/>
      <c r="AU469" s="28"/>
      <c r="AW469" t="s">
        <v>6</v>
      </c>
      <c r="AX469" t="s">
        <v>232</v>
      </c>
      <c r="AZ469" s="178" t="s">
        <v>233</v>
      </c>
      <c r="BB469">
        <f>SUM(AJ462)</f>
        <v>180</v>
      </c>
      <c r="BD469" t="s">
        <v>234</v>
      </c>
      <c r="BF469" t="s">
        <v>233</v>
      </c>
      <c r="BH469">
        <f>SUM(AY466)</f>
        <v>4880</v>
      </c>
    </row>
    <row r="470" spans="3:61" x14ac:dyDescent="0.3">
      <c r="R470" s="44" t="s">
        <v>64</v>
      </c>
      <c r="S470" s="18">
        <v>155</v>
      </c>
      <c r="T470" s="18">
        <v>201</v>
      </c>
      <c r="U470" s="10">
        <v>0</v>
      </c>
      <c r="V470" s="18">
        <v>0</v>
      </c>
      <c r="W470" s="18">
        <v>0</v>
      </c>
      <c r="X470" s="10">
        <v>0</v>
      </c>
      <c r="Y470" s="11">
        <v>0</v>
      </c>
      <c r="Z470" s="45">
        <v>9</v>
      </c>
      <c r="AA470" s="28" t="s">
        <v>474</v>
      </c>
      <c r="AB470" s="11"/>
      <c r="AH470" s="196" t="s">
        <v>1095</v>
      </c>
      <c r="AI470" s="138">
        <v>1</v>
      </c>
      <c r="AJ470" s="141">
        <v>0</v>
      </c>
      <c r="AK470" s="134"/>
      <c r="AL470" s="135"/>
      <c r="AM470" s="136"/>
      <c r="AN470" s="138"/>
      <c r="AO470" s="141"/>
      <c r="AP470" s="134" t="s">
        <v>140</v>
      </c>
      <c r="AQ470" s="135"/>
      <c r="AR470" s="136"/>
      <c r="AS470" s="28"/>
      <c r="AT470" s="28"/>
      <c r="AU470" s="28"/>
      <c r="AV470" t="s">
        <v>6</v>
      </c>
      <c r="AZ470" t="s">
        <v>236</v>
      </c>
      <c r="BB470">
        <f>SUM(AK462)</f>
        <v>0</v>
      </c>
      <c r="BF470" t="s">
        <v>236</v>
      </c>
      <c r="BH470">
        <f>SUM(AZ466)</f>
        <v>5813</v>
      </c>
    </row>
    <row r="471" spans="3:61" ht="16.2" thickBot="1" x14ac:dyDescent="0.35">
      <c r="G471" s="1"/>
      <c r="H471" s="1" t="s">
        <v>5</v>
      </c>
      <c r="I471" s="1"/>
      <c r="J471" s="1"/>
      <c r="K471" s="1"/>
      <c r="L471" s="1"/>
      <c r="Q471" s="28"/>
      <c r="R471" s="46" t="s">
        <v>84</v>
      </c>
      <c r="S471">
        <f>SUM(S469:S470)</f>
        <v>155</v>
      </c>
      <c r="T471">
        <f>SUM(T469:T470)</f>
        <v>201</v>
      </c>
      <c r="U471" s="47"/>
      <c r="V471" s="48"/>
      <c r="W471" s="48"/>
      <c r="X471" s="47"/>
      <c r="Y471" s="49"/>
      <c r="Z471" s="48"/>
      <c r="AA471" s="48" t="s">
        <v>249</v>
      </c>
      <c r="AB471" s="49">
        <f>SUM(Z470:Z471)</f>
        <v>9</v>
      </c>
      <c r="AH471" s="196" t="s">
        <v>139</v>
      </c>
      <c r="AI471" s="138">
        <v>1</v>
      </c>
      <c r="AJ471" s="141">
        <v>1</v>
      </c>
      <c r="AK471" s="138"/>
      <c r="AL471" s="28"/>
      <c r="AM471" s="141"/>
      <c r="AN471" s="138"/>
      <c r="AO471" s="141"/>
      <c r="AP471" s="138"/>
      <c r="AQ471" s="28"/>
      <c r="AR471" s="141"/>
      <c r="AS471" s="28"/>
      <c r="AT471" s="28"/>
      <c r="AU471" s="28"/>
      <c r="AX471" t="s">
        <v>238</v>
      </c>
      <c r="AY471" t="s">
        <v>239</v>
      </c>
      <c r="BA471" t="s">
        <v>240</v>
      </c>
      <c r="BB471" t="s">
        <v>241</v>
      </c>
      <c r="BE471" t="s">
        <v>242</v>
      </c>
      <c r="BF471" s="131" t="s">
        <v>243</v>
      </c>
    </row>
    <row r="472" spans="3:61" x14ac:dyDescent="0.3">
      <c r="I472" t="s">
        <v>2</v>
      </c>
      <c r="Q472" s="28"/>
      <c r="R472" s="33"/>
      <c r="S472" s="33"/>
      <c r="T472" s="35"/>
      <c r="U472" s="34"/>
      <c r="V472" s="34"/>
      <c r="W472" s="34"/>
      <c r="X472" s="33"/>
      <c r="Y472" s="35"/>
      <c r="Z472" s="53" t="s">
        <v>82</v>
      </c>
      <c r="AA472" s="34"/>
      <c r="AB472" s="35"/>
      <c r="AH472" s="196" t="s">
        <v>502</v>
      </c>
      <c r="AI472" s="138">
        <v>0</v>
      </c>
      <c r="AJ472" s="141">
        <v>66</v>
      </c>
      <c r="AK472" s="138"/>
      <c r="AL472" s="28"/>
      <c r="AM472" s="141"/>
      <c r="AN472" s="138"/>
      <c r="AO472" s="141"/>
      <c r="AP472" s="138"/>
      <c r="AQ472" s="28"/>
      <c r="AR472" s="141"/>
      <c r="AS472" s="28"/>
      <c r="AT472" s="28"/>
      <c r="AU472" s="28"/>
      <c r="AX472" t="s">
        <v>233</v>
      </c>
      <c r="AZ472" t="e">
        <f>SUM(#REF!)</f>
        <v>#REF!</v>
      </c>
      <c r="BA472" s="236" t="s">
        <v>233</v>
      </c>
      <c r="BC472">
        <f>SUM(S456)</f>
        <v>0</v>
      </c>
      <c r="BD472" t="s">
        <v>233</v>
      </c>
      <c r="BF472">
        <f>SUM(BC472+AY466)</f>
        <v>4880</v>
      </c>
      <c r="BG472" t="s">
        <v>245</v>
      </c>
      <c r="BH472" t="e">
        <f>SUM(AZ472+BF472)</f>
        <v>#REF!</v>
      </c>
    </row>
    <row r="473" spans="3:61" ht="15" thickBot="1" x14ac:dyDescent="0.35">
      <c r="G473" t="s">
        <v>13</v>
      </c>
      <c r="Q473" s="28"/>
      <c r="R473" s="47" t="s">
        <v>85</v>
      </c>
      <c r="S473" s="47">
        <v>2</v>
      </c>
      <c r="T473" s="49">
        <v>2</v>
      </c>
      <c r="U473" s="48"/>
      <c r="V473" s="48">
        <v>0</v>
      </c>
      <c r="W473" s="48">
        <v>0</v>
      </c>
      <c r="X473" s="47">
        <v>0</v>
      </c>
      <c r="Y473" s="49">
        <v>0</v>
      </c>
      <c r="Z473" s="51">
        <v>1</v>
      </c>
      <c r="AA473" s="48" t="s">
        <v>86</v>
      </c>
      <c r="AB473" s="49">
        <f>SUM(Z473)</f>
        <v>1</v>
      </c>
      <c r="AH473" s="196" t="s">
        <v>113</v>
      </c>
      <c r="AI473" s="138">
        <v>94</v>
      </c>
      <c r="AJ473" s="141">
        <f>2+78+1</f>
        <v>81</v>
      </c>
      <c r="AK473" s="138"/>
      <c r="AL473" s="28"/>
      <c r="AM473" s="141"/>
      <c r="AN473" s="138"/>
      <c r="AO473" s="141"/>
      <c r="AP473" s="138" t="s">
        <v>142</v>
      </c>
      <c r="AQ473" s="28"/>
      <c r="AR473" s="141" t="s">
        <v>438</v>
      </c>
      <c r="AS473" s="28"/>
      <c r="AT473" s="28"/>
      <c r="AU473" s="28"/>
      <c r="AX473" t="s">
        <v>236</v>
      </c>
      <c r="AZ473" t="e">
        <f>SUM(#REF!)</f>
        <v>#REF!</v>
      </c>
      <c r="BA473" s="236" t="s">
        <v>236</v>
      </c>
      <c r="BC473">
        <f>SUM(T456)</f>
        <v>0</v>
      </c>
      <c r="BD473" t="s">
        <v>236</v>
      </c>
      <c r="BF473">
        <f>SUM(BC473+AZ466)</f>
        <v>5813</v>
      </c>
      <c r="BH473" t="e">
        <f>SUM(AZ473+BF473)</f>
        <v>#REF!</v>
      </c>
      <c r="BI473" t="e">
        <f>SUM(BH472:BH473)</f>
        <v>#REF!</v>
      </c>
    </row>
    <row r="474" spans="3:61" ht="16.2" thickBot="1" x14ac:dyDescent="0.35">
      <c r="I474" t="s">
        <v>505</v>
      </c>
      <c r="M474" s="5" t="s">
        <v>16</v>
      </c>
      <c r="Q474" s="28"/>
      <c r="R474" s="50" t="s">
        <v>107</v>
      </c>
      <c r="S474" s="31">
        <v>0</v>
      </c>
      <c r="T474" s="31">
        <v>0</v>
      </c>
      <c r="U474" s="29"/>
      <c r="V474" s="31"/>
      <c r="W474" s="30"/>
      <c r="X474" s="55">
        <v>0</v>
      </c>
      <c r="Y474" s="8">
        <v>0</v>
      </c>
      <c r="Z474" s="29"/>
      <c r="AA474" s="34" t="s">
        <v>92</v>
      </c>
      <c r="AB474" s="35"/>
      <c r="AH474" s="196" t="s">
        <v>108</v>
      </c>
      <c r="AI474" s="138">
        <v>8</v>
      </c>
      <c r="AJ474" s="141">
        <v>0</v>
      </c>
      <c r="AK474" s="138"/>
      <c r="AL474" s="28"/>
      <c r="AM474" s="141"/>
      <c r="AN474" s="138"/>
      <c r="AO474" s="141"/>
      <c r="AP474" s="138" t="s">
        <v>146</v>
      </c>
      <c r="AQ474" s="28"/>
      <c r="AR474" s="141" t="s">
        <v>1096</v>
      </c>
      <c r="AS474" s="28"/>
      <c r="AT474" s="28"/>
      <c r="AU474" s="28"/>
      <c r="AX474" s="321" t="s">
        <v>1532</v>
      </c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5"/>
    </row>
    <row r="475" spans="3:61" x14ac:dyDescent="0.3">
      <c r="D475" s="6" t="s">
        <v>17</v>
      </c>
      <c r="E475" s="6" t="s">
        <v>27</v>
      </c>
      <c r="F475" s="7"/>
      <c r="G475" s="8" t="s">
        <v>28</v>
      </c>
      <c r="H475" s="8"/>
      <c r="I475" s="8"/>
      <c r="J475" s="6" t="s">
        <v>29</v>
      </c>
      <c r="K475" s="7" t="s">
        <v>30</v>
      </c>
      <c r="L475" s="8" t="s">
        <v>31</v>
      </c>
      <c r="M475" s="8"/>
      <c r="N475" s="7"/>
      <c r="Q475" s="28"/>
      <c r="R475" s="41" t="s">
        <v>99</v>
      </c>
      <c r="S475" s="45">
        <v>0</v>
      </c>
      <c r="T475" s="45">
        <v>0</v>
      </c>
      <c r="U475" s="42">
        <v>0</v>
      </c>
      <c r="V475" s="45">
        <v>0</v>
      </c>
      <c r="W475" s="40">
        <v>0</v>
      </c>
      <c r="X475" s="45">
        <v>51916</v>
      </c>
      <c r="Y475" s="56">
        <v>11817</v>
      </c>
      <c r="Z475" s="52">
        <v>28</v>
      </c>
      <c r="AA475" s="37" t="s">
        <v>100</v>
      </c>
      <c r="AB475" s="40"/>
      <c r="AG475" t="s">
        <v>6</v>
      </c>
      <c r="AH475" s="196" t="s">
        <v>133</v>
      </c>
      <c r="AI475" s="138">
        <v>5</v>
      </c>
      <c r="AJ475" s="141">
        <v>8</v>
      </c>
      <c r="AK475" s="138"/>
      <c r="AL475" s="28"/>
      <c r="AM475" s="141"/>
      <c r="AN475" s="138"/>
      <c r="AO475" s="141"/>
      <c r="AP475" s="138"/>
      <c r="AQ475" s="28"/>
      <c r="AR475" s="141"/>
      <c r="AS475" s="28"/>
      <c r="AT475" s="28"/>
      <c r="AU475" s="28"/>
      <c r="AX475" s="42" t="s">
        <v>238</v>
      </c>
      <c r="AY475" s="28" t="s">
        <v>239</v>
      </c>
      <c r="AZ475" s="28"/>
      <c r="BA475" s="28" t="s">
        <v>240</v>
      </c>
      <c r="BB475" s="28" t="s">
        <v>241</v>
      </c>
      <c r="BC475" s="28"/>
      <c r="BD475" s="28"/>
      <c r="BE475" s="28" t="s">
        <v>242</v>
      </c>
      <c r="BF475" s="257" t="s">
        <v>243</v>
      </c>
      <c r="BG475" s="28"/>
      <c r="BH475" s="28"/>
      <c r="BI475" s="40"/>
    </row>
    <row r="476" spans="3:61" ht="15" thickBot="1" x14ac:dyDescent="0.35">
      <c r="D476" s="10"/>
      <c r="E476" s="10"/>
      <c r="F476" s="11"/>
      <c r="G476" s="3"/>
      <c r="H476" s="3"/>
      <c r="I476" s="3"/>
      <c r="J476" s="10"/>
      <c r="K476" s="11" t="s">
        <v>6</v>
      </c>
      <c r="L476" s="3" t="s">
        <v>41</v>
      </c>
      <c r="M476" s="3"/>
      <c r="N476" s="11"/>
      <c r="Q476" s="28"/>
      <c r="R476" s="17" t="s">
        <v>84</v>
      </c>
      <c r="S476" s="18">
        <f>SUM(S474:S475)</f>
        <v>0</v>
      </c>
      <c r="T476" s="18">
        <f>SUM(T474:T475)</f>
        <v>0</v>
      </c>
      <c r="U476" s="13"/>
      <c r="V476" s="27"/>
      <c r="W476" s="26"/>
      <c r="X476" s="58">
        <f>+X475+X474</f>
        <v>51916</v>
      </c>
      <c r="Y476" s="27">
        <f>+Y475+Y474</f>
        <v>11817</v>
      </c>
      <c r="Z476" s="59"/>
      <c r="AA476" s="48" t="s">
        <v>506</v>
      </c>
      <c r="AB476" s="60">
        <f>SUM(Z475:Z476)</f>
        <v>28</v>
      </c>
      <c r="AH476" s="196" t="s">
        <v>99</v>
      </c>
      <c r="AI476" s="138">
        <v>0</v>
      </c>
      <c r="AJ476" s="141">
        <v>2</v>
      </c>
      <c r="AK476" s="138" t="s">
        <v>150</v>
      </c>
      <c r="AL476" s="28"/>
      <c r="AM476" s="141"/>
      <c r="AN476" s="138"/>
      <c r="AO476" s="141"/>
      <c r="AP476" s="138" t="s">
        <v>151</v>
      </c>
      <c r="AQ476" s="28"/>
      <c r="AR476" s="141"/>
      <c r="AS476" s="28"/>
      <c r="AT476" s="28"/>
      <c r="AU476" s="28"/>
      <c r="AX476" s="42" t="s">
        <v>233</v>
      </c>
      <c r="AY476" s="28"/>
      <c r="AZ476" s="28" t="e">
        <f>SUM(#REF!)</f>
        <v>#REF!</v>
      </c>
      <c r="BA476" s="218" t="s">
        <v>233</v>
      </c>
      <c r="BB476" s="28"/>
      <c r="BC476" s="28">
        <f>SUM(S459)</f>
        <v>0</v>
      </c>
      <c r="BD476" s="28" t="s">
        <v>233</v>
      </c>
      <c r="BE476" s="28"/>
      <c r="BF476" s="28">
        <f>3083+2427</f>
        <v>5510</v>
      </c>
      <c r="BG476" s="28" t="s">
        <v>245</v>
      </c>
      <c r="BH476" s="28" t="e">
        <f>SUM(AZ476+BF476)</f>
        <v>#REF!</v>
      </c>
      <c r="BI476" s="40"/>
    </row>
    <row r="477" spans="3:61" ht="15" thickBot="1" x14ac:dyDescent="0.35">
      <c r="D477" s="13" t="s">
        <v>42</v>
      </c>
      <c r="E477" s="13" t="s">
        <v>43</v>
      </c>
      <c r="F477" s="26" t="s">
        <v>44</v>
      </c>
      <c r="G477" s="27" t="s">
        <v>45</v>
      </c>
      <c r="H477" s="27" t="s">
        <v>46</v>
      </c>
      <c r="I477" s="27" t="s">
        <v>52</v>
      </c>
      <c r="J477" s="13" t="s">
        <v>43</v>
      </c>
      <c r="K477" s="26" t="s">
        <v>44</v>
      </c>
      <c r="L477" s="27" t="s">
        <v>54</v>
      </c>
      <c r="M477" s="27"/>
      <c r="N477" s="26"/>
      <c r="Q477" s="28"/>
      <c r="R477" s="32"/>
      <c r="S477" s="63">
        <v>0</v>
      </c>
      <c r="T477" s="64">
        <v>0</v>
      </c>
      <c r="U477" s="33"/>
      <c r="V477" s="8"/>
      <c r="W477" s="35"/>
      <c r="X477" s="65"/>
      <c r="Y477" s="66"/>
      <c r="Z477" s="29"/>
      <c r="AA477" s="31"/>
      <c r="AB477" s="35"/>
      <c r="AH477" s="196" t="s">
        <v>85</v>
      </c>
      <c r="AI477" s="138">
        <v>0</v>
      </c>
      <c r="AJ477" s="141">
        <v>1</v>
      </c>
      <c r="AK477" s="138"/>
      <c r="AL477" s="28"/>
      <c r="AM477" s="141"/>
      <c r="AN477" s="138"/>
      <c r="AO477" s="141"/>
      <c r="AP477" s="138" t="s">
        <v>264</v>
      </c>
      <c r="AQ477" s="28" t="s">
        <v>820</v>
      </c>
      <c r="AR477" s="141" t="s">
        <v>1097</v>
      </c>
      <c r="AS477" s="28"/>
      <c r="AT477" s="28"/>
      <c r="AU477" s="28"/>
      <c r="AX477" s="47" t="s">
        <v>236</v>
      </c>
      <c r="AY477" s="48"/>
      <c r="AZ477" s="48" t="e">
        <f>SUM(#REF!)</f>
        <v>#REF!</v>
      </c>
      <c r="BA477" s="320" t="s">
        <v>236</v>
      </c>
      <c r="BB477" s="48"/>
      <c r="BC477" s="48">
        <f>SUM(T459)</f>
        <v>0</v>
      </c>
      <c r="BD477" s="48" t="s">
        <v>236</v>
      </c>
      <c r="BE477" s="48"/>
      <c r="BF477" s="48">
        <f>3374+2526</f>
        <v>5900</v>
      </c>
      <c r="BG477" s="48"/>
      <c r="BH477" s="48" t="e">
        <f>SUM(AZ477+BF477)</f>
        <v>#REF!</v>
      </c>
      <c r="BI477" s="49" t="e">
        <f>SUM(BH476:BH477)</f>
        <v>#REF!</v>
      </c>
    </row>
    <row r="478" spans="3:61" x14ac:dyDescent="0.3">
      <c r="D478" s="32" t="s">
        <v>85</v>
      </c>
      <c r="E478">
        <v>15</v>
      </c>
      <c r="F478">
        <v>13</v>
      </c>
      <c r="G478" s="33"/>
      <c r="H478" s="34"/>
      <c r="I478" s="34"/>
      <c r="J478" s="33"/>
      <c r="K478" s="35"/>
      <c r="L478" s="34" t="s">
        <v>58</v>
      </c>
      <c r="M478" s="8"/>
      <c r="N478" s="7"/>
      <c r="Q478" s="28"/>
      <c r="R478" s="41"/>
      <c r="S478" s="70">
        <v>0</v>
      </c>
      <c r="T478" s="71">
        <v>0</v>
      </c>
      <c r="U478" s="42"/>
      <c r="V478" s="28"/>
      <c r="W478" s="40"/>
      <c r="X478" s="42"/>
      <c r="Y478" s="40"/>
      <c r="Z478" s="42"/>
      <c r="AA478" s="54"/>
      <c r="AB478" s="40"/>
      <c r="AH478" s="196" t="s">
        <v>358</v>
      </c>
      <c r="AI478" s="138">
        <v>14</v>
      </c>
      <c r="AJ478" s="141">
        <v>12</v>
      </c>
      <c r="AK478" s="138"/>
      <c r="AL478" s="28"/>
      <c r="AM478" s="141"/>
      <c r="AN478" s="138"/>
      <c r="AO478" s="141"/>
      <c r="AP478" s="138" t="s">
        <v>1098</v>
      </c>
      <c r="AQ478" s="28" t="s">
        <v>1099</v>
      </c>
      <c r="AR478" s="141" t="s">
        <v>807</v>
      </c>
      <c r="AS478" s="28"/>
      <c r="AT478" s="28"/>
      <c r="AU478" s="28"/>
    </row>
    <row r="479" spans="3:61" ht="15" thickBot="1" x14ac:dyDescent="0.35">
      <c r="D479" s="44" t="s">
        <v>64</v>
      </c>
      <c r="E479" s="18">
        <v>135</v>
      </c>
      <c r="F479" s="18">
        <v>133</v>
      </c>
      <c r="G479" s="10">
        <v>0</v>
      </c>
      <c r="H479" s="18">
        <v>0</v>
      </c>
      <c r="I479" s="18">
        <v>0</v>
      </c>
      <c r="J479" s="10">
        <v>0</v>
      </c>
      <c r="K479" s="11">
        <v>0</v>
      </c>
      <c r="L479" s="45">
        <v>7</v>
      </c>
      <c r="M479" s="28" t="s">
        <v>474</v>
      </c>
      <c r="N479" s="11" t="s">
        <v>6</v>
      </c>
      <c r="Q479" s="28" t="s">
        <v>6</v>
      </c>
      <c r="R479" s="68"/>
      <c r="S479">
        <f>SUM(S477:S478)</f>
        <v>0</v>
      </c>
      <c r="T479">
        <f>SUM(T477:T478)</f>
        <v>0</v>
      </c>
      <c r="U479" s="47">
        <v>0</v>
      </c>
      <c r="V479" s="27">
        <v>0</v>
      </c>
      <c r="W479" s="49">
        <v>0</v>
      </c>
      <c r="X479" s="75">
        <v>0</v>
      </c>
      <c r="Y479" s="49">
        <v>0</v>
      </c>
      <c r="Z479" s="47"/>
      <c r="AA479" s="51"/>
      <c r="AB479" s="49">
        <f>SUM(Z478:Z479)</f>
        <v>0</v>
      </c>
      <c r="AH479" s="196" t="s">
        <v>429</v>
      </c>
      <c r="AI479" s="138">
        <v>0</v>
      </c>
      <c r="AJ479" s="141">
        <v>2</v>
      </c>
      <c r="AK479" s="138"/>
      <c r="AL479" s="28"/>
      <c r="AM479" s="141"/>
      <c r="AN479" s="138"/>
      <c r="AO479" s="141"/>
      <c r="AP479" s="138" t="s">
        <v>280</v>
      </c>
      <c r="AQ479" s="28" t="s">
        <v>254</v>
      </c>
      <c r="AR479" s="141" t="s">
        <v>360</v>
      </c>
      <c r="AS479" s="28"/>
      <c r="AT479" s="28"/>
      <c r="AU479" s="28"/>
    </row>
    <row r="480" spans="3:61" ht="15" thickBot="1" x14ac:dyDescent="0.35">
      <c r="C480" s="28"/>
      <c r="D480" s="46" t="s">
        <v>84</v>
      </c>
      <c r="E480">
        <f>SUM(E478:E479)</f>
        <v>150</v>
      </c>
      <c r="F480">
        <f>SUM(F478:F479)</f>
        <v>146</v>
      </c>
      <c r="G480" s="47"/>
      <c r="H480" s="48"/>
      <c r="I480" s="48"/>
      <c r="J480" s="47"/>
      <c r="K480" s="49"/>
      <c r="L480" s="48">
        <v>3</v>
      </c>
      <c r="M480" s="48" t="s">
        <v>69</v>
      </c>
      <c r="N480" s="49">
        <f>SUM(L479:L480)</f>
        <v>10</v>
      </c>
      <c r="O480" s="34" t="s">
        <v>91</v>
      </c>
      <c r="P480">
        <v>2015</v>
      </c>
      <c r="Q480" s="28">
        <v>8</v>
      </c>
      <c r="R480" s="33" t="s">
        <v>89</v>
      </c>
      <c r="S480" s="78">
        <f>19+385</f>
        <v>404</v>
      </c>
      <c r="T480" s="79">
        <v>341</v>
      </c>
      <c r="U480" s="34"/>
      <c r="V480" s="8"/>
      <c r="W480" s="35"/>
      <c r="X480" s="80"/>
      <c r="Y480" s="34"/>
      <c r="Z480" s="33"/>
      <c r="AA480" s="34" t="s">
        <v>91</v>
      </c>
      <c r="AB480" s="35"/>
      <c r="AH480" s="196" t="s">
        <v>169</v>
      </c>
      <c r="AI480" s="138">
        <v>5</v>
      </c>
      <c r="AJ480" s="141">
        <v>3</v>
      </c>
      <c r="AK480" s="138"/>
      <c r="AL480" s="28"/>
      <c r="AM480" s="141"/>
      <c r="AN480" s="138"/>
      <c r="AO480" s="141"/>
      <c r="AP480" s="138" t="s">
        <v>1100</v>
      </c>
      <c r="AQ480" s="43" t="s">
        <v>272</v>
      </c>
      <c r="AR480" s="141" t="s">
        <v>310</v>
      </c>
      <c r="AS480" s="28"/>
      <c r="AT480" s="28"/>
      <c r="AU480" s="28"/>
    </row>
    <row r="481" spans="1:62" ht="15" thickBot="1" x14ac:dyDescent="0.35">
      <c r="C481" s="28"/>
      <c r="D481" s="33"/>
      <c r="E481" s="33"/>
      <c r="F481" s="35"/>
      <c r="G481" s="34"/>
      <c r="H481" s="34"/>
      <c r="I481" s="34"/>
      <c r="J481" s="33"/>
      <c r="K481" s="35"/>
      <c r="L481" s="8" t="s">
        <v>6</v>
      </c>
      <c r="M481" s="34"/>
      <c r="N481" s="35"/>
      <c r="O481" s="34" t="s">
        <v>91</v>
      </c>
      <c r="P481">
        <v>2015</v>
      </c>
      <c r="Q481" s="28">
        <v>8</v>
      </c>
      <c r="R481" s="52" t="s">
        <v>85</v>
      </c>
      <c r="S481" s="42">
        <v>0</v>
      </c>
      <c r="T481" s="40">
        <v>0</v>
      </c>
      <c r="U481" s="28"/>
      <c r="V481" s="28"/>
      <c r="W481" s="40"/>
      <c r="Z481" s="42"/>
      <c r="AA481" s="43"/>
      <c r="AB481" s="40"/>
      <c r="AH481" s="196" t="s">
        <v>1102</v>
      </c>
      <c r="AI481" s="138">
        <v>5</v>
      </c>
      <c r="AJ481" s="141">
        <v>0</v>
      </c>
      <c r="AK481" s="138"/>
      <c r="AL481" s="28"/>
      <c r="AM481" s="141"/>
      <c r="AN481" s="138"/>
      <c r="AO481" s="141"/>
      <c r="AP481" s="138" t="s">
        <v>347</v>
      </c>
      <c r="AQ481" s="43" t="s">
        <v>803</v>
      </c>
      <c r="AR481" s="141" t="s">
        <v>1103</v>
      </c>
      <c r="AS481" s="28"/>
      <c r="AT481" s="28"/>
      <c r="AU481" s="28"/>
      <c r="BB481" t="s">
        <v>5</v>
      </c>
      <c r="BE481" s="28"/>
      <c r="BF481" s="28"/>
      <c r="BG481" s="28"/>
      <c r="BH481" s="28"/>
      <c r="BI481" s="28"/>
    </row>
    <row r="482" spans="1:62" ht="15" thickBot="1" x14ac:dyDescent="0.35">
      <c r="C482" s="28"/>
      <c r="D482" s="47" t="s">
        <v>6</v>
      </c>
      <c r="E482" s="47"/>
      <c r="F482" s="49"/>
      <c r="G482" s="48">
        <v>0</v>
      </c>
      <c r="H482" s="48">
        <v>0</v>
      </c>
      <c r="I482" s="48">
        <v>0</v>
      </c>
      <c r="J482" s="47">
        <v>0</v>
      </c>
      <c r="K482" s="49">
        <v>0</v>
      </c>
      <c r="L482" s="51"/>
      <c r="M482" s="48" t="s">
        <v>6</v>
      </c>
      <c r="N482" s="49">
        <f>SUM(L482)</f>
        <v>0</v>
      </c>
      <c r="O482" s="34" t="s">
        <v>91</v>
      </c>
      <c r="P482">
        <v>2015</v>
      </c>
      <c r="Q482" s="28">
        <v>8</v>
      </c>
      <c r="R482" s="67" t="s">
        <v>113</v>
      </c>
      <c r="S482" s="42">
        <v>655</v>
      </c>
      <c r="T482" s="40">
        <v>628</v>
      </c>
      <c r="U482" s="28"/>
      <c r="V482" s="28"/>
      <c r="W482" s="40"/>
      <c r="X482" s="28"/>
      <c r="Y482" s="28"/>
      <c r="Z482" s="67">
        <v>61</v>
      </c>
      <c r="AA482" s="43" t="s">
        <v>73</v>
      </c>
      <c r="AB482" s="40"/>
      <c r="AH482" s="196" t="s">
        <v>574</v>
      </c>
      <c r="AI482" s="138">
        <v>3</v>
      </c>
      <c r="AJ482" s="141">
        <v>3</v>
      </c>
      <c r="AK482" s="138"/>
      <c r="AL482" s="28"/>
      <c r="AM482" s="141"/>
      <c r="AN482" s="138"/>
      <c r="AO482" s="141"/>
      <c r="AP482" s="217" t="s">
        <v>428</v>
      </c>
      <c r="AQ482" s="218"/>
      <c r="AR482" s="141" t="s">
        <v>325</v>
      </c>
      <c r="AS482" s="28"/>
      <c r="AT482" s="28"/>
      <c r="AU482" s="28"/>
      <c r="BC482" t="s">
        <v>2</v>
      </c>
      <c r="BE482" s="28"/>
      <c r="BF482" s="28"/>
      <c r="BG482" s="28"/>
      <c r="BH482" s="28"/>
      <c r="BI482" s="28"/>
    </row>
    <row r="483" spans="1:62" ht="15" thickBot="1" x14ac:dyDescent="0.35">
      <c r="C483" s="28"/>
      <c r="D483" s="33"/>
      <c r="E483" s="33"/>
      <c r="F483" s="35"/>
      <c r="G483" s="34"/>
      <c r="H483" s="34"/>
      <c r="I483" s="34"/>
      <c r="J483" s="33"/>
      <c r="K483" s="35"/>
      <c r="L483" s="53" t="s">
        <v>82</v>
      </c>
      <c r="M483" s="34"/>
      <c r="N483" s="35"/>
      <c r="Q483" s="28">
        <v>8</v>
      </c>
      <c r="R483" s="47" t="s">
        <v>84</v>
      </c>
      <c r="S483" s="47">
        <f>SUM(S480:S482)</f>
        <v>1059</v>
      </c>
      <c r="T483" s="49">
        <f>SUM(T480:T482)</f>
        <v>969</v>
      </c>
      <c r="U483" s="81">
        <v>0</v>
      </c>
      <c r="V483" s="27">
        <v>0</v>
      </c>
      <c r="W483" s="82">
        <f>+W480</f>
        <v>0</v>
      </c>
      <c r="X483" s="74">
        <v>0</v>
      </c>
      <c r="Y483" s="74">
        <v>0</v>
      </c>
      <c r="Z483" s="47"/>
      <c r="AA483" s="51"/>
      <c r="AB483" s="49">
        <f>SUM(Z482)</f>
        <v>61</v>
      </c>
      <c r="AH483" s="219" t="s">
        <v>998</v>
      </c>
      <c r="AI483" s="138">
        <v>5</v>
      </c>
      <c r="AJ483" s="141">
        <v>0</v>
      </c>
      <c r="AK483" s="138"/>
      <c r="AL483" s="28"/>
      <c r="AM483" s="141"/>
      <c r="AN483" s="138"/>
      <c r="AO483" s="141"/>
      <c r="AP483" s="138" t="s">
        <v>988</v>
      </c>
      <c r="AQ483" s="222" t="s">
        <v>1107</v>
      </c>
      <c r="AR483" s="141" t="s">
        <v>1086</v>
      </c>
      <c r="AS483" s="28"/>
      <c r="AT483" s="28"/>
      <c r="AU483" s="28"/>
      <c r="BA483" t="s">
        <v>13</v>
      </c>
      <c r="BE483" s="28"/>
      <c r="BF483" s="28"/>
      <c r="BG483" s="28"/>
      <c r="BH483" s="28"/>
      <c r="BI483" s="28"/>
      <c r="BJ483" s="28"/>
    </row>
    <row r="484" spans="1:62" ht="15" thickBot="1" x14ac:dyDescent="0.35">
      <c r="C484" s="28"/>
      <c r="D484" s="47" t="s">
        <v>85</v>
      </c>
      <c r="E484" s="47">
        <v>6</v>
      </c>
      <c r="F484" s="49">
        <v>5</v>
      </c>
      <c r="G484" s="48"/>
      <c r="H484" s="48">
        <v>0</v>
      </c>
      <c r="I484" s="48">
        <v>0</v>
      </c>
      <c r="J484" s="47">
        <v>0</v>
      </c>
      <c r="K484" s="49">
        <v>0</v>
      </c>
      <c r="L484" s="51">
        <v>1</v>
      </c>
      <c r="M484" s="48" t="s">
        <v>86</v>
      </c>
      <c r="N484" s="49">
        <f>SUM(L484)</f>
        <v>1</v>
      </c>
      <c r="O484" s="34" t="s">
        <v>130</v>
      </c>
      <c r="P484">
        <v>2015</v>
      </c>
      <c r="Q484" s="28">
        <v>8</v>
      </c>
      <c r="R484" s="52" t="s">
        <v>113</v>
      </c>
      <c r="S484" s="42">
        <v>619</v>
      </c>
      <c r="T484" s="85">
        <v>574</v>
      </c>
      <c r="U484" s="37"/>
      <c r="V484" s="18"/>
      <c r="W484" s="54"/>
      <c r="X484" s="52"/>
      <c r="Y484" s="40"/>
      <c r="Z484" s="67"/>
      <c r="AA484" s="34" t="s">
        <v>130</v>
      </c>
      <c r="AB484" s="40"/>
      <c r="AH484" s="196" t="s">
        <v>64</v>
      </c>
      <c r="AI484" s="138">
        <v>0</v>
      </c>
      <c r="AJ484" s="141">
        <v>0</v>
      </c>
      <c r="AK484" s="138"/>
      <c r="AL484" s="28"/>
      <c r="AM484" s="141"/>
      <c r="AN484" s="138"/>
      <c r="AO484" s="141"/>
      <c r="AP484" s="223" t="s">
        <v>1108</v>
      </c>
      <c r="AQ484" s="43" t="s">
        <v>1005</v>
      </c>
      <c r="AR484" s="209" t="s">
        <v>1109</v>
      </c>
      <c r="AS484" s="43"/>
      <c r="AT484" s="43"/>
      <c r="AU484" s="28"/>
      <c r="BC484" t="s">
        <v>1652</v>
      </c>
      <c r="BE484" s="28"/>
      <c r="BF484" s="238"/>
      <c r="BG484" s="322"/>
      <c r="BH484" s="238" t="s">
        <v>1653</v>
      </c>
      <c r="BI484" s="28"/>
      <c r="BJ484" s="28"/>
    </row>
    <row r="485" spans="1:62" x14ac:dyDescent="0.3">
      <c r="C485" s="28"/>
      <c r="D485" s="50" t="s">
        <v>107</v>
      </c>
      <c r="E485" s="31">
        <f>105+20</f>
        <v>125</v>
      </c>
      <c r="F485" s="31">
        <f>103+12</f>
        <v>115</v>
      </c>
      <c r="G485" s="29"/>
      <c r="H485" s="31"/>
      <c r="I485" s="30"/>
      <c r="J485" s="55"/>
      <c r="K485" s="8"/>
      <c r="L485" s="29"/>
      <c r="M485" s="34" t="s">
        <v>92</v>
      </c>
      <c r="N485" s="35"/>
      <c r="Q485" s="28"/>
      <c r="R485" s="42" t="s">
        <v>475</v>
      </c>
      <c r="S485" s="67"/>
      <c r="T485" s="85"/>
      <c r="U485" s="28"/>
      <c r="V485" s="18"/>
      <c r="W485" s="28"/>
      <c r="X485" s="52"/>
      <c r="Y485" s="86"/>
      <c r="Z485" s="52">
        <v>47</v>
      </c>
      <c r="AA485" s="43" t="s">
        <v>73</v>
      </c>
      <c r="AB485" s="40"/>
      <c r="AC485" t="s">
        <v>6</v>
      </c>
      <c r="AH485" s="196" t="s">
        <v>196</v>
      </c>
      <c r="AI485" s="138">
        <v>0</v>
      </c>
      <c r="AJ485" s="141">
        <v>0</v>
      </c>
      <c r="AK485" s="138"/>
      <c r="AL485" s="28"/>
      <c r="AM485" s="141"/>
      <c r="AN485" s="138"/>
      <c r="AO485" s="141"/>
      <c r="AP485" s="138" t="s">
        <v>1110</v>
      </c>
      <c r="AQ485" s="43" t="s">
        <v>1111</v>
      </c>
      <c r="AR485" s="213"/>
      <c r="AS485" s="228"/>
      <c r="AT485" s="228"/>
      <c r="AU485" s="28"/>
      <c r="AX485" s="195" t="s">
        <v>17</v>
      </c>
      <c r="AY485" s="134" t="s">
        <v>27</v>
      </c>
      <c r="AZ485" s="135"/>
      <c r="BA485" s="134" t="s">
        <v>28</v>
      </c>
      <c r="BB485" s="135"/>
      <c r="BC485" s="136"/>
      <c r="BD485" s="134" t="s">
        <v>29</v>
      </c>
      <c r="BE485" s="136"/>
      <c r="BF485" s="135" t="s">
        <v>31</v>
      </c>
      <c r="BG485" s="135"/>
      <c r="BH485" s="136"/>
      <c r="BI485" s="28"/>
      <c r="BJ485" s="28"/>
    </row>
    <row r="486" spans="1:62" ht="15" thickBot="1" x14ac:dyDescent="0.35">
      <c r="C486" s="28"/>
      <c r="D486" s="41" t="s">
        <v>99</v>
      </c>
      <c r="E486" s="45">
        <v>0</v>
      </c>
      <c r="F486" s="45">
        <v>0</v>
      </c>
      <c r="G486" s="42">
        <v>0</v>
      </c>
      <c r="H486" s="45">
        <v>0</v>
      </c>
      <c r="I486" s="40">
        <v>0</v>
      </c>
      <c r="J486" s="45">
        <v>46472</v>
      </c>
      <c r="K486" s="56">
        <v>10266</v>
      </c>
      <c r="L486" s="52">
        <v>23</v>
      </c>
      <c r="M486" s="37" t="s">
        <v>100</v>
      </c>
      <c r="N486" s="40"/>
      <c r="Q486" s="28"/>
      <c r="R486" s="59" t="s">
        <v>84</v>
      </c>
      <c r="S486" s="13">
        <f>SUM(S484:S485)</f>
        <v>619</v>
      </c>
      <c r="T486" s="60">
        <f>SUM(T484:T485)</f>
        <v>574</v>
      </c>
      <c r="U486" s="81">
        <v>0</v>
      </c>
      <c r="V486" s="27">
        <v>0</v>
      </c>
      <c r="W486" s="27">
        <v>0</v>
      </c>
      <c r="X486" s="13">
        <v>0</v>
      </c>
      <c r="Y486" s="26">
        <v>0</v>
      </c>
      <c r="Z486" s="13"/>
      <c r="AA486" s="43"/>
      <c r="AB486" s="26">
        <f>SUM(Z484:Z485)</f>
        <v>47</v>
      </c>
      <c r="AH486" s="196" t="s">
        <v>88</v>
      </c>
      <c r="AI486" s="138">
        <v>0</v>
      </c>
      <c r="AJ486" s="141">
        <v>0</v>
      </c>
      <c r="AK486" s="138"/>
      <c r="AL486" s="28"/>
      <c r="AM486" s="141"/>
      <c r="AN486" s="138"/>
      <c r="AO486" s="141"/>
      <c r="AP486" s="138" t="s">
        <v>1113</v>
      </c>
      <c r="AQ486" s="43" t="s">
        <v>1114</v>
      </c>
      <c r="AR486" s="141" t="s">
        <v>1115</v>
      </c>
      <c r="AS486" s="28"/>
      <c r="AT486" s="28"/>
      <c r="AU486" s="43"/>
      <c r="AX486" s="196"/>
      <c r="AY486" s="138"/>
      <c r="AZ486" s="28"/>
      <c r="BA486" s="138"/>
      <c r="BB486" s="28"/>
      <c r="BC486" s="141"/>
      <c r="BD486" s="138"/>
      <c r="BE486" s="141"/>
      <c r="BF486" s="28" t="s">
        <v>41</v>
      </c>
      <c r="BG486" s="28"/>
      <c r="BH486" s="141"/>
      <c r="BI486" s="28"/>
      <c r="BJ486" s="28"/>
    </row>
    <row r="487" spans="1:62" ht="15" thickBot="1" x14ac:dyDescent="0.35">
      <c r="C487" s="28"/>
      <c r="D487" s="17" t="s">
        <v>84</v>
      </c>
      <c r="E487" s="18">
        <f>SUM(E485:E486)</f>
        <v>125</v>
      </c>
      <c r="F487" s="18">
        <f>SUM(F485:F486)</f>
        <v>115</v>
      </c>
      <c r="G487" s="13"/>
      <c r="H487" s="27"/>
      <c r="I487" s="26"/>
      <c r="J487" s="58"/>
      <c r="K487" s="27"/>
      <c r="L487" s="59">
        <v>1</v>
      </c>
      <c r="M487" s="48" t="s">
        <v>506</v>
      </c>
      <c r="N487" s="60">
        <f>SUM(L486:L487)</f>
        <v>24</v>
      </c>
      <c r="Q487" s="28"/>
      <c r="R487" s="88" t="s">
        <v>139</v>
      </c>
      <c r="S487" s="33">
        <v>0</v>
      </c>
      <c r="T487" s="34">
        <v>0</v>
      </c>
      <c r="U487" s="152"/>
      <c r="V487" s="89"/>
      <c r="W487" s="66"/>
      <c r="X487" s="8"/>
      <c r="Y487" s="35"/>
      <c r="Z487" s="34" t="s">
        <v>140</v>
      </c>
      <c r="AA487" s="34"/>
      <c r="AB487" s="35"/>
      <c r="AH487" s="196" t="s">
        <v>1090</v>
      </c>
      <c r="AI487" s="138">
        <v>0</v>
      </c>
      <c r="AJ487" s="141">
        <v>0</v>
      </c>
      <c r="AK487" s="138"/>
      <c r="AL487" s="28"/>
      <c r="AM487" s="141"/>
      <c r="AN487" s="138"/>
      <c r="AO487" s="141"/>
      <c r="AP487" s="138" t="s">
        <v>180</v>
      </c>
      <c r="AQ487" s="43"/>
      <c r="AR487" s="141"/>
      <c r="AS487" s="28"/>
      <c r="AT487" s="28"/>
      <c r="AU487" s="228"/>
      <c r="AX487" s="199" t="s">
        <v>42</v>
      </c>
      <c r="AY487" s="142" t="s">
        <v>43</v>
      </c>
      <c r="AZ487" s="143" t="s">
        <v>44</v>
      </c>
      <c r="BA487" s="142" t="s">
        <v>45</v>
      </c>
      <c r="BB487" s="143" t="s">
        <v>46</v>
      </c>
      <c r="BC487" s="146" t="s">
        <v>52</v>
      </c>
      <c r="BD487" s="142" t="s">
        <v>43</v>
      </c>
      <c r="BE487" s="146"/>
      <c r="BF487" s="143" t="s">
        <v>54</v>
      </c>
      <c r="BG487" s="143"/>
      <c r="BH487" s="146"/>
      <c r="BI487" s="28"/>
      <c r="BJ487" s="28"/>
    </row>
    <row r="488" spans="1:62" ht="15" thickBot="1" x14ac:dyDescent="0.35">
      <c r="A488" s="31" t="s">
        <v>57</v>
      </c>
      <c r="B488">
        <v>2014</v>
      </c>
      <c r="C488" s="28">
        <v>8</v>
      </c>
      <c r="D488" s="32" t="s">
        <v>107</v>
      </c>
      <c r="E488" s="63"/>
      <c r="F488" s="64"/>
      <c r="G488" s="33"/>
      <c r="H488" s="8"/>
      <c r="I488" s="35"/>
      <c r="J488" s="65"/>
      <c r="K488" s="66"/>
      <c r="L488" s="29"/>
      <c r="M488" s="31" t="s">
        <v>57</v>
      </c>
      <c r="N488" s="35"/>
      <c r="Q488" s="28"/>
      <c r="R488" s="42" t="s">
        <v>108</v>
      </c>
      <c r="S488" s="42">
        <v>2</v>
      </c>
      <c r="T488" s="43">
        <v>6</v>
      </c>
      <c r="U488" s="42"/>
      <c r="V488" s="28"/>
      <c r="W488" s="40"/>
      <c r="X488" s="28"/>
      <c r="Y488" s="40"/>
      <c r="Z488" s="28"/>
      <c r="AA488" s="28"/>
      <c r="AB488" s="40"/>
      <c r="AH488" s="196" t="s">
        <v>422</v>
      </c>
      <c r="AI488" s="138">
        <v>0</v>
      </c>
      <c r="AJ488" s="141">
        <v>32</v>
      </c>
      <c r="AK488" s="138"/>
      <c r="AL488" s="28"/>
      <c r="AM488" s="141"/>
      <c r="AN488" s="138"/>
      <c r="AO488" s="141"/>
      <c r="AP488" s="138"/>
      <c r="AQ488" s="43"/>
      <c r="AR488" s="141"/>
      <c r="AS488" s="28"/>
      <c r="AT488" s="28"/>
      <c r="AU488" s="28"/>
      <c r="AX488" s="195" t="s">
        <v>64</v>
      </c>
      <c r="AY488" s="135">
        <v>272</v>
      </c>
      <c r="AZ488" s="135">
        <v>272</v>
      </c>
      <c r="BA488" s="138"/>
      <c r="BB488" s="28"/>
      <c r="BC488" s="28"/>
      <c r="BD488" s="138"/>
      <c r="BE488" s="141"/>
      <c r="BF488" s="28" t="s">
        <v>58</v>
      </c>
      <c r="BG488" s="28"/>
      <c r="BH488" s="141"/>
      <c r="BJ488" s="28"/>
    </row>
    <row r="489" spans="1:62" ht="15" thickBot="1" x14ac:dyDescent="0.35">
      <c r="A489" s="31" t="s">
        <v>57</v>
      </c>
      <c r="B489">
        <v>2014</v>
      </c>
      <c r="C489" s="28">
        <v>8</v>
      </c>
      <c r="D489" s="41" t="s">
        <v>113</v>
      </c>
      <c r="E489" s="70">
        <v>368</v>
      </c>
      <c r="F489" s="71">
        <v>459</v>
      </c>
      <c r="G489" s="42"/>
      <c r="H489" s="28"/>
      <c r="I489" s="40"/>
      <c r="J489" s="42"/>
      <c r="K489" s="40"/>
      <c r="L489" s="42" t="s">
        <v>6</v>
      </c>
      <c r="M489" s="43"/>
      <c r="N489" s="40"/>
      <c r="Q489" s="28"/>
      <c r="R489" s="153" t="s">
        <v>214</v>
      </c>
      <c r="S489" s="42">
        <v>0</v>
      </c>
      <c r="T489" s="43">
        <v>5</v>
      </c>
      <c r="U489" s="42"/>
      <c r="V489" s="28"/>
      <c r="W489" s="40"/>
      <c r="X489" s="28"/>
      <c r="Y489" s="40"/>
      <c r="Z489" s="28"/>
      <c r="AA489" s="28"/>
      <c r="AB489" s="40"/>
      <c r="AH489" s="196" t="s">
        <v>301</v>
      </c>
      <c r="AI489" s="138">
        <v>32</v>
      </c>
      <c r="AJ489" s="141">
        <v>0</v>
      </c>
      <c r="AK489" s="138"/>
      <c r="AL489" s="28"/>
      <c r="AM489" s="141"/>
      <c r="AN489" s="138"/>
      <c r="AO489" s="141"/>
      <c r="AP489" s="138"/>
      <c r="AQ489" s="28"/>
      <c r="AR489" s="141"/>
      <c r="AS489" s="28"/>
      <c r="AT489" s="28"/>
      <c r="AU489" s="28"/>
      <c r="AX489" s="196" t="s">
        <v>56</v>
      </c>
      <c r="AY489" s="28">
        <v>0</v>
      </c>
      <c r="AZ489" s="28">
        <v>0</v>
      </c>
      <c r="BA489" s="138">
        <v>0</v>
      </c>
      <c r="BB489" s="43">
        <v>0</v>
      </c>
      <c r="BC489" s="43">
        <v>0</v>
      </c>
      <c r="BD489" s="138">
        <v>0</v>
      </c>
      <c r="BE489" s="141">
        <v>0</v>
      </c>
      <c r="BF489" s="43">
        <v>13</v>
      </c>
      <c r="BG489" s="28" t="s">
        <v>474</v>
      </c>
      <c r="BH489" s="141" t="s">
        <v>1654</v>
      </c>
      <c r="BJ489" s="28"/>
    </row>
    <row r="490" spans="1:62" ht="15" thickBot="1" x14ac:dyDescent="0.35">
      <c r="A490" s="31" t="s">
        <v>57</v>
      </c>
      <c r="B490">
        <v>2014</v>
      </c>
      <c r="C490" s="28">
        <v>8</v>
      </c>
      <c r="D490" s="68" t="s">
        <v>84</v>
      </c>
      <c r="E490">
        <f>SUM(E488:E489)</f>
        <v>368</v>
      </c>
      <c r="F490">
        <f>SUM(F488:F489)</f>
        <v>459</v>
      </c>
      <c r="G490" s="47">
        <v>0</v>
      </c>
      <c r="H490" s="27">
        <v>0</v>
      </c>
      <c r="I490" s="49">
        <v>0</v>
      </c>
      <c r="J490" s="75">
        <v>0</v>
      </c>
      <c r="K490" s="49">
        <v>0</v>
      </c>
      <c r="L490" s="47">
        <v>41</v>
      </c>
      <c r="M490" s="51" t="s">
        <v>73</v>
      </c>
      <c r="N490" s="49">
        <f>SUM(L489:L490)</f>
        <v>41</v>
      </c>
      <c r="Q490" s="28"/>
      <c r="R490" s="92" t="s">
        <v>113</v>
      </c>
      <c r="S490" s="67">
        <f>1+16+9+9+1+6+2</f>
        <v>44</v>
      </c>
      <c r="T490" s="43">
        <f>13+1+26+6+6</f>
        <v>52</v>
      </c>
      <c r="U490" s="52"/>
      <c r="V490" s="54"/>
      <c r="W490" s="85"/>
      <c r="X490" s="18"/>
      <c r="Y490" s="40"/>
      <c r="Z490" s="18" t="s">
        <v>142</v>
      </c>
      <c r="AA490" s="18"/>
      <c r="AB490" s="39" t="s">
        <v>814</v>
      </c>
      <c r="AH490" s="196" t="s">
        <v>1118</v>
      </c>
      <c r="AI490" s="138">
        <v>1</v>
      </c>
      <c r="AJ490" s="141">
        <v>60</v>
      </c>
      <c r="AK490" s="138"/>
      <c r="AL490" s="28"/>
      <c r="AM490" s="141"/>
      <c r="AN490" s="138"/>
      <c r="AO490" s="141"/>
      <c r="AP490" s="138"/>
      <c r="AQ490" s="28"/>
      <c r="AR490" s="141"/>
      <c r="AS490" s="28"/>
      <c r="AT490" s="28"/>
      <c r="AU490" s="28"/>
      <c r="AX490" s="199" t="s">
        <v>84</v>
      </c>
      <c r="AY490" s="143">
        <v>272</v>
      </c>
      <c r="AZ490" s="143">
        <v>272</v>
      </c>
      <c r="BA490" s="138">
        <v>0</v>
      </c>
      <c r="BB490" s="43">
        <v>0</v>
      </c>
      <c r="BC490" s="43">
        <v>0</v>
      </c>
      <c r="BD490" s="138">
        <v>0</v>
      </c>
      <c r="BE490" s="141">
        <v>0</v>
      </c>
      <c r="BF490" s="143">
        <v>2</v>
      </c>
      <c r="BG490" s="143" t="s">
        <v>69</v>
      </c>
      <c r="BH490" s="146">
        <v>17</v>
      </c>
      <c r="BJ490" s="28"/>
    </row>
    <row r="491" spans="1:62" ht="15" thickBot="1" x14ac:dyDescent="0.35">
      <c r="A491" s="34" t="s">
        <v>91</v>
      </c>
      <c r="B491">
        <v>2014</v>
      </c>
      <c r="C491" s="28">
        <v>8</v>
      </c>
      <c r="D491" s="33" t="s">
        <v>358</v>
      </c>
      <c r="E491" s="78">
        <v>19</v>
      </c>
      <c r="F491" s="79">
        <v>19</v>
      </c>
      <c r="G491" s="34"/>
      <c r="H491" s="8"/>
      <c r="I491" s="35"/>
      <c r="J491" s="80"/>
      <c r="K491" s="34"/>
      <c r="L491" s="33"/>
      <c r="M491" s="34" t="s">
        <v>91</v>
      </c>
      <c r="N491" s="35"/>
      <c r="Q491" s="28"/>
      <c r="R491" s="42" t="s">
        <v>657</v>
      </c>
      <c r="S491" s="67">
        <v>6</v>
      </c>
      <c r="T491" s="43">
        <v>6</v>
      </c>
      <c r="U491" s="52"/>
      <c r="V491" s="54"/>
      <c r="W491" s="85"/>
      <c r="X491" s="18"/>
      <c r="Y491" s="40"/>
      <c r="Z491" s="154" t="s">
        <v>146</v>
      </c>
      <c r="AA491" s="28"/>
      <c r="AB491" s="94" t="s">
        <v>253</v>
      </c>
      <c r="AH491" s="196" t="s">
        <v>564</v>
      </c>
      <c r="AI491" s="138">
        <f>12+4</f>
        <v>16</v>
      </c>
      <c r="AJ491" s="141">
        <f>20+113+98</f>
        <v>231</v>
      </c>
      <c r="AK491" s="138"/>
      <c r="AL491" s="28"/>
      <c r="AM491" s="141"/>
      <c r="AN491" s="138"/>
      <c r="AO491" s="141"/>
      <c r="AP491" s="138"/>
      <c r="AQ491" s="28"/>
      <c r="AR491" s="141"/>
      <c r="AS491" s="28"/>
      <c r="AT491" s="28"/>
      <c r="AU491" s="28"/>
      <c r="AX491" s="195" t="s">
        <v>6</v>
      </c>
      <c r="AY491" s="134"/>
      <c r="AZ491" s="136"/>
      <c r="BA491" s="135"/>
      <c r="BB491" s="135"/>
      <c r="BC491" s="135"/>
      <c r="BD491" s="134"/>
      <c r="BE491" s="136"/>
      <c r="BF491" s="135" t="s">
        <v>1656</v>
      </c>
      <c r="BG491" s="135"/>
      <c r="BH491" s="136"/>
      <c r="BJ491" s="28"/>
    </row>
    <row r="492" spans="1:62" ht="15" thickBot="1" x14ac:dyDescent="0.35">
      <c r="A492" s="34" t="s">
        <v>91</v>
      </c>
      <c r="B492">
        <v>2014</v>
      </c>
      <c r="C492" s="28">
        <v>8</v>
      </c>
      <c r="D492" s="52" t="s">
        <v>89</v>
      </c>
      <c r="E492" s="42">
        <v>0</v>
      </c>
      <c r="F492" s="40">
        <v>15</v>
      </c>
      <c r="G492" s="28"/>
      <c r="H492" s="28"/>
      <c r="I492" s="40"/>
      <c r="L492" s="42"/>
      <c r="M492" s="28"/>
      <c r="N492" s="40"/>
      <c r="Q492" s="28"/>
      <c r="R492" s="127" t="s">
        <v>817</v>
      </c>
      <c r="S492" s="67">
        <v>0</v>
      </c>
      <c r="T492" s="43">
        <v>4</v>
      </c>
      <c r="U492" s="42"/>
      <c r="V492" s="28"/>
      <c r="W492" s="40"/>
      <c r="X492" s="28"/>
      <c r="Y492" s="40"/>
      <c r="Z492" s="28"/>
      <c r="AA492" s="28"/>
      <c r="AB492" s="40"/>
      <c r="AH492" s="196" t="s">
        <v>211</v>
      </c>
      <c r="AI492" s="138">
        <f>15+3</f>
        <v>18</v>
      </c>
      <c r="AJ492" s="141">
        <f>20+4</f>
        <v>24</v>
      </c>
      <c r="AK492" s="138"/>
      <c r="AL492" s="28"/>
      <c r="AM492" s="141"/>
      <c r="AN492" s="138"/>
      <c r="AO492" s="141"/>
      <c r="AP492" s="138"/>
      <c r="AQ492" s="28"/>
      <c r="AR492" s="141"/>
      <c r="AS492" s="28"/>
      <c r="AT492" s="28"/>
      <c r="AU492" s="135" t="s">
        <v>1092</v>
      </c>
      <c r="AV492">
        <v>2017</v>
      </c>
      <c r="AW492">
        <v>8</v>
      </c>
      <c r="AX492" s="199" t="s">
        <v>108</v>
      </c>
      <c r="AY492" s="142">
        <v>88</v>
      </c>
      <c r="AZ492" s="146">
        <v>105</v>
      </c>
      <c r="BA492" s="143"/>
      <c r="BB492" s="143"/>
      <c r="BC492" s="143"/>
      <c r="BD492" s="142"/>
      <c r="BE492" s="146"/>
      <c r="BF492" s="143">
        <v>9</v>
      </c>
      <c r="BG492" s="143" t="s">
        <v>73</v>
      </c>
      <c r="BH492" s="146">
        <f>SUM(BF492)</f>
        <v>9</v>
      </c>
      <c r="BJ492" s="28"/>
    </row>
    <row r="493" spans="1:62" ht="15" thickBot="1" x14ac:dyDescent="0.35">
      <c r="A493" s="34" t="s">
        <v>91</v>
      </c>
      <c r="B493">
        <v>2014</v>
      </c>
      <c r="C493" s="28">
        <v>8</v>
      </c>
      <c r="D493" s="67" t="s">
        <v>113</v>
      </c>
      <c r="E493" s="42">
        <v>356</v>
      </c>
      <c r="F493" s="40">
        <v>419</v>
      </c>
      <c r="G493" s="28"/>
      <c r="H493" s="28"/>
      <c r="I493" s="40"/>
      <c r="J493" s="28"/>
      <c r="K493" s="28"/>
      <c r="L493" s="67">
        <v>43</v>
      </c>
      <c r="M493" s="43" t="s">
        <v>73</v>
      </c>
      <c r="N493" s="40"/>
      <c r="Q493" s="28"/>
      <c r="R493" s="52" t="s">
        <v>133</v>
      </c>
      <c r="S493" s="67">
        <f>4+14</f>
        <v>18</v>
      </c>
      <c r="T493" s="43">
        <f>2+25+1</f>
        <v>28</v>
      </c>
      <c r="U493" s="52" t="s">
        <v>150</v>
      </c>
      <c r="V493" s="54"/>
      <c r="W493" s="85"/>
      <c r="X493" s="18"/>
      <c r="Y493" s="40"/>
      <c r="Z493" s="28" t="s">
        <v>151</v>
      </c>
      <c r="AA493" s="28"/>
      <c r="AB493" s="185"/>
      <c r="AH493" s="196" t="s">
        <v>218</v>
      </c>
      <c r="AI493" s="138">
        <v>0</v>
      </c>
      <c r="AJ493" s="141">
        <v>17</v>
      </c>
      <c r="AK493" s="138"/>
      <c r="AL493" s="28">
        <v>0</v>
      </c>
      <c r="AM493" s="141"/>
      <c r="AN493" s="138"/>
      <c r="AO493" s="141"/>
      <c r="AP493" s="138"/>
      <c r="AQ493" s="28"/>
      <c r="AR493" s="141"/>
      <c r="AS493" s="28"/>
      <c r="AT493" s="28"/>
      <c r="AU493" s="28"/>
      <c r="AX493" s="195" t="s">
        <v>107</v>
      </c>
      <c r="AY493" s="134">
        <v>0</v>
      </c>
      <c r="AZ493" s="136">
        <v>0</v>
      </c>
      <c r="BA493" s="135"/>
      <c r="BB493" s="135"/>
      <c r="BC493" s="135"/>
      <c r="BD493" s="134"/>
      <c r="BE493" s="136"/>
      <c r="BF493" s="135"/>
      <c r="BG493" s="135" t="s">
        <v>92</v>
      </c>
      <c r="BH493" s="136"/>
      <c r="BJ493" s="28"/>
    </row>
    <row r="494" spans="1:62" ht="15" thickBot="1" x14ac:dyDescent="0.35">
      <c r="A494" s="34" t="s">
        <v>91</v>
      </c>
      <c r="B494">
        <v>2014</v>
      </c>
      <c r="C494" s="28">
        <v>8</v>
      </c>
      <c r="D494" s="47" t="s">
        <v>84</v>
      </c>
      <c r="E494" s="47">
        <f>SUM(E491:E493)</f>
        <v>375</v>
      </c>
      <c r="F494" s="49">
        <f>SUM(F491:F493)</f>
        <v>453</v>
      </c>
      <c r="G494" s="81">
        <v>0</v>
      </c>
      <c r="H494" s="27">
        <v>0</v>
      </c>
      <c r="I494" s="82">
        <v>0</v>
      </c>
      <c r="J494" s="74">
        <v>0</v>
      </c>
      <c r="K494" s="74">
        <v>0</v>
      </c>
      <c r="L494" s="47"/>
      <c r="M494" s="51"/>
      <c r="N494" s="49">
        <f>SUM(L493)</f>
        <v>43</v>
      </c>
      <c r="O494" t="s">
        <v>6</v>
      </c>
      <c r="Q494" s="28"/>
      <c r="R494" s="52" t="s">
        <v>85</v>
      </c>
      <c r="S494" s="42">
        <f>2+6+2</f>
        <v>10</v>
      </c>
      <c r="T494" s="43">
        <f>7+1+2</f>
        <v>10</v>
      </c>
      <c r="U494" s="42"/>
      <c r="V494" s="54"/>
      <c r="W494" s="40"/>
      <c r="X494" s="45"/>
      <c r="Y494" s="56"/>
      <c r="Z494" s="43" t="s">
        <v>700</v>
      </c>
      <c r="AA494" s="28"/>
      <c r="AB494" s="40" t="s">
        <v>6</v>
      </c>
      <c r="AH494" s="196" t="s">
        <v>93</v>
      </c>
      <c r="AI494" s="138">
        <v>0</v>
      </c>
      <c r="AJ494" s="141">
        <v>0</v>
      </c>
      <c r="AK494" s="138"/>
      <c r="AL494" s="28"/>
      <c r="AM494" s="141"/>
      <c r="AN494" s="138"/>
      <c r="AO494" s="141"/>
      <c r="AP494" s="138"/>
      <c r="AQ494" s="28"/>
      <c r="AR494" s="141"/>
      <c r="AS494" s="28"/>
      <c r="AT494" s="28"/>
      <c r="AU494" s="28"/>
      <c r="AX494" s="196" t="s">
        <v>99</v>
      </c>
      <c r="AY494" s="138">
        <v>0</v>
      </c>
      <c r="AZ494" s="141">
        <v>0</v>
      </c>
      <c r="BA494" s="28">
        <v>0</v>
      </c>
      <c r="BB494" s="28">
        <v>0</v>
      </c>
      <c r="BC494" s="28">
        <v>0</v>
      </c>
      <c r="BD494" s="138">
        <v>89000</v>
      </c>
      <c r="BE494" s="141">
        <v>21000</v>
      </c>
      <c r="BF494" s="43">
        <v>28</v>
      </c>
      <c r="BG494" s="28" t="s">
        <v>100</v>
      </c>
      <c r="BH494" s="141"/>
      <c r="BJ494" s="28"/>
    </row>
    <row r="495" spans="1:62" ht="16.2" thickBot="1" x14ac:dyDescent="0.35">
      <c r="A495" s="34" t="s">
        <v>130</v>
      </c>
      <c r="B495">
        <v>2014</v>
      </c>
      <c r="C495" s="28">
        <v>8</v>
      </c>
      <c r="D495" s="52" t="s">
        <v>113</v>
      </c>
      <c r="E495" s="42">
        <v>557</v>
      </c>
      <c r="F495" s="85">
        <v>609</v>
      </c>
      <c r="G495" s="37"/>
      <c r="H495" s="18"/>
      <c r="I495" s="54"/>
      <c r="J495" s="52"/>
      <c r="K495" s="40"/>
      <c r="L495" s="67"/>
      <c r="M495" s="34" t="s">
        <v>130</v>
      </c>
      <c r="N495" s="40"/>
      <c r="Q495" s="28"/>
      <c r="R495" s="151" t="s">
        <v>93</v>
      </c>
      <c r="S495" s="36">
        <v>2</v>
      </c>
      <c r="T495" s="37">
        <v>3</v>
      </c>
      <c r="U495" s="10"/>
      <c r="V495" s="18"/>
      <c r="W495" s="11"/>
      <c r="X495" s="18"/>
      <c r="Y495" s="11"/>
      <c r="Z495" s="158" t="s">
        <v>834</v>
      </c>
      <c r="AA495" s="178" t="s">
        <v>835</v>
      </c>
      <c r="AB495" s="114"/>
      <c r="AH495" s="199" t="s">
        <v>84</v>
      </c>
      <c r="AI495" s="142">
        <f>SUM(AI470:AI494)</f>
        <v>208</v>
      </c>
      <c r="AJ495" s="146">
        <f>SUM(AJ470:AJ494)</f>
        <v>543</v>
      </c>
      <c r="AK495" s="142">
        <v>0</v>
      </c>
      <c r="AL495" s="143">
        <f>SUM(AL470:AL494)</f>
        <v>0</v>
      </c>
      <c r="AM495" s="146">
        <v>0</v>
      </c>
      <c r="AN495" s="142">
        <v>0</v>
      </c>
      <c r="AO495" s="146">
        <v>0</v>
      </c>
      <c r="AP495" s="142"/>
      <c r="AQ495" s="143"/>
      <c r="AR495" s="146">
        <f>9+3+5+5+5+4+2+5+5+3+5+1</f>
        <v>52</v>
      </c>
      <c r="AS495" s="28"/>
      <c r="AT495" s="28"/>
      <c r="AU495" s="28"/>
      <c r="AX495" s="199" t="s">
        <v>84</v>
      </c>
      <c r="AY495" s="138">
        <v>0</v>
      </c>
      <c r="AZ495" s="141">
        <v>0</v>
      </c>
      <c r="BA495" s="143"/>
      <c r="BB495" s="143"/>
      <c r="BC495" s="143"/>
      <c r="BD495" s="138"/>
      <c r="BE495" s="141"/>
      <c r="BF495" s="43">
        <v>0</v>
      </c>
      <c r="BG495" s="28" t="s">
        <v>506</v>
      </c>
      <c r="BH495" s="141">
        <f>SUM(BF494:BF495)</f>
        <v>28</v>
      </c>
      <c r="BJ495" s="28"/>
    </row>
    <row r="496" spans="1:62" ht="15" thickBot="1" x14ac:dyDescent="0.35">
      <c r="A496" s="34" t="s">
        <v>130</v>
      </c>
      <c r="B496">
        <v>2014</v>
      </c>
      <c r="C496" s="28">
        <v>8</v>
      </c>
      <c r="D496" s="42" t="s">
        <v>475</v>
      </c>
      <c r="E496" s="67">
        <v>0</v>
      </c>
      <c r="F496" s="85">
        <v>0</v>
      </c>
      <c r="G496" s="28"/>
      <c r="H496" s="18"/>
      <c r="I496" s="28"/>
      <c r="J496" s="52"/>
      <c r="K496" s="86"/>
      <c r="L496" s="52">
        <v>52</v>
      </c>
      <c r="M496" s="43" t="s">
        <v>73</v>
      </c>
      <c r="N496" s="40"/>
      <c r="Q496" s="28"/>
      <c r="R496" s="42" t="s">
        <v>107</v>
      </c>
      <c r="S496" s="42">
        <v>1</v>
      </c>
      <c r="T496" s="54">
        <v>3</v>
      </c>
      <c r="U496" s="10"/>
      <c r="V496" s="18"/>
      <c r="W496" s="11"/>
      <c r="X496" s="18"/>
      <c r="Y496" s="11"/>
      <c r="Z496" s="158" t="s">
        <v>379</v>
      </c>
      <c r="AA496" s="186" t="s">
        <v>836</v>
      </c>
      <c r="AB496" s="39" t="s">
        <v>761</v>
      </c>
      <c r="AH496" t="s">
        <v>223</v>
      </c>
      <c r="AI496">
        <f>SUM(AI495+AI469+AI464+AI460+AI457+AI455+AI466)</f>
        <v>2552</v>
      </c>
      <c r="AJ496">
        <f>SUM(AJ495+AJ469+AJ464+AJ460+AJ455+AJ457+AJ466)</f>
        <v>2898</v>
      </c>
      <c r="AK496">
        <v>0</v>
      </c>
      <c r="AL496">
        <f>SUM(AL495+AL469+AL464+AL460+AL457+AL453)</f>
        <v>0</v>
      </c>
      <c r="AM496">
        <v>0</v>
      </c>
      <c r="AN496">
        <f>SUM(AN495+AN469+AN464+AN459+AN457+AN453)</f>
        <v>81151</v>
      </c>
      <c r="AO496">
        <f>SUM(AO495+AO469+AO464+AO459+AO457+AO453)</f>
        <v>20907</v>
      </c>
      <c r="AQ496" t="s">
        <v>939</v>
      </c>
      <c r="AR496">
        <f>SUM(+AR469+AR464+AR460+AR457+AR455)</f>
        <v>210</v>
      </c>
      <c r="AU496" s="135" t="s">
        <v>91</v>
      </c>
      <c r="AV496">
        <v>2017</v>
      </c>
      <c r="AW496">
        <v>8</v>
      </c>
      <c r="AX496" s="138" t="s">
        <v>89</v>
      </c>
      <c r="AY496" s="134">
        <v>1121</v>
      </c>
      <c r="AZ496" s="136">
        <v>1103</v>
      </c>
      <c r="BA496" s="134"/>
      <c r="BB496" s="135"/>
      <c r="BC496" s="136"/>
      <c r="BD496" s="134"/>
      <c r="BE496" s="136"/>
      <c r="BF496" s="134"/>
      <c r="BG496" s="135" t="s">
        <v>91</v>
      </c>
      <c r="BH496" s="136"/>
      <c r="BJ496" s="28"/>
    </row>
    <row r="497" spans="1:62" ht="15" thickBot="1" x14ac:dyDescent="0.35">
      <c r="A497" s="34" t="s">
        <v>130</v>
      </c>
      <c r="B497">
        <v>2014</v>
      </c>
      <c r="C497" s="28">
        <v>8</v>
      </c>
      <c r="D497" s="59" t="s">
        <v>84</v>
      </c>
      <c r="E497" s="13">
        <f>SUM(E495:E496)</f>
        <v>557</v>
      </c>
      <c r="F497" s="60">
        <f>SUM(F495:F496)</f>
        <v>609</v>
      </c>
      <c r="G497" s="81">
        <v>0</v>
      </c>
      <c r="H497" s="27">
        <v>0</v>
      </c>
      <c r="I497" s="27">
        <v>0</v>
      </c>
      <c r="J497" s="13">
        <v>0</v>
      </c>
      <c r="K497" s="26">
        <v>0</v>
      </c>
      <c r="L497" s="13"/>
      <c r="M497" s="43"/>
      <c r="N497" s="26">
        <f>SUM(L495:L496)</f>
        <v>52</v>
      </c>
      <c r="Q497" s="28"/>
      <c r="R497" s="36" t="s">
        <v>169</v>
      </c>
      <c r="S497" s="36">
        <v>7</v>
      </c>
      <c r="T497" s="37">
        <v>3</v>
      </c>
      <c r="U497" s="10"/>
      <c r="V497" s="18"/>
      <c r="W497" s="11"/>
      <c r="X497" s="18"/>
      <c r="Y497" s="11"/>
      <c r="Z497" s="158" t="s">
        <v>539</v>
      </c>
      <c r="AA497" s="37" t="s">
        <v>276</v>
      </c>
      <c r="AB497" s="39" t="s">
        <v>316</v>
      </c>
      <c r="AH497" t="s">
        <v>225</v>
      </c>
      <c r="AJ497">
        <f>SUM(AR495)</f>
        <v>52</v>
      </c>
      <c r="AU497" s="135" t="s">
        <v>91</v>
      </c>
      <c r="AV497">
        <v>2017</v>
      </c>
      <c r="AW497">
        <v>8</v>
      </c>
      <c r="AX497" s="138" t="s">
        <v>89</v>
      </c>
      <c r="AY497" s="138">
        <v>150</v>
      </c>
      <c r="AZ497" s="141">
        <v>134</v>
      </c>
      <c r="BA497" s="138"/>
      <c r="BB497" s="28"/>
      <c r="BC497" s="141"/>
      <c r="BD497" s="138"/>
      <c r="BE497" s="141"/>
      <c r="BF497" s="212"/>
      <c r="BG497" s="43"/>
      <c r="BH497" s="141"/>
      <c r="BJ497" s="28"/>
    </row>
    <row r="498" spans="1:62" x14ac:dyDescent="0.3">
      <c r="C498" s="28"/>
      <c r="D498" s="88" t="s">
        <v>139</v>
      </c>
      <c r="E498" s="33">
        <v>6</v>
      </c>
      <c r="F498" s="35">
        <f>6+10</f>
        <v>16</v>
      </c>
      <c r="G498" s="89"/>
      <c r="H498" s="89"/>
      <c r="I498" s="80"/>
      <c r="J498" s="6"/>
      <c r="K498" s="35"/>
      <c r="L498" s="33" t="s">
        <v>140</v>
      </c>
      <c r="M498" s="34"/>
      <c r="N498" s="35"/>
      <c r="Q498" s="28"/>
      <c r="R498" s="36" t="s">
        <v>99</v>
      </c>
      <c r="S498" s="36">
        <v>0</v>
      </c>
      <c r="T498" s="37">
        <v>1</v>
      </c>
      <c r="U498" s="10"/>
      <c r="V498" s="18"/>
      <c r="W498" s="11"/>
      <c r="X498" s="18"/>
      <c r="Y498" s="11"/>
      <c r="Z498" s="179" t="s">
        <v>837</v>
      </c>
      <c r="AA498" s="37" t="s">
        <v>838</v>
      </c>
      <c r="AB498" s="39" t="s">
        <v>839</v>
      </c>
      <c r="AH498" t="s">
        <v>229</v>
      </c>
      <c r="AJ498">
        <f>1+7+3+10+2</f>
        <v>23</v>
      </c>
      <c r="AU498" s="135" t="s">
        <v>91</v>
      </c>
      <c r="AV498">
        <v>2017</v>
      </c>
      <c r="AW498">
        <v>8</v>
      </c>
      <c r="AX498" s="212" t="s">
        <v>137</v>
      </c>
      <c r="AY498" s="212">
        <v>1235</v>
      </c>
      <c r="AZ498" s="209">
        <v>960</v>
      </c>
      <c r="BA498" s="138"/>
      <c r="BB498" s="28"/>
      <c r="BC498" s="141"/>
      <c r="BD498" s="138"/>
      <c r="BE498" s="141"/>
      <c r="BF498" s="138">
        <v>36</v>
      </c>
      <c r="BG498" s="43" t="s">
        <v>1134</v>
      </c>
      <c r="BH498" s="141"/>
      <c r="BJ498" s="28"/>
    </row>
    <row r="499" spans="1:62" x14ac:dyDescent="0.3">
      <c r="C499" s="28"/>
      <c r="D499" s="92" t="s">
        <v>113</v>
      </c>
      <c r="E499" s="67">
        <f>1+8+28+5</f>
        <v>42</v>
      </c>
      <c r="F499" s="56">
        <f>1+38+6</f>
        <v>45</v>
      </c>
      <c r="G499" s="54"/>
      <c r="H499" s="54"/>
      <c r="I499" s="45"/>
      <c r="J499" s="10"/>
      <c r="K499" s="40"/>
      <c r="L499" s="10" t="s">
        <v>142</v>
      </c>
      <c r="M499" s="18"/>
      <c r="N499" s="39" t="s">
        <v>251</v>
      </c>
      <c r="Q499" s="28"/>
      <c r="R499" s="150" t="s">
        <v>200</v>
      </c>
      <c r="S499" s="36">
        <v>0</v>
      </c>
      <c r="T499" s="37">
        <v>0</v>
      </c>
      <c r="U499" s="10"/>
      <c r="V499" s="37"/>
      <c r="W499" s="11"/>
      <c r="X499" s="18"/>
      <c r="Y499" s="11"/>
      <c r="Z499" s="158" t="s">
        <v>500</v>
      </c>
      <c r="AA499" s="54" t="s">
        <v>586</v>
      </c>
      <c r="AB499" s="39" t="s">
        <v>638</v>
      </c>
      <c r="AH499" t="s">
        <v>232</v>
      </c>
      <c r="AJ499" t="s">
        <v>233</v>
      </c>
      <c r="AL499">
        <f>SUM(T496)</f>
        <v>3</v>
      </c>
      <c r="AN499" t="s">
        <v>234</v>
      </c>
      <c r="AP499" t="s">
        <v>233</v>
      </c>
      <c r="AR499">
        <f>SUM(AI496)</f>
        <v>2552</v>
      </c>
      <c r="AU499" s="135" t="s">
        <v>91</v>
      </c>
      <c r="AV499">
        <v>2017</v>
      </c>
      <c r="AW499">
        <v>8</v>
      </c>
      <c r="AX499" s="138" t="s">
        <v>97</v>
      </c>
      <c r="AY499" s="138">
        <v>942</v>
      </c>
      <c r="AZ499" s="141">
        <v>881</v>
      </c>
      <c r="BA499" s="138"/>
      <c r="BB499" s="28"/>
      <c r="BC499" s="141"/>
      <c r="BD499" s="138"/>
      <c r="BE499" s="141"/>
      <c r="BF499" s="212">
        <v>25</v>
      </c>
      <c r="BG499" s="28" t="s">
        <v>73</v>
      </c>
      <c r="BH499" s="141"/>
      <c r="BJ499" s="28"/>
    </row>
    <row r="500" spans="1:62" x14ac:dyDescent="0.3">
      <c r="C500" s="28"/>
      <c r="D500" s="92" t="s">
        <v>164</v>
      </c>
      <c r="E500" s="67">
        <v>2</v>
      </c>
      <c r="F500" s="56">
        <v>2</v>
      </c>
      <c r="G500" s="54"/>
      <c r="H500" s="54"/>
      <c r="I500" s="45"/>
      <c r="J500" s="10"/>
      <c r="K500" s="40"/>
      <c r="L500" s="93" t="s">
        <v>146</v>
      </c>
      <c r="M500" s="28"/>
      <c r="N500" s="94" t="s">
        <v>253</v>
      </c>
      <c r="Q500" s="37"/>
      <c r="R500" s="36" t="s">
        <v>840</v>
      </c>
      <c r="S500" s="36">
        <v>46</v>
      </c>
      <c r="T500" s="37">
        <v>0</v>
      </c>
      <c r="U500" s="10"/>
      <c r="V500" s="18"/>
      <c r="W500" s="11"/>
      <c r="X500" s="18"/>
      <c r="Y500" s="11"/>
      <c r="Z500" s="37" t="s">
        <v>841</v>
      </c>
      <c r="AA500" s="37" t="s">
        <v>842</v>
      </c>
      <c r="AB500" s="180" t="s">
        <v>843</v>
      </c>
      <c r="AG500" t="s">
        <v>6</v>
      </c>
      <c r="AJ500" t="s">
        <v>236</v>
      </c>
      <c r="AL500">
        <f>SUM(U496)</f>
        <v>0</v>
      </c>
      <c r="AP500" t="s">
        <v>236</v>
      </c>
      <c r="AR500">
        <f>SUM(AJ496)</f>
        <v>2898</v>
      </c>
      <c r="AU500" s="135" t="s">
        <v>91</v>
      </c>
      <c r="AV500">
        <v>2017</v>
      </c>
      <c r="AW500">
        <v>8</v>
      </c>
      <c r="AX500" s="212" t="s">
        <v>113</v>
      </c>
      <c r="AY500" s="212">
        <v>496</v>
      </c>
      <c r="AZ500" s="209">
        <v>588</v>
      </c>
      <c r="BA500" s="138"/>
      <c r="BB500" s="28"/>
      <c r="BC500" s="141"/>
      <c r="BD500" s="138"/>
      <c r="BE500" s="141"/>
      <c r="BF500" s="138">
        <v>0</v>
      </c>
      <c r="BG500" s="43" t="s">
        <v>1294</v>
      </c>
      <c r="BH500" s="141"/>
      <c r="BJ500" s="28"/>
    </row>
    <row r="501" spans="1:62" x14ac:dyDescent="0.3">
      <c r="C501" s="28" t="s">
        <v>6</v>
      </c>
      <c r="D501" s="127" t="s">
        <v>200</v>
      </c>
      <c r="E501" s="67">
        <v>0</v>
      </c>
      <c r="F501" s="56">
        <v>0</v>
      </c>
      <c r="J501" s="42"/>
      <c r="K501" s="40"/>
      <c r="L501" s="42"/>
      <c r="M501" s="28"/>
      <c r="N501" s="40"/>
      <c r="Q501" s="28"/>
      <c r="R501" s="150" t="s">
        <v>211</v>
      </c>
      <c r="S501" s="36">
        <v>20</v>
      </c>
      <c r="T501" s="37">
        <v>0</v>
      </c>
      <c r="U501" s="10"/>
      <c r="V501" s="18"/>
      <c r="W501" s="11"/>
      <c r="X501" s="18"/>
      <c r="Y501" s="11"/>
      <c r="Z501" s="159" t="s">
        <v>333</v>
      </c>
      <c r="AA501" s="37" t="s">
        <v>513</v>
      </c>
      <c r="AB501" s="39" t="s">
        <v>845</v>
      </c>
      <c r="AH501" t="s">
        <v>238</v>
      </c>
      <c r="AI501" t="s">
        <v>239</v>
      </c>
      <c r="AK501" t="s">
        <v>240</v>
      </c>
      <c r="AL501" t="s">
        <v>241</v>
      </c>
      <c r="AO501" t="s">
        <v>242</v>
      </c>
      <c r="AP501" t="s">
        <v>243</v>
      </c>
      <c r="AU501" s="135" t="s">
        <v>91</v>
      </c>
      <c r="AV501">
        <v>2017</v>
      </c>
      <c r="AW501">
        <v>8</v>
      </c>
      <c r="AX501" s="212" t="s">
        <v>1657</v>
      </c>
      <c r="AY501" s="212">
        <v>136</v>
      </c>
      <c r="AZ501" s="209">
        <v>151</v>
      </c>
      <c r="BA501" s="138"/>
      <c r="BB501" s="28"/>
      <c r="BC501" s="141"/>
      <c r="BD501" s="138"/>
      <c r="BE501" s="141"/>
      <c r="BF501" s="138">
        <v>0</v>
      </c>
      <c r="BG501" s="43" t="s">
        <v>1577</v>
      </c>
      <c r="BH501" s="141"/>
      <c r="BI501" s="28"/>
      <c r="BJ501" s="28"/>
    </row>
    <row r="502" spans="1:62" x14ac:dyDescent="0.3">
      <c r="C502" s="28"/>
      <c r="D502" s="52" t="s">
        <v>133</v>
      </c>
      <c r="E502" s="67">
        <f>59+2</f>
        <v>61</v>
      </c>
      <c r="F502" s="56">
        <f>66+2+2</f>
        <v>70</v>
      </c>
      <c r="G502" s="54" t="s">
        <v>150</v>
      </c>
      <c r="H502" s="54"/>
      <c r="I502" s="45"/>
      <c r="J502" s="10"/>
      <c r="K502" s="40"/>
      <c r="L502" s="42" t="s">
        <v>151</v>
      </c>
      <c r="M502" s="28"/>
      <c r="N502" s="96"/>
      <c r="R502" s="150" t="s">
        <v>64</v>
      </c>
      <c r="S502" s="36">
        <v>0</v>
      </c>
      <c r="T502" s="37">
        <v>0</v>
      </c>
      <c r="U502" s="10"/>
      <c r="V502" s="18"/>
      <c r="W502" s="11"/>
      <c r="X502" s="18"/>
      <c r="Y502" s="11"/>
      <c r="Z502" s="128" t="s">
        <v>846</v>
      </c>
      <c r="AA502" s="37" t="s">
        <v>719</v>
      </c>
      <c r="AB502" s="39" t="s">
        <v>627</v>
      </c>
      <c r="AH502" t="s">
        <v>233</v>
      </c>
      <c r="AJ502" t="e">
        <f>SUM(#REF!)</f>
        <v>#REF!</v>
      </c>
      <c r="AK502" t="s">
        <v>233</v>
      </c>
      <c r="AM502">
        <f>SUM(F484)</f>
        <v>5</v>
      </c>
      <c r="AN502" t="s">
        <v>233</v>
      </c>
      <c r="AP502">
        <f>SUM(AM502+AI496)</f>
        <v>2557</v>
      </c>
      <c r="AQ502" t="s">
        <v>245</v>
      </c>
      <c r="AR502" t="e">
        <f>SUM(AJ502+AP502)</f>
        <v>#REF!</v>
      </c>
      <c r="AU502" s="135" t="s">
        <v>91</v>
      </c>
      <c r="AV502">
        <v>2017</v>
      </c>
      <c r="AW502">
        <v>8</v>
      </c>
      <c r="AX502" s="212" t="s">
        <v>817</v>
      </c>
      <c r="AY502" s="212">
        <v>22</v>
      </c>
      <c r="AZ502" s="209">
        <v>749</v>
      </c>
      <c r="BA502" s="138"/>
      <c r="BB502" s="43"/>
      <c r="BC502" s="141"/>
      <c r="BD502" s="138"/>
      <c r="BE502" s="141"/>
      <c r="BF502" s="138"/>
      <c r="BG502" s="28"/>
      <c r="BH502" s="141">
        <v>61</v>
      </c>
      <c r="BI502" s="28"/>
      <c r="BJ502" s="28"/>
    </row>
    <row r="503" spans="1:62" x14ac:dyDescent="0.3">
      <c r="C503" s="28"/>
      <c r="D503" s="52" t="s">
        <v>85</v>
      </c>
      <c r="E503" s="42">
        <v>5</v>
      </c>
      <c r="F503" s="56">
        <f>4+7</f>
        <v>11</v>
      </c>
      <c r="G503" s="28"/>
      <c r="H503" s="54"/>
      <c r="I503" s="28"/>
      <c r="J503" s="84"/>
      <c r="K503" s="56"/>
      <c r="L503" s="42" t="s">
        <v>409</v>
      </c>
      <c r="M503" s="28" t="s">
        <v>507</v>
      </c>
      <c r="N503" s="40" t="s">
        <v>508</v>
      </c>
      <c r="R503" s="36" t="s">
        <v>184</v>
      </c>
      <c r="S503" s="36">
        <v>0</v>
      </c>
      <c r="T503" s="37">
        <v>0</v>
      </c>
      <c r="U503" s="10"/>
      <c r="V503" s="18"/>
      <c r="W503" s="11"/>
      <c r="X503" s="18"/>
      <c r="Y503" s="11"/>
      <c r="Z503" s="128" t="s">
        <v>325</v>
      </c>
      <c r="AA503" s="37" t="s">
        <v>551</v>
      </c>
      <c r="AB503" s="39" t="s">
        <v>847</v>
      </c>
      <c r="AH503" t="s">
        <v>236</v>
      </c>
      <c r="AJ503" t="e">
        <f>SUM(#REF!)</f>
        <v>#REF!</v>
      </c>
      <c r="AK503" t="s">
        <v>236</v>
      </c>
      <c r="AM503">
        <f>SUM(G484)</f>
        <v>0</v>
      </c>
      <c r="AN503" t="s">
        <v>236</v>
      </c>
      <c r="AP503">
        <f>SUM(AM503+AJ496)</f>
        <v>2898</v>
      </c>
      <c r="AR503" t="e">
        <f>SUM(AJ503+AP503)</f>
        <v>#REF!</v>
      </c>
      <c r="AU503" s="28"/>
      <c r="AX503" s="247" t="s">
        <v>84</v>
      </c>
      <c r="AY503" s="247">
        <v>4102</v>
      </c>
      <c r="AZ503" s="248">
        <v>4566</v>
      </c>
      <c r="BA503" s="197">
        <v>0</v>
      </c>
      <c r="BB503" s="198">
        <v>0</v>
      </c>
      <c r="BC503" s="249">
        <v>0</v>
      </c>
      <c r="BD503" s="197">
        <v>0</v>
      </c>
      <c r="BE503" s="249">
        <v>0</v>
      </c>
      <c r="BF503" s="197"/>
      <c r="BG503" s="198"/>
      <c r="BH503" s="249"/>
      <c r="BI503" s="28"/>
      <c r="BJ503" s="28"/>
    </row>
    <row r="504" spans="1:62" ht="15.6" x14ac:dyDescent="0.3">
      <c r="C504" s="28"/>
      <c r="D504" s="151" t="s">
        <v>108</v>
      </c>
      <c r="E504" s="36">
        <v>2</v>
      </c>
      <c r="F504" s="39">
        <v>0</v>
      </c>
      <c r="G504" s="18"/>
      <c r="H504" s="18"/>
      <c r="I504" s="18"/>
      <c r="J504" s="10"/>
      <c r="K504" s="11"/>
      <c r="L504" s="98" t="s">
        <v>509</v>
      </c>
      <c r="M504" s="28" t="s">
        <v>510</v>
      </c>
      <c r="N504" s="99" t="s">
        <v>511</v>
      </c>
      <c r="R504" s="36"/>
      <c r="S504" s="10">
        <v>0</v>
      </c>
      <c r="T504" s="37">
        <v>0</v>
      </c>
      <c r="U504" s="10"/>
      <c r="V504" s="18"/>
      <c r="W504" s="39"/>
      <c r="X504" s="18"/>
      <c r="Y504" s="11"/>
      <c r="Z504" s="159" t="s">
        <v>848</v>
      </c>
      <c r="AA504" s="37" t="s">
        <v>849</v>
      </c>
      <c r="AB504" s="39" t="s">
        <v>850</v>
      </c>
      <c r="AU504" s="28"/>
      <c r="AX504" s="134"/>
      <c r="AY504" s="134"/>
      <c r="AZ504" s="136"/>
      <c r="BA504" s="135"/>
      <c r="BB504" s="135"/>
      <c r="BC504" s="135"/>
      <c r="BD504" s="138"/>
      <c r="BE504" s="141"/>
      <c r="BF504" s="28" t="s">
        <v>1025</v>
      </c>
      <c r="BG504" s="28"/>
      <c r="BH504" s="141"/>
      <c r="BJ504" s="28"/>
    </row>
    <row r="505" spans="1:62" ht="15.6" x14ac:dyDescent="0.3">
      <c r="C505" s="28"/>
      <c r="D505" s="92" t="s">
        <v>174</v>
      </c>
      <c r="E505" s="42">
        <v>0</v>
      </c>
      <c r="F505" s="40">
        <v>2</v>
      </c>
      <c r="G505" s="18"/>
      <c r="H505" s="18"/>
      <c r="I505" s="18"/>
      <c r="J505" s="10"/>
      <c r="K505" s="11"/>
      <c r="L505" s="98" t="s">
        <v>512</v>
      </c>
      <c r="M505" s="100" t="s">
        <v>513</v>
      </c>
      <c r="N505" s="39" t="s">
        <v>514</v>
      </c>
      <c r="R505" s="150" t="s">
        <v>852</v>
      </c>
      <c r="S505" s="10">
        <v>0</v>
      </c>
      <c r="T505" s="37">
        <v>3</v>
      </c>
      <c r="U505" s="10"/>
      <c r="V505" s="18"/>
      <c r="W505" s="11"/>
      <c r="X505" s="18"/>
      <c r="Y505" s="11"/>
      <c r="Z505" s="179"/>
      <c r="AA505" s="37"/>
      <c r="AB505" s="39"/>
      <c r="AU505" s="28"/>
      <c r="AX505" s="142" t="s">
        <v>64</v>
      </c>
      <c r="AY505" s="142">
        <v>113</v>
      </c>
      <c r="AZ505" s="146">
        <v>114</v>
      </c>
      <c r="BA505" s="143">
        <v>0</v>
      </c>
      <c r="BB505" s="143">
        <v>0</v>
      </c>
      <c r="BC505" s="143"/>
      <c r="BD505" s="142">
        <v>0</v>
      </c>
      <c r="BE505" s="146">
        <v>0</v>
      </c>
      <c r="BF505" s="143">
        <v>9</v>
      </c>
      <c r="BG505" s="143" t="s">
        <v>1026</v>
      </c>
      <c r="BH505" s="146">
        <f>SUM(BF505)</f>
        <v>9</v>
      </c>
      <c r="BI505" t="s">
        <v>6</v>
      </c>
      <c r="BJ505" s="28"/>
    </row>
    <row r="506" spans="1:62" x14ac:dyDescent="0.3">
      <c r="C506" s="28"/>
      <c r="D506" s="36" t="s">
        <v>169</v>
      </c>
      <c r="E506" s="36">
        <v>2</v>
      </c>
      <c r="F506" s="39">
        <v>2</v>
      </c>
      <c r="G506" s="18"/>
      <c r="H506" s="18"/>
      <c r="I506" s="18"/>
      <c r="J506" s="10"/>
      <c r="K506" s="11"/>
      <c r="L506" s="98" t="s">
        <v>330</v>
      </c>
      <c r="M506" s="37" t="s">
        <v>515</v>
      </c>
      <c r="N506" s="39" t="s">
        <v>316</v>
      </c>
      <c r="R506" s="92" t="s">
        <v>358</v>
      </c>
      <c r="S506" s="84">
        <v>18</v>
      </c>
      <c r="T506" s="54">
        <v>9</v>
      </c>
      <c r="U506" s="84"/>
      <c r="V506" s="45"/>
      <c r="W506" s="85"/>
      <c r="X506" s="18"/>
      <c r="Y506" s="11"/>
      <c r="Z506" s="179"/>
      <c r="AA506" s="54"/>
      <c r="AB506" s="86"/>
      <c r="AL506" t="s">
        <v>5</v>
      </c>
      <c r="AU506" s="28" t="s">
        <v>994</v>
      </c>
      <c r="AV506">
        <v>2017</v>
      </c>
      <c r="AW506">
        <v>8</v>
      </c>
      <c r="AX506" s="138" t="s">
        <v>113</v>
      </c>
      <c r="AY506" s="138">
        <v>331</v>
      </c>
      <c r="AZ506" s="141">
        <v>246</v>
      </c>
      <c r="BA506" s="28"/>
      <c r="BB506" s="28"/>
      <c r="BC506" s="28"/>
      <c r="BD506" s="138"/>
      <c r="BE506" s="141"/>
      <c r="BF506" s="28" t="s">
        <v>994</v>
      </c>
      <c r="BG506" s="28"/>
      <c r="BH506" s="141"/>
      <c r="BJ506" s="28"/>
    </row>
    <row r="507" spans="1:62" x14ac:dyDescent="0.3">
      <c r="C507" s="28"/>
      <c r="D507" s="36" t="s">
        <v>99</v>
      </c>
      <c r="E507" s="36">
        <v>0</v>
      </c>
      <c r="F507" s="39">
        <v>0</v>
      </c>
      <c r="G507" s="18"/>
      <c r="H507" s="18"/>
      <c r="I507" s="18"/>
      <c r="J507" s="10"/>
      <c r="K507" s="11"/>
      <c r="L507" s="52" t="s">
        <v>516</v>
      </c>
      <c r="M507" s="37" t="s">
        <v>517</v>
      </c>
      <c r="N507" s="39"/>
      <c r="R507" s="67" t="s">
        <v>564</v>
      </c>
      <c r="S507" s="84">
        <v>3</v>
      </c>
      <c r="T507" s="54">
        <v>0</v>
      </c>
      <c r="U507" s="84"/>
      <c r="V507" s="45"/>
      <c r="W507" s="85"/>
      <c r="X507" s="45"/>
      <c r="Y507" s="85"/>
      <c r="Z507" s="179"/>
      <c r="AA507" s="54"/>
      <c r="AB507" s="180"/>
      <c r="AM507" t="s">
        <v>2</v>
      </c>
      <c r="AX507" s="138" t="s">
        <v>133</v>
      </c>
      <c r="AY507" s="138">
        <v>0</v>
      </c>
      <c r="AZ507" s="141">
        <v>0</v>
      </c>
      <c r="BA507" s="28"/>
      <c r="BB507" s="28"/>
      <c r="BC507" s="28"/>
      <c r="BD507" s="138"/>
      <c r="BE507" s="141"/>
      <c r="BF507" s="28">
        <v>17</v>
      </c>
      <c r="BG507" s="28" t="s">
        <v>100</v>
      </c>
      <c r="BH507" s="141"/>
      <c r="BJ507" s="28"/>
    </row>
    <row r="508" spans="1:62" x14ac:dyDescent="0.3">
      <c r="C508" s="28"/>
      <c r="D508" s="150" t="s">
        <v>190</v>
      </c>
      <c r="E508" s="36">
        <v>4</v>
      </c>
      <c r="F508" s="39">
        <v>4</v>
      </c>
      <c r="G508" s="18"/>
      <c r="H508" s="37"/>
      <c r="I508" s="18"/>
      <c r="J508" s="10"/>
      <c r="K508" s="11"/>
      <c r="L508" s="150" t="s">
        <v>370</v>
      </c>
      <c r="M508" s="54" t="s">
        <v>518</v>
      </c>
      <c r="N508" s="39"/>
      <c r="R508" s="67" t="s">
        <v>220</v>
      </c>
      <c r="S508" s="84">
        <v>2</v>
      </c>
      <c r="T508" s="54">
        <v>0</v>
      </c>
      <c r="U508" s="84"/>
      <c r="V508" s="45"/>
      <c r="W508" s="85"/>
      <c r="X508" s="45"/>
      <c r="Y508" s="85"/>
      <c r="Z508" s="179"/>
      <c r="AA508" s="54"/>
      <c r="AB508" s="180"/>
      <c r="AK508" t="s">
        <v>13</v>
      </c>
      <c r="AX508" s="142" t="s">
        <v>84</v>
      </c>
      <c r="AY508" s="142">
        <v>331</v>
      </c>
      <c r="AZ508" s="146">
        <v>246</v>
      </c>
      <c r="BA508" s="143"/>
      <c r="BB508" s="143"/>
      <c r="BC508" s="143"/>
      <c r="BD508" s="142"/>
      <c r="BE508" s="146"/>
      <c r="BF508" s="43">
        <v>23</v>
      </c>
      <c r="BG508" s="43" t="s">
        <v>73</v>
      </c>
      <c r="BH508" s="146">
        <v>40</v>
      </c>
      <c r="BJ508" s="28"/>
    </row>
    <row r="509" spans="1:62" x14ac:dyDescent="0.3">
      <c r="C509" s="37"/>
      <c r="D509" s="36" t="s">
        <v>489</v>
      </c>
      <c r="E509" s="36">
        <v>0</v>
      </c>
      <c r="F509" s="39">
        <v>0</v>
      </c>
      <c r="G509" s="18"/>
      <c r="H509" s="18"/>
      <c r="I509" s="18"/>
      <c r="J509" s="10"/>
      <c r="K509" s="11"/>
      <c r="L509" s="36" t="s">
        <v>519</v>
      </c>
      <c r="M509" s="37" t="s">
        <v>520</v>
      </c>
      <c r="N509" s="40"/>
      <c r="R509" s="127" t="s">
        <v>756</v>
      </c>
      <c r="S509" s="84">
        <v>3</v>
      </c>
      <c r="T509" s="54">
        <v>0</v>
      </c>
      <c r="U509" s="42"/>
      <c r="V509" s="45"/>
      <c r="W509" s="40"/>
      <c r="X509" s="45"/>
      <c r="Y509" s="85"/>
      <c r="Z509" s="158"/>
      <c r="AA509" s="54"/>
      <c r="AB509" s="86"/>
      <c r="AM509" t="s">
        <v>1119</v>
      </c>
      <c r="AQ509" s="194" t="s">
        <v>950</v>
      </c>
      <c r="AX509" s="196" t="s">
        <v>403</v>
      </c>
      <c r="AY509" s="138">
        <v>10</v>
      </c>
      <c r="AZ509" s="141">
        <v>10</v>
      </c>
      <c r="BA509" s="134"/>
      <c r="BB509" s="135"/>
      <c r="BC509" s="136"/>
      <c r="BD509" s="138"/>
      <c r="BE509" s="141"/>
      <c r="BF509" s="134" t="s">
        <v>140</v>
      </c>
      <c r="BG509" s="135"/>
      <c r="BH509" s="136"/>
      <c r="BJ509" s="28"/>
    </row>
    <row r="510" spans="1:62" x14ac:dyDescent="0.3">
      <c r="C510" s="28"/>
      <c r="D510" s="150" t="s">
        <v>211</v>
      </c>
      <c r="E510" s="36">
        <v>0</v>
      </c>
      <c r="F510" s="39">
        <v>0</v>
      </c>
      <c r="G510" s="18"/>
      <c r="H510" s="18"/>
      <c r="I510" s="18"/>
      <c r="J510" s="10"/>
      <c r="K510" s="11"/>
      <c r="L510" s="112" t="s">
        <v>521</v>
      </c>
      <c r="M510" s="37" t="s">
        <v>373</v>
      </c>
      <c r="N510" s="39"/>
      <c r="R510" s="127" t="s">
        <v>218</v>
      </c>
      <c r="S510" s="84">
        <v>0</v>
      </c>
      <c r="T510" s="54">
        <v>5</v>
      </c>
      <c r="U510" s="42"/>
      <c r="V510" s="45">
        <v>0</v>
      </c>
      <c r="W510" s="40"/>
      <c r="X510" s="45"/>
      <c r="Y510" s="85"/>
      <c r="Z510" s="179"/>
      <c r="AA510" s="54"/>
      <c r="AB510" s="180"/>
      <c r="AH510" s="195" t="s">
        <v>17</v>
      </c>
      <c r="AI510" s="134" t="s">
        <v>27</v>
      </c>
      <c r="AJ510" s="136"/>
      <c r="AK510" s="135" t="s">
        <v>28</v>
      </c>
      <c r="AL510" s="135"/>
      <c r="AM510" s="135"/>
      <c r="AN510" s="135" t="s">
        <v>29</v>
      </c>
      <c r="AO510" s="135" t="s">
        <v>30</v>
      </c>
      <c r="AP510" s="135" t="s">
        <v>31</v>
      </c>
      <c r="AQ510" s="135"/>
      <c r="AR510" s="136"/>
      <c r="AS510" s="28"/>
      <c r="AT510" s="28"/>
      <c r="AX510" s="196" t="s">
        <v>1660</v>
      </c>
      <c r="AY510" s="138">
        <v>0</v>
      </c>
      <c r="AZ510" s="141">
        <v>7</v>
      </c>
      <c r="BA510" s="138"/>
      <c r="BB510" s="28"/>
      <c r="BC510" s="141"/>
      <c r="BD510" s="138"/>
      <c r="BE510" s="141"/>
      <c r="BF510" s="138"/>
      <c r="BG510" s="28"/>
      <c r="BH510" s="141"/>
      <c r="BJ510" s="28"/>
    </row>
    <row r="511" spans="1:62" x14ac:dyDescent="0.3">
      <c r="D511" s="150" t="s">
        <v>181</v>
      </c>
      <c r="E511" s="36">
        <v>0</v>
      </c>
      <c r="F511" s="39">
        <v>3</v>
      </c>
      <c r="G511" s="18"/>
      <c r="H511" s="18"/>
      <c r="I511" s="18"/>
      <c r="J511" s="10"/>
      <c r="K511" s="11"/>
      <c r="L511" s="36" t="s">
        <v>522</v>
      </c>
      <c r="M511" s="37"/>
      <c r="N511" s="114"/>
      <c r="R511" s="181" t="s">
        <v>855</v>
      </c>
      <c r="S511" s="10">
        <v>0</v>
      </c>
      <c r="T511" s="18">
        <f>6+6</f>
        <v>12</v>
      </c>
      <c r="U511" s="10"/>
      <c r="V511" s="18"/>
      <c r="W511" s="11"/>
      <c r="X511" s="18"/>
      <c r="Y511" s="11"/>
      <c r="Z511" s="179"/>
      <c r="AA511" s="37"/>
      <c r="AB511" s="182"/>
      <c r="AH511" s="196"/>
      <c r="AI511" s="138"/>
      <c r="AJ511" s="141"/>
      <c r="AK511" s="28"/>
      <c r="AL511" s="28"/>
      <c r="AM511" s="28"/>
      <c r="AN511" s="28"/>
      <c r="AO511" s="28" t="s">
        <v>6</v>
      </c>
      <c r="AP511" s="28" t="s">
        <v>41</v>
      </c>
      <c r="AQ511" s="28"/>
      <c r="AR511" s="141"/>
      <c r="AS511" s="28"/>
      <c r="AT511" s="28"/>
      <c r="AX511" s="196" t="s">
        <v>211</v>
      </c>
      <c r="AY511" s="138">
        <v>9</v>
      </c>
      <c r="AZ511" s="141">
        <v>13</v>
      </c>
      <c r="BA511" s="138"/>
      <c r="BB511" s="28"/>
      <c r="BC511" s="141"/>
      <c r="BD511" s="138"/>
      <c r="BE511" s="141"/>
      <c r="BF511" s="138"/>
      <c r="BG511" s="28"/>
      <c r="BH511" s="141"/>
      <c r="BJ511" s="28"/>
    </row>
    <row r="512" spans="1:62" ht="15" thickBot="1" x14ac:dyDescent="0.35">
      <c r="D512" s="36" t="s">
        <v>250</v>
      </c>
      <c r="E512" s="36">
        <v>0</v>
      </c>
      <c r="F512" s="39">
        <v>2</v>
      </c>
      <c r="G512" s="18"/>
      <c r="H512" s="18"/>
      <c r="I512" s="18"/>
      <c r="J512" s="10"/>
      <c r="K512" s="11"/>
      <c r="L512" s="36"/>
      <c r="M512" s="37"/>
      <c r="N512" s="39"/>
      <c r="R512" s="13" t="s">
        <v>84</v>
      </c>
      <c r="S512" s="13">
        <f>SUM(S487:S511)</f>
        <v>182</v>
      </c>
      <c r="T512" s="27">
        <f>SUM(T487:T511)</f>
        <v>150</v>
      </c>
      <c r="U512" s="13">
        <v>0</v>
      </c>
      <c r="V512" s="27">
        <f>SUM(V487:V511)</f>
        <v>0</v>
      </c>
      <c r="W512" s="26">
        <f>SUM(W487:W511)</f>
        <v>0</v>
      </c>
      <c r="X512" s="58">
        <v>0</v>
      </c>
      <c r="Y512" s="26">
        <v>0</v>
      </c>
      <c r="Z512" s="81"/>
      <c r="AA512" s="27"/>
      <c r="AB512" s="26">
        <f>10+1+4+9+5+6+4+12+3+6+5+7</f>
        <v>72</v>
      </c>
      <c r="AH512" s="199" t="s">
        <v>42</v>
      </c>
      <c r="AI512" s="142" t="s">
        <v>43</v>
      </c>
      <c r="AJ512" s="146" t="s">
        <v>44</v>
      </c>
      <c r="AK512" s="143" t="s">
        <v>45</v>
      </c>
      <c r="AL512" s="143" t="s">
        <v>46</v>
      </c>
      <c r="AM512" s="143" t="s">
        <v>52</v>
      </c>
      <c r="AN512" s="143" t="s">
        <v>43</v>
      </c>
      <c r="AO512" s="143" t="s">
        <v>44</v>
      </c>
      <c r="AP512" s="143" t="s">
        <v>54</v>
      </c>
      <c r="AQ512" s="143"/>
      <c r="AR512" s="146"/>
      <c r="AS512" s="28"/>
      <c r="AT512" s="28"/>
      <c r="AX512" s="196" t="s">
        <v>113</v>
      </c>
      <c r="AY512" s="138">
        <v>25</v>
      </c>
      <c r="AZ512" s="141">
        <v>37</v>
      </c>
      <c r="BA512" s="138"/>
      <c r="BB512" s="28">
        <v>2</v>
      </c>
      <c r="BC512" s="141">
        <v>5</v>
      </c>
      <c r="BD512" s="138"/>
      <c r="BE512" s="141"/>
      <c r="BF512" s="138" t="s">
        <v>142</v>
      </c>
      <c r="BG512" s="28"/>
      <c r="BH512" s="141" t="s">
        <v>1414</v>
      </c>
      <c r="BJ512" s="28"/>
    </row>
    <row r="513" spans="3:62" ht="15" thickBot="1" x14ac:dyDescent="0.35">
      <c r="D513" s="36" t="s">
        <v>523</v>
      </c>
      <c r="E513" s="10">
        <v>0</v>
      </c>
      <c r="F513" s="39">
        <v>1</v>
      </c>
      <c r="G513" s="18"/>
      <c r="H513" s="18"/>
      <c r="I513" s="37"/>
      <c r="J513" s="10"/>
      <c r="K513" s="11"/>
      <c r="L513" s="124"/>
      <c r="M513" s="37"/>
      <c r="N513" s="39"/>
      <c r="R513" s="13" t="s">
        <v>223</v>
      </c>
      <c r="S513" s="13">
        <f>SUM(S512+S486+S483+S479+S476+S473+S471)</f>
        <v>2017</v>
      </c>
      <c r="T513" s="26">
        <f>SUM(T512+T486+T483+T479+T476+T473+T471)</f>
        <v>1896</v>
      </c>
      <c r="U513" s="26">
        <f>SUM(U512+U486+U483+U479+U476+U473+U471)</f>
        <v>0</v>
      </c>
      <c r="V513" s="26">
        <f>SUM(V512+V486+V483+V479+V476+V473+V471)</f>
        <v>0</v>
      </c>
      <c r="W513" s="26">
        <f>SUM(W512+W486+W483+W479+W476+W473+W471)</f>
        <v>0</v>
      </c>
      <c r="X513" s="160">
        <f>SUM(X512+X486+X483+X479+X475+X473+X471)</f>
        <v>51916</v>
      </c>
      <c r="Y513" s="26">
        <f>SUM(Y512+Y486+Y483+Y479+Y475+Y473+Y471)</f>
        <v>11817</v>
      </c>
      <c r="Z513" s="81"/>
      <c r="AA513" s="27" t="s">
        <v>247</v>
      </c>
      <c r="AB513" s="26">
        <f>SUM(AB471:AB512)</f>
        <v>218</v>
      </c>
      <c r="AH513" s="195" t="s">
        <v>6</v>
      </c>
      <c r="AI513" s="135"/>
      <c r="AJ513" s="135"/>
      <c r="AK513" s="134"/>
      <c r="AL513" s="135"/>
      <c r="AM513" s="135"/>
      <c r="AN513" s="134"/>
      <c r="AO513" s="136"/>
      <c r="AP513" s="135" t="s">
        <v>58</v>
      </c>
      <c r="AQ513" s="135"/>
      <c r="AR513" s="136"/>
      <c r="AS513" s="28"/>
      <c r="AT513" s="28"/>
      <c r="AU513" s="28"/>
      <c r="AX513" s="196" t="s">
        <v>1661</v>
      </c>
      <c r="AY513" s="138">
        <v>0</v>
      </c>
      <c r="AZ513" s="141">
        <v>7</v>
      </c>
      <c r="BA513" s="138"/>
      <c r="BB513" s="28"/>
      <c r="BC513" s="141"/>
      <c r="BD513" s="138"/>
      <c r="BE513" s="141"/>
      <c r="BF513" s="138" t="s">
        <v>146</v>
      </c>
      <c r="BG513" s="28"/>
      <c r="BH513" s="141" t="s">
        <v>1662</v>
      </c>
      <c r="BJ513" s="28"/>
    </row>
    <row r="514" spans="3:62" x14ac:dyDescent="0.3">
      <c r="D514" s="93" t="s">
        <v>93</v>
      </c>
      <c r="E514" s="10">
        <v>0</v>
      </c>
      <c r="F514" s="39">
        <v>3</v>
      </c>
      <c r="G514" s="18"/>
      <c r="H514" s="18"/>
      <c r="I514" s="18"/>
      <c r="J514" s="10"/>
      <c r="K514" s="11"/>
      <c r="L514" s="52"/>
      <c r="M514" s="37"/>
      <c r="N514" s="39"/>
      <c r="R514" s="131" t="s">
        <v>225</v>
      </c>
      <c r="T514">
        <f>SUM(AB512)</f>
        <v>72</v>
      </c>
      <c r="V514" t="s">
        <v>184</v>
      </c>
      <c r="W514" s="132"/>
      <c r="AH514" s="196" t="s">
        <v>64</v>
      </c>
      <c r="AI514" s="28">
        <v>176</v>
      </c>
      <c r="AJ514" s="28">
        <v>204</v>
      </c>
      <c r="AK514" s="138">
        <v>0</v>
      </c>
      <c r="AL514" s="28">
        <v>0</v>
      </c>
      <c r="AM514" s="28">
        <v>0</v>
      </c>
      <c r="AN514" s="138">
        <v>0</v>
      </c>
      <c r="AO514" s="141">
        <v>0</v>
      </c>
      <c r="AP514" s="43">
        <v>18</v>
      </c>
      <c r="AQ514" s="28" t="s">
        <v>474</v>
      </c>
      <c r="AR514" s="141" t="s">
        <v>6</v>
      </c>
      <c r="AS514" s="28"/>
      <c r="AT514" s="28"/>
      <c r="AU514" s="28"/>
      <c r="AX514" s="196" t="s">
        <v>574</v>
      </c>
      <c r="AY514" s="138">
        <v>0</v>
      </c>
      <c r="AZ514" s="141">
        <v>2</v>
      </c>
      <c r="BA514" s="138"/>
      <c r="BB514" s="28"/>
      <c r="BC514" s="141"/>
      <c r="BD514" s="138"/>
      <c r="BE514" s="141"/>
      <c r="BF514" s="138"/>
      <c r="BG514" s="28"/>
      <c r="BH514" s="141" t="s">
        <v>712</v>
      </c>
      <c r="BJ514" s="28"/>
    </row>
    <row r="515" spans="3:62" x14ac:dyDescent="0.3">
      <c r="D515" s="92" t="s">
        <v>64</v>
      </c>
      <c r="E515" s="84">
        <v>0</v>
      </c>
      <c r="F515" s="86">
        <v>0</v>
      </c>
      <c r="G515" s="45"/>
      <c r="H515" s="45"/>
      <c r="I515" s="45"/>
      <c r="J515" s="10"/>
      <c r="K515" s="11"/>
      <c r="L515" s="112"/>
      <c r="M515" s="54"/>
      <c r="N515" s="86"/>
      <c r="R515" t="s">
        <v>229</v>
      </c>
      <c r="T515">
        <f>5+9+5+6</f>
        <v>25</v>
      </c>
      <c r="AH515" s="196" t="s">
        <v>108</v>
      </c>
      <c r="AI515">
        <v>3</v>
      </c>
      <c r="AJ515">
        <v>11</v>
      </c>
      <c r="AK515" s="138"/>
      <c r="AL515" s="28"/>
      <c r="AM515" s="28"/>
      <c r="AN515" s="138"/>
      <c r="AO515" s="141"/>
      <c r="AP515" s="28">
        <v>1</v>
      </c>
      <c r="AQ515" s="28" t="s">
        <v>1045</v>
      </c>
      <c r="AR515" s="141"/>
      <c r="AS515" s="28"/>
      <c r="AT515" s="28"/>
      <c r="AU515" s="28"/>
      <c r="AX515" s="196" t="s">
        <v>99</v>
      </c>
      <c r="AY515" s="138">
        <v>0</v>
      </c>
      <c r="AZ515" s="141">
        <v>2</v>
      </c>
      <c r="BA515" s="138"/>
      <c r="BB515" s="28"/>
      <c r="BC515" s="141"/>
      <c r="BD515" s="138"/>
      <c r="BE515" s="141"/>
      <c r="BF515" s="138" t="s">
        <v>151</v>
      </c>
      <c r="BG515" s="28"/>
      <c r="BH515" s="141"/>
      <c r="BJ515" s="28"/>
    </row>
    <row r="516" spans="3:62" x14ac:dyDescent="0.3">
      <c r="D516" s="127" t="s">
        <v>524</v>
      </c>
      <c r="E516" s="84">
        <v>7</v>
      </c>
      <c r="F516" s="86">
        <v>7</v>
      </c>
      <c r="G516" s="45"/>
      <c r="H516" s="45"/>
      <c r="I516" s="45"/>
      <c r="J516" s="84"/>
      <c r="K516" s="85"/>
      <c r="L516" s="52"/>
      <c r="M516" s="54"/>
      <c r="N516" s="40"/>
      <c r="R516" t="s">
        <v>232</v>
      </c>
      <c r="T516" t="s">
        <v>233</v>
      </c>
      <c r="V516">
        <f>SUM(G513)</f>
        <v>0</v>
      </c>
      <c r="X516" t="s">
        <v>234</v>
      </c>
      <c r="Z516" t="s">
        <v>233</v>
      </c>
      <c r="AB516">
        <f>SUM(S513)</f>
        <v>2017</v>
      </c>
      <c r="AH516" s="199" t="s">
        <v>84</v>
      </c>
      <c r="AI516" s="143">
        <f>SUM(AI513:AI515)</f>
        <v>179</v>
      </c>
      <c r="AJ516" s="143">
        <f>SUM(AJ513:AJ515)</f>
        <v>215</v>
      </c>
      <c r="AK516" s="142"/>
      <c r="AL516" s="143"/>
      <c r="AM516" s="143"/>
      <c r="AN516" s="142"/>
      <c r="AO516" s="146"/>
      <c r="AP516" s="143"/>
      <c r="AQ516" s="143" t="s">
        <v>69</v>
      </c>
      <c r="AR516" s="146">
        <f>SUM(AP514:AP516)</f>
        <v>19</v>
      </c>
      <c r="AS516" s="28"/>
      <c r="AT516" s="28"/>
      <c r="AU516" s="28"/>
      <c r="AX516" s="196" t="s">
        <v>1663</v>
      </c>
      <c r="AY516" s="138">
        <v>1</v>
      </c>
      <c r="AZ516" s="141">
        <v>1</v>
      </c>
      <c r="BA516" s="138"/>
      <c r="BB516" s="28"/>
      <c r="BC516" s="141"/>
      <c r="BD516" s="138"/>
      <c r="BE516" s="141"/>
      <c r="BF516" s="138" t="s">
        <v>1664</v>
      </c>
      <c r="BG516" s="257" t="s">
        <v>1665</v>
      </c>
      <c r="BH516" s="141" t="s">
        <v>1666</v>
      </c>
      <c r="BJ516" s="28"/>
    </row>
    <row r="517" spans="3:62" x14ac:dyDescent="0.3">
      <c r="D517" s="127" t="s">
        <v>358</v>
      </c>
      <c r="E517" s="84">
        <v>2</v>
      </c>
      <c r="F517" s="86">
        <v>0</v>
      </c>
      <c r="G517" s="45"/>
      <c r="H517" s="45"/>
      <c r="I517" s="45"/>
      <c r="J517" s="84"/>
      <c r="K517" s="85"/>
      <c r="L517" s="52"/>
      <c r="M517" s="54"/>
      <c r="N517" s="40"/>
      <c r="Q517" t="s">
        <v>6</v>
      </c>
      <c r="T517" t="s">
        <v>236</v>
      </c>
      <c r="V517">
        <f>SUM(H513)</f>
        <v>0</v>
      </c>
      <c r="Z517" t="s">
        <v>236</v>
      </c>
      <c r="AB517">
        <f>SUM(T513)</f>
        <v>1896</v>
      </c>
      <c r="AH517" s="195" t="s">
        <v>6</v>
      </c>
      <c r="AI517" s="134" t="s">
        <v>6</v>
      </c>
      <c r="AJ517" s="136"/>
      <c r="AK517" s="135"/>
      <c r="AL517" s="135">
        <v>0</v>
      </c>
      <c r="AM517" s="135"/>
      <c r="AN517" s="134"/>
      <c r="AO517" s="136"/>
      <c r="AP517" s="135" t="s">
        <v>1092</v>
      </c>
      <c r="AQ517" s="135"/>
      <c r="AR517" s="136"/>
      <c r="AS517" s="28"/>
      <c r="AT517" s="28"/>
      <c r="AU517" s="28"/>
      <c r="AX517" s="196" t="s">
        <v>107</v>
      </c>
      <c r="AY517" s="138">
        <v>1</v>
      </c>
      <c r="AZ517" s="141">
        <v>0</v>
      </c>
      <c r="BA517" s="138"/>
      <c r="BB517" s="28"/>
      <c r="BC517" s="141"/>
      <c r="BD517" s="138"/>
      <c r="BE517" s="141"/>
      <c r="BF517" s="212" t="s">
        <v>1667</v>
      </c>
      <c r="BG517" s="28" t="s">
        <v>1668</v>
      </c>
      <c r="BH517" s="141" t="s">
        <v>1669</v>
      </c>
      <c r="BJ517" s="28"/>
    </row>
    <row r="518" spans="3:62" x14ac:dyDescent="0.3">
      <c r="D518" s="127" t="s">
        <v>107</v>
      </c>
      <c r="E518" s="84">
        <v>5</v>
      </c>
      <c r="F518" s="86">
        <v>5</v>
      </c>
      <c r="G518" s="28"/>
      <c r="H518" s="45"/>
      <c r="I518" s="28"/>
      <c r="J518" s="84"/>
      <c r="K518" s="85"/>
      <c r="L518" s="98"/>
      <c r="M518" s="54"/>
      <c r="N518" s="86"/>
      <c r="R518" s="134" t="s">
        <v>238</v>
      </c>
      <c r="S518" s="135" t="s">
        <v>239</v>
      </c>
      <c r="T518" s="136"/>
      <c r="U518" s="134" t="s">
        <v>240</v>
      </c>
      <c r="V518" s="135" t="s">
        <v>241</v>
      </c>
      <c r="W518" s="136"/>
      <c r="X518" s="134"/>
      <c r="Y518" s="135" t="s">
        <v>242</v>
      </c>
      <c r="Z518" s="137" t="s">
        <v>243</v>
      </c>
      <c r="AA518" s="135"/>
      <c r="AB518" s="135"/>
      <c r="AC518" s="136"/>
      <c r="AD518" s="28"/>
      <c r="AE518" s="28"/>
      <c r="AF518" s="28"/>
      <c r="AH518" s="199" t="s">
        <v>108</v>
      </c>
      <c r="AI518" s="142">
        <v>152</v>
      </c>
      <c r="AJ518" s="146">
        <v>194</v>
      </c>
      <c r="AK518" s="143"/>
      <c r="AL518" s="143">
        <v>0</v>
      </c>
      <c r="AM518" s="143">
        <v>0</v>
      </c>
      <c r="AN518" s="142">
        <v>0</v>
      </c>
      <c r="AO518" s="146">
        <v>0</v>
      </c>
      <c r="AP518" s="143">
        <v>17</v>
      </c>
      <c r="AQ518" s="143" t="s">
        <v>780</v>
      </c>
      <c r="AR518" s="146">
        <f>SUM(AP518)</f>
        <v>17</v>
      </c>
      <c r="AS518" s="28"/>
      <c r="AT518" s="28"/>
      <c r="AU518" s="28"/>
      <c r="AX518" s="196" t="s">
        <v>1670</v>
      </c>
      <c r="AY518" s="138">
        <v>0</v>
      </c>
      <c r="AZ518" s="141">
        <v>3</v>
      </c>
      <c r="BA518" s="138"/>
      <c r="BB518" s="28"/>
      <c r="BC518" s="141"/>
      <c r="BD518" s="138"/>
      <c r="BE518" s="141"/>
      <c r="BF518" s="212" t="s">
        <v>1671</v>
      </c>
      <c r="BG518" s="28" t="s">
        <v>1672</v>
      </c>
      <c r="BH518" s="141"/>
      <c r="BJ518" s="28"/>
    </row>
    <row r="519" spans="3:62" x14ac:dyDescent="0.3">
      <c r="D519" s="127" t="s">
        <v>218</v>
      </c>
      <c r="E519" s="84">
        <v>5</v>
      </c>
      <c r="F519" s="86">
        <v>36</v>
      </c>
      <c r="G519" s="28"/>
      <c r="H519" s="45"/>
      <c r="I519" s="28"/>
      <c r="J519" s="84"/>
      <c r="K519" s="85"/>
      <c r="L519" s="52"/>
      <c r="M519" s="54"/>
      <c r="N519" s="40"/>
      <c r="R519" s="138" t="s">
        <v>233</v>
      </c>
      <c r="S519" s="28"/>
      <c r="T519" s="139" t="e">
        <f>SUM(#REF!)</f>
        <v>#REF!</v>
      </c>
      <c r="U519" s="138" t="s">
        <v>233</v>
      </c>
      <c r="V519" s="28"/>
      <c r="W519" s="139" t="e">
        <f>SUM(#REF!)</f>
        <v>#REF!</v>
      </c>
      <c r="X519" s="138" t="s">
        <v>233</v>
      </c>
      <c r="Y519" s="28"/>
      <c r="Z519" s="140" t="e">
        <f>SUM(AB516+W519)</f>
        <v>#REF!</v>
      </c>
      <c r="AA519" s="28" t="s">
        <v>245</v>
      </c>
      <c r="AB519" s="140" t="e">
        <f>SUM(Z519+T519)</f>
        <v>#REF!</v>
      </c>
      <c r="AC519" s="139"/>
      <c r="AD519" s="140"/>
      <c r="AE519" s="140"/>
      <c r="AF519" s="140"/>
      <c r="AH519" s="195" t="s">
        <v>107</v>
      </c>
      <c r="AI519" s="134">
        <v>0</v>
      </c>
      <c r="AJ519" s="136">
        <v>0</v>
      </c>
      <c r="AK519" s="135"/>
      <c r="AL519" s="135"/>
      <c r="AM519" s="135"/>
      <c r="AN519" s="134"/>
      <c r="AO519" s="136"/>
      <c r="AP519" s="135"/>
      <c r="AQ519" s="135" t="s">
        <v>92</v>
      </c>
      <c r="AR519" s="136"/>
      <c r="AS519" s="28"/>
      <c r="AT519" s="28"/>
      <c r="AU519" s="28"/>
      <c r="AX519" s="196" t="s">
        <v>133</v>
      </c>
      <c r="AY519" s="138">
        <v>16</v>
      </c>
      <c r="AZ519" s="141">
        <v>17</v>
      </c>
      <c r="BA519" s="138"/>
      <c r="BB519" s="28"/>
      <c r="BC519" s="141"/>
      <c r="BD519" s="138"/>
      <c r="BE519" s="141"/>
      <c r="BF519" s="138" t="s">
        <v>1673</v>
      </c>
      <c r="BG519" s="43" t="s">
        <v>1674</v>
      </c>
      <c r="BH519" s="141" t="s">
        <v>1675</v>
      </c>
      <c r="BJ519" s="28"/>
    </row>
    <row r="520" spans="3:62" x14ac:dyDescent="0.3">
      <c r="D520" s="98" t="s">
        <v>526</v>
      </c>
      <c r="E520" s="10">
        <v>4</v>
      </c>
      <c r="F520" s="11">
        <v>13</v>
      </c>
      <c r="G520" s="18"/>
      <c r="H520" s="18"/>
      <c r="I520" s="18"/>
      <c r="J520" s="10"/>
      <c r="K520" s="11"/>
      <c r="L520" s="52"/>
      <c r="M520" s="37"/>
      <c r="N520" s="129"/>
      <c r="R520" s="142" t="s">
        <v>236</v>
      </c>
      <c r="S520" s="143"/>
      <c r="T520" s="144" t="e">
        <f>SUM(#REF!)</f>
        <v>#REF!</v>
      </c>
      <c r="U520" s="142" t="s">
        <v>236</v>
      </c>
      <c r="V520" s="143"/>
      <c r="W520" s="144" t="e">
        <f>SUM(#REF!)</f>
        <v>#REF!</v>
      </c>
      <c r="X520" s="142" t="s">
        <v>236</v>
      </c>
      <c r="Y520" s="143"/>
      <c r="Z520" s="145" t="e">
        <f>SUM(AB517+W520)</f>
        <v>#REF!</v>
      </c>
      <c r="AA520" s="143"/>
      <c r="AB520" s="145" t="e">
        <f>SUM(Z520+T520)</f>
        <v>#REF!</v>
      </c>
      <c r="AC520" s="144"/>
      <c r="AD520" s="140"/>
      <c r="AE520" s="140"/>
      <c r="AF520" s="140"/>
      <c r="AH520" s="196" t="s">
        <v>99</v>
      </c>
      <c r="AI520" s="138">
        <v>0</v>
      </c>
      <c r="AJ520" s="141">
        <v>0</v>
      </c>
      <c r="AK520" s="28">
        <v>0</v>
      </c>
      <c r="AL520" s="28">
        <v>0</v>
      </c>
      <c r="AM520" s="28">
        <v>0</v>
      </c>
      <c r="AN520" s="138">
        <v>71430</v>
      </c>
      <c r="AO520" s="141">
        <v>20904</v>
      </c>
      <c r="AP520" s="43">
        <v>29</v>
      </c>
      <c r="AQ520" s="28" t="s">
        <v>100</v>
      </c>
      <c r="AR520" s="141"/>
      <c r="AS520" s="28"/>
      <c r="AT520" s="28"/>
      <c r="AU520" s="28"/>
      <c r="AX520" s="196" t="s">
        <v>108</v>
      </c>
      <c r="AY520" s="138">
        <v>0</v>
      </c>
      <c r="AZ520" s="141">
        <v>5</v>
      </c>
      <c r="BA520" s="138"/>
      <c r="BB520" s="28"/>
      <c r="BC520" s="141"/>
      <c r="BD520" s="138"/>
      <c r="BE520" s="141"/>
      <c r="BF520" s="138" t="s">
        <v>1677</v>
      </c>
      <c r="BG520" s="28" t="s">
        <v>1678</v>
      </c>
      <c r="BH520" s="141" t="s">
        <v>1679</v>
      </c>
      <c r="BJ520" s="28"/>
    </row>
    <row r="521" spans="3:62" ht="15" thickBot="1" x14ac:dyDescent="0.35">
      <c r="D521" s="13" t="s">
        <v>84</v>
      </c>
      <c r="E521" s="13">
        <f>SUM(E498:E520)</f>
        <v>147</v>
      </c>
      <c r="F521" s="26">
        <f>SUM(F498:F520)</f>
        <v>222</v>
      </c>
      <c r="G521" s="27">
        <v>0</v>
      </c>
      <c r="H521" s="27">
        <f>SUM(H498:H520)</f>
        <v>0</v>
      </c>
      <c r="I521" s="27">
        <v>0</v>
      </c>
      <c r="J521" s="130">
        <v>0</v>
      </c>
      <c r="K521" s="26">
        <v>0</v>
      </c>
      <c r="L521" s="59"/>
      <c r="M521" s="27"/>
      <c r="N521" s="26">
        <f>8+7+20+4+5+4+3+9+5+5</f>
        <v>70</v>
      </c>
      <c r="AH521" s="199" t="s">
        <v>84</v>
      </c>
      <c r="AI521" s="138">
        <f>SUM(AI519:AI520)</f>
        <v>0</v>
      </c>
      <c r="AJ521" s="141">
        <f>SUM(AJ519:AJ520)</f>
        <v>0</v>
      </c>
      <c r="AK521" s="143"/>
      <c r="AL521" s="143"/>
      <c r="AM521" s="143"/>
      <c r="AN521" s="142"/>
      <c r="AO521" s="146"/>
      <c r="AP521" s="143">
        <v>0</v>
      </c>
      <c r="AQ521" s="143" t="s">
        <v>506</v>
      </c>
      <c r="AR521" s="146">
        <f>SUM(AP520:AP521)</f>
        <v>29</v>
      </c>
      <c r="AS521" s="28"/>
      <c r="AT521" s="28"/>
      <c r="AU521" s="28"/>
      <c r="AX521" s="196" t="s">
        <v>139</v>
      </c>
      <c r="AY521" s="138">
        <v>3</v>
      </c>
      <c r="AZ521" s="141">
        <v>0</v>
      </c>
      <c r="BA521" s="138"/>
      <c r="BB521" s="28"/>
      <c r="BC521" s="141"/>
      <c r="BD521" s="138"/>
      <c r="BE521" s="141"/>
      <c r="BF521" s="212" t="s">
        <v>1680</v>
      </c>
      <c r="BG521" s="28" t="s">
        <v>376</v>
      </c>
      <c r="BH521" s="141" t="s">
        <v>1681</v>
      </c>
      <c r="BJ521" s="28"/>
    </row>
    <row r="522" spans="3:62" ht="15" thickBot="1" x14ac:dyDescent="0.35">
      <c r="D522" s="13" t="s">
        <v>223</v>
      </c>
      <c r="E522" s="13">
        <f>SUM(E521+E497+E494+E490+E487+E484+E482+E480)</f>
        <v>1728</v>
      </c>
      <c r="F522" s="26">
        <f>SUM(F521+F497+F494+F490+F487+F484+F482+F480)</f>
        <v>2009</v>
      </c>
      <c r="G522" s="27">
        <f>SUM(G521+G497+G490+G486+G484+G482+G479)</f>
        <v>0</v>
      </c>
      <c r="H522" s="27">
        <f>SUM(H498:H520)</f>
        <v>0</v>
      </c>
      <c r="I522" s="27">
        <f>SUM(I521+I497+I490+I486+I484+I482+I479)</f>
        <v>0</v>
      </c>
      <c r="J522" s="13">
        <f>SUM(J521+J497+J490+J486+J484+J482+J479)</f>
        <v>46472</v>
      </c>
      <c r="K522" s="26">
        <f>SUM(K521+K497+K490+K486+K484+K482+K479)</f>
        <v>10266</v>
      </c>
      <c r="L522" s="81"/>
      <c r="M522" s="27" t="s">
        <v>189</v>
      </c>
      <c r="N522" s="26">
        <f>SUM(N479:N520)</f>
        <v>171</v>
      </c>
      <c r="AE522" s="28" t="s">
        <v>91</v>
      </c>
      <c r="AF522">
        <v>2016</v>
      </c>
      <c r="AG522">
        <v>9</v>
      </c>
      <c r="AH522" s="138" t="s">
        <v>89</v>
      </c>
      <c r="AI522" s="134">
        <v>49</v>
      </c>
      <c r="AJ522" s="136">
        <v>501</v>
      </c>
      <c r="AN522" s="134"/>
      <c r="AO522" s="136"/>
      <c r="AP522" s="28"/>
      <c r="AQ522" s="28" t="s">
        <v>91</v>
      </c>
      <c r="AR522" s="141"/>
      <c r="AS522" s="28"/>
      <c r="AT522" s="28"/>
      <c r="AU522" s="28"/>
      <c r="AX522" s="196" t="s">
        <v>605</v>
      </c>
      <c r="AY522" s="138">
        <v>5</v>
      </c>
      <c r="AZ522" s="141">
        <v>5</v>
      </c>
      <c r="BA522" s="138"/>
      <c r="BB522" s="28"/>
      <c r="BC522" s="141"/>
      <c r="BD522" s="138"/>
      <c r="BE522" s="141"/>
      <c r="BF522" s="138" t="s">
        <v>1682</v>
      </c>
      <c r="BG522" s="43" t="s">
        <v>1683</v>
      </c>
      <c r="BH522" s="209" t="s">
        <v>1684</v>
      </c>
      <c r="BJ522" s="28"/>
    </row>
    <row r="523" spans="3:62" ht="15.6" x14ac:dyDescent="0.3">
      <c r="D523" s="131" t="s">
        <v>225</v>
      </c>
      <c r="F523">
        <f>SUM(N521)</f>
        <v>70</v>
      </c>
      <c r="I523" s="132"/>
      <c r="AE523" s="28" t="s">
        <v>91</v>
      </c>
      <c r="AF523">
        <v>2016</v>
      </c>
      <c r="AG523">
        <v>9</v>
      </c>
      <c r="AH523" s="138" t="s">
        <v>137</v>
      </c>
      <c r="AI523" s="138">
        <v>224</v>
      </c>
      <c r="AJ523" s="141">
        <v>226</v>
      </c>
      <c r="AN523" s="138"/>
      <c r="AO523" s="141"/>
      <c r="AP523" s="43">
        <v>30</v>
      </c>
      <c r="AQ523" s="43" t="s">
        <v>145</v>
      </c>
      <c r="AR523" s="141"/>
      <c r="AS523" s="28"/>
      <c r="AT523" s="28"/>
      <c r="AU523" s="28"/>
      <c r="AX523" s="196" t="s">
        <v>1685</v>
      </c>
      <c r="AY523" s="138">
        <v>1</v>
      </c>
      <c r="AZ523" s="141">
        <v>0</v>
      </c>
      <c r="BA523" s="138"/>
      <c r="BB523" s="28"/>
      <c r="BC523" s="141"/>
      <c r="BD523" s="138"/>
      <c r="BE523" s="141"/>
      <c r="BF523" s="138" t="s">
        <v>1686</v>
      </c>
      <c r="BG523" s="258" t="s">
        <v>1687</v>
      </c>
      <c r="BH523" s="209" t="s">
        <v>1688</v>
      </c>
      <c r="BJ523" s="28"/>
    </row>
    <row r="524" spans="3:62" ht="15.6" x14ac:dyDescent="0.3">
      <c r="D524" t="s">
        <v>229</v>
      </c>
      <c r="F524">
        <v>30</v>
      </c>
      <c r="U524" s="1"/>
      <c r="V524" s="1" t="s">
        <v>5</v>
      </c>
      <c r="W524" s="1"/>
      <c r="X524" s="1"/>
      <c r="Y524" s="1"/>
      <c r="Z524" s="1"/>
      <c r="AE524" s="28" t="s">
        <v>91</v>
      </c>
      <c r="AF524">
        <v>2016</v>
      </c>
      <c r="AG524">
        <v>9</v>
      </c>
      <c r="AH524" s="138" t="s">
        <v>113</v>
      </c>
      <c r="AI524" s="138">
        <f>734+15</f>
        <v>749</v>
      </c>
      <c r="AJ524" s="141">
        <f>753+34+18</f>
        <v>805</v>
      </c>
      <c r="AN524" s="138"/>
      <c r="AO524" s="141"/>
      <c r="AP524" s="43">
        <v>176</v>
      </c>
      <c r="AQ524" s="28" t="s">
        <v>73</v>
      </c>
      <c r="AR524" s="141"/>
      <c r="AS524" s="28"/>
      <c r="AT524" s="28"/>
      <c r="AU524" s="28"/>
      <c r="AX524" s="196" t="s">
        <v>1689</v>
      </c>
      <c r="AY524" s="138">
        <v>1</v>
      </c>
      <c r="AZ524" s="141">
        <v>25</v>
      </c>
      <c r="BA524" s="138"/>
      <c r="BB524" s="28"/>
      <c r="BC524" s="141"/>
      <c r="BD524" s="138"/>
      <c r="BE524" s="141"/>
      <c r="BF524" s="138" t="s">
        <v>1690</v>
      </c>
      <c r="BG524" s="43" t="s">
        <v>1691</v>
      </c>
      <c r="BH524" s="141" t="s">
        <v>1692</v>
      </c>
      <c r="BJ524" s="28"/>
    </row>
    <row r="525" spans="3:62" ht="15.6" x14ac:dyDescent="0.3">
      <c r="D525" t="s">
        <v>232</v>
      </c>
      <c r="F525" t="s">
        <v>233</v>
      </c>
      <c r="H525" t="e">
        <f>SUM(#REF!)</f>
        <v>#REF!</v>
      </c>
      <c r="J525" t="s">
        <v>234</v>
      </c>
      <c r="L525" t="s">
        <v>233</v>
      </c>
      <c r="N525">
        <f>SUM(E522)</f>
        <v>1728</v>
      </c>
      <c r="W525" t="s">
        <v>2</v>
      </c>
      <c r="AE525" s="28" t="s">
        <v>91</v>
      </c>
      <c r="AF525">
        <v>2016</v>
      </c>
      <c r="AG525">
        <v>9</v>
      </c>
      <c r="AH525" s="138" t="s">
        <v>84</v>
      </c>
      <c r="AI525" s="138">
        <f>SUM(AI522:AI524)</f>
        <v>1022</v>
      </c>
      <c r="AJ525" s="141">
        <f>SUM(AJ522:AJ524)</f>
        <v>1532</v>
      </c>
      <c r="AK525">
        <v>0</v>
      </c>
      <c r="AL525">
        <v>0</v>
      </c>
      <c r="AM525">
        <v>0</v>
      </c>
      <c r="AN525" s="138">
        <v>0</v>
      </c>
      <c r="AO525" s="141">
        <v>0</v>
      </c>
      <c r="AP525" s="28"/>
      <c r="AQ525" s="28"/>
      <c r="AR525" s="141">
        <f>SUM(AP523:AP525)</f>
        <v>206</v>
      </c>
      <c r="AS525" s="28"/>
      <c r="AT525" s="28"/>
      <c r="AU525" s="28"/>
      <c r="AX525" s="259" t="s">
        <v>1624</v>
      </c>
      <c r="AY525" s="138">
        <v>0</v>
      </c>
      <c r="AZ525" s="141">
        <v>135</v>
      </c>
      <c r="BA525" s="138"/>
      <c r="BB525" s="28"/>
      <c r="BC525" s="141"/>
      <c r="BD525" s="138"/>
      <c r="BE525" s="141"/>
      <c r="BF525" s="138" t="s">
        <v>1693</v>
      </c>
      <c r="BG525" s="258"/>
      <c r="BH525" s="260"/>
      <c r="BJ525" s="28"/>
    </row>
    <row r="526" spans="3:62" ht="15.6" x14ac:dyDescent="0.3">
      <c r="C526" t="s">
        <v>6</v>
      </c>
      <c r="F526" t="s">
        <v>236</v>
      </c>
      <c r="H526" t="e">
        <f>SUM(#REF!)</f>
        <v>#REF!</v>
      </c>
      <c r="L526" t="s">
        <v>236</v>
      </c>
      <c r="N526">
        <f>SUM(F522)</f>
        <v>2009</v>
      </c>
      <c r="U526" t="s">
        <v>13</v>
      </c>
      <c r="AG526">
        <v>9</v>
      </c>
      <c r="AH526" s="134"/>
      <c r="AI526" s="134"/>
      <c r="AJ526" s="136"/>
      <c r="AK526" s="135"/>
      <c r="AL526" s="135"/>
      <c r="AM526" s="135"/>
      <c r="AN526" s="134"/>
      <c r="AO526" s="136"/>
      <c r="AP526" s="135" t="s">
        <v>1025</v>
      </c>
      <c r="AQ526" s="135"/>
      <c r="AR526" s="136"/>
      <c r="AS526" s="28"/>
      <c r="AT526" s="28"/>
      <c r="AU526" s="28"/>
      <c r="AX526" s="196" t="s">
        <v>564</v>
      </c>
      <c r="AY526" s="138">
        <v>0</v>
      </c>
      <c r="AZ526" s="141">
        <v>0</v>
      </c>
      <c r="BA526" s="138"/>
      <c r="BB526" s="28"/>
      <c r="BC526" s="141"/>
      <c r="BD526" s="138"/>
      <c r="BE526" s="141"/>
      <c r="BF526" s="138"/>
      <c r="BG526" s="258"/>
      <c r="BH526" s="141"/>
      <c r="BJ526" s="28"/>
    </row>
    <row r="527" spans="3:62" ht="16.2" thickBot="1" x14ac:dyDescent="0.35">
      <c r="D527" s="134" t="s">
        <v>238</v>
      </c>
      <c r="E527" s="135" t="s">
        <v>239</v>
      </c>
      <c r="F527" s="136"/>
      <c r="G527" s="134" t="s">
        <v>240</v>
      </c>
      <c r="H527" s="135" t="s">
        <v>241</v>
      </c>
      <c r="I527" s="136"/>
      <c r="J527" s="134"/>
      <c r="K527" s="135" t="s">
        <v>242</v>
      </c>
      <c r="L527" s="137" t="s">
        <v>243</v>
      </c>
      <c r="M527" s="135"/>
      <c r="N527" s="135"/>
      <c r="O527" s="136"/>
      <c r="W527" t="s">
        <v>856</v>
      </c>
      <c r="AA527" s="5" t="s">
        <v>16</v>
      </c>
      <c r="AG527">
        <v>9</v>
      </c>
      <c r="AH527" s="142" t="s">
        <v>64</v>
      </c>
      <c r="AI527" s="142">
        <v>59</v>
      </c>
      <c r="AJ527" s="146">
        <v>80</v>
      </c>
      <c r="AK527" s="143"/>
      <c r="AL527" s="143"/>
      <c r="AM527" s="143"/>
      <c r="AN527" s="142"/>
      <c r="AO527" s="146"/>
      <c r="AP527" s="143">
        <v>8</v>
      </c>
      <c r="AQ527" s="143" t="s">
        <v>1026</v>
      </c>
      <c r="AR527" s="146">
        <f>SUM(AP527)</f>
        <v>8</v>
      </c>
      <c r="AS527" s="28"/>
      <c r="AT527" s="28"/>
      <c r="AU527" s="28"/>
      <c r="AX527" s="196" t="s">
        <v>862</v>
      </c>
      <c r="AY527" s="138">
        <v>0</v>
      </c>
      <c r="AZ527" s="141">
        <v>12</v>
      </c>
      <c r="BA527" s="138"/>
      <c r="BB527" s="28"/>
      <c r="BC527" s="141"/>
      <c r="BD527" s="138"/>
      <c r="BE527" s="141"/>
      <c r="BF527" s="138"/>
      <c r="BG527" s="258"/>
      <c r="BH527" s="141"/>
      <c r="BJ527" s="28"/>
    </row>
    <row r="528" spans="3:62" ht="15.6" x14ac:dyDescent="0.3">
      <c r="D528" s="138" t="s">
        <v>233</v>
      </c>
      <c r="E528" s="28"/>
      <c r="F528" s="139" t="e">
        <f>SUM(#REF!)</f>
        <v>#REF!</v>
      </c>
      <c r="G528" s="138" t="s">
        <v>233</v>
      </c>
      <c r="H528" s="28"/>
      <c r="I528" s="139" t="e">
        <f>SUM(#REF!)</f>
        <v>#REF!</v>
      </c>
      <c r="J528" s="138" t="s">
        <v>233</v>
      </c>
      <c r="K528" s="28"/>
      <c r="L528" s="140" t="e">
        <f>SUM(N525+I528)</f>
        <v>#REF!</v>
      </c>
      <c r="M528" s="28" t="s">
        <v>245</v>
      </c>
      <c r="N528" s="28" t="e">
        <f>SUM(L528+F528)</f>
        <v>#REF!</v>
      </c>
      <c r="O528" s="141"/>
      <c r="R528" s="6" t="s">
        <v>17</v>
      </c>
      <c r="S528" s="6" t="s">
        <v>27</v>
      </c>
      <c r="T528" s="7"/>
      <c r="U528" s="8" t="s">
        <v>28</v>
      </c>
      <c r="V528" s="8"/>
      <c r="W528" s="8"/>
      <c r="X528" s="6" t="s">
        <v>29</v>
      </c>
      <c r="Y528" s="7" t="s">
        <v>30</v>
      </c>
      <c r="Z528" s="8" t="s">
        <v>31</v>
      </c>
      <c r="AA528" s="8"/>
      <c r="AB528" s="7"/>
      <c r="AE528" s="135" t="s">
        <v>994</v>
      </c>
      <c r="AF528">
        <v>2016</v>
      </c>
      <c r="AG528">
        <v>9</v>
      </c>
      <c r="AH528" s="138" t="s">
        <v>113</v>
      </c>
      <c r="AI528" s="138">
        <v>463</v>
      </c>
      <c r="AJ528" s="141">
        <v>492</v>
      </c>
      <c r="AK528" s="28"/>
      <c r="AL528" s="28"/>
      <c r="AM528" s="28"/>
      <c r="AN528" s="138"/>
      <c r="AO528" s="141"/>
      <c r="AP528" s="28" t="s">
        <v>994</v>
      </c>
      <c r="AQ528" s="28"/>
      <c r="AR528" s="141"/>
      <c r="AS528" s="28"/>
      <c r="AT528" s="28"/>
      <c r="AU528" s="28"/>
      <c r="AX528" s="196" t="s">
        <v>200</v>
      </c>
      <c r="AY528" s="138">
        <v>3</v>
      </c>
      <c r="AZ528" s="141">
        <v>0</v>
      </c>
      <c r="BA528" s="138"/>
      <c r="BB528" s="28"/>
      <c r="BC528" s="141"/>
      <c r="BD528" s="138"/>
      <c r="BE528" s="141"/>
      <c r="BF528" s="138"/>
      <c r="BG528" s="258"/>
      <c r="BH528" s="141"/>
      <c r="BJ528" s="28"/>
    </row>
    <row r="529" spans="3:62" ht="15.6" x14ac:dyDescent="0.3">
      <c r="D529" s="142" t="s">
        <v>236</v>
      </c>
      <c r="E529" s="143"/>
      <c r="F529" s="144" t="e">
        <f>SUM(#REF!)</f>
        <v>#REF!</v>
      </c>
      <c r="G529" s="142" t="s">
        <v>236</v>
      </c>
      <c r="H529" s="143"/>
      <c r="I529" s="144" t="e">
        <f>SUM(#REF!)</f>
        <v>#REF!</v>
      </c>
      <c r="J529" s="142" t="s">
        <v>236</v>
      </c>
      <c r="K529" s="143"/>
      <c r="L529" s="145" t="e">
        <f>SUM(N526+I529)</f>
        <v>#REF!</v>
      </c>
      <c r="M529" s="143"/>
      <c r="N529" s="143" t="e">
        <f>SUM(L529+F529)</f>
        <v>#REF!</v>
      </c>
      <c r="O529" s="146"/>
      <c r="R529" s="10"/>
      <c r="S529" s="10"/>
      <c r="T529" s="11"/>
      <c r="U529" s="3"/>
      <c r="V529" s="3"/>
      <c r="W529" s="3"/>
      <c r="X529" s="10"/>
      <c r="Y529" s="11" t="s">
        <v>6</v>
      </c>
      <c r="Z529" s="3" t="s">
        <v>41</v>
      </c>
      <c r="AA529" s="3"/>
      <c r="AB529" s="11"/>
      <c r="AE529" s="135" t="s">
        <v>994</v>
      </c>
      <c r="AF529">
        <v>2016</v>
      </c>
      <c r="AG529">
        <v>9</v>
      </c>
      <c r="AH529" s="138" t="s">
        <v>475</v>
      </c>
      <c r="AI529" s="138">
        <v>0</v>
      </c>
      <c r="AJ529" s="141">
        <v>0</v>
      </c>
      <c r="AK529" s="28"/>
      <c r="AL529" s="28"/>
      <c r="AM529" s="28"/>
      <c r="AN529" s="138"/>
      <c r="AO529" s="141"/>
      <c r="AP529" s="28">
        <v>24</v>
      </c>
      <c r="AQ529" s="28" t="s">
        <v>100</v>
      </c>
      <c r="AR529" s="141"/>
      <c r="AS529" s="28"/>
      <c r="AT529" s="28"/>
      <c r="AU529" s="28"/>
      <c r="AX529" s="196" t="s">
        <v>169</v>
      </c>
      <c r="AY529" s="138">
        <v>0</v>
      </c>
      <c r="AZ529" s="141">
        <v>2</v>
      </c>
      <c r="BA529" s="138"/>
      <c r="BB529" s="28"/>
      <c r="BC529" s="141"/>
      <c r="BD529" s="138"/>
      <c r="BE529" s="141"/>
      <c r="BF529" s="138"/>
      <c r="BG529" s="258"/>
      <c r="BH529" s="141"/>
      <c r="BJ529" s="28"/>
    </row>
    <row r="530" spans="3:62" ht="16.2" thickBot="1" x14ac:dyDescent="0.35">
      <c r="R530" s="13" t="s">
        <v>42</v>
      </c>
      <c r="S530" s="13" t="s">
        <v>43</v>
      </c>
      <c r="T530" s="26" t="s">
        <v>44</v>
      </c>
      <c r="U530" s="27" t="s">
        <v>45</v>
      </c>
      <c r="V530" s="27" t="s">
        <v>46</v>
      </c>
      <c r="W530" s="27" t="s">
        <v>52</v>
      </c>
      <c r="X530" s="13" t="s">
        <v>43</v>
      </c>
      <c r="Y530" s="26" t="s">
        <v>44</v>
      </c>
      <c r="Z530" s="27" t="s">
        <v>54</v>
      </c>
      <c r="AA530" s="27"/>
      <c r="AB530" s="26"/>
      <c r="AE530" s="135" t="s">
        <v>994</v>
      </c>
      <c r="AF530">
        <v>2016</v>
      </c>
      <c r="AG530">
        <v>9</v>
      </c>
      <c r="AH530" s="142" t="s">
        <v>84</v>
      </c>
      <c r="AI530" s="142">
        <f>SUM(AI528:AI529)</f>
        <v>463</v>
      </c>
      <c r="AJ530" s="146">
        <f>SUM(AJ528:AJ529)</f>
        <v>492</v>
      </c>
      <c r="AK530" s="143">
        <v>0</v>
      </c>
      <c r="AL530" s="143">
        <v>0</v>
      </c>
      <c r="AM530" s="143">
        <v>0</v>
      </c>
      <c r="AN530" s="142">
        <v>0</v>
      </c>
      <c r="AO530" s="146">
        <v>0</v>
      </c>
      <c r="AP530" s="43">
        <v>20</v>
      </c>
      <c r="AQ530" s="43" t="s">
        <v>73</v>
      </c>
      <c r="AR530" s="146">
        <f>SUM(AP529:AP530)</f>
        <v>44</v>
      </c>
      <c r="AS530" s="28"/>
      <c r="AT530" s="28"/>
      <c r="AU530" s="28"/>
      <c r="AX530" s="196" t="s">
        <v>596</v>
      </c>
      <c r="AY530" s="138">
        <v>1</v>
      </c>
      <c r="AZ530" s="141">
        <v>3</v>
      </c>
      <c r="BA530" s="138"/>
      <c r="BB530" s="28"/>
      <c r="BC530" s="141"/>
      <c r="BD530" s="138"/>
      <c r="BE530" s="141"/>
      <c r="BF530" s="138"/>
      <c r="BG530" s="258"/>
      <c r="BH530" s="141"/>
      <c r="BJ530" s="28"/>
    </row>
    <row r="531" spans="3:62" ht="15.6" x14ac:dyDescent="0.3">
      <c r="R531" s="32" t="s">
        <v>85</v>
      </c>
      <c r="S531">
        <v>3</v>
      </c>
      <c r="T531">
        <v>0</v>
      </c>
      <c r="U531" s="33"/>
      <c r="V531" s="34"/>
      <c r="W531" s="34"/>
      <c r="X531" s="33"/>
      <c r="Y531" s="35"/>
      <c r="Z531" s="34" t="s">
        <v>58</v>
      </c>
      <c r="AA531" s="8"/>
      <c r="AB531" s="7"/>
      <c r="AH531" s="196" t="s">
        <v>1118</v>
      </c>
      <c r="AI531" s="138">
        <v>6</v>
      </c>
      <c r="AJ531" s="141">
        <v>207</v>
      </c>
      <c r="AK531" s="134"/>
      <c r="AL531" s="135"/>
      <c r="AM531" s="136"/>
      <c r="AN531" s="138"/>
      <c r="AO531" s="141"/>
      <c r="AP531" s="134" t="s">
        <v>140</v>
      </c>
      <c r="AQ531" s="135"/>
      <c r="AR531" s="136"/>
      <c r="AS531" s="28"/>
      <c r="AT531" s="28"/>
      <c r="AU531" s="28"/>
      <c r="AX531" s="196" t="s">
        <v>218</v>
      </c>
      <c r="AY531" s="138">
        <v>6</v>
      </c>
      <c r="AZ531" s="141">
        <v>13</v>
      </c>
      <c r="BA531" s="138"/>
      <c r="BB531" s="28"/>
      <c r="BC531" s="141"/>
      <c r="BD531" s="138"/>
      <c r="BE531" s="141"/>
      <c r="BF531" s="138"/>
      <c r="BG531" s="258"/>
      <c r="BH531" s="141"/>
      <c r="BJ531" s="28"/>
    </row>
    <row r="532" spans="3:62" ht="15.6" x14ac:dyDescent="0.3">
      <c r="R532" s="44" t="s">
        <v>64</v>
      </c>
      <c r="S532" s="18">
        <v>158</v>
      </c>
      <c r="T532" s="18">
        <v>170</v>
      </c>
      <c r="U532" s="10">
        <v>0</v>
      </c>
      <c r="V532" s="18">
        <v>0</v>
      </c>
      <c r="W532" s="18">
        <v>0</v>
      </c>
      <c r="X532" s="10">
        <v>0</v>
      </c>
      <c r="Y532" s="11">
        <v>0</v>
      </c>
      <c r="Z532" s="45">
        <v>1</v>
      </c>
      <c r="AA532" s="28" t="s">
        <v>474</v>
      </c>
      <c r="AB532" s="11"/>
      <c r="AH532" s="196" t="s">
        <v>181</v>
      </c>
      <c r="AI532" s="138">
        <v>0</v>
      </c>
      <c r="AJ532" s="141">
        <v>4</v>
      </c>
      <c r="AK532" s="138"/>
      <c r="AL532" s="28"/>
      <c r="AM532" s="141"/>
      <c r="AN532" s="138"/>
      <c r="AO532" s="141"/>
      <c r="AP532" s="138"/>
      <c r="AQ532" s="28"/>
      <c r="AR532" s="141"/>
      <c r="AS532" s="28"/>
      <c r="AT532" s="28"/>
      <c r="AU532" s="28"/>
      <c r="AV532" t="s">
        <v>6</v>
      </c>
      <c r="AX532" s="196" t="s">
        <v>93</v>
      </c>
      <c r="AY532" s="138">
        <v>4</v>
      </c>
      <c r="AZ532" s="141">
        <v>7</v>
      </c>
      <c r="BA532" s="138"/>
      <c r="BB532" s="28"/>
      <c r="BC532" s="141"/>
      <c r="BD532" s="138"/>
      <c r="BE532" s="141"/>
      <c r="BF532" s="138"/>
      <c r="BG532" s="258"/>
      <c r="BH532" s="141"/>
      <c r="BJ532" s="28"/>
    </row>
    <row r="533" spans="3:62" ht="15" thickBot="1" x14ac:dyDescent="0.35">
      <c r="Q533" s="28"/>
      <c r="R533" s="46" t="s">
        <v>84</v>
      </c>
      <c r="S533">
        <f>SUM(S531:S532)</f>
        <v>161</v>
      </c>
      <c r="T533">
        <f>SUM(T531:T532)</f>
        <v>170</v>
      </c>
      <c r="U533" s="47"/>
      <c r="V533" s="48"/>
      <c r="W533" s="48"/>
      <c r="X533" s="47"/>
      <c r="Y533" s="49"/>
      <c r="Z533" s="48">
        <v>9</v>
      </c>
      <c r="AA533" s="48" t="s">
        <v>249</v>
      </c>
      <c r="AB533" s="49">
        <f>SUM(Z532:Z533)</f>
        <v>10</v>
      </c>
      <c r="AH533" s="196" t="s">
        <v>107</v>
      </c>
      <c r="AI533" s="138">
        <v>4</v>
      </c>
      <c r="AJ533" s="141">
        <v>1</v>
      </c>
      <c r="AK533" s="138"/>
      <c r="AL533" s="28"/>
      <c r="AM533" s="141"/>
      <c r="AN533" s="138"/>
      <c r="AO533" s="141"/>
      <c r="AP533" s="138"/>
      <c r="AQ533" s="28"/>
      <c r="AR533" s="141"/>
      <c r="AS533" s="28"/>
      <c r="AT533" s="28"/>
      <c r="AU533" s="28"/>
      <c r="AX533" s="199" t="s">
        <v>84</v>
      </c>
      <c r="AY533" s="142">
        <v>86</v>
      </c>
      <c r="AZ533" s="146">
        <v>283</v>
      </c>
      <c r="BA533" s="142"/>
      <c r="BB533" s="143"/>
      <c r="BC533" s="146"/>
      <c r="BD533" s="142"/>
      <c r="BE533" s="146"/>
      <c r="BF533" s="142"/>
      <c r="BG533" s="143"/>
      <c r="BH533" s="146">
        <v>52</v>
      </c>
      <c r="BJ533" s="28"/>
    </row>
    <row r="534" spans="3:62" ht="15.6" x14ac:dyDescent="0.3">
      <c r="G534" s="1"/>
      <c r="H534" s="1" t="s">
        <v>5</v>
      </c>
      <c r="I534" s="1"/>
      <c r="J534" s="1"/>
      <c r="K534" s="1"/>
      <c r="L534" s="1"/>
      <c r="Q534" s="28"/>
      <c r="R534" s="33"/>
      <c r="S534" s="33"/>
      <c r="T534" s="35"/>
      <c r="U534" s="34"/>
      <c r="V534" s="34"/>
      <c r="W534" s="34"/>
      <c r="X534" s="33"/>
      <c r="Y534" s="35"/>
      <c r="Z534" s="53" t="s">
        <v>82</v>
      </c>
      <c r="AA534" s="34"/>
      <c r="AB534" s="35"/>
      <c r="AH534" s="196" t="s">
        <v>113</v>
      </c>
      <c r="AI534" s="138">
        <f>3+48+3+5</f>
        <v>59</v>
      </c>
      <c r="AJ534" s="141">
        <f>42+3+2</f>
        <v>47</v>
      </c>
      <c r="AK534" s="138"/>
      <c r="AL534" s="28"/>
      <c r="AM534" s="141"/>
      <c r="AN534" s="138"/>
      <c r="AO534" s="141"/>
      <c r="AP534" s="138" t="s">
        <v>142</v>
      </c>
      <c r="AQ534" s="28"/>
      <c r="AR534" s="141" t="s">
        <v>620</v>
      </c>
      <c r="AS534" s="28"/>
      <c r="AT534" s="28"/>
      <c r="AU534" s="28"/>
      <c r="AX534" t="s">
        <v>223</v>
      </c>
      <c r="AY534">
        <v>5092</v>
      </c>
      <c r="AZ534">
        <v>5811</v>
      </c>
      <c r="BA534">
        <v>0</v>
      </c>
      <c r="BB534">
        <v>2</v>
      </c>
      <c r="BC534">
        <v>5</v>
      </c>
      <c r="BD534">
        <v>89000</v>
      </c>
      <c r="BE534">
        <v>21000</v>
      </c>
      <c r="BG534" t="s">
        <v>939</v>
      </c>
      <c r="BH534">
        <v>155</v>
      </c>
      <c r="BJ534" s="28"/>
    </row>
    <row r="535" spans="3:62" ht="15" thickBot="1" x14ac:dyDescent="0.35">
      <c r="I535" t="s">
        <v>2</v>
      </c>
      <c r="Q535" s="28"/>
      <c r="R535" s="47" t="s">
        <v>85</v>
      </c>
      <c r="S535" s="47">
        <v>2</v>
      </c>
      <c r="T535" s="49">
        <v>1</v>
      </c>
      <c r="U535" s="48"/>
      <c r="V535" s="48">
        <v>0</v>
      </c>
      <c r="W535" s="48">
        <v>0</v>
      </c>
      <c r="X535" s="47">
        <v>0</v>
      </c>
      <c r="Y535" s="49">
        <v>0</v>
      </c>
      <c r="Z535" s="51">
        <v>1</v>
      </c>
      <c r="AA535" s="48" t="s">
        <v>86</v>
      </c>
      <c r="AB535" s="49">
        <f>SUM(Z535)</f>
        <v>1</v>
      </c>
      <c r="AH535" s="196" t="s">
        <v>200</v>
      </c>
      <c r="AI535" s="138">
        <v>3</v>
      </c>
      <c r="AJ535" s="141">
        <v>0</v>
      </c>
      <c r="AK535" s="138"/>
      <c r="AL535" s="28"/>
      <c r="AM535" s="141"/>
      <c r="AN535" s="138"/>
      <c r="AO535" s="141"/>
      <c r="AP535" s="138" t="s">
        <v>146</v>
      </c>
      <c r="AQ535" s="28"/>
      <c r="AR535" s="141" t="s">
        <v>1051</v>
      </c>
      <c r="AS535" s="28"/>
      <c r="AT535" s="28"/>
      <c r="AU535" s="28"/>
      <c r="AX535" t="s">
        <v>1340</v>
      </c>
      <c r="AZ535">
        <f>SUM(BH533)</f>
        <v>52</v>
      </c>
      <c r="BJ535" s="28"/>
    </row>
    <row r="536" spans="3:62" x14ac:dyDescent="0.3">
      <c r="G536" t="s">
        <v>13</v>
      </c>
      <c r="Q536" s="28"/>
      <c r="R536" s="50" t="s">
        <v>107</v>
      </c>
      <c r="S536" s="31">
        <v>0</v>
      </c>
      <c r="T536" s="31">
        <v>0</v>
      </c>
      <c r="U536" s="29"/>
      <c r="V536" s="31"/>
      <c r="W536" s="30"/>
      <c r="X536" s="55">
        <v>0</v>
      </c>
      <c r="Y536" s="8">
        <v>0</v>
      </c>
      <c r="Z536" s="29"/>
      <c r="AA536" s="34" t="s">
        <v>92</v>
      </c>
      <c r="AB536" s="35"/>
      <c r="AG536" t="s">
        <v>6</v>
      </c>
      <c r="AH536" s="196" t="s">
        <v>133</v>
      </c>
      <c r="AI536" s="138">
        <f>13+4+3+2</f>
        <v>22</v>
      </c>
      <c r="AJ536" s="141">
        <f>13+3+2+2</f>
        <v>20</v>
      </c>
      <c r="AK536" s="138"/>
      <c r="AL536" s="28"/>
      <c r="AM536" s="141"/>
      <c r="AN536" s="138"/>
      <c r="AO536" s="141"/>
      <c r="AP536" s="138"/>
      <c r="AQ536" s="28"/>
      <c r="AR536" s="141"/>
      <c r="AS536" s="28"/>
      <c r="AT536" s="28"/>
      <c r="AU536" s="28"/>
      <c r="AX536" t="s">
        <v>229</v>
      </c>
      <c r="AZ536">
        <v>20</v>
      </c>
      <c r="BJ536" s="28"/>
    </row>
    <row r="537" spans="3:62" ht="15" thickBot="1" x14ac:dyDescent="0.35">
      <c r="I537" t="s">
        <v>527</v>
      </c>
      <c r="M537" s="5" t="s">
        <v>16</v>
      </c>
      <c r="Q537" s="28"/>
      <c r="R537" s="41" t="s">
        <v>99</v>
      </c>
      <c r="S537" s="45">
        <v>0</v>
      </c>
      <c r="T537" s="45">
        <v>0</v>
      </c>
      <c r="U537" s="42">
        <v>0</v>
      </c>
      <c r="V537" s="45">
        <v>0</v>
      </c>
      <c r="W537" s="40">
        <v>0</v>
      </c>
      <c r="X537" s="45">
        <v>58157</v>
      </c>
      <c r="Y537" s="56">
        <v>21998</v>
      </c>
      <c r="Z537" s="52">
        <v>25</v>
      </c>
      <c r="AA537" s="37" t="s">
        <v>100</v>
      </c>
      <c r="AB537" s="40"/>
      <c r="AH537" s="196" t="s">
        <v>99</v>
      </c>
      <c r="AI537" s="138">
        <v>4</v>
      </c>
      <c r="AJ537" s="141">
        <v>0</v>
      </c>
      <c r="AK537" s="138" t="s">
        <v>150</v>
      </c>
      <c r="AL537" s="28"/>
      <c r="AM537" s="141"/>
      <c r="AN537" s="138"/>
      <c r="AO537" s="141"/>
      <c r="AP537" s="138" t="s">
        <v>151</v>
      </c>
      <c r="AQ537" s="28"/>
      <c r="AR537" s="141"/>
      <c r="AS537" s="28"/>
      <c r="AT537" s="28"/>
      <c r="AU537" s="28"/>
      <c r="AX537" t="s">
        <v>232</v>
      </c>
      <c r="AZ537" s="178" t="s">
        <v>233</v>
      </c>
      <c r="BB537">
        <v>1699</v>
      </c>
      <c r="BD537" t="s">
        <v>234</v>
      </c>
      <c r="BF537" t="s">
        <v>233</v>
      </c>
      <c r="BH537">
        <v>5092</v>
      </c>
      <c r="BJ537" s="28"/>
    </row>
    <row r="538" spans="3:62" ht="15" thickBot="1" x14ac:dyDescent="0.35">
      <c r="D538" s="6" t="s">
        <v>17</v>
      </c>
      <c r="E538" s="6" t="s">
        <v>27</v>
      </c>
      <c r="F538" s="7"/>
      <c r="G538" s="8" t="s">
        <v>28</v>
      </c>
      <c r="H538" s="8"/>
      <c r="I538" s="8"/>
      <c r="J538" s="6" t="s">
        <v>29</v>
      </c>
      <c r="K538" s="7" t="s">
        <v>30</v>
      </c>
      <c r="L538" s="8" t="s">
        <v>31</v>
      </c>
      <c r="M538" s="8"/>
      <c r="N538" s="7"/>
      <c r="Q538" s="28"/>
      <c r="R538" s="17" t="s">
        <v>84</v>
      </c>
      <c r="S538" s="18">
        <f>SUM(S536:S537)</f>
        <v>0</v>
      </c>
      <c r="T538" s="18">
        <f>SUM(T536:T537)</f>
        <v>0</v>
      </c>
      <c r="U538" s="13"/>
      <c r="V538" s="27"/>
      <c r="W538" s="26"/>
      <c r="X538" s="58">
        <f>+X537+X536</f>
        <v>58157</v>
      </c>
      <c r="Y538" s="27">
        <f>+Y537+Y536</f>
        <v>21998</v>
      </c>
      <c r="Z538" s="59"/>
      <c r="AA538" s="48" t="s">
        <v>506</v>
      </c>
      <c r="AB538" s="60">
        <f>SUM(Z537:Z538)</f>
        <v>25</v>
      </c>
      <c r="AH538" s="196" t="s">
        <v>85</v>
      </c>
      <c r="AI538" s="138">
        <v>3</v>
      </c>
      <c r="AJ538" s="141">
        <f>4+9</f>
        <v>13</v>
      </c>
      <c r="AK538" s="138"/>
      <c r="AL538" s="28"/>
      <c r="AM538" s="141"/>
      <c r="AN538" s="138"/>
      <c r="AO538" s="141"/>
      <c r="AP538" s="138" t="s">
        <v>961</v>
      </c>
      <c r="AQ538" s="28" t="s">
        <v>1123</v>
      </c>
      <c r="AR538" s="141" t="s">
        <v>1124</v>
      </c>
      <c r="AS538" s="28"/>
      <c r="AT538" s="28"/>
      <c r="AU538" s="28"/>
      <c r="AW538" s="28"/>
      <c r="AZ538" t="s">
        <v>236</v>
      </c>
      <c r="BB538">
        <v>1841</v>
      </c>
      <c r="BF538" t="s">
        <v>236</v>
      </c>
      <c r="BH538">
        <v>5811</v>
      </c>
      <c r="BJ538" s="28"/>
    </row>
    <row r="539" spans="3:62" x14ac:dyDescent="0.3">
      <c r="D539" s="10"/>
      <c r="E539" s="10"/>
      <c r="F539" s="11"/>
      <c r="G539" s="3"/>
      <c r="H539" s="3"/>
      <c r="I539" s="3"/>
      <c r="J539" s="10"/>
      <c r="K539" s="11" t="s">
        <v>6</v>
      </c>
      <c r="L539" s="3" t="s">
        <v>41</v>
      </c>
      <c r="M539" s="3"/>
      <c r="N539" s="11"/>
      <c r="Q539" s="28"/>
      <c r="R539" s="32"/>
      <c r="S539" s="63">
        <v>0</v>
      </c>
      <c r="T539" s="64">
        <v>0</v>
      </c>
      <c r="U539" s="33"/>
      <c r="V539" s="8"/>
      <c r="W539" s="35"/>
      <c r="X539" s="65"/>
      <c r="Y539" s="66"/>
      <c r="Z539" s="29"/>
      <c r="AA539" s="31"/>
      <c r="AB539" s="35"/>
      <c r="AH539" s="196" t="s">
        <v>331</v>
      </c>
      <c r="AI539" s="138">
        <v>2</v>
      </c>
      <c r="AJ539" s="141">
        <v>3</v>
      </c>
      <c r="AK539" s="138"/>
      <c r="AL539" s="28"/>
      <c r="AM539" s="141"/>
      <c r="AN539" s="138"/>
      <c r="AO539" s="141"/>
      <c r="AP539" s="138" t="s">
        <v>692</v>
      </c>
      <c r="AQ539" s="28" t="s">
        <v>1125</v>
      </c>
      <c r="AR539" s="141"/>
      <c r="AS539" s="28"/>
      <c r="AT539" s="28"/>
      <c r="AU539" s="28"/>
      <c r="AW539" s="28"/>
      <c r="AX539" t="s">
        <v>238</v>
      </c>
      <c r="AY539" t="s">
        <v>239</v>
      </c>
      <c r="BA539" t="s">
        <v>240</v>
      </c>
      <c r="BB539" t="s">
        <v>241</v>
      </c>
      <c r="BE539" t="s">
        <v>242</v>
      </c>
      <c r="BF539" s="131" t="s">
        <v>243</v>
      </c>
      <c r="BJ539" s="28"/>
    </row>
    <row r="540" spans="3:62" ht="15" thickBot="1" x14ac:dyDescent="0.35">
      <c r="D540" s="13" t="s">
        <v>42</v>
      </c>
      <c r="E540" s="13" t="s">
        <v>43</v>
      </c>
      <c r="F540" s="26" t="s">
        <v>44</v>
      </c>
      <c r="G540" s="27" t="s">
        <v>45</v>
      </c>
      <c r="H540" s="27" t="s">
        <v>46</v>
      </c>
      <c r="I540" s="27" t="s">
        <v>52</v>
      </c>
      <c r="J540" s="13" t="s">
        <v>43</v>
      </c>
      <c r="K540" s="26" t="s">
        <v>44</v>
      </c>
      <c r="L540" s="27" t="s">
        <v>54</v>
      </c>
      <c r="M540" s="27"/>
      <c r="N540" s="26"/>
      <c r="Q540" s="28"/>
      <c r="R540" s="41"/>
      <c r="S540" s="70">
        <v>0</v>
      </c>
      <c r="T540" s="71">
        <v>0</v>
      </c>
      <c r="U540" s="42"/>
      <c r="V540" s="28"/>
      <c r="W540" s="40"/>
      <c r="X540" s="42"/>
      <c r="Y540" s="40"/>
      <c r="Z540" s="42"/>
      <c r="AA540" s="54"/>
      <c r="AB540" s="40"/>
      <c r="AH540" s="196" t="s">
        <v>977</v>
      </c>
      <c r="AI540" s="138">
        <v>1</v>
      </c>
      <c r="AJ540" s="141">
        <v>0</v>
      </c>
      <c r="AK540" s="138"/>
      <c r="AL540" s="28"/>
      <c r="AM540" s="141"/>
      <c r="AN540" s="138"/>
      <c r="AO540" s="141"/>
      <c r="AP540" s="138" t="s">
        <v>1127</v>
      </c>
      <c r="AQ540" s="28" t="s">
        <v>264</v>
      </c>
      <c r="AR540" s="141" t="s">
        <v>638</v>
      </c>
      <c r="AS540" s="28"/>
      <c r="AT540" s="28"/>
      <c r="AU540" s="28"/>
      <c r="AW540" s="28"/>
      <c r="AX540" t="s">
        <v>233</v>
      </c>
      <c r="AZ540">
        <v>66683</v>
      </c>
      <c r="BA540" s="236" t="s">
        <v>233</v>
      </c>
      <c r="BC540">
        <v>5137</v>
      </c>
      <c r="BD540" t="s">
        <v>233</v>
      </c>
      <c r="BF540">
        <v>15113</v>
      </c>
      <c r="BG540" t="s">
        <v>245</v>
      </c>
      <c r="BH540">
        <f>SUM(AZ540+BF540)</f>
        <v>81796</v>
      </c>
      <c r="BJ540" s="28"/>
    </row>
    <row r="541" spans="3:62" ht="15" thickBot="1" x14ac:dyDescent="0.35">
      <c r="D541" s="32" t="s">
        <v>85</v>
      </c>
      <c r="G541" s="33"/>
      <c r="H541" s="34"/>
      <c r="I541" s="34"/>
      <c r="J541" s="33"/>
      <c r="K541" s="35"/>
      <c r="L541" s="34" t="s">
        <v>58</v>
      </c>
      <c r="M541" s="8"/>
      <c r="N541" s="7"/>
      <c r="Q541" s="28" t="s">
        <v>6</v>
      </c>
      <c r="R541" s="68"/>
      <c r="S541">
        <f>SUM(S539:S540)</f>
        <v>0</v>
      </c>
      <c r="T541">
        <f>SUM(T539:T540)</f>
        <v>0</v>
      </c>
      <c r="U541" s="47">
        <v>0</v>
      </c>
      <c r="V541" s="27">
        <v>0</v>
      </c>
      <c r="W541" s="49">
        <v>0</v>
      </c>
      <c r="X541" s="75">
        <v>0</v>
      </c>
      <c r="Y541" s="49">
        <v>0</v>
      </c>
      <c r="Z541" s="47"/>
      <c r="AA541" s="51"/>
      <c r="AB541" s="49">
        <f>SUM(Z540:Z541)</f>
        <v>0</v>
      </c>
      <c r="AH541" s="196" t="s">
        <v>169</v>
      </c>
      <c r="AI541" s="138">
        <v>0</v>
      </c>
      <c r="AJ541" s="141">
        <v>0</v>
      </c>
      <c r="AK541" s="138"/>
      <c r="AL541" s="28"/>
      <c r="AM541" s="141"/>
      <c r="AN541" s="138"/>
      <c r="AO541" s="141"/>
      <c r="AP541" s="138" t="s">
        <v>380</v>
      </c>
      <c r="AQ541" s="43" t="s">
        <v>1128</v>
      </c>
      <c r="AR541" s="141" t="s">
        <v>890</v>
      </c>
      <c r="AS541" s="28"/>
      <c r="AT541" s="28"/>
      <c r="AU541" s="28"/>
      <c r="AW541" s="28"/>
      <c r="AX541" t="s">
        <v>236</v>
      </c>
      <c r="AZ541">
        <v>78140</v>
      </c>
      <c r="BA541" s="236" t="s">
        <v>236</v>
      </c>
      <c r="BC541">
        <v>9976</v>
      </c>
      <c r="BD541" t="s">
        <v>236</v>
      </c>
      <c r="BF541">
        <v>10903</v>
      </c>
      <c r="BH541">
        <f>SUM(AZ541+BF541)</f>
        <v>89043</v>
      </c>
      <c r="BI541">
        <f>SUM(BH540:BH541)</f>
        <v>170839</v>
      </c>
      <c r="BJ541" s="28"/>
    </row>
    <row r="542" spans="3:62" ht="15" thickBot="1" x14ac:dyDescent="0.35">
      <c r="D542" s="44" t="s">
        <v>64</v>
      </c>
      <c r="E542" s="18">
        <v>117</v>
      </c>
      <c r="F542" s="18">
        <v>146</v>
      </c>
      <c r="G542" s="10">
        <v>0</v>
      </c>
      <c r="H542" s="18">
        <v>0</v>
      </c>
      <c r="I542" s="18">
        <v>0</v>
      </c>
      <c r="J542" s="10">
        <v>0</v>
      </c>
      <c r="K542" s="11">
        <v>0</v>
      </c>
      <c r="L542" s="45">
        <v>7</v>
      </c>
      <c r="M542" s="28" t="s">
        <v>474</v>
      </c>
      <c r="N542" s="11" t="s">
        <v>6</v>
      </c>
      <c r="O542" s="34" t="s">
        <v>91</v>
      </c>
      <c r="P542">
        <v>2015</v>
      </c>
      <c r="Q542" s="28">
        <v>9</v>
      </c>
      <c r="R542" s="33" t="s">
        <v>89</v>
      </c>
      <c r="S542" s="78">
        <v>401</v>
      </c>
      <c r="T542" s="79">
        <v>396</v>
      </c>
      <c r="U542" s="34"/>
      <c r="V542" s="8"/>
      <c r="W542" s="35"/>
      <c r="X542" s="80"/>
      <c r="Y542" s="34"/>
      <c r="Z542" s="33"/>
      <c r="AA542" s="34" t="s">
        <v>91</v>
      </c>
      <c r="AB542" s="35"/>
      <c r="AH542" s="196" t="s">
        <v>1129</v>
      </c>
      <c r="AI542" s="138">
        <v>6</v>
      </c>
      <c r="AJ542" s="141">
        <v>6</v>
      </c>
      <c r="AK542" s="138"/>
      <c r="AL542" s="28"/>
      <c r="AM542" s="141"/>
      <c r="AN542" s="138"/>
      <c r="AO542" s="141"/>
      <c r="AP542" s="138" t="s">
        <v>921</v>
      </c>
      <c r="AQ542" s="43" t="s">
        <v>309</v>
      </c>
      <c r="AR542" s="141" t="s">
        <v>1017</v>
      </c>
      <c r="AS542" s="28"/>
      <c r="AT542" s="28"/>
      <c r="AU542" s="28"/>
      <c r="AW542" s="28"/>
      <c r="AX542" s="28"/>
      <c r="AY542" s="28"/>
      <c r="AZ542" s="28"/>
      <c r="BA542" s="28"/>
      <c r="BB542" s="28"/>
      <c r="BC542" s="28"/>
      <c r="BD542" s="28"/>
      <c r="BE542" s="28"/>
      <c r="BF542" s="28"/>
      <c r="BG542" s="28"/>
      <c r="BH542" s="28"/>
      <c r="BI542" s="28"/>
      <c r="BJ542" s="28"/>
    </row>
    <row r="543" spans="3:62" ht="15" thickBot="1" x14ac:dyDescent="0.35">
      <c r="C543" s="28"/>
      <c r="D543" s="46" t="s">
        <v>84</v>
      </c>
      <c r="E543">
        <f>SUM(E541:E542)</f>
        <v>117</v>
      </c>
      <c r="F543">
        <f>SUM(F541:F542)</f>
        <v>146</v>
      </c>
      <c r="G543" s="47"/>
      <c r="H543" s="48"/>
      <c r="I543" s="48"/>
      <c r="J543" s="47"/>
      <c r="K543" s="49"/>
      <c r="L543" s="48">
        <v>1</v>
      </c>
      <c r="M543" s="48" t="s">
        <v>69</v>
      </c>
      <c r="N543" s="49">
        <f>SUM(L542:L543)</f>
        <v>8</v>
      </c>
      <c r="O543" s="34" t="s">
        <v>91</v>
      </c>
      <c r="P543">
        <v>2015</v>
      </c>
      <c r="Q543" s="28">
        <v>9</v>
      </c>
      <c r="R543" s="52" t="s">
        <v>85</v>
      </c>
      <c r="S543" s="42">
        <v>0</v>
      </c>
      <c r="T543" s="40">
        <v>0</v>
      </c>
      <c r="U543" s="28"/>
      <c r="V543" s="28"/>
      <c r="W543" s="40"/>
      <c r="Z543" s="42"/>
      <c r="AA543" s="43"/>
      <c r="AB543" s="40"/>
      <c r="AH543" s="196" t="s">
        <v>108</v>
      </c>
      <c r="AI543" s="138">
        <f>4+9</f>
        <v>13</v>
      </c>
      <c r="AJ543" s="141">
        <v>2</v>
      </c>
      <c r="AK543" s="138"/>
      <c r="AL543" s="28"/>
      <c r="AM543" s="141"/>
      <c r="AN543" s="138"/>
      <c r="AO543" s="141"/>
      <c r="AP543" s="217" t="s">
        <v>1131</v>
      </c>
      <c r="AQ543" s="218" t="s">
        <v>1132</v>
      </c>
      <c r="AR543" s="141" t="s">
        <v>1133</v>
      </c>
      <c r="AS543" s="28"/>
      <c r="AT543" s="28"/>
      <c r="AU543" s="28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</row>
    <row r="544" spans="3:62" x14ac:dyDescent="0.3">
      <c r="C544" s="28"/>
      <c r="D544" s="33"/>
      <c r="E544" s="33"/>
      <c r="F544" s="35"/>
      <c r="G544" s="34"/>
      <c r="H544" s="34"/>
      <c r="I544" s="34"/>
      <c r="J544" s="33"/>
      <c r="K544" s="35"/>
      <c r="L544" s="8" t="s">
        <v>6</v>
      </c>
      <c r="M544" s="34"/>
      <c r="N544" s="35"/>
      <c r="O544" s="34" t="s">
        <v>91</v>
      </c>
      <c r="P544">
        <v>2015</v>
      </c>
      <c r="Q544" s="28">
        <v>9</v>
      </c>
      <c r="R544" s="67" t="s">
        <v>113</v>
      </c>
      <c r="S544" s="42">
        <v>554</v>
      </c>
      <c r="T544" s="40">
        <v>547</v>
      </c>
      <c r="U544" s="28"/>
      <c r="V544" s="28"/>
      <c r="W544" s="40"/>
      <c r="X544" s="28"/>
      <c r="Y544" s="28"/>
      <c r="Z544" s="67">
        <v>64</v>
      </c>
      <c r="AA544" s="43" t="s">
        <v>73</v>
      </c>
      <c r="AB544" s="40"/>
      <c r="AH544" s="219" t="s">
        <v>139</v>
      </c>
      <c r="AI544" s="138">
        <v>1</v>
      </c>
      <c r="AJ544" s="141">
        <v>2</v>
      </c>
      <c r="AK544" s="138"/>
      <c r="AL544" s="28"/>
      <c r="AM544" s="141"/>
      <c r="AN544" s="138"/>
      <c r="AO544" s="141"/>
      <c r="AP544" s="138" t="s">
        <v>1135</v>
      </c>
      <c r="AQ544" s="222" t="s">
        <v>1136</v>
      </c>
      <c r="AR544" s="141" t="s">
        <v>370</v>
      </c>
      <c r="AS544" s="28"/>
      <c r="AT544" s="28"/>
      <c r="AU544" s="28"/>
      <c r="AW544" s="28"/>
      <c r="AX544" s="28"/>
      <c r="AY544" s="28"/>
      <c r="AZ544" s="28"/>
      <c r="BA544" s="28"/>
      <c r="BB544" s="28"/>
      <c r="BC544" s="28"/>
      <c r="BD544" s="28"/>
      <c r="BE544" s="28"/>
      <c r="BF544" s="28"/>
      <c r="BG544" s="28"/>
      <c r="BH544" s="28"/>
      <c r="BI544" s="28"/>
      <c r="BJ544" s="28"/>
    </row>
    <row r="545" spans="1:62" ht="15" thickBot="1" x14ac:dyDescent="0.35">
      <c r="C545" s="28"/>
      <c r="D545" s="47" t="s">
        <v>6</v>
      </c>
      <c r="E545" s="47"/>
      <c r="F545" s="49"/>
      <c r="G545" s="48">
        <v>0</v>
      </c>
      <c r="H545" s="48">
        <v>0</v>
      </c>
      <c r="I545" s="48">
        <v>0</v>
      </c>
      <c r="J545" s="47">
        <v>0</v>
      </c>
      <c r="K545" s="49">
        <v>0</v>
      </c>
      <c r="L545" s="51"/>
      <c r="M545" s="48" t="s">
        <v>6</v>
      </c>
      <c r="N545" s="49">
        <f>SUM(L545)</f>
        <v>0</v>
      </c>
      <c r="Q545" s="28">
        <v>9</v>
      </c>
      <c r="R545" s="47" t="s">
        <v>84</v>
      </c>
      <c r="S545" s="47">
        <f>SUM(S542:S544)</f>
        <v>955</v>
      </c>
      <c r="T545" s="49">
        <f>SUM(T542:T544)</f>
        <v>943</v>
      </c>
      <c r="U545" s="81">
        <v>0</v>
      </c>
      <c r="V545" s="27">
        <v>0</v>
      </c>
      <c r="W545" s="82">
        <f>+W542</f>
        <v>0</v>
      </c>
      <c r="X545" s="74">
        <v>0</v>
      </c>
      <c r="Y545" s="74">
        <v>0</v>
      </c>
      <c r="Z545" s="47"/>
      <c r="AA545" s="51"/>
      <c r="AB545" s="49">
        <f>SUM(Z544)</f>
        <v>64</v>
      </c>
      <c r="AH545" s="196" t="s">
        <v>64</v>
      </c>
      <c r="AI545" s="138">
        <v>0</v>
      </c>
      <c r="AJ545" s="141">
        <v>0</v>
      </c>
      <c r="AK545" s="138"/>
      <c r="AL545" s="28"/>
      <c r="AM545" s="141"/>
      <c r="AN545" s="138"/>
      <c r="AO545" s="141"/>
      <c r="AP545" s="223" t="s">
        <v>1137</v>
      </c>
      <c r="AQ545" s="43" t="s">
        <v>1138</v>
      </c>
      <c r="AR545" s="209" t="s">
        <v>333</v>
      </c>
      <c r="AS545" s="43"/>
      <c r="AT545" s="43"/>
      <c r="AU545" s="28"/>
      <c r="AW545" s="28"/>
      <c r="AX545" s="28"/>
      <c r="AY545" s="28"/>
      <c r="AZ545" s="28"/>
      <c r="BA545" s="28"/>
      <c r="BB545" s="28"/>
      <c r="BC545" s="28"/>
      <c r="BD545" s="28"/>
      <c r="BE545" s="28"/>
      <c r="BF545" s="28"/>
      <c r="BG545" s="28"/>
      <c r="BH545" s="28"/>
      <c r="BI545" s="28"/>
      <c r="BJ545" s="28"/>
    </row>
    <row r="546" spans="1:62" x14ac:dyDescent="0.3">
      <c r="C546" s="28"/>
      <c r="D546" s="33"/>
      <c r="E546" s="33"/>
      <c r="F546" s="35"/>
      <c r="G546" s="34"/>
      <c r="H546" s="34"/>
      <c r="I546" s="34"/>
      <c r="J546" s="33"/>
      <c r="K546" s="35"/>
      <c r="L546" s="53" t="s">
        <v>82</v>
      </c>
      <c r="M546" s="34"/>
      <c r="N546" s="35"/>
      <c r="O546" s="34" t="s">
        <v>130</v>
      </c>
      <c r="P546">
        <v>2015</v>
      </c>
      <c r="Q546" s="28">
        <v>9</v>
      </c>
      <c r="R546" s="52" t="s">
        <v>113</v>
      </c>
      <c r="S546" s="42">
        <v>359</v>
      </c>
      <c r="T546" s="85">
        <v>648</v>
      </c>
      <c r="U546" s="37"/>
      <c r="V546" s="18"/>
      <c r="W546" s="54"/>
      <c r="X546" s="52"/>
      <c r="Y546" s="40"/>
      <c r="Z546" s="67"/>
      <c r="AA546" s="34" t="s">
        <v>130</v>
      </c>
      <c r="AB546" s="40"/>
      <c r="AH546" s="196" t="s">
        <v>196</v>
      </c>
      <c r="AI546" s="138">
        <v>0</v>
      </c>
      <c r="AJ546" s="141">
        <v>1</v>
      </c>
      <c r="AK546" s="138"/>
      <c r="AL546" s="28"/>
      <c r="AM546" s="141"/>
      <c r="AN546" s="138"/>
      <c r="AO546" s="141"/>
      <c r="AP546" s="138" t="s">
        <v>185</v>
      </c>
      <c r="AQ546" s="43" t="s">
        <v>1139</v>
      </c>
      <c r="AR546" s="213" t="s">
        <v>580</v>
      </c>
      <c r="AS546" s="228"/>
      <c r="AT546" s="228"/>
      <c r="AU546" s="28"/>
      <c r="AW546" s="28"/>
      <c r="AX546" s="28"/>
      <c r="AY546" s="28"/>
      <c r="AZ546" s="28"/>
      <c r="BA546" s="28"/>
      <c r="BB546" s="28"/>
      <c r="BC546" s="28"/>
      <c r="BD546" s="28"/>
      <c r="BE546" s="28"/>
      <c r="BF546" s="28"/>
      <c r="BG546" s="28"/>
      <c r="BH546" s="28"/>
      <c r="BI546" s="28"/>
      <c r="BJ546" s="28"/>
    </row>
    <row r="547" spans="1:62" ht="15" thickBot="1" x14ac:dyDescent="0.35">
      <c r="C547" s="28"/>
      <c r="D547" s="47" t="s">
        <v>85</v>
      </c>
      <c r="E547" s="47">
        <v>0</v>
      </c>
      <c r="F547" s="49">
        <v>0</v>
      </c>
      <c r="G547" s="48"/>
      <c r="H547" s="48">
        <v>0</v>
      </c>
      <c r="I547" s="48">
        <v>0</v>
      </c>
      <c r="J547" s="47">
        <v>0</v>
      </c>
      <c r="K547" s="49">
        <v>0</v>
      </c>
      <c r="L547" s="51"/>
      <c r="M547" s="48" t="s">
        <v>86</v>
      </c>
      <c r="N547" s="49">
        <f>SUM(L547)</f>
        <v>0</v>
      </c>
      <c r="Q547" s="28"/>
      <c r="R547" s="42" t="s">
        <v>475</v>
      </c>
      <c r="S547" s="67"/>
      <c r="T547" s="85"/>
      <c r="U547" s="28"/>
      <c r="V547" s="18"/>
      <c r="W547" s="28"/>
      <c r="X547" s="52"/>
      <c r="Y547" s="86"/>
      <c r="Z547" s="52">
        <v>53</v>
      </c>
      <c r="AA547" s="43" t="s">
        <v>73</v>
      </c>
      <c r="AB547" s="40"/>
      <c r="AC547" t="s">
        <v>6</v>
      </c>
      <c r="AH547" s="196" t="s">
        <v>88</v>
      </c>
      <c r="AI547" s="138">
        <v>2</v>
      </c>
      <c r="AJ547" s="141">
        <v>0</v>
      </c>
      <c r="AK547" s="138"/>
      <c r="AL547" s="28"/>
      <c r="AM547" s="141"/>
      <c r="AN547" s="138"/>
      <c r="AO547" s="141"/>
      <c r="AP547" s="138" t="s">
        <v>609</v>
      </c>
      <c r="AQ547" s="43" t="s">
        <v>1140</v>
      </c>
      <c r="AR547" s="141" t="s">
        <v>333</v>
      </c>
      <c r="AS547" s="28"/>
      <c r="AT547" s="28"/>
      <c r="AU547" s="28"/>
      <c r="AW547" s="28"/>
      <c r="AX547" s="28"/>
      <c r="AY547" s="28"/>
      <c r="AZ547" s="28"/>
      <c r="BA547" s="28"/>
      <c r="BB547" s="28"/>
      <c r="BC547" s="28"/>
      <c r="BD547" s="28"/>
      <c r="BE547" s="28"/>
      <c r="BF547" s="28"/>
      <c r="BG547" s="28"/>
      <c r="BH547" s="28"/>
      <c r="BI547" s="28"/>
      <c r="BJ547" s="28"/>
    </row>
    <row r="548" spans="1:62" ht="15" thickBot="1" x14ac:dyDescent="0.35">
      <c r="C548" s="28"/>
      <c r="D548" s="50" t="s">
        <v>107</v>
      </c>
      <c r="E548" s="31">
        <v>78</v>
      </c>
      <c r="F548" s="31">
        <v>93</v>
      </c>
      <c r="G548" s="29"/>
      <c r="H548" s="31"/>
      <c r="I548" s="30"/>
      <c r="J548" s="55"/>
      <c r="K548" s="8"/>
      <c r="L548" s="29"/>
      <c r="M548" s="34" t="s">
        <v>92</v>
      </c>
      <c r="N548" s="35"/>
      <c r="Q548" s="28"/>
      <c r="R548" s="59" t="s">
        <v>84</v>
      </c>
      <c r="S548" s="13">
        <f>SUM(S546:S547)</f>
        <v>359</v>
      </c>
      <c r="T548" s="60">
        <f>SUM(T546:T547)</f>
        <v>648</v>
      </c>
      <c r="U548" s="81">
        <v>0</v>
      </c>
      <c r="V548" s="27">
        <v>0</v>
      </c>
      <c r="W548" s="27">
        <v>0</v>
      </c>
      <c r="X548" s="13">
        <v>0</v>
      </c>
      <c r="Y548" s="26">
        <v>0</v>
      </c>
      <c r="Z548" s="13"/>
      <c r="AA548" s="43"/>
      <c r="AB548" s="26">
        <f>SUM(Z546:Z547)</f>
        <v>53</v>
      </c>
      <c r="AH548" s="196" t="s">
        <v>1090</v>
      </c>
      <c r="AI548" s="138">
        <v>0</v>
      </c>
      <c r="AJ548" s="141">
        <v>0</v>
      </c>
      <c r="AK548" s="138"/>
      <c r="AL548" s="28"/>
      <c r="AM548" s="141"/>
      <c r="AN548" s="138"/>
      <c r="AO548" s="141"/>
      <c r="AP548" s="138" t="s">
        <v>943</v>
      </c>
      <c r="AQ548" s="43" t="s">
        <v>206</v>
      </c>
      <c r="AR548" s="141" t="s">
        <v>254</v>
      </c>
      <c r="AS548" s="28"/>
      <c r="AT548" s="28"/>
      <c r="AU548" s="43"/>
      <c r="AW548" s="28"/>
      <c r="AX548" s="28"/>
      <c r="AY548" s="28"/>
      <c r="AZ548" s="28"/>
      <c r="BA548" s="28"/>
      <c r="BB548" s="28"/>
      <c r="BC548" s="28"/>
      <c r="BD548" s="28"/>
      <c r="BE548" s="28"/>
      <c r="BF548" s="28"/>
      <c r="BG548" s="28"/>
      <c r="BH548" s="28"/>
      <c r="BI548" s="28"/>
      <c r="BJ548" s="28"/>
    </row>
    <row r="549" spans="1:62" x14ac:dyDescent="0.3">
      <c r="C549" s="28"/>
      <c r="D549" s="41" t="s">
        <v>99</v>
      </c>
      <c r="E549" s="45">
        <v>0</v>
      </c>
      <c r="F549" s="45">
        <v>0</v>
      </c>
      <c r="G549" s="42">
        <v>0</v>
      </c>
      <c r="H549" s="45">
        <v>0</v>
      </c>
      <c r="I549" s="40">
        <v>0</v>
      </c>
      <c r="J549" s="45">
        <v>52914</v>
      </c>
      <c r="K549" s="56">
        <v>17545</v>
      </c>
      <c r="L549" s="52">
        <v>27</v>
      </c>
      <c r="M549" s="37" t="s">
        <v>100</v>
      </c>
      <c r="N549" s="40"/>
      <c r="Q549" s="28"/>
      <c r="R549" s="88" t="s">
        <v>139</v>
      </c>
      <c r="S549" s="33">
        <v>3</v>
      </c>
      <c r="T549" s="34">
        <v>4</v>
      </c>
      <c r="U549" s="152"/>
      <c r="V549" s="89"/>
      <c r="W549" s="66"/>
      <c r="X549" s="8"/>
      <c r="Y549" s="35"/>
      <c r="Z549" s="34" t="s">
        <v>140</v>
      </c>
      <c r="AA549" s="34"/>
      <c r="AB549" s="35"/>
      <c r="AH549" s="196" t="s">
        <v>422</v>
      </c>
      <c r="AI549" s="138">
        <v>0</v>
      </c>
      <c r="AJ549" s="141">
        <v>0</v>
      </c>
      <c r="AK549" s="138"/>
      <c r="AL549" s="28"/>
      <c r="AM549" s="141"/>
      <c r="AN549" s="138"/>
      <c r="AO549" s="141"/>
      <c r="AP549" s="138" t="s">
        <v>479</v>
      </c>
      <c r="AQ549" s="43" t="s">
        <v>455</v>
      </c>
      <c r="AR549" s="141" t="s">
        <v>860</v>
      </c>
      <c r="AS549" s="28"/>
      <c r="AT549" s="28"/>
      <c r="AU549" s="228"/>
      <c r="AW549" s="28"/>
      <c r="AX549" s="28"/>
      <c r="AY549" s="28"/>
      <c r="AZ549" s="28"/>
      <c r="BA549" s="43"/>
      <c r="BB549" s="43"/>
      <c r="BC549" s="28"/>
      <c r="BD549" s="28"/>
      <c r="BE549" s="43"/>
      <c r="BF549" s="28"/>
      <c r="BG549" s="28"/>
      <c r="BH549" s="28"/>
      <c r="BI549" s="28"/>
      <c r="BJ549" s="28"/>
    </row>
    <row r="550" spans="1:62" ht="15" thickBot="1" x14ac:dyDescent="0.35">
      <c r="C550" s="28"/>
      <c r="D550" s="17" t="s">
        <v>84</v>
      </c>
      <c r="E550" s="18">
        <f>SUM(E548:E549)</f>
        <v>78</v>
      </c>
      <c r="F550" s="18">
        <f>SUM(F548:F549)</f>
        <v>93</v>
      </c>
      <c r="G550" s="13"/>
      <c r="H550" s="27"/>
      <c r="I550" s="26"/>
      <c r="J550" s="58"/>
      <c r="K550" s="27"/>
      <c r="L550" s="59">
        <v>1</v>
      </c>
      <c r="M550" s="48" t="s">
        <v>506</v>
      </c>
      <c r="N550" s="60">
        <f>SUM(L549:L550)</f>
        <v>28</v>
      </c>
      <c r="Q550" s="28"/>
      <c r="R550" s="42" t="s">
        <v>164</v>
      </c>
      <c r="S550" s="42">
        <v>0</v>
      </c>
      <c r="T550" s="43">
        <v>3</v>
      </c>
      <c r="U550" s="42"/>
      <c r="V550" s="28"/>
      <c r="W550" s="40"/>
      <c r="X550" s="28"/>
      <c r="Y550" s="40"/>
      <c r="Z550" s="28"/>
      <c r="AA550" s="28"/>
      <c r="AB550" s="40"/>
      <c r="AH550" s="196" t="s">
        <v>1043</v>
      </c>
      <c r="AI550" s="138">
        <v>0</v>
      </c>
      <c r="AJ550" s="141">
        <v>2</v>
      </c>
      <c r="AK550" s="138"/>
      <c r="AL550" s="28"/>
      <c r="AM550" s="141"/>
      <c r="AN550" s="138"/>
      <c r="AO550" s="141"/>
      <c r="AP550" s="138"/>
      <c r="AQ550" s="28"/>
      <c r="AR550" s="141"/>
      <c r="AS550" s="28"/>
      <c r="AT550" s="28"/>
      <c r="AU550" s="28"/>
      <c r="AW550" s="28"/>
      <c r="BB550" t="s">
        <v>5</v>
      </c>
      <c r="BE550" s="28"/>
      <c r="BF550" s="28"/>
      <c r="BG550" s="28"/>
      <c r="BH550" s="28"/>
      <c r="BI550" s="28"/>
      <c r="BJ550" s="28"/>
    </row>
    <row r="551" spans="1:62" ht="15" thickBot="1" x14ac:dyDescent="0.35">
      <c r="A551" s="31" t="s">
        <v>57</v>
      </c>
      <c r="B551">
        <v>2014</v>
      </c>
      <c r="C551" s="28">
        <v>9</v>
      </c>
      <c r="D551" s="32" t="s">
        <v>107</v>
      </c>
      <c r="E551" s="63"/>
      <c r="F551" s="64"/>
      <c r="G551" s="33"/>
      <c r="H551" s="8"/>
      <c r="I551" s="35"/>
      <c r="J551" s="65"/>
      <c r="K551" s="66"/>
      <c r="L551" s="29"/>
      <c r="M551" s="31" t="s">
        <v>57</v>
      </c>
      <c r="N551" s="35"/>
      <c r="Q551" s="28"/>
      <c r="R551" s="153" t="s">
        <v>250</v>
      </c>
      <c r="S551" s="42"/>
      <c r="T551" s="43">
        <f>2+1</f>
        <v>3</v>
      </c>
      <c r="U551" s="42"/>
      <c r="V551" s="28"/>
      <c r="W551" s="40"/>
      <c r="X551" s="28"/>
      <c r="Y551" s="40"/>
      <c r="Z551" s="28"/>
      <c r="AA551" s="28"/>
      <c r="AB551" s="40"/>
      <c r="AH551" s="196" t="s">
        <v>1141</v>
      </c>
      <c r="AI551" s="138">
        <v>0</v>
      </c>
      <c r="AJ551" s="141">
        <v>50</v>
      </c>
      <c r="AK551" s="138"/>
      <c r="AL551" s="28"/>
      <c r="AM551" s="141"/>
      <c r="AN551" s="138"/>
      <c r="AO551" s="141"/>
      <c r="AP551" s="138"/>
      <c r="AQ551" s="28"/>
      <c r="AR551" s="141"/>
      <c r="AS551" s="28"/>
      <c r="AT551" s="28"/>
      <c r="AU551" s="28"/>
      <c r="AW551" s="28"/>
      <c r="BC551" t="s">
        <v>2</v>
      </c>
      <c r="BE551" s="28"/>
      <c r="BF551" s="28"/>
      <c r="BG551" s="28"/>
      <c r="BH551" s="28"/>
      <c r="BI551" s="28"/>
      <c r="BJ551" s="28"/>
    </row>
    <row r="552" spans="1:62" ht="15" thickBot="1" x14ac:dyDescent="0.35">
      <c r="A552" s="31" t="s">
        <v>57</v>
      </c>
      <c r="B552">
        <v>2014</v>
      </c>
      <c r="C552" s="28">
        <v>9</v>
      </c>
      <c r="D552" s="41" t="s">
        <v>113</v>
      </c>
      <c r="E552" s="70">
        <v>331</v>
      </c>
      <c r="F552" s="71">
        <v>363</v>
      </c>
      <c r="G552" s="42"/>
      <c r="H552" s="28"/>
      <c r="I552" s="40"/>
      <c r="J552" s="42"/>
      <c r="K552" s="40"/>
      <c r="L552" s="42">
        <v>1</v>
      </c>
      <c r="M552" s="54" t="s">
        <v>530</v>
      </c>
      <c r="N552" s="40"/>
      <c r="Q552" s="28"/>
      <c r="R552" s="92" t="s">
        <v>113</v>
      </c>
      <c r="S552" s="67">
        <f>34+3+3+1+9</f>
        <v>50</v>
      </c>
      <c r="T552" s="43">
        <f>2+31+1+3+4+4</f>
        <v>45</v>
      </c>
      <c r="U552" s="52"/>
      <c r="V552" s="54"/>
      <c r="W552" s="85"/>
      <c r="X552" s="18"/>
      <c r="Y552" s="40"/>
      <c r="Z552" s="18" t="s">
        <v>142</v>
      </c>
      <c r="AA552" s="18"/>
      <c r="AB552" s="39" t="s">
        <v>730</v>
      </c>
      <c r="AH552" s="196" t="s">
        <v>564</v>
      </c>
      <c r="AI552" s="138">
        <v>0</v>
      </c>
      <c r="AJ552" s="141">
        <v>0</v>
      </c>
      <c r="AK552" s="138"/>
      <c r="AL552" s="28"/>
      <c r="AM552" s="141"/>
      <c r="AN552" s="138"/>
      <c r="AO552" s="141"/>
      <c r="AP552" s="138"/>
      <c r="AQ552" s="28"/>
      <c r="AR552" s="141"/>
      <c r="AS552" s="28"/>
      <c r="AT552" s="28"/>
      <c r="AU552" s="28"/>
      <c r="AW552" s="28"/>
      <c r="BA552" t="s">
        <v>13</v>
      </c>
      <c r="BE552" s="28"/>
      <c r="BF552" s="28"/>
      <c r="BG552" s="28"/>
      <c r="BH552" s="28"/>
      <c r="BI552" s="28"/>
    </row>
    <row r="553" spans="1:62" ht="15" thickBot="1" x14ac:dyDescent="0.35">
      <c r="A553" s="31" t="s">
        <v>57</v>
      </c>
      <c r="B553">
        <v>2014</v>
      </c>
      <c r="C553" s="28">
        <v>9</v>
      </c>
      <c r="D553" s="68" t="s">
        <v>84</v>
      </c>
      <c r="E553">
        <f>SUM(E551:E552)</f>
        <v>331</v>
      </c>
      <c r="F553">
        <f>SUM(F551:F552)</f>
        <v>363</v>
      </c>
      <c r="G553" s="47">
        <v>0</v>
      </c>
      <c r="H553" s="27">
        <v>0</v>
      </c>
      <c r="I553" s="49">
        <v>0</v>
      </c>
      <c r="J553" s="75">
        <v>0</v>
      </c>
      <c r="K553" s="49">
        <v>0</v>
      </c>
      <c r="L553" s="47">
        <v>34</v>
      </c>
      <c r="M553" s="51" t="s">
        <v>73</v>
      </c>
      <c r="N553" s="49">
        <f>SUM(L552:L553)</f>
        <v>35</v>
      </c>
      <c r="Q553" s="28"/>
      <c r="R553" s="42" t="s">
        <v>657</v>
      </c>
      <c r="S553" s="67">
        <v>0</v>
      </c>
      <c r="T553" s="43">
        <f>1+7</f>
        <v>8</v>
      </c>
      <c r="U553" s="52"/>
      <c r="V553" s="54"/>
      <c r="W553" s="85"/>
      <c r="X553" s="18"/>
      <c r="Y553" s="40"/>
      <c r="Z553" s="154" t="s">
        <v>146</v>
      </c>
      <c r="AA553" s="28"/>
      <c r="AB553" s="94" t="s">
        <v>253</v>
      </c>
      <c r="AH553" s="196" t="s">
        <v>211</v>
      </c>
      <c r="AI553" s="138">
        <f>5+3</f>
        <v>8</v>
      </c>
      <c r="AJ553" s="141">
        <v>0</v>
      </c>
      <c r="AK553" s="138"/>
      <c r="AL553" s="28"/>
      <c r="AM553" s="141"/>
      <c r="AN553" s="138"/>
      <c r="AO553" s="141"/>
      <c r="AP553" s="138"/>
      <c r="AQ553" s="28"/>
      <c r="AR553" s="141"/>
      <c r="AS553" s="28"/>
      <c r="AT553" s="28"/>
      <c r="AU553" s="28"/>
      <c r="AW553" s="28"/>
      <c r="BC553" t="s">
        <v>1694</v>
      </c>
      <c r="BE553" s="28"/>
      <c r="BF553" s="28"/>
      <c r="BG553" s="238" t="s">
        <v>1653</v>
      </c>
      <c r="BH553" s="28"/>
      <c r="BI553" s="28"/>
    </row>
    <row r="554" spans="1:62" ht="15" thickBot="1" x14ac:dyDescent="0.35">
      <c r="A554" s="34" t="s">
        <v>91</v>
      </c>
      <c r="B554">
        <v>2014</v>
      </c>
      <c r="C554" s="28">
        <v>9</v>
      </c>
      <c r="D554" s="33" t="s">
        <v>358</v>
      </c>
      <c r="E554" s="78"/>
      <c r="F554" s="79"/>
      <c r="G554" s="34"/>
      <c r="H554" s="8"/>
      <c r="I554" s="35"/>
      <c r="J554" s="80"/>
      <c r="K554" s="34"/>
      <c r="L554" s="33"/>
      <c r="M554" s="34" t="s">
        <v>91</v>
      </c>
      <c r="N554" s="35"/>
      <c r="Q554" s="28"/>
      <c r="R554" s="127" t="s">
        <v>817</v>
      </c>
      <c r="S554" s="67">
        <v>0</v>
      </c>
      <c r="T554" s="43">
        <v>1</v>
      </c>
      <c r="U554" s="42"/>
      <c r="V554" s="28"/>
      <c r="W554" s="40"/>
      <c r="X554" s="28"/>
      <c r="Y554" s="40"/>
      <c r="Z554" s="28"/>
      <c r="AA554" s="28"/>
      <c r="AB554" s="40"/>
      <c r="AH554" s="196" t="s">
        <v>218</v>
      </c>
      <c r="AI554" s="138">
        <v>2</v>
      </c>
      <c r="AJ554" s="141">
        <f>12+4</f>
        <v>16</v>
      </c>
      <c r="AK554" s="138"/>
      <c r="AL554" s="28">
        <v>0</v>
      </c>
      <c r="AM554" s="141"/>
      <c r="AN554" s="138"/>
      <c r="AO554" s="141"/>
      <c r="AP554" s="138"/>
      <c r="AQ554" s="28"/>
      <c r="AR554" s="141"/>
      <c r="AS554" s="28"/>
      <c r="AT554" s="28"/>
      <c r="AU554" s="28"/>
      <c r="AW554" s="28"/>
      <c r="AX554" s="195" t="s">
        <v>17</v>
      </c>
      <c r="AY554" s="134" t="s">
        <v>27</v>
      </c>
      <c r="AZ554" s="135"/>
      <c r="BA554" s="134" t="s">
        <v>28</v>
      </c>
      <c r="BB554" s="135"/>
      <c r="BC554" s="136"/>
      <c r="BD554" s="134" t="s">
        <v>1289</v>
      </c>
      <c r="BE554" s="136"/>
      <c r="BF554" s="135" t="s">
        <v>31</v>
      </c>
      <c r="BG554" s="135"/>
      <c r="BH554" s="136"/>
      <c r="BI554" s="28"/>
    </row>
    <row r="555" spans="1:62" ht="15" thickBot="1" x14ac:dyDescent="0.35">
      <c r="A555" s="34" t="s">
        <v>91</v>
      </c>
      <c r="B555">
        <v>2014</v>
      </c>
      <c r="C555" s="28">
        <v>9</v>
      </c>
      <c r="D555" s="52" t="s">
        <v>531</v>
      </c>
      <c r="E555" s="42"/>
      <c r="F555" s="40"/>
      <c r="G555" s="28"/>
      <c r="H555" s="28"/>
      <c r="I555" s="40"/>
      <c r="L555" s="42"/>
      <c r="M555" s="28"/>
      <c r="N555" s="40"/>
      <c r="Q555" s="28"/>
      <c r="R555" s="52" t="s">
        <v>133</v>
      </c>
      <c r="S555" s="67">
        <v>1</v>
      </c>
      <c r="T555" s="43">
        <f>2+1</f>
        <v>3</v>
      </c>
      <c r="U555" s="52" t="s">
        <v>150</v>
      </c>
      <c r="V555" s="54"/>
      <c r="W555" s="85"/>
      <c r="X555" s="18"/>
      <c r="Y555" s="40"/>
      <c r="Z555" s="28" t="s">
        <v>151</v>
      </c>
      <c r="AA555" s="28"/>
      <c r="AB555" s="185"/>
      <c r="AH555" s="196" t="s">
        <v>93</v>
      </c>
      <c r="AI555" s="138">
        <v>0</v>
      </c>
      <c r="AJ555" s="141">
        <v>0</v>
      </c>
      <c r="AK555" s="138"/>
      <c r="AL555" s="28"/>
      <c r="AM555" s="141"/>
      <c r="AN555" s="138"/>
      <c r="AO555" s="141"/>
      <c r="AP555" s="138"/>
      <c r="AQ555" s="28"/>
      <c r="AR555" s="141"/>
      <c r="AS555" s="28"/>
      <c r="AT555" s="28"/>
      <c r="AU555" s="28"/>
      <c r="AW555" s="28"/>
      <c r="AX555" s="196"/>
      <c r="AY555" s="138"/>
      <c r="AZ555" s="28"/>
      <c r="BA555" s="138"/>
      <c r="BB555" s="28"/>
      <c r="BC555" s="141"/>
      <c r="BD555" s="138"/>
      <c r="BE555" s="141"/>
      <c r="BF555" s="28" t="s">
        <v>41</v>
      </c>
      <c r="BG555" s="28"/>
      <c r="BH555" s="141"/>
      <c r="BI555" s="28"/>
    </row>
    <row r="556" spans="1:62" ht="15" thickBot="1" x14ac:dyDescent="0.35">
      <c r="A556" s="34" t="s">
        <v>91</v>
      </c>
      <c r="B556">
        <v>2014</v>
      </c>
      <c r="C556" s="28">
        <v>9</v>
      </c>
      <c r="D556" s="67" t="s">
        <v>113</v>
      </c>
      <c r="E556" s="42">
        <v>387</v>
      </c>
      <c r="F556" s="40">
        <v>405</v>
      </c>
      <c r="G556" s="28"/>
      <c r="H556" s="28"/>
      <c r="I556" s="40"/>
      <c r="J556" s="28"/>
      <c r="K556" s="28"/>
      <c r="L556" s="67">
        <v>38</v>
      </c>
      <c r="M556" s="43" t="s">
        <v>73</v>
      </c>
      <c r="N556" s="40"/>
      <c r="P556" t="s">
        <v>6</v>
      </c>
      <c r="Q556" s="28"/>
      <c r="R556" s="52" t="s">
        <v>85</v>
      </c>
      <c r="S556" s="42">
        <f>5+8</f>
        <v>13</v>
      </c>
      <c r="T556" s="43">
        <f>5+9</f>
        <v>14</v>
      </c>
      <c r="U556" s="42"/>
      <c r="V556" s="54"/>
      <c r="W556" s="40"/>
      <c r="X556" s="45"/>
      <c r="Y556" s="56"/>
      <c r="Z556" s="43" t="s">
        <v>692</v>
      </c>
      <c r="AA556" s="28" t="s">
        <v>666</v>
      </c>
      <c r="AB556" s="40" t="s">
        <v>860</v>
      </c>
      <c r="AH556" s="199" t="s">
        <v>84</v>
      </c>
      <c r="AI556" s="142">
        <f>SUM(AI531:AI555)</f>
        <v>136</v>
      </c>
      <c r="AJ556" s="146">
        <f>SUM(AJ531:AJ555)</f>
        <v>374</v>
      </c>
      <c r="AK556" s="142">
        <v>0</v>
      </c>
      <c r="AL556" s="143">
        <f>SUM(AL531:AL555)</f>
        <v>0</v>
      </c>
      <c r="AM556" s="146">
        <v>0</v>
      </c>
      <c r="AN556" s="142">
        <v>0</v>
      </c>
      <c r="AO556" s="146">
        <v>0</v>
      </c>
      <c r="AP556" s="142"/>
      <c r="AQ556" s="143"/>
      <c r="AR556" s="146">
        <f>10+10+4+6+4+7+7+11+3+4+5+3+3</f>
        <v>77</v>
      </c>
      <c r="AS556" s="28"/>
      <c r="AT556" s="28"/>
      <c r="AU556" s="28"/>
      <c r="AW556" s="28"/>
      <c r="AX556" s="199" t="s">
        <v>42</v>
      </c>
      <c r="AY556" s="142" t="s">
        <v>43</v>
      </c>
      <c r="AZ556" s="143" t="s">
        <v>44</v>
      </c>
      <c r="BA556" s="142" t="s">
        <v>45</v>
      </c>
      <c r="BB556" s="143" t="s">
        <v>46</v>
      </c>
      <c r="BC556" s="146" t="s">
        <v>52</v>
      </c>
      <c r="BD556" s="142" t="s">
        <v>43</v>
      </c>
      <c r="BE556" s="146"/>
      <c r="BF556" s="143" t="s">
        <v>54</v>
      </c>
      <c r="BG556" s="143"/>
      <c r="BH556" s="146"/>
      <c r="BI556" s="28"/>
    </row>
    <row r="557" spans="1:62" ht="16.2" thickBot="1" x14ac:dyDescent="0.35">
      <c r="A557" s="34" t="s">
        <v>91</v>
      </c>
      <c r="B557">
        <v>2014</v>
      </c>
      <c r="C557" s="28">
        <v>9</v>
      </c>
      <c r="D557" s="47" t="s">
        <v>84</v>
      </c>
      <c r="E557" s="47">
        <f>SUM(E554:E556)</f>
        <v>387</v>
      </c>
      <c r="F557" s="49">
        <f>SUM(F554:F556)</f>
        <v>405</v>
      </c>
      <c r="G557" s="81">
        <v>0</v>
      </c>
      <c r="H557" s="27">
        <v>0</v>
      </c>
      <c r="I557" s="82">
        <v>0</v>
      </c>
      <c r="J557" s="74">
        <v>0</v>
      </c>
      <c r="K557" s="74">
        <v>0</v>
      </c>
      <c r="L557" s="47"/>
      <c r="M557" s="51"/>
      <c r="N557" s="49">
        <f>SUM(L556)</f>
        <v>38</v>
      </c>
      <c r="O557" t="s">
        <v>6</v>
      </c>
      <c r="Q557" s="28"/>
      <c r="R557" s="151" t="s">
        <v>93</v>
      </c>
      <c r="S557" s="36">
        <v>0</v>
      </c>
      <c r="T557" s="37">
        <v>0</v>
      </c>
      <c r="U557" s="10"/>
      <c r="V557" s="18"/>
      <c r="W557" s="11"/>
      <c r="X557" s="18"/>
      <c r="Y557" s="11"/>
      <c r="Z557" s="158" t="s">
        <v>861</v>
      </c>
      <c r="AA557" s="178" t="s">
        <v>465</v>
      </c>
      <c r="AB557" s="114" t="s">
        <v>179</v>
      </c>
      <c r="AH557" t="s">
        <v>223</v>
      </c>
      <c r="AI557">
        <f>SUM(AI556+AI530+AI525+AI521+AI518+AI516+AI527)</f>
        <v>2011</v>
      </c>
      <c r="AJ557">
        <f>SUM(AJ556+AJ530+AJ525+AJ521+AJ516+AJ518+AJ527)</f>
        <v>2887</v>
      </c>
      <c r="AK557">
        <v>0</v>
      </c>
      <c r="AL557">
        <f>SUM(AL556+AL530+AL525+AL521+AL518+AL514)</f>
        <v>0</v>
      </c>
      <c r="AM557">
        <v>0</v>
      </c>
      <c r="AN557">
        <f>SUM(AN556+AN530+AN525+AN520+AN518+AN514)</f>
        <v>71430</v>
      </c>
      <c r="AO557">
        <f>SUM(AO556+AO530+AO525+AO520+AO518+AO514)</f>
        <v>20904</v>
      </c>
      <c r="AQ557" t="s">
        <v>939</v>
      </c>
      <c r="AR557">
        <f>SUM(+AR530+AR525+AR521+AR518+AR516)</f>
        <v>315</v>
      </c>
      <c r="AU557" s="28"/>
      <c r="AW557" s="28"/>
      <c r="AX557" s="195" t="s">
        <v>64</v>
      </c>
      <c r="AY557" s="134">
        <v>99</v>
      </c>
      <c r="AZ557" s="136">
        <v>132</v>
      </c>
      <c r="BA557" s="134"/>
      <c r="BB557" s="135"/>
      <c r="BC557" s="136"/>
      <c r="BD557" s="134"/>
      <c r="BE557" s="136"/>
      <c r="BF557" s="134" t="s">
        <v>58</v>
      </c>
      <c r="BG557" s="135"/>
      <c r="BH557" s="136"/>
    </row>
    <row r="558" spans="1:62" ht="15" thickBot="1" x14ac:dyDescent="0.35">
      <c r="A558" s="34" t="s">
        <v>130</v>
      </c>
      <c r="B558">
        <v>2014</v>
      </c>
      <c r="C558" s="28">
        <v>9</v>
      </c>
      <c r="D558" s="52" t="s">
        <v>113</v>
      </c>
      <c r="E558" s="42">
        <v>638</v>
      </c>
      <c r="F558" s="85">
        <v>542</v>
      </c>
      <c r="G558" s="37"/>
      <c r="H558" s="18"/>
      <c r="I558" s="54"/>
      <c r="J558" s="52"/>
      <c r="K558" s="40"/>
      <c r="L558" s="67"/>
      <c r="M558" s="34" t="s">
        <v>130</v>
      </c>
      <c r="N558" s="40"/>
      <c r="Q558" s="28"/>
      <c r="R558" s="42" t="s">
        <v>862</v>
      </c>
      <c r="S558" s="42">
        <v>1</v>
      </c>
      <c r="T558" s="54">
        <v>2</v>
      </c>
      <c r="U558" s="10"/>
      <c r="V558" s="18"/>
      <c r="W558" s="11"/>
      <c r="X558" s="18"/>
      <c r="Y558" s="11"/>
      <c r="Z558" s="158" t="s">
        <v>165</v>
      </c>
      <c r="AA558" s="186" t="s">
        <v>863</v>
      </c>
      <c r="AB558" s="39" t="s">
        <v>864</v>
      </c>
      <c r="AH558" t="s">
        <v>225</v>
      </c>
      <c r="AJ558">
        <f>SUM(AR556)</f>
        <v>77</v>
      </c>
      <c r="AU558" s="28"/>
      <c r="AW558" s="43"/>
      <c r="AX558" s="196" t="s">
        <v>56</v>
      </c>
      <c r="AY558" s="138">
        <v>7</v>
      </c>
      <c r="AZ558" s="141">
        <v>4</v>
      </c>
      <c r="BA558" s="138">
        <v>0</v>
      </c>
      <c r="BB558" s="43">
        <v>0</v>
      </c>
      <c r="BC558" s="209">
        <v>0</v>
      </c>
      <c r="BD558" s="138">
        <v>0</v>
      </c>
      <c r="BE558" s="141">
        <v>0</v>
      </c>
      <c r="BF558" s="212">
        <v>13</v>
      </c>
      <c r="BG558" s="28" t="s">
        <v>474</v>
      </c>
      <c r="BH558" s="141" t="s">
        <v>1654</v>
      </c>
    </row>
    <row r="559" spans="1:62" ht="15" thickBot="1" x14ac:dyDescent="0.35">
      <c r="A559" s="34" t="s">
        <v>130</v>
      </c>
      <c r="B559">
        <v>2014</v>
      </c>
      <c r="C559" s="28">
        <v>9</v>
      </c>
      <c r="D559" s="42" t="s">
        <v>475</v>
      </c>
      <c r="E559" s="67"/>
      <c r="F559" s="85"/>
      <c r="G559" s="28"/>
      <c r="H559" s="18"/>
      <c r="I559" s="28"/>
      <c r="J559" s="52"/>
      <c r="K559" s="86"/>
      <c r="L559" s="52">
        <v>52</v>
      </c>
      <c r="M559" s="43" t="s">
        <v>73</v>
      </c>
      <c r="N559" s="40"/>
      <c r="Q559" s="28"/>
      <c r="R559" s="36" t="s">
        <v>169</v>
      </c>
      <c r="S559" s="36">
        <v>3</v>
      </c>
      <c r="T559" s="37">
        <v>2</v>
      </c>
      <c r="U559" s="10"/>
      <c r="V559" s="18"/>
      <c r="W559" s="11"/>
      <c r="X559" s="18"/>
      <c r="Y559" s="11"/>
      <c r="Z559" s="158" t="s">
        <v>650</v>
      </c>
      <c r="AA559" s="37" t="s">
        <v>425</v>
      </c>
      <c r="AB559" s="39"/>
      <c r="AH559" t="s">
        <v>229</v>
      </c>
      <c r="AJ559">
        <f>1+2+1+6+1</f>
        <v>11</v>
      </c>
      <c r="AU559" s="28"/>
      <c r="AW559" s="28"/>
      <c r="AX559" s="196" t="s">
        <v>1663</v>
      </c>
      <c r="AY559" s="138">
        <v>8</v>
      </c>
      <c r="AZ559" s="141">
        <v>22</v>
      </c>
      <c r="BA559" s="138">
        <v>0</v>
      </c>
      <c r="BB559" s="43">
        <v>0</v>
      </c>
      <c r="BC559" s="209">
        <v>0</v>
      </c>
      <c r="BD559" s="138">
        <v>0</v>
      </c>
      <c r="BE559" s="141">
        <v>0</v>
      </c>
      <c r="BF559" s="138">
        <v>2</v>
      </c>
      <c r="BG559" s="28" t="s">
        <v>69</v>
      </c>
      <c r="BH559" s="141">
        <v>17</v>
      </c>
    </row>
    <row r="560" spans="1:62" ht="15" thickBot="1" x14ac:dyDescent="0.35">
      <c r="A560" s="34" t="s">
        <v>130</v>
      </c>
      <c r="B560">
        <v>2014</v>
      </c>
      <c r="C560" s="28">
        <v>9</v>
      </c>
      <c r="D560" s="59" t="s">
        <v>84</v>
      </c>
      <c r="E560" s="13">
        <f>SUM(E558:E559)</f>
        <v>638</v>
      </c>
      <c r="F560" s="60">
        <f>SUM(F558:F559)</f>
        <v>542</v>
      </c>
      <c r="G560" s="81">
        <v>0</v>
      </c>
      <c r="H560" s="27">
        <v>0</v>
      </c>
      <c r="I560" s="27">
        <v>0</v>
      </c>
      <c r="J560" s="13">
        <v>0</v>
      </c>
      <c r="K560" s="26">
        <v>0</v>
      </c>
      <c r="L560" s="13"/>
      <c r="M560" s="43"/>
      <c r="N560" s="26">
        <f>SUM(L558:L559)</f>
        <v>52</v>
      </c>
      <c r="Q560" s="28"/>
      <c r="R560" s="36" t="s">
        <v>99</v>
      </c>
      <c r="S560" s="36">
        <v>0</v>
      </c>
      <c r="T560" s="37">
        <v>0</v>
      </c>
      <c r="U560" s="10"/>
      <c r="V560" s="18"/>
      <c r="W560" s="11"/>
      <c r="X560" s="18"/>
      <c r="Y560" s="11"/>
      <c r="Z560" s="179" t="s">
        <v>865</v>
      </c>
      <c r="AA560" s="37" t="s">
        <v>714</v>
      </c>
      <c r="AB560" s="39"/>
      <c r="AH560" t="s">
        <v>232</v>
      </c>
      <c r="AJ560" t="s">
        <v>233</v>
      </c>
      <c r="AL560">
        <f>SUM(T557)</f>
        <v>0</v>
      </c>
      <c r="AN560" t="s">
        <v>234</v>
      </c>
      <c r="AP560" t="s">
        <v>233</v>
      </c>
      <c r="AR560">
        <f>SUM(AI557)</f>
        <v>2011</v>
      </c>
      <c r="AW560" s="43"/>
      <c r="AX560" s="239" t="s">
        <v>84</v>
      </c>
      <c r="AY560" s="142">
        <v>114</v>
      </c>
      <c r="AZ560" s="146">
        <v>158</v>
      </c>
      <c r="BA560" s="142">
        <v>0</v>
      </c>
      <c r="BB560" s="143">
        <v>0</v>
      </c>
      <c r="BC560" s="146">
        <v>0</v>
      </c>
      <c r="BD560" s="142">
        <v>0</v>
      </c>
      <c r="BE560" s="146">
        <v>0</v>
      </c>
      <c r="BF560" s="142"/>
      <c r="BG560" s="143"/>
      <c r="BH560" s="146"/>
      <c r="BI560" s="28"/>
    </row>
    <row r="561" spans="3:62" x14ac:dyDescent="0.3">
      <c r="C561" s="28"/>
      <c r="D561" s="88" t="s">
        <v>139</v>
      </c>
      <c r="E561" s="33">
        <v>2</v>
      </c>
      <c r="F561" s="35">
        <v>6</v>
      </c>
      <c r="G561" s="89"/>
      <c r="H561" s="89"/>
      <c r="I561" s="80"/>
      <c r="J561" s="6"/>
      <c r="K561" s="35"/>
      <c r="L561" s="33" t="s">
        <v>140</v>
      </c>
      <c r="M561" s="34"/>
      <c r="N561" s="35"/>
      <c r="Q561" s="28"/>
      <c r="R561" s="150" t="s">
        <v>200</v>
      </c>
      <c r="S561" s="36">
        <v>0</v>
      </c>
      <c r="T561" s="37">
        <v>0</v>
      </c>
      <c r="U561" s="10"/>
      <c r="V561" s="37"/>
      <c r="W561" s="11"/>
      <c r="X561" s="18"/>
      <c r="Y561" s="11"/>
      <c r="Z561" s="158" t="s">
        <v>325</v>
      </c>
      <c r="AA561" s="54" t="s">
        <v>866</v>
      </c>
      <c r="AB561" s="39"/>
      <c r="AG561" t="s">
        <v>6</v>
      </c>
      <c r="AJ561" t="s">
        <v>236</v>
      </c>
      <c r="AL561">
        <f>SUM(U557)</f>
        <v>0</v>
      </c>
      <c r="AP561" t="s">
        <v>236</v>
      </c>
      <c r="AR561">
        <f>SUM(AJ557)</f>
        <v>2887</v>
      </c>
      <c r="AW561" s="43"/>
      <c r="AX561" s="195" t="s">
        <v>6</v>
      </c>
      <c r="AY561" s="134"/>
      <c r="AZ561" s="136"/>
      <c r="BA561" s="135"/>
      <c r="BB561" s="135"/>
      <c r="BC561" s="135"/>
      <c r="BD561" s="134"/>
      <c r="BE561" s="136"/>
      <c r="BF561" s="135" t="s">
        <v>1656</v>
      </c>
      <c r="BG561" s="135"/>
      <c r="BH561" s="136"/>
    </row>
    <row r="562" spans="3:62" x14ac:dyDescent="0.3">
      <c r="C562" s="28"/>
      <c r="D562" s="92" t="s">
        <v>113</v>
      </c>
      <c r="E562" s="67">
        <f>9+36+6+3</f>
        <v>54</v>
      </c>
      <c r="F562" s="56">
        <f>29+3</f>
        <v>32</v>
      </c>
      <c r="G562" s="54"/>
      <c r="H562" s="54"/>
      <c r="I562" s="45"/>
      <c r="J562" s="10"/>
      <c r="K562" s="40"/>
      <c r="L562" s="10" t="s">
        <v>142</v>
      </c>
      <c r="M562" s="18"/>
      <c r="N562" s="39" t="s">
        <v>251</v>
      </c>
      <c r="Q562" s="37"/>
      <c r="R562" s="36" t="s">
        <v>504</v>
      </c>
      <c r="S562" s="36">
        <v>0</v>
      </c>
      <c r="T562" s="37">
        <v>2</v>
      </c>
      <c r="U562" s="10"/>
      <c r="V562" s="18"/>
      <c r="W562" s="11"/>
      <c r="X562" s="18"/>
      <c r="Y562" s="11"/>
      <c r="Z562" s="37" t="s">
        <v>867</v>
      </c>
      <c r="AA562" s="37" t="s">
        <v>868</v>
      </c>
      <c r="AB562" s="180"/>
      <c r="AH562" t="s">
        <v>238</v>
      </c>
      <c r="AI562" t="s">
        <v>239</v>
      </c>
      <c r="AK562" t="s">
        <v>240</v>
      </c>
      <c r="AL562" t="s">
        <v>241</v>
      </c>
      <c r="AO562" t="s">
        <v>242</v>
      </c>
      <c r="AP562" t="s">
        <v>243</v>
      </c>
      <c r="AU562" s="135" t="s">
        <v>91</v>
      </c>
      <c r="AV562">
        <v>2017</v>
      </c>
      <c r="AW562" s="43">
        <v>9</v>
      </c>
      <c r="AX562" s="199" t="s">
        <v>113</v>
      </c>
      <c r="AY562" s="142">
        <v>15</v>
      </c>
      <c r="AZ562" s="146">
        <v>19</v>
      </c>
      <c r="BA562" s="143">
        <v>0</v>
      </c>
      <c r="BB562" s="143">
        <v>0</v>
      </c>
      <c r="BC562" s="143">
        <v>0</v>
      </c>
      <c r="BD562" s="142"/>
      <c r="BE562" s="146"/>
      <c r="BF562" s="143">
        <v>1</v>
      </c>
      <c r="BG562" s="143" t="s">
        <v>73</v>
      </c>
      <c r="BH562" s="146">
        <f>SUM(BF562)</f>
        <v>1</v>
      </c>
    </row>
    <row r="563" spans="3:62" x14ac:dyDescent="0.3">
      <c r="C563" s="28"/>
      <c r="D563" s="92" t="s">
        <v>384</v>
      </c>
      <c r="E563" s="67">
        <v>2</v>
      </c>
      <c r="F563" s="56">
        <v>1</v>
      </c>
      <c r="G563" s="54"/>
      <c r="H563" s="54"/>
      <c r="I563" s="45"/>
      <c r="J563" s="10"/>
      <c r="K563" s="40"/>
      <c r="L563" s="93" t="s">
        <v>146</v>
      </c>
      <c r="M563" s="28"/>
      <c r="N563" s="94" t="s">
        <v>253</v>
      </c>
      <c r="Q563" s="28"/>
      <c r="R563" s="150" t="s">
        <v>211</v>
      </c>
      <c r="S563" s="36">
        <f>19+3</f>
        <v>22</v>
      </c>
      <c r="T563" s="37">
        <v>0</v>
      </c>
      <c r="U563" s="10"/>
      <c r="V563" s="18"/>
      <c r="W563" s="11"/>
      <c r="X563" s="18"/>
      <c r="Y563" s="11"/>
      <c r="Z563" s="159" t="s">
        <v>310</v>
      </c>
      <c r="AA563" s="37" t="s">
        <v>869</v>
      </c>
      <c r="AB563" s="39"/>
      <c r="AH563" t="s">
        <v>233</v>
      </c>
      <c r="AJ563" t="e">
        <f>SUM(#REF!)</f>
        <v>#REF!</v>
      </c>
      <c r="AK563" t="s">
        <v>233</v>
      </c>
      <c r="AM563">
        <f>SUM(F545)</f>
        <v>0</v>
      </c>
      <c r="AN563" t="s">
        <v>233</v>
      </c>
      <c r="AP563">
        <f>SUM(AM563+AI557)</f>
        <v>2011</v>
      </c>
      <c r="AQ563" t="s">
        <v>245</v>
      </c>
      <c r="AR563" t="e">
        <f>SUM(AJ563+AP563)</f>
        <v>#REF!</v>
      </c>
      <c r="AU563" s="28"/>
      <c r="AW563" s="43"/>
      <c r="AX563" s="195" t="s">
        <v>107</v>
      </c>
      <c r="AY563" s="134">
        <v>0</v>
      </c>
      <c r="AZ563" s="136">
        <v>0</v>
      </c>
      <c r="BA563" s="135"/>
      <c r="BB563" s="135"/>
      <c r="BC563" s="135"/>
      <c r="BD563" s="134"/>
      <c r="BE563" s="136"/>
      <c r="BF563" s="135"/>
      <c r="BG563" s="135" t="s">
        <v>92</v>
      </c>
      <c r="BH563" s="136"/>
    </row>
    <row r="564" spans="3:62" x14ac:dyDescent="0.3">
      <c r="C564" s="28" t="s">
        <v>6</v>
      </c>
      <c r="D564" s="127" t="s">
        <v>200</v>
      </c>
      <c r="E564" s="67">
        <v>4</v>
      </c>
      <c r="F564" s="56">
        <v>0</v>
      </c>
      <c r="J564" s="42"/>
      <c r="K564" s="40"/>
      <c r="L564" s="42"/>
      <c r="M564" s="28"/>
      <c r="N564" s="40"/>
      <c r="R564" s="150" t="s">
        <v>64</v>
      </c>
      <c r="S564" s="36">
        <v>7</v>
      </c>
      <c r="T564" s="37">
        <v>7</v>
      </c>
      <c r="U564" s="10"/>
      <c r="V564" s="18"/>
      <c r="W564" s="11"/>
      <c r="X564" s="18"/>
      <c r="Y564" s="11"/>
      <c r="Z564" s="128" t="s">
        <v>871</v>
      </c>
      <c r="AA564" s="37" t="s">
        <v>280</v>
      </c>
      <c r="AB564" s="39"/>
      <c r="AH564" t="s">
        <v>236</v>
      </c>
      <c r="AJ564" t="e">
        <f>SUM(#REF!)</f>
        <v>#REF!</v>
      </c>
      <c r="AK564" t="s">
        <v>236</v>
      </c>
      <c r="AM564">
        <f>SUM(G545)</f>
        <v>0</v>
      </c>
      <c r="AN564" t="s">
        <v>236</v>
      </c>
      <c r="AP564">
        <f>SUM(AM564+AJ557)</f>
        <v>2887</v>
      </c>
      <c r="AR564" t="e">
        <f>SUM(AJ564+AP564)</f>
        <v>#REF!</v>
      </c>
      <c r="AU564" s="28"/>
      <c r="AW564" s="28"/>
      <c r="AX564" s="196" t="s">
        <v>99</v>
      </c>
      <c r="AY564" s="138">
        <v>0</v>
      </c>
      <c r="AZ564" s="141">
        <v>0</v>
      </c>
      <c r="BA564" s="28">
        <v>0</v>
      </c>
      <c r="BB564" s="28">
        <v>0</v>
      </c>
      <c r="BC564" s="28">
        <v>0</v>
      </c>
      <c r="BD564" s="138">
        <v>66197</v>
      </c>
      <c r="BE564" s="141">
        <v>16362</v>
      </c>
      <c r="BF564" s="43">
        <v>23</v>
      </c>
      <c r="BG564" s="28" t="s">
        <v>100</v>
      </c>
      <c r="BH564" s="141"/>
    </row>
    <row r="565" spans="3:62" x14ac:dyDescent="0.3">
      <c r="C565" s="28"/>
      <c r="D565" s="52" t="s">
        <v>133</v>
      </c>
      <c r="E565" s="67">
        <f>21+10</f>
        <v>31</v>
      </c>
      <c r="F565" s="56">
        <f>31+9+5</f>
        <v>45</v>
      </c>
      <c r="G565" s="54" t="s">
        <v>150</v>
      </c>
      <c r="H565" s="54"/>
      <c r="I565" s="45"/>
      <c r="J565" s="10"/>
      <c r="K565" s="40"/>
      <c r="L565" s="42" t="s">
        <v>151</v>
      </c>
      <c r="M565" s="28" t="s">
        <v>532</v>
      </c>
      <c r="N565" s="96"/>
      <c r="R565" s="36" t="s">
        <v>184</v>
      </c>
      <c r="S565" s="36"/>
      <c r="T565" s="37"/>
      <c r="U565" s="10"/>
      <c r="V565" s="18"/>
      <c r="W565" s="11"/>
      <c r="X565" s="18"/>
      <c r="Y565" s="11"/>
      <c r="Z565" s="128" t="s">
        <v>872</v>
      </c>
      <c r="AA565" s="37" t="s">
        <v>873</v>
      </c>
      <c r="AB565" s="39"/>
      <c r="AU565" s="28"/>
      <c r="AW565" s="28"/>
      <c r="AX565" s="199" t="s">
        <v>84</v>
      </c>
      <c r="AY565" s="138">
        <v>0</v>
      </c>
      <c r="AZ565" s="141">
        <v>0</v>
      </c>
      <c r="BA565" s="143"/>
      <c r="BB565" s="143"/>
      <c r="BC565" s="143"/>
      <c r="BD565" s="138"/>
      <c r="BE565" s="141"/>
      <c r="BF565" s="43">
        <v>0</v>
      </c>
      <c r="BG565" s="28" t="s">
        <v>506</v>
      </c>
      <c r="BH565" s="141">
        <f>SUM(BF564:BF565)</f>
        <v>23</v>
      </c>
    </row>
    <row r="566" spans="3:62" x14ac:dyDescent="0.3">
      <c r="C566" s="28"/>
      <c r="D566" s="52" t="s">
        <v>85</v>
      </c>
      <c r="E566" s="42">
        <f>6+5+8</f>
        <v>19</v>
      </c>
      <c r="F566" s="56">
        <f>4+8+7</f>
        <v>19</v>
      </c>
      <c r="G566" s="28"/>
      <c r="H566" s="54"/>
      <c r="I566" s="28"/>
      <c r="J566" s="84"/>
      <c r="K566" s="56"/>
      <c r="L566" s="42" t="s">
        <v>533</v>
      </c>
      <c r="M566" s="28" t="s">
        <v>311</v>
      </c>
      <c r="N566" s="40"/>
      <c r="R566" s="36" t="s">
        <v>874</v>
      </c>
      <c r="S566" s="10">
        <v>6</v>
      </c>
      <c r="T566" s="37">
        <v>7</v>
      </c>
      <c r="U566" s="10"/>
      <c r="V566" s="18"/>
      <c r="W566" s="39"/>
      <c r="X566" s="18"/>
      <c r="Y566" s="11"/>
      <c r="Z566" s="159" t="s">
        <v>875</v>
      </c>
      <c r="AA566" s="37" t="s">
        <v>377</v>
      </c>
      <c r="AB566" s="39"/>
      <c r="AU566" s="135" t="s">
        <v>91</v>
      </c>
      <c r="AV566">
        <v>2017</v>
      </c>
      <c r="AW566" s="28">
        <v>9</v>
      </c>
      <c r="AX566" s="138" t="s">
        <v>108</v>
      </c>
      <c r="AY566" s="134">
        <v>17</v>
      </c>
      <c r="AZ566" s="136">
        <v>0</v>
      </c>
      <c r="BA566" s="134"/>
      <c r="BB566" s="135"/>
      <c r="BC566" s="136"/>
      <c r="BD566" s="134"/>
      <c r="BE566" s="136"/>
      <c r="BF566" s="134"/>
      <c r="BG566" s="135" t="s">
        <v>91</v>
      </c>
      <c r="BH566" s="136"/>
    </row>
    <row r="567" spans="3:62" ht="15.6" x14ac:dyDescent="0.3">
      <c r="C567" s="28"/>
      <c r="D567" s="151" t="s">
        <v>108</v>
      </c>
      <c r="E567" s="36">
        <v>5</v>
      </c>
      <c r="F567" s="39">
        <v>2</v>
      </c>
      <c r="G567" s="18"/>
      <c r="H567" s="18"/>
      <c r="I567" s="18"/>
      <c r="J567" s="10"/>
      <c r="K567" s="11"/>
      <c r="L567" s="98" t="s">
        <v>172</v>
      </c>
      <c r="M567" s="28" t="s">
        <v>534</v>
      </c>
      <c r="N567" s="99"/>
      <c r="R567" s="150" t="s">
        <v>445</v>
      </c>
      <c r="S567" s="10">
        <v>0</v>
      </c>
      <c r="T567" s="37">
        <v>45</v>
      </c>
      <c r="U567" s="10"/>
      <c r="V567" s="18"/>
      <c r="W567" s="11"/>
      <c r="X567" s="18"/>
      <c r="Y567" s="11"/>
      <c r="Z567" s="179" t="s">
        <v>876</v>
      </c>
      <c r="AA567" s="37" t="s">
        <v>539</v>
      </c>
      <c r="AB567" s="39"/>
      <c r="AU567" s="135" t="s">
        <v>91</v>
      </c>
      <c r="AV567">
        <v>2017</v>
      </c>
      <c r="AW567" s="28">
        <v>9</v>
      </c>
      <c r="AX567" s="138" t="s">
        <v>89</v>
      </c>
      <c r="AY567" s="138">
        <v>738</v>
      </c>
      <c r="AZ567" s="141">
        <v>928</v>
      </c>
      <c r="BA567" s="138"/>
      <c r="BB567" s="28"/>
      <c r="BC567" s="141"/>
      <c r="BD567" s="138"/>
      <c r="BE567" s="141"/>
      <c r="BF567" s="212"/>
      <c r="BG567" s="43"/>
      <c r="BH567" s="141"/>
    </row>
    <row r="568" spans="3:62" ht="15.6" x14ac:dyDescent="0.3">
      <c r="C568" s="28"/>
      <c r="D568" s="92" t="s">
        <v>174</v>
      </c>
      <c r="E568" s="42">
        <v>5</v>
      </c>
      <c r="F568" s="40">
        <v>3</v>
      </c>
      <c r="G568" s="18"/>
      <c r="H568" s="18"/>
      <c r="I568" s="18"/>
      <c r="J568" s="10"/>
      <c r="K568" s="11"/>
      <c r="L568" s="98" t="s">
        <v>379</v>
      </c>
      <c r="M568" s="100" t="s">
        <v>535</v>
      </c>
      <c r="N568" s="39"/>
      <c r="R568" s="92" t="s">
        <v>358</v>
      </c>
      <c r="S568" s="84">
        <v>0</v>
      </c>
      <c r="T568" s="54">
        <v>9</v>
      </c>
      <c r="U568" s="84"/>
      <c r="V568" s="45"/>
      <c r="W568" s="85"/>
      <c r="X568" s="18"/>
      <c r="Y568" s="11"/>
      <c r="Z568" s="179" t="s">
        <v>822</v>
      </c>
      <c r="AA568" s="54" t="s">
        <v>693</v>
      </c>
      <c r="AB568" s="86"/>
      <c r="AU568" s="135" t="s">
        <v>91</v>
      </c>
      <c r="AV568">
        <v>2017</v>
      </c>
      <c r="AW568" s="28">
        <v>9</v>
      </c>
      <c r="AX568" s="212" t="s">
        <v>88</v>
      </c>
      <c r="AY568" s="212">
        <v>1</v>
      </c>
      <c r="AZ568" s="209">
        <v>423</v>
      </c>
      <c r="BA568" s="138"/>
      <c r="BB568" s="28"/>
      <c r="BC568" s="141"/>
      <c r="BD568" s="138"/>
      <c r="BE568" s="141"/>
      <c r="BF568" s="138">
        <v>25</v>
      </c>
      <c r="BG568" s="43" t="s">
        <v>1134</v>
      </c>
      <c r="BH568" s="141"/>
    </row>
    <row r="569" spans="3:62" x14ac:dyDescent="0.3">
      <c r="C569" s="28"/>
      <c r="D569" s="36" t="s">
        <v>169</v>
      </c>
      <c r="E569" s="36">
        <v>0</v>
      </c>
      <c r="F569" s="39">
        <v>2</v>
      </c>
      <c r="G569" s="18"/>
      <c r="H569" s="18"/>
      <c r="I569" s="18"/>
      <c r="J569" s="10"/>
      <c r="K569" s="11"/>
      <c r="L569" s="98" t="s">
        <v>537</v>
      </c>
      <c r="M569" s="37" t="s">
        <v>538</v>
      </c>
      <c r="N569" s="39"/>
      <c r="R569" s="67" t="s">
        <v>564</v>
      </c>
      <c r="S569" s="84">
        <v>0</v>
      </c>
      <c r="T569" s="54">
        <v>0</v>
      </c>
      <c r="U569" s="84"/>
      <c r="V569" s="45"/>
      <c r="W569" s="85"/>
      <c r="X569" s="45"/>
      <c r="Y569" s="85"/>
      <c r="Z569" s="179"/>
      <c r="AA569" s="54"/>
      <c r="AB569" s="180"/>
      <c r="AU569" s="135" t="s">
        <v>91</v>
      </c>
      <c r="AV569">
        <v>2017</v>
      </c>
      <c r="AW569" s="28">
        <v>9</v>
      </c>
      <c r="AX569" s="138" t="s">
        <v>137</v>
      </c>
      <c r="AY569" s="138">
        <v>559</v>
      </c>
      <c r="AZ569" s="141">
        <v>527</v>
      </c>
      <c r="BA569" s="138"/>
      <c r="BB569" s="28"/>
      <c r="BC569" s="141"/>
      <c r="BD569" s="138"/>
      <c r="BE569" s="141"/>
      <c r="BF569" s="212">
        <v>44</v>
      </c>
      <c r="BG569" s="28" t="s">
        <v>1292</v>
      </c>
      <c r="BH569" s="141"/>
    </row>
    <row r="570" spans="3:62" x14ac:dyDescent="0.3">
      <c r="C570" s="28"/>
      <c r="D570" s="36" t="s">
        <v>99</v>
      </c>
      <c r="E570" s="36">
        <v>7</v>
      </c>
      <c r="F570" s="39">
        <v>0</v>
      </c>
      <c r="G570" s="18"/>
      <c r="H570" s="18"/>
      <c r="I570" s="18"/>
      <c r="J570" s="10"/>
      <c r="K570" s="11"/>
      <c r="L570" s="52" t="s">
        <v>539</v>
      </c>
      <c r="M570" s="37" t="s">
        <v>540</v>
      </c>
      <c r="N570" s="39"/>
      <c r="R570" s="67" t="s">
        <v>403</v>
      </c>
      <c r="S570" s="84">
        <v>0</v>
      </c>
      <c r="T570" s="54">
        <v>2</v>
      </c>
      <c r="U570" s="84"/>
      <c r="V570" s="45"/>
      <c r="W570" s="85"/>
      <c r="X570" s="45"/>
      <c r="Y570" s="85"/>
      <c r="Z570" s="179"/>
      <c r="AA570" s="54"/>
      <c r="AB570" s="180"/>
      <c r="AL570" t="s">
        <v>5</v>
      </c>
      <c r="AU570" s="135" t="s">
        <v>91</v>
      </c>
      <c r="AV570">
        <v>2017</v>
      </c>
      <c r="AW570" s="28">
        <v>9</v>
      </c>
      <c r="AX570" s="212" t="s">
        <v>97</v>
      </c>
      <c r="AY570" s="212">
        <v>772</v>
      </c>
      <c r="AZ570" s="209">
        <v>627</v>
      </c>
      <c r="BA570" s="138"/>
      <c r="BB570" s="28"/>
      <c r="BC570" s="141"/>
      <c r="BD570" s="138"/>
      <c r="BE570" s="141"/>
      <c r="BF570" s="138">
        <v>0</v>
      </c>
      <c r="BG570" s="43" t="s">
        <v>1294</v>
      </c>
      <c r="BH570" s="141"/>
    </row>
    <row r="571" spans="3:62" x14ac:dyDescent="0.3">
      <c r="C571" s="28"/>
      <c r="D571" s="150" t="s">
        <v>328</v>
      </c>
      <c r="E571" s="36">
        <v>0</v>
      </c>
      <c r="F571" s="39">
        <v>1</v>
      </c>
      <c r="G571" s="18"/>
      <c r="H571" s="37"/>
      <c r="I571" s="18"/>
      <c r="J571" s="10"/>
      <c r="K571" s="11"/>
      <c r="L571" s="150" t="s">
        <v>541</v>
      </c>
      <c r="M571" s="54" t="s">
        <v>513</v>
      </c>
      <c r="N571" s="39"/>
      <c r="R571" s="127" t="s">
        <v>756</v>
      </c>
      <c r="S571" s="84">
        <v>0</v>
      </c>
      <c r="T571" s="54">
        <v>2</v>
      </c>
      <c r="U571" s="42"/>
      <c r="V571" s="45"/>
      <c r="W571" s="40"/>
      <c r="X571" s="45"/>
      <c r="Y571" s="85"/>
      <c r="Z571" s="158"/>
      <c r="AA571" s="54"/>
      <c r="AB571" s="86"/>
      <c r="AM571" t="s">
        <v>2</v>
      </c>
      <c r="AU571" s="135" t="s">
        <v>91</v>
      </c>
      <c r="AV571">
        <v>2017</v>
      </c>
      <c r="AW571" s="28">
        <v>9</v>
      </c>
      <c r="AX571" s="212" t="s">
        <v>113</v>
      </c>
      <c r="AY571" s="212">
        <v>471</v>
      </c>
      <c r="AZ571" s="209">
        <v>517</v>
      </c>
      <c r="BA571" s="138"/>
      <c r="BB571" s="28"/>
      <c r="BC571" s="141"/>
      <c r="BD571" s="138"/>
      <c r="BE571" s="141"/>
      <c r="BF571" s="138">
        <v>0</v>
      </c>
      <c r="BG571" s="43" t="s">
        <v>1577</v>
      </c>
      <c r="BH571" s="141"/>
      <c r="BI571" s="28"/>
    </row>
    <row r="572" spans="3:62" x14ac:dyDescent="0.3">
      <c r="C572" s="37"/>
      <c r="D572" s="36" t="s">
        <v>158</v>
      </c>
      <c r="E572" s="36">
        <v>0</v>
      </c>
      <c r="F572" s="39">
        <v>14</v>
      </c>
      <c r="G572" s="18"/>
      <c r="H572" s="18"/>
      <c r="I572" s="18"/>
      <c r="J572" s="10"/>
      <c r="K572" s="11"/>
      <c r="L572" s="36" t="s">
        <v>542</v>
      </c>
      <c r="M572" s="37" t="s">
        <v>514</v>
      </c>
      <c r="N572" s="40"/>
      <c r="R572" s="127" t="s">
        <v>218</v>
      </c>
      <c r="S572" s="84">
        <v>0</v>
      </c>
      <c r="T572" s="54">
        <v>28</v>
      </c>
      <c r="U572" s="42"/>
      <c r="V572" s="45">
        <v>0</v>
      </c>
      <c r="W572" s="40"/>
      <c r="X572" s="45"/>
      <c r="Y572" s="85"/>
      <c r="Z572" s="179"/>
      <c r="AA572" s="54"/>
      <c r="AB572" s="180"/>
      <c r="AK572" t="s">
        <v>13</v>
      </c>
      <c r="AU572" s="135" t="s">
        <v>91</v>
      </c>
      <c r="AV572">
        <v>2017</v>
      </c>
      <c r="AW572" s="28">
        <v>9</v>
      </c>
      <c r="AX572" s="212" t="s">
        <v>1663</v>
      </c>
      <c r="AY572" s="212">
        <v>0</v>
      </c>
      <c r="AZ572" s="209">
        <v>0</v>
      </c>
      <c r="BA572" s="138"/>
      <c r="BB572" s="43"/>
      <c r="BC572" s="141"/>
      <c r="BD572" s="138"/>
      <c r="BE572" s="141"/>
      <c r="BF572" s="138"/>
      <c r="BG572" s="28"/>
      <c r="BH572" s="141">
        <v>69</v>
      </c>
      <c r="BI572" s="28"/>
      <c r="BJ572" s="28"/>
    </row>
    <row r="573" spans="3:62" x14ac:dyDescent="0.3">
      <c r="C573" s="28"/>
      <c r="D573" s="150" t="s">
        <v>211</v>
      </c>
      <c r="E573" s="36">
        <f>13+5</f>
        <v>18</v>
      </c>
      <c r="F573" s="39">
        <v>1</v>
      </c>
      <c r="G573" s="18"/>
      <c r="H573" s="18"/>
      <c r="I573" s="18"/>
      <c r="J573" s="10"/>
      <c r="K573" s="11"/>
      <c r="L573" s="112" t="s">
        <v>543</v>
      </c>
      <c r="M573" s="37" t="s">
        <v>544</v>
      </c>
      <c r="N573" s="39"/>
      <c r="R573" s="181" t="s">
        <v>108</v>
      </c>
      <c r="S573" s="10">
        <v>3</v>
      </c>
      <c r="T573" s="18">
        <v>2</v>
      </c>
      <c r="U573" s="10"/>
      <c r="V573" s="18"/>
      <c r="W573" s="11"/>
      <c r="X573" s="18"/>
      <c r="Y573" s="11"/>
      <c r="Z573" s="179"/>
      <c r="AA573" s="37"/>
      <c r="AB573" s="182"/>
      <c r="AM573" t="s">
        <v>1146</v>
      </c>
      <c r="AQ573" s="194" t="s">
        <v>950</v>
      </c>
      <c r="AU573" s="28"/>
      <c r="AW573" s="28"/>
      <c r="AX573" s="247" t="s">
        <v>84</v>
      </c>
      <c r="AY573" s="247">
        <f>SUM(AY562:AY572)</f>
        <v>2573</v>
      </c>
      <c r="AZ573" s="248">
        <f>SUM(AZ562:AZ572)</f>
        <v>3041</v>
      </c>
      <c r="BA573" s="197">
        <v>0</v>
      </c>
      <c r="BB573" s="198">
        <v>0</v>
      </c>
      <c r="BC573" s="249">
        <v>0</v>
      </c>
      <c r="BD573" s="197">
        <v>0</v>
      </c>
      <c r="BE573" s="249">
        <v>0</v>
      </c>
      <c r="BF573" s="197"/>
      <c r="BG573" s="198"/>
      <c r="BH573" s="249"/>
      <c r="BI573" s="28"/>
      <c r="BJ573" s="28"/>
    </row>
    <row r="574" spans="3:62" ht="15" thickBot="1" x14ac:dyDescent="0.35">
      <c r="D574" s="150" t="s">
        <v>470</v>
      </c>
      <c r="E574" s="36">
        <v>0</v>
      </c>
      <c r="F574" s="39">
        <v>2</v>
      </c>
      <c r="G574" s="18"/>
      <c r="H574" s="18"/>
      <c r="I574" s="18"/>
      <c r="J574" s="10"/>
      <c r="K574" s="11"/>
      <c r="L574" s="36" t="s">
        <v>409</v>
      </c>
      <c r="M574" s="37" t="s">
        <v>500</v>
      </c>
      <c r="N574" s="114"/>
      <c r="R574" s="13" t="s">
        <v>84</v>
      </c>
      <c r="S574" s="13">
        <f>SUM(S549:S573)</f>
        <v>109</v>
      </c>
      <c r="T574" s="27">
        <f>SUM(T549:T573)</f>
        <v>189</v>
      </c>
      <c r="U574" s="13">
        <v>0</v>
      </c>
      <c r="V574" s="27">
        <f>SUM(V549:V573)</f>
        <v>0</v>
      </c>
      <c r="W574" s="26">
        <f>SUM(W549:W573)</f>
        <v>0</v>
      </c>
      <c r="X574" s="58">
        <v>0</v>
      </c>
      <c r="Y574" s="26">
        <v>0</v>
      </c>
      <c r="Z574" s="81"/>
      <c r="AA574" s="27"/>
      <c r="AB574" s="26">
        <f>4+5+6+4+10+9+14+11+4</f>
        <v>67</v>
      </c>
      <c r="AH574" s="195" t="s">
        <v>17</v>
      </c>
      <c r="AI574" s="134" t="s">
        <v>27</v>
      </c>
      <c r="AJ574" s="136"/>
      <c r="AK574" s="135" t="s">
        <v>28</v>
      </c>
      <c r="AL574" s="135"/>
      <c r="AM574" s="135"/>
      <c r="AN574" s="135" t="s">
        <v>29</v>
      </c>
      <c r="AO574" s="135" t="s">
        <v>30</v>
      </c>
      <c r="AP574" s="134" t="s">
        <v>1147</v>
      </c>
      <c r="AQ574" s="135"/>
      <c r="AR574" s="225"/>
      <c r="AS574" s="218"/>
      <c r="AT574" s="218"/>
      <c r="AU574" s="28"/>
      <c r="AW574" s="28"/>
      <c r="AX574" s="134"/>
      <c r="AY574" s="134"/>
      <c r="AZ574" s="136"/>
      <c r="BA574" s="135"/>
      <c r="BB574" s="135"/>
      <c r="BC574" s="135"/>
      <c r="BD574" s="138"/>
      <c r="BE574" s="141"/>
      <c r="BF574" s="28" t="s">
        <v>1025</v>
      </c>
      <c r="BG574" s="28"/>
      <c r="BH574" s="141"/>
      <c r="BJ574" s="28"/>
    </row>
    <row r="575" spans="3:62" ht="15" thickBot="1" x14ac:dyDescent="0.35">
      <c r="D575" s="36" t="s">
        <v>214</v>
      </c>
      <c r="E575" s="36">
        <v>4</v>
      </c>
      <c r="F575" s="39">
        <v>1</v>
      </c>
      <c r="G575" s="18"/>
      <c r="H575" s="18"/>
      <c r="I575" s="18"/>
      <c r="J575" s="10"/>
      <c r="K575" s="11"/>
      <c r="L575" s="36" t="s">
        <v>317</v>
      </c>
      <c r="M575" s="37" t="s">
        <v>415</v>
      </c>
      <c r="N575" s="39"/>
      <c r="R575" s="13" t="s">
        <v>223</v>
      </c>
      <c r="S575" s="13">
        <f>SUM(S574+S548+S545+S541+S538+S535+S533)</f>
        <v>1586</v>
      </c>
      <c r="T575" s="26">
        <f>SUM(T574+T548+T545+T541+T538+T535+T533)</f>
        <v>1951</v>
      </c>
      <c r="U575" s="26">
        <f>SUM(U574+U548+U545+U541+U538+U535+U533)</f>
        <v>0</v>
      </c>
      <c r="V575" s="26">
        <f>SUM(V574+V548+V545+V541+V538+V535+V533)</f>
        <v>0</v>
      </c>
      <c r="W575" s="26">
        <f>SUM(W574+W548+W545+W541+W538+W535+W533)</f>
        <v>0</v>
      </c>
      <c r="X575" s="160">
        <f>SUM(X574+X548+X545+X541+X537+X535+X533)</f>
        <v>58157</v>
      </c>
      <c r="Y575" s="26">
        <f>SUM(Y574+Y548+Y545+Y541+Y537+Y535+Y533)</f>
        <v>21998</v>
      </c>
      <c r="Z575" s="81"/>
      <c r="AA575" s="27" t="s">
        <v>247</v>
      </c>
      <c r="AB575" s="26">
        <f>SUM(AB533:AB574)</f>
        <v>220</v>
      </c>
      <c r="AH575" s="199" t="s">
        <v>42</v>
      </c>
      <c r="AI575" s="142" t="s">
        <v>43</v>
      </c>
      <c r="AJ575" s="146" t="s">
        <v>44</v>
      </c>
      <c r="AK575" s="143" t="s">
        <v>45</v>
      </c>
      <c r="AL575" s="143" t="s">
        <v>46</v>
      </c>
      <c r="AM575" s="143" t="s">
        <v>52</v>
      </c>
      <c r="AN575" s="143" t="s">
        <v>43</v>
      </c>
      <c r="AO575" s="143" t="s">
        <v>44</v>
      </c>
      <c r="AP575" s="142" t="s">
        <v>1148</v>
      </c>
      <c r="AQ575" s="143"/>
      <c r="AR575" s="146"/>
      <c r="AS575" s="28"/>
      <c r="AT575" s="28"/>
      <c r="AU575" s="28"/>
      <c r="AW575" s="28"/>
      <c r="AX575" s="142" t="s">
        <v>64</v>
      </c>
      <c r="AY575" s="142">
        <v>43</v>
      </c>
      <c r="AZ575" s="146">
        <v>57</v>
      </c>
      <c r="BA575" s="143">
        <v>0</v>
      </c>
      <c r="BB575" s="143">
        <v>0</v>
      </c>
      <c r="BC575" s="143"/>
      <c r="BD575" s="142">
        <v>0</v>
      </c>
      <c r="BE575" s="146">
        <v>0</v>
      </c>
      <c r="BF575" s="143">
        <v>5</v>
      </c>
      <c r="BG575" s="143" t="s">
        <v>1026</v>
      </c>
      <c r="BH575" s="146">
        <f>SUM(BF575)</f>
        <v>5</v>
      </c>
      <c r="BI575" t="s">
        <v>6</v>
      </c>
      <c r="BJ575" s="28"/>
    </row>
    <row r="576" spans="3:62" x14ac:dyDescent="0.3">
      <c r="D576" s="36" t="s">
        <v>523</v>
      </c>
      <c r="E576" s="10">
        <v>0</v>
      </c>
      <c r="F576" s="39">
        <v>0</v>
      </c>
      <c r="G576" s="18"/>
      <c r="H576" s="18"/>
      <c r="I576" s="37"/>
      <c r="J576" s="10"/>
      <c r="K576" s="11"/>
      <c r="L576" s="124" t="s">
        <v>510</v>
      </c>
      <c r="M576" s="37" t="s">
        <v>545</v>
      </c>
      <c r="N576" s="39"/>
      <c r="R576" s="131" t="s">
        <v>225</v>
      </c>
      <c r="T576">
        <f>SUM(AB574)</f>
        <v>67</v>
      </c>
      <c r="V576" t="s">
        <v>184</v>
      </c>
      <c r="W576" s="132"/>
      <c r="AH576" s="195" t="s">
        <v>6</v>
      </c>
      <c r="AI576" s="135"/>
      <c r="AJ576" s="135"/>
      <c r="AK576" s="134"/>
      <c r="AL576" s="135"/>
      <c r="AM576" s="135"/>
      <c r="AN576" s="134"/>
      <c r="AO576" s="136"/>
      <c r="AP576" s="135" t="s">
        <v>58</v>
      </c>
      <c r="AQ576" s="135"/>
      <c r="AR576" s="136"/>
      <c r="AS576" s="28"/>
      <c r="AT576" s="28"/>
      <c r="AU576" s="28"/>
      <c r="AW576" s="28"/>
      <c r="AX576" s="138"/>
      <c r="AY576" s="138"/>
      <c r="AZ576" s="141"/>
      <c r="BA576" s="28"/>
      <c r="BB576" s="28"/>
      <c r="BC576" s="28"/>
      <c r="BD576" s="138"/>
      <c r="BE576" s="141"/>
      <c r="BF576" s="28" t="s">
        <v>994</v>
      </c>
      <c r="BG576" s="28"/>
      <c r="BH576" s="141"/>
      <c r="BJ576" s="28"/>
    </row>
    <row r="577" spans="3:62" x14ac:dyDescent="0.3">
      <c r="D577" s="93" t="s">
        <v>93</v>
      </c>
      <c r="E577" s="10">
        <v>6</v>
      </c>
      <c r="F577" s="39">
        <v>6</v>
      </c>
      <c r="G577" s="18"/>
      <c r="H577" s="18"/>
      <c r="I577" s="18"/>
      <c r="J577" s="10"/>
      <c r="K577" s="11"/>
      <c r="L577" s="52" t="s">
        <v>292</v>
      </c>
      <c r="M577" s="37" t="s">
        <v>166</v>
      </c>
      <c r="N577" s="39"/>
      <c r="R577" t="s">
        <v>229</v>
      </c>
      <c r="T577">
        <v>20</v>
      </c>
      <c r="AH577" s="196" t="s">
        <v>64</v>
      </c>
      <c r="AI577" s="28">
        <v>118</v>
      </c>
      <c r="AJ577" s="28">
        <v>142</v>
      </c>
      <c r="AK577" s="138">
        <v>0</v>
      </c>
      <c r="AL577" s="28">
        <v>0</v>
      </c>
      <c r="AM577" s="28">
        <v>0</v>
      </c>
      <c r="AN577" s="138">
        <v>0</v>
      </c>
      <c r="AO577" s="141">
        <v>0</v>
      </c>
      <c r="AP577" s="43">
        <v>16</v>
      </c>
      <c r="AQ577" s="28" t="s">
        <v>474</v>
      </c>
      <c r="AR577" s="141" t="s">
        <v>6</v>
      </c>
      <c r="AS577" s="28"/>
      <c r="AT577" s="28"/>
      <c r="AU577" s="28" t="s">
        <v>994</v>
      </c>
      <c r="AV577">
        <v>2017</v>
      </c>
      <c r="AW577" s="28">
        <v>9</v>
      </c>
      <c r="AX577" s="138" t="s">
        <v>113</v>
      </c>
      <c r="AY577" s="138">
        <v>414</v>
      </c>
      <c r="AZ577" s="141">
        <v>419</v>
      </c>
      <c r="BA577" s="28"/>
      <c r="BB577" s="28"/>
      <c r="BC577" s="28"/>
      <c r="BD577" s="138"/>
      <c r="BE577" s="141"/>
      <c r="BF577" s="28">
        <v>21</v>
      </c>
      <c r="BG577" s="28" t="s">
        <v>100</v>
      </c>
      <c r="BH577" s="141"/>
      <c r="BJ577" s="28"/>
    </row>
    <row r="578" spans="3:62" x14ac:dyDescent="0.3">
      <c r="D578" s="92" t="s">
        <v>64</v>
      </c>
      <c r="E578" s="84">
        <v>2</v>
      </c>
      <c r="F578" s="86">
        <v>0</v>
      </c>
      <c r="G578" s="45"/>
      <c r="H578" s="45"/>
      <c r="I578" s="45"/>
      <c r="J578" s="10"/>
      <c r="K578" s="11"/>
      <c r="L578" s="112" t="s">
        <v>378</v>
      </c>
      <c r="M578" s="54" t="s">
        <v>546</v>
      </c>
      <c r="N578" s="86"/>
      <c r="R578" t="s">
        <v>232</v>
      </c>
      <c r="T578" t="s">
        <v>233</v>
      </c>
      <c r="V578">
        <f>SUM(G575)</f>
        <v>0</v>
      </c>
      <c r="X578" t="s">
        <v>234</v>
      </c>
      <c r="Z578" t="s">
        <v>233</v>
      </c>
      <c r="AB578">
        <f>SUM(S575)</f>
        <v>1586</v>
      </c>
      <c r="AH578" s="196" t="s">
        <v>108</v>
      </c>
      <c r="AI578">
        <v>7</v>
      </c>
      <c r="AJ578">
        <v>10</v>
      </c>
      <c r="AK578" s="138"/>
      <c r="AL578" s="28"/>
      <c r="AM578" s="28"/>
      <c r="AN578" s="138"/>
      <c r="AO578" s="141"/>
      <c r="AP578" s="28">
        <v>1</v>
      </c>
      <c r="AQ578" s="28" t="s">
        <v>1149</v>
      </c>
      <c r="AR578" s="141"/>
      <c r="AS578" s="28"/>
      <c r="AT578" s="28"/>
      <c r="AU578" s="218"/>
      <c r="AW578" s="28"/>
      <c r="AX578" s="142" t="s">
        <v>84</v>
      </c>
      <c r="AY578" s="142">
        <v>414</v>
      </c>
      <c r="AZ578" s="146">
        <v>419</v>
      </c>
      <c r="BA578" s="143"/>
      <c r="BB578" s="143"/>
      <c r="BC578" s="143"/>
      <c r="BD578" s="142"/>
      <c r="BE578" s="146"/>
      <c r="BF578" s="43">
        <v>30</v>
      </c>
      <c r="BG578" s="43" t="s">
        <v>1292</v>
      </c>
      <c r="BH578" s="146">
        <v>51</v>
      </c>
      <c r="BJ578" s="28"/>
    </row>
    <row r="579" spans="3:62" x14ac:dyDescent="0.3">
      <c r="D579" s="127" t="s">
        <v>220</v>
      </c>
      <c r="E579" s="84">
        <v>2</v>
      </c>
      <c r="F579" s="86">
        <v>2</v>
      </c>
      <c r="G579" s="45"/>
      <c r="H579" s="45"/>
      <c r="I579" s="45"/>
      <c r="J579" s="84"/>
      <c r="K579" s="85"/>
      <c r="L579" s="52" t="s">
        <v>547</v>
      </c>
      <c r="M579" s="54" t="s">
        <v>548</v>
      </c>
      <c r="N579" s="40"/>
      <c r="Q579" t="s">
        <v>6</v>
      </c>
      <c r="T579" t="s">
        <v>236</v>
      </c>
      <c r="V579">
        <f>SUM(H575)</f>
        <v>0</v>
      </c>
      <c r="Z579" t="s">
        <v>236</v>
      </c>
      <c r="AB579">
        <f>SUM(T575)</f>
        <v>1951</v>
      </c>
      <c r="AH579" s="199" t="s">
        <v>84</v>
      </c>
      <c r="AI579" s="143">
        <f>SUM(AI576:AI578)</f>
        <v>125</v>
      </c>
      <c r="AJ579" s="143">
        <f>SUM(AJ576:AJ578)</f>
        <v>152</v>
      </c>
      <c r="AK579" s="142"/>
      <c r="AL579" s="143"/>
      <c r="AM579" s="143"/>
      <c r="AN579" s="142"/>
      <c r="AO579" s="146"/>
      <c r="AP579" s="143">
        <v>2</v>
      </c>
      <c r="AQ579" s="143" t="s">
        <v>69</v>
      </c>
      <c r="AR579" s="146">
        <f>SUM(AP577:AP579)</f>
        <v>19</v>
      </c>
      <c r="AS579" s="28"/>
      <c r="AT579" s="28"/>
      <c r="AU579" s="28"/>
      <c r="AW579" s="28"/>
      <c r="AX579" s="195" t="s">
        <v>113</v>
      </c>
      <c r="AY579" s="134">
        <v>16</v>
      </c>
      <c r="AZ579" s="136">
        <v>28</v>
      </c>
      <c r="BA579" s="134"/>
      <c r="BB579" s="135"/>
      <c r="BC579" s="136"/>
      <c r="BD579" s="134"/>
      <c r="BE579" s="136"/>
      <c r="BF579" s="134" t="s">
        <v>140</v>
      </c>
      <c r="BG579" s="135"/>
      <c r="BH579" s="136"/>
      <c r="BJ579" s="28"/>
    </row>
    <row r="580" spans="3:62" x14ac:dyDescent="0.3">
      <c r="D580" s="127" t="s">
        <v>549</v>
      </c>
      <c r="E580" s="84">
        <v>2</v>
      </c>
      <c r="F580" s="86">
        <v>0</v>
      </c>
      <c r="G580" s="45"/>
      <c r="H580" s="45"/>
      <c r="I580" s="45"/>
      <c r="J580" s="84"/>
      <c r="K580" s="85"/>
      <c r="L580" s="52" t="s">
        <v>550</v>
      </c>
      <c r="M580" s="54"/>
      <c r="N580" s="40"/>
      <c r="R580" s="134" t="s">
        <v>238</v>
      </c>
      <c r="S580" s="135" t="s">
        <v>239</v>
      </c>
      <c r="T580" s="136"/>
      <c r="U580" s="134" t="s">
        <v>240</v>
      </c>
      <c r="V580" s="135" t="s">
        <v>241</v>
      </c>
      <c r="W580" s="136"/>
      <c r="X580" s="134"/>
      <c r="Y580" s="135" t="s">
        <v>242</v>
      </c>
      <c r="Z580" s="137" t="s">
        <v>243</v>
      </c>
      <c r="AA580" s="135"/>
      <c r="AB580" s="135"/>
      <c r="AC580" s="136"/>
      <c r="AD580" s="28"/>
      <c r="AE580" s="28"/>
      <c r="AF580" s="28"/>
      <c r="AH580" s="195" t="s">
        <v>6</v>
      </c>
      <c r="AI580" s="134" t="s">
        <v>6</v>
      </c>
      <c r="AJ580" s="136"/>
      <c r="AK580" s="135"/>
      <c r="AL580" s="135">
        <v>0</v>
      </c>
      <c r="AM580" s="135"/>
      <c r="AN580" s="134"/>
      <c r="AO580" s="136"/>
      <c r="AP580" s="135" t="s">
        <v>1092</v>
      </c>
      <c r="AQ580" s="135"/>
      <c r="AR580" s="136"/>
      <c r="AS580" s="28"/>
      <c r="AT580" s="28"/>
      <c r="AU580" s="28"/>
      <c r="AW580" s="28"/>
      <c r="AX580" s="196" t="s">
        <v>133</v>
      </c>
      <c r="AY580" s="138">
        <v>16</v>
      </c>
      <c r="AZ580" s="141">
        <v>12</v>
      </c>
      <c r="BA580" s="138"/>
      <c r="BB580" s="28"/>
      <c r="BC580" s="141"/>
      <c r="BD580" s="138"/>
      <c r="BE580" s="141"/>
      <c r="BF580" s="138"/>
      <c r="BG580" s="28"/>
      <c r="BH580" s="141"/>
      <c r="BJ580" s="28"/>
    </row>
    <row r="581" spans="3:62" x14ac:dyDescent="0.3">
      <c r="D581" s="127" t="s">
        <v>107</v>
      </c>
      <c r="E581" s="84">
        <v>3</v>
      </c>
      <c r="F581" s="86">
        <v>3</v>
      </c>
      <c r="G581" s="28"/>
      <c r="H581" s="45"/>
      <c r="I581" s="28"/>
      <c r="J581" s="84"/>
      <c r="K581" s="85"/>
      <c r="L581" s="98" t="s">
        <v>478</v>
      </c>
      <c r="M581" s="54"/>
      <c r="N581" s="86"/>
      <c r="R581" s="138" t="s">
        <v>233</v>
      </c>
      <c r="S581" s="28"/>
      <c r="T581" s="139" t="e">
        <f>SUM(#REF!)</f>
        <v>#REF!</v>
      </c>
      <c r="U581" s="138" t="s">
        <v>233</v>
      </c>
      <c r="V581" s="28"/>
      <c r="W581" s="139" t="e">
        <f>SUM(#REF!)</f>
        <v>#REF!</v>
      </c>
      <c r="X581" s="138" t="s">
        <v>233</v>
      </c>
      <c r="Y581" s="28"/>
      <c r="Z581" s="140" t="e">
        <f>SUM(AB578+W581)</f>
        <v>#REF!</v>
      </c>
      <c r="AA581" s="28" t="s">
        <v>245</v>
      </c>
      <c r="AB581" s="140" t="e">
        <f>SUM(Z581+T581)</f>
        <v>#REF!</v>
      </c>
      <c r="AC581" s="139"/>
      <c r="AD581" s="140"/>
      <c r="AE581" s="140"/>
      <c r="AF581" s="140"/>
      <c r="AH581" s="199" t="s">
        <v>108</v>
      </c>
      <c r="AI581" s="142">
        <v>259</v>
      </c>
      <c r="AJ581" s="146">
        <v>344</v>
      </c>
      <c r="AK581" s="143"/>
      <c r="AL581" s="143">
        <v>0</v>
      </c>
      <c r="AM581" s="143">
        <v>0</v>
      </c>
      <c r="AN581" s="142">
        <v>0</v>
      </c>
      <c r="AO581" s="146">
        <v>0</v>
      </c>
      <c r="AP581" s="143">
        <v>16</v>
      </c>
      <c r="AQ581" s="143" t="s">
        <v>780</v>
      </c>
      <c r="AR581" s="146">
        <f>SUM(AP581)</f>
        <v>16</v>
      </c>
      <c r="AS581" s="28"/>
      <c r="AT581" s="28"/>
      <c r="AU581" s="28"/>
      <c r="AW581" s="28"/>
      <c r="AX581" s="196" t="s">
        <v>1704</v>
      </c>
      <c r="AY581" s="138">
        <v>3</v>
      </c>
      <c r="AZ581" s="141">
        <v>8</v>
      </c>
      <c r="BA581" s="138"/>
      <c r="BB581" s="28"/>
      <c r="BC581" s="141"/>
      <c r="BD581" s="138"/>
      <c r="BE581" s="141"/>
      <c r="BF581" s="138"/>
      <c r="BG581" s="28"/>
      <c r="BH581" s="141"/>
      <c r="BJ581" s="28"/>
    </row>
    <row r="582" spans="3:62" x14ac:dyDescent="0.3">
      <c r="D582" s="127" t="s">
        <v>218</v>
      </c>
      <c r="E582" s="84">
        <v>0</v>
      </c>
      <c r="F582" s="86">
        <v>9</v>
      </c>
      <c r="G582" s="28"/>
      <c r="H582" s="45">
        <v>7</v>
      </c>
      <c r="I582" s="28"/>
      <c r="J582" s="84"/>
      <c r="K582" s="85"/>
      <c r="L582" s="52" t="s">
        <v>551</v>
      </c>
      <c r="M582" s="54"/>
      <c r="N582" s="40"/>
      <c r="R582" s="142" t="s">
        <v>236</v>
      </c>
      <c r="S582" s="143"/>
      <c r="T582" s="144" t="e">
        <f>SUM(#REF!)</f>
        <v>#REF!</v>
      </c>
      <c r="U582" s="142" t="s">
        <v>236</v>
      </c>
      <c r="V582" s="143"/>
      <c r="W582" s="144" t="e">
        <f>SUM(#REF!)</f>
        <v>#REF!</v>
      </c>
      <c r="X582" s="142" t="s">
        <v>236</v>
      </c>
      <c r="Y582" s="143"/>
      <c r="Z582" s="145" t="e">
        <f>SUM(AB579+W582)</f>
        <v>#REF!</v>
      </c>
      <c r="AA582" s="143"/>
      <c r="AB582" s="145" t="e">
        <f>SUM(Z582+T582)</f>
        <v>#REF!</v>
      </c>
      <c r="AC582" s="144"/>
      <c r="AD582" s="140"/>
      <c r="AE582" s="140"/>
      <c r="AF582" s="140"/>
      <c r="AH582" s="195" t="s">
        <v>107</v>
      </c>
      <c r="AI582" s="134">
        <v>0</v>
      </c>
      <c r="AJ582" s="136">
        <v>0</v>
      </c>
      <c r="AK582" s="135"/>
      <c r="AL582" s="135"/>
      <c r="AM582" s="135"/>
      <c r="AN582" s="134"/>
      <c r="AO582" s="136"/>
      <c r="AP582" s="135"/>
      <c r="AQ582" s="135" t="s">
        <v>92</v>
      </c>
      <c r="AR582" s="136"/>
      <c r="AS582" s="28"/>
      <c r="AT582" s="28"/>
      <c r="AU582" s="28"/>
      <c r="AW582" s="28"/>
      <c r="AX582" s="196" t="s">
        <v>1706</v>
      </c>
      <c r="AY582" s="138">
        <v>0</v>
      </c>
      <c r="AZ582" s="141">
        <v>4</v>
      </c>
      <c r="BA582" s="138"/>
      <c r="BB582" s="28"/>
      <c r="BC582" s="141"/>
      <c r="BD582" s="138"/>
      <c r="BE582" s="141"/>
      <c r="BF582" s="138" t="s">
        <v>142</v>
      </c>
      <c r="BG582" s="28"/>
      <c r="BH582" s="141" t="s">
        <v>1360</v>
      </c>
      <c r="BJ582" s="28"/>
    </row>
    <row r="583" spans="3:62" x14ac:dyDescent="0.3">
      <c r="D583" s="98" t="s">
        <v>526</v>
      </c>
      <c r="E583" s="10">
        <v>0</v>
      </c>
      <c r="F583" s="11">
        <v>0</v>
      </c>
      <c r="G583" s="18"/>
      <c r="H583" s="18"/>
      <c r="I583" s="18"/>
      <c r="J583" s="10"/>
      <c r="K583" s="11"/>
      <c r="L583" s="52"/>
      <c r="M583" s="37"/>
      <c r="N583" s="129"/>
      <c r="AH583" s="196" t="s">
        <v>99</v>
      </c>
      <c r="AI583" s="138">
        <v>16</v>
      </c>
      <c r="AJ583" s="141">
        <v>0</v>
      </c>
      <c r="AK583" s="28">
        <v>0</v>
      </c>
      <c r="AL583" s="28">
        <v>0</v>
      </c>
      <c r="AM583" s="28">
        <v>0</v>
      </c>
      <c r="AN583" s="138">
        <v>58088</v>
      </c>
      <c r="AO583" s="141">
        <v>14544</v>
      </c>
      <c r="AP583" s="43">
        <f>42/2</f>
        <v>21</v>
      </c>
      <c r="AQ583" s="28" t="s">
        <v>100</v>
      </c>
      <c r="AR583" s="141"/>
      <c r="AS583" s="28"/>
      <c r="AT583" s="28"/>
      <c r="AU583" s="28"/>
      <c r="AW583" s="28"/>
      <c r="AX583" s="196" t="s">
        <v>704</v>
      </c>
      <c r="AY583" s="138">
        <v>0</v>
      </c>
      <c r="AZ583" s="141">
        <v>2</v>
      </c>
      <c r="BA583" s="138"/>
      <c r="BB583" s="28"/>
      <c r="BC583" s="141"/>
      <c r="BD583" s="138"/>
      <c r="BE583" s="141"/>
      <c r="BF583" s="138" t="s">
        <v>146</v>
      </c>
      <c r="BG583" s="28"/>
      <c r="BH583" s="141" t="s">
        <v>1662</v>
      </c>
      <c r="BJ583" s="28"/>
    </row>
    <row r="584" spans="3:62" ht="15" thickBot="1" x14ac:dyDescent="0.35">
      <c r="D584" s="13" t="s">
        <v>84</v>
      </c>
      <c r="E584" s="13">
        <f>SUM(E561:E583)</f>
        <v>166</v>
      </c>
      <c r="F584" s="26">
        <f>SUM(F561:F583)</f>
        <v>149</v>
      </c>
      <c r="G584" s="27">
        <v>0</v>
      </c>
      <c r="H584" s="27">
        <f>SUM(H561:H583)</f>
        <v>7</v>
      </c>
      <c r="I584" s="27">
        <v>0</v>
      </c>
      <c r="J584" s="130">
        <v>0</v>
      </c>
      <c r="K584" s="26">
        <v>0</v>
      </c>
      <c r="L584" s="59"/>
      <c r="M584" s="27"/>
      <c r="N584" s="26">
        <f>8+8+5+4+4+2+3+4+6+4+4+4+4+2+4+9+3</f>
        <v>78</v>
      </c>
      <c r="AH584" s="199" t="s">
        <v>84</v>
      </c>
      <c r="AI584" s="138">
        <f>SUM(AI582:AI583)</f>
        <v>16</v>
      </c>
      <c r="AJ584" s="141">
        <f>SUM(AJ582:AJ583)</f>
        <v>0</v>
      </c>
      <c r="AK584" s="143"/>
      <c r="AL584" s="143"/>
      <c r="AM584" s="143"/>
      <c r="AN584" s="142"/>
      <c r="AO584" s="146"/>
      <c r="AP584" s="143">
        <v>2</v>
      </c>
      <c r="AQ584" s="143" t="s">
        <v>506</v>
      </c>
      <c r="AR584" s="146">
        <f>SUM(AP583:AP584)</f>
        <v>23</v>
      </c>
      <c r="AS584" s="28"/>
      <c r="AT584" s="28"/>
      <c r="AU584" s="28"/>
      <c r="AW584" s="28"/>
      <c r="AX584" s="196" t="s">
        <v>432</v>
      </c>
      <c r="AY584" s="138">
        <v>0</v>
      </c>
      <c r="AZ584" s="141">
        <v>2</v>
      </c>
      <c r="BA584" s="138"/>
      <c r="BB584" s="28"/>
      <c r="BC584" s="141"/>
      <c r="BD584" s="138"/>
      <c r="BE584" s="141"/>
      <c r="BF584" s="138"/>
      <c r="BG584" s="28"/>
      <c r="BH584" s="141" t="s">
        <v>1063</v>
      </c>
      <c r="BJ584" s="28"/>
    </row>
    <row r="585" spans="3:62" ht="16.2" thickBot="1" x14ac:dyDescent="0.35">
      <c r="D585" s="13" t="s">
        <v>223</v>
      </c>
      <c r="E585" s="13">
        <f>SUM(E584+E560+E557+E553+E550+E547+E545+E543)</f>
        <v>1717</v>
      </c>
      <c r="F585" s="26">
        <f>SUM(F584+F560+F557+F553+F550+F547+F545+F543)</f>
        <v>1698</v>
      </c>
      <c r="G585" s="27">
        <f>SUM(G584+G560+G553+G549+G547+G545+G542)</f>
        <v>0</v>
      </c>
      <c r="H585" s="27">
        <f>SUM(H561:H583)</f>
        <v>7</v>
      </c>
      <c r="I585" s="27">
        <f>SUM(I584+I560+I553+I549+I547+I545+I542)</f>
        <v>0</v>
      </c>
      <c r="J585" s="13">
        <f>SUM(J584+J560+J553+J549+J547+J545+J542)</f>
        <v>52914</v>
      </c>
      <c r="K585" s="26">
        <f>SUM(K584+K560+K553+K549+K547+K545+K542)</f>
        <v>17545</v>
      </c>
      <c r="L585" s="81"/>
      <c r="M585" s="27" t="s">
        <v>189</v>
      </c>
      <c r="N585" s="26">
        <f>SUM(N542:N583)</f>
        <v>161</v>
      </c>
      <c r="AE585" s="28" t="s">
        <v>91</v>
      </c>
      <c r="AF585">
        <v>2016</v>
      </c>
      <c r="AG585">
        <v>10</v>
      </c>
      <c r="AH585" s="138" t="s">
        <v>89</v>
      </c>
      <c r="AI585" s="134">
        <v>242</v>
      </c>
      <c r="AJ585" s="136">
        <v>256</v>
      </c>
      <c r="AN585" s="134"/>
      <c r="AO585" s="136"/>
      <c r="AP585" s="28"/>
      <c r="AQ585" s="28" t="s">
        <v>91</v>
      </c>
      <c r="AR585" s="141"/>
      <c r="AS585" s="28"/>
      <c r="AT585" s="28"/>
      <c r="AU585" s="28"/>
      <c r="AW585" s="267"/>
      <c r="AX585" s="196" t="s">
        <v>1709</v>
      </c>
      <c r="AY585" s="138">
        <v>3</v>
      </c>
      <c r="AZ585" s="141">
        <v>1</v>
      </c>
      <c r="BA585" s="138"/>
      <c r="BB585" s="28"/>
      <c r="BC585" s="141"/>
      <c r="BD585" s="138"/>
      <c r="BE585" s="141"/>
      <c r="BF585" s="138" t="s">
        <v>151</v>
      </c>
      <c r="BG585" s="28"/>
      <c r="BH585" s="141"/>
      <c r="BJ585" s="28"/>
    </row>
    <row r="586" spans="3:62" x14ac:dyDescent="0.3">
      <c r="D586" s="131" t="s">
        <v>225</v>
      </c>
      <c r="F586">
        <f>SUM(N584)</f>
        <v>78</v>
      </c>
      <c r="I586" s="132"/>
      <c r="AE586" s="28" t="s">
        <v>91</v>
      </c>
      <c r="AF586">
        <v>2016</v>
      </c>
      <c r="AG586">
        <v>10</v>
      </c>
      <c r="AH586" s="212" t="s">
        <v>1150</v>
      </c>
      <c r="AI586" s="212">
        <v>31</v>
      </c>
      <c r="AJ586" s="209">
        <v>13</v>
      </c>
      <c r="AU586" s="28"/>
      <c r="AW586" s="28"/>
      <c r="AX586" s="196" t="s">
        <v>85</v>
      </c>
      <c r="AY586" s="138">
        <v>18</v>
      </c>
      <c r="AZ586" s="141">
        <v>11</v>
      </c>
      <c r="BA586" s="138"/>
      <c r="BB586" s="28"/>
      <c r="BC586" s="141"/>
      <c r="BD586" s="138"/>
      <c r="BE586" s="141"/>
      <c r="BF586" s="138" t="s">
        <v>1089</v>
      </c>
      <c r="BG586" s="257" t="s">
        <v>1665</v>
      </c>
      <c r="BH586" s="141" t="s">
        <v>1710</v>
      </c>
      <c r="BJ586" s="28"/>
    </row>
    <row r="587" spans="3:62" x14ac:dyDescent="0.3">
      <c r="D587" t="s">
        <v>229</v>
      </c>
      <c r="F587">
        <f>4+3+1+1+1+10</f>
        <v>20</v>
      </c>
      <c r="AE587" s="28" t="s">
        <v>91</v>
      </c>
      <c r="AF587">
        <v>2016</v>
      </c>
      <c r="AG587">
        <v>10</v>
      </c>
      <c r="AH587" s="138" t="s">
        <v>137</v>
      </c>
      <c r="AI587" s="138">
        <v>106</v>
      </c>
      <c r="AJ587" s="141">
        <v>199</v>
      </c>
      <c r="AN587" s="138"/>
      <c r="AO587" s="141"/>
      <c r="AP587" s="43">
        <v>2</v>
      </c>
      <c r="AQ587" s="43" t="s">
        <v>145</v>
      </c>
      <c r="AR587" s="141"/>
      <c r="AS587" s="28"/>
      <c r="AT587" s="28"/>
      <c r="AU587" s="28"/>
      <c r="AW587" s="28"/>
      <c r="AX587" s="196" t="s">
        <v>1711</v>
      </c>
      <c r="AY587" s="138">
        <v>5</v>
      </c>
      <c r="AZ587" s="141">
        <v>6</v>
      </c>
      <c r="BA587" s="138"/>
      <c r="BB587" s="28"/>
      <c r="BC587" s="141"/>
      <c r="BD587" s="138"/>
      <c r="BE587" s="141"/>
      <c r="BF587" s="212" t="s">
        <v>1651</v>
      </c>
      <c r="BG587" s="28" t="s">
        <v>1712</v>
      </c>
      <c r="BH587" s="141"/>
      <c r="BJ587" s="28"/>
    </row>
    <row r="588" spans="3:62" x14ac:dyDescent="0.3">
      <c r="D588" t="s">
        <v>232</v>
      </c>
      <c r="F588" t="s">
        <v>233</v>
      </c>
      <c r="H588" t="e">
        <f>SUM(#REF!)</f>
        <v>#REF!</v>
      </c>
      <c r="J588" t="s">
        <v>234</v>
      </c>
      <c r="L588" t="s">
        <v>233</v>
      </c>
      <c r="N588">
        <f>SUM(E585)</f>
        <v>1717</v>
      </c>
      <c r="AE588" s="28" t="s">
        <v>91</v>
      </c>
      <c r="AF588">
        <v>2016</v>
      </c>
      <c r="AG588">
        <v>10</v>
      </c>
      <c r="AH588" s="138" t="s">
        <v>113</v>
      </c>
      <c r="AI588" s="138">
        <v>584</v>
      </c>
      <c r="AJ588" s="141">
        <v>675</v>
      </c>
      <c r="AN588" s="138"/>
      <c r="AO588" s="141"/>
      <c r="AP588" s="43">
        <v>64</v>
      </c>
      <c r="AQ588" s="28" t="s">
        <v>73</v>
      </c>
      <c r="AR588" s="141"/>
      <c r="AS588" s="28"/>
      <c r="AT588" s="28"/>
      <c r="AU588" s="28"/>
      <c r="AW588" s="28"/>
      <c r="AX588" s="196" t="s">
        <v>1713</v>
      </c>
      <c r="AY588" s="138">
        <v>0</v>
      </c>
      <c r="AZ588" s="141">
        <v>1</v>
      </c>
      <c r="BA588" s="138"/>
      <c r="BB588" s="28"/>
      <c r="BC588" s="141"/>
      <c r="BD588" s="138"/>
      <c r="BE588" s="141"/>
      <c r="BF588" s="212" t="s">
        <v>1714</v>
      </c>
      <c r="BG588" s="28"/>
      <c r="BH588" s="141"/>
      <c r="BJ588" s="28"/>
    </row>
    <row r="589" spans="3:62" ht="15.6" x14ac:dyDescent="0.3">
      <c r="C589" t="s">
        <v>6</v>
      </c>
      <c r="F589" t="s">
        <v>236</v>
      </c>
      <c r="H589" t="e">
        <f>SUM(#REF!)</f>
        <v>#REF!</v>
      </c>
      <c r="L589" t="s">
        <v>236</v>
      </c>
      <c r="N589">
        <f>SUM(F585)</f>
        <v>1698</v>
      </c>
      <c r="U589" s="1"/>
      <c r="V589" s="1" t="s">
        <v>5</v>
      </c>
      <c r="W589" s="1"/>
      <c r="X589" s="1"/>
      <c r="Y589" s="1"/>
      <c r="Z589" s="1"/>
      <c r="AG589">
        <v>10</v>
      </c>
      <c r="AH589" s="138" t="s">
        <v>84</v>
      </c>
      <c r="AI589" s="138">
        <f>SUM(AI585:AI588)</f>
        <v>963</v>
      </c>
      <c r="AJ589" s="141">
        <f>SUM(AJ585:AJ588)</f>
        <v>1143</v>
      </c>
      <c r="AK589">
        <v>0</v>
      </c>
      <c r="AL589">
        <v>0</v>
      </c>
      <c r="AM589">
        <v>0</v>
      </c>
      <c r="AN589" s="138">
        <v>0</v>
      </c>
      <c r="AO589" s="141">
        <v>0</v>
      </c>
      <c r="AP589" s="43">
        <v>10</v>
      </c>
      <c r="AQ589" s="43" t="s">
        <v>1134</v>
      </c>
      <c r="AR589" s="141">
        <f>SUM(AP587:AP589)</f>
        <v>76</v>
      </c>
      <c r="AS589" s="28"/>
      <c r="AT589" s="28"/>
      <c r="AU589" s="28"/>
      <c r="AW589" s="28"/>
      <c r="AX589" s="196" t="s">
        <v>1715</v>
      </c>
      <c r="AY589" s="138">
        <v>0</v>
      </c>
      <c r="AZ589" s="141">
        <v>5</v>
      </c>
      <c r="BA589" s="138"/>
      <c r="BB589" s="28"/>
      <c r="BC589" s="141"/>
      <c r="BD589" s="138"/>
      <c r="BE589" s="141"/>
      <c r="BF589" s="138" t="s">
        <v>1716</v>
      </c>
      <c r="BG589" s="43" t="s">
        <v>1717</v>
      </c>
      <c r="BH589" s="141" t="s">
        <v>1718</v>
      </c>
      <c r="BJ589" s="28"/>
    </row>
    <row r="590" spans="3:62" x14ac:dyDescent="0.3">
      <c r="D590" s="134" t="s">
        <v>238</v>
      </c>
      <c r="E590" s="135" t="s">
        <v>239</v>
      </c>
      <c r="F590" s="136"/>
      <c r="G590" s="134" t="s">
        <v>240</v>
      </c>
      <c r="H590" s="135" t="s">
        <v>241</v>
      </c>
      <c r="I590" s="136"/>
      <c r="J590" s="134"/>
      <c r="K590" s="135" t="s">
        <v>242</v>
      </c>
      <c r="L590" s="137" t="s">
        <v>243</v>
      </c>
      <c r="M590" s="135"/>
      <c r="N590" s="135"/>
      <c r="O590" s="136"/>
      <c r="W590" t="s">
        <v>2</v>
      </c>
      <c r="AG590">
        <v>10</v>
      </c>
      <c r="AH590" s="134"/>
      <c r="AI590" s="134"/>
      <c r="AJ590" s="136"/>
      <c r="AK590" s="135"/>
      <c r="AL590" s="135"/>
      <c r="AM590" s="135"/>
      <c r="AN590" s="134"/>
      <c r="AO590" s="136"/>
      <c r="AP590" s="135" t="s">
        <v>1025</v>
      </c>
      <c r="AQ590" s="135"/>
      <c r="AR590" s="136"/>
      <c r="AS590" s="28"/>
      <c r="AT590" s="28"/>
      <c r="AW590" s="28"/>
      <c r="AX590" s="196" t="s">
        <v>211</v>
      </c>
      <c r="AY590" s="138">
        <v>0</v>
      </c>
      <c r="AZ590" s="141">
        <v>2</v>
      </c>
      <c r="BA590" s="138"/>
      <c r="BB590" s="28"/>
      <c r="BC590" s="141"/>
      <c r="BD590" s="138"/>
      <c r="BE590" s="141"/>
      <c r="BF590" s="138" t="s">
        <v>890</v>
      </c>
      <c r="BG590" s="28" t="s">
        <v>1719</v>
      </c>
      <c r="BH590" s="141" t="s">
        <v>1720</v>
      </c>
      <c r="BJ590" s="28"/>
    </row>
    <row r="591" spans="3:62" x14ac:dyDescent="0.3">
      <c r="D591" s="138" t="s">
        <v>233</v>
      </c>
      <c r="E591" s="28"/>
      <c r="F591" s="139" t="e">
        <f>SUM(#REF!)</f>
        <v>#REF!</v>
      </c>
      <c r="G591" s="138" t="s">
        <v>233</v>
      </c>
      <c r="H591" s="28"/>
      <c r="I591" s="139" t="e">
        <f>SUM(#REF!)</f>
        <v>#REF!</v>
      </c>
      <c r="J591" s="138" t="s">
        <v>233</v>
      </c>
      <c r="K591" s="28"/>
      <c r="L591" s="140" t="e">
        <f>SUM(N588+I591)</f>
        <v>#REF!</v>
      </c>
      <c r="M591" s="28" t="s">
        <v>245</v>
      </c>
      <c r="N591" s="28" t="e">
        <f>SUM(L591+F591)</f>
        <v>#REF!</v>
      </c>
      <c r="O591" s="141"/>
      <c r="U591" t="s">
        <v>13</v>
      </c>
      <c r="AG591">
        <v>10</v>
      </c>
      <c r="AH591" s="142" t="s">
        <v>64</v>
      </c>
      <c r="AI591" s="142">
        <v>58</v>
      </c>
      <c r="AJ591" s="146">
        <v>62</v>
      </c>
      <c r="AK591" s="143"/>
      <c r="AL591" s="143"/>
      <c r="AM591" s="143"/>
      <c r="AN591" s="142"/>
      <c r="AO591" s="146"/>
      <c r="AP591" s="143">
        <v>7</v>
      </c>
      <c r="AQ591" s="143" t="s">
        <v>1026</v>
      </c>
      <c r="AR591" s="146">
        <f>SUM(AP591)</f>
        <v>7</v>
      </c>
      <c r="AS591" s="28"/>
      <c r="AT591" s="28"/>
      <c r="AU591" s="28"/>
      <c r="AW591" s="28"/>
      <c r="AX591" s="196" t="s">
        <v>468</v>
      </c>
      <c r="AY591" s="138">
        <v>0</v>
      </c>
      <c r="AZ591" s="141">
        <v>2</v>
      </c>
      <c r="BA591" s="138"/>
      <c r="BB591" s="28"/>
      <c r="BC591" s="141"/>
      <c r="BD591" s="138"/>
      <c r="BE591" s="141"/>
      <c r="BF591" s="212" t="s">
        <v>1680</v>
      </c>
      <c r="BG591" s="28" t="s">
        <v>376</v>
      </c>
      <c r="BH591" s="141" t="s">
        <v>1721</v>
      </c>
      <c r="BJ591" s="28"/>
    </row>
    <row r="592" spans="3:62" ht="15" thickBot="1" x14ac:dyDescent="0.35">
      <c r="D592" s="142" t="s">
        <v>236</v>
      </c>
      <c r="E592" s="143"/>
      <c r="F592" s="144" t="e">
        <f>SUM(#REF!)</f>
        <v>#REF!</v>
      </c>
      <c r="G592" s="142" t="s">
        <v>236</v>
      </c>
      <c r="H592" s="143"/>
      <c r="I592" s="144" t="e">
        <f>SUM(#REF!)</f>
        <v>#REF!</v>
      </c>
      <c r="J592" s="142" t="s">
        <v>236</v>
      </c>
      <c r="K592" s="143"/>
      <c r="L592" s="145" t="e">
        <f>SUM(N589+I592)</f>
        <v>#REF!</v>
      </c>
      <c r="M592" s="143"/>
      <c r="N592" s="143" t="e">
        <f>SUM(L592+F592)</f>
        <v>#REF!</v>
      </c>
      <c r="O592" s="146"/>
      <c r="W592" t="s">
        <v>881</v>
      </c>
      <c r="AA592" s="5" t="s">
        <v>16</v>
      </c>
      <c r="AE592" s="135" t="s">
        <v>994</v>
      </c>
      <c r="AF592">
        <v>2016</v>
      </c>
      <c r="AG592">
        <v>10</v>
      </c>
      <c r="AH592" s="138" t="s">
        <v>113</v>
      </c>
      <c r="AI592" s="138">
        <v>394</v>
      </c>
      <c r="AJ592" s="141">
        <v>430</v>
      </c>
      <c r="AK592" s="28"/>
      <c r="AL592" s="28"/>
      <c r="AM592" s="28"/>
      <c r="AN592" s="138"/>
      <c r="AO592" s="141"/>
      <c r="AP592" s="28" t="s">
        <v>994</v>
      </c>
      <c r="AQ592" s="28"/>
      <c r="AR592" s="141"/>
      <c r="AS592" s="28"/>
      <c r="AT592" s="28"/>
      <c r="AU592" s="28"/>
      <c r="AW592" s="28"/>
      <c r="AX592" s="196" t="s">
        <v>523</v>
      </c>
      <c r="AY592" s="138">
        <v>0</v>
      </c>
      <c r="AZ592" s="141">
        <v>3</v>
      </c>
      <c r="BA592" s="138"/>
      <c r="BB592" s="28"/>
      <c r="BC592" s="141"/>
      <c r="BD592" s="138"/>
      <c r="BE592" s="141"/>
      <c r="BF592" s="138" t="s">
        <v>447</v>
      </c>
      <c r="BG592" s="43" t="s">
        <v>1722</v>
      </c>
      <c r="BH592" s="209" t="s">
        <v>1723</v>
      </c>
      <c r="BJ592" s="28"/>
    </row>
    <row r="593" spans="3:62" ht="15.6" x14ac:dyDescent="0.3">
      <c r="R593" s="6" t="s">
        <v>17</v>
      </c>
      <c r="S593" s="6" t="s">
        <v>27</v>
      </c>
      <c r="T593" s="7"/>
      <c r="U593" s="8" t="s">
        <v>28</v>
      </c>
      <c r="V593" s="8"/>
      <c r="W593" s="8"/>
      <c r="X593" s="6" t="s">
        <v>29</v>
      </c>
      <c r="Y593" s="7" t="s">
        <v>30</v>
      </c>
      <c r="Z593" s="8" t="s">
        <v>31</v>
      </c>
      <c r="AA593" s="8"/>
      <c r="AB593" s="7"/>
      <c r="AE593" s="135" t="s">
        <v>994</v>
      </c>
      <c r="AF593">
        <v>2016</v>
      </c>
      <c r="AG593">
        <v>10</v>
      </c>
      <c r="AH593" s="138" t="s">
        <v>475</v>
      </c>
      <c r="AI593" s="138">
        <v>0</v>
      </c>
      <c r="AJ593" s="141">
        <v>0</v>
      </c>
      <c r="AK593" s="28"/>
      <c r="AL593" s="28"/>
      <c r="AM593" s="28"/>
      <c r="AN593" s="138"/>
      <c r="AO593" s="141"/>
      <c r="AP593" s="28">
        <v>16</v>
      </c>
      <c r="AQ593" s="28" t="s">
        <v>100</v>
      </c>
      <c r="AR593" s="141"/>
      <c r="AS593" s="28"/>
      <c r="AT593" s="28"/>
      <c r="AU593" s="28"/>
      <c r="AW593" s="28"/>
      <c r="AX593" s="196" t="s">
        <v>139</v>
      </c>
      <c r="AY593" s="138">
        <v>0</v>
      </c>
      <c r="AZ593" s="141">
        <v>3</v>
      </c>
      <c r="BA593" s="138"/>
      <c r="BB593" s="28"/>
      <c r="BC593" s="141"/>
      <c r="BD593" s="138"/>
      <c r="BE593" s="141"/>
      <c r="BF593" s="138" t="s">
        <v>1724</v>
      </c>
      <c r="BG593" s="258" t="s">
        <v>1725</v>
      </c>
      <c r="BH593" s="209" t="s">
        <v>1336</v>
      </c>
      <c r="BJ593" s="28"/>
    </row>
    <row r="594" spans="3:62" x14ac:dyDescent="0.3">
      <c r="R594" s="10"/>
      <c r="S594" s="10"/>
      <c r="T594" s="11"/>
      <c r="U594" s="3"/>
      <c r="V594" s="3"/>
      <c r="W594" s="3"/>
      <c r="X594" s="10"/>
      <c r="Y594" s="11" t="s">
        <v>6</v>
      </c>
      <c r="Z594" s="3" t="s">
        <v>41</v>
      </c>
      <c r="AA594" s="3"/>
      <c r="AB594" s="11"/>
      <c r="AE594" s="135" t="s">
        <v>994</v>
      </c>
      <c r="AF594">
        <v>2016</v>
      </c>
      <c r="AG594">
        <v>10</v>
      </c>
      <c r="AH594" s="142" t="s">
        <v>84</v>
      </c>
      <c r="AI594" s="142">
        <f>SUM(AI592:AI593)</f>
        <v>394</v>
      </c>
      <c r="AJ594" s="146">
        <f>SUM(AJ592:AJ593)</f>
        <v>430</v>
      </c>
      <c r="AK594" s="143">
        <v>0</v>
      </c>
      <c r="AL594" s="143">
        <v>0</v>
      </c>
      <c r="AM594" s="143">
        <v>0</v>
      </c>
      <c r="AN594" s="142">
        <v>0</v>
      </c>
      <c r="AO594" s="146">
        <v>0</v>
      </c>
      <c r="AP594" s="43">
        <v>24</v>
      </c>
      <c r="AQ594" s="43" t="s">
        <v>73</v>
      </c>
      <c r="AR594" s="146">
        <f>SUM(AP593:AP594)</f>
        <v>40</v>
      </c>
      <c r="AS594" s="28"/>
      <c r="AT594" s="28"/>
      <c r="AU594" s="28"/>
      <c r="AW594" s="28"/>
      <c r="AX594" s="196" t="s">
        <v>174</v>
      </c>
      <c r="AY594" s="138">
        <v>0</v>
      </c>
      <c r="AZ594" s="141">
        <v>1</v>
      </c>
      <c r="BA594" s="138"/>
      <c r="BB594" s="43"/>
      <c r="BC594" s="141"/>
      <c r="BD594" s="138"/>
      <c r="BE594" s="141"/>
      <c r="BF594" s="138" t="s">
        <v>1690</v>
      </c>
      <c r="BG594" s="43" t="s">
        <v>1726</v>
      </c>
      <c r="BH594" s="141" t="s">
        <v>1727</v>
      </c>
      <c r="BJ594" s="28"/>
    </row>
    <row r="595" spans="3:62" ht="16.2" thickBot="1" x14ac:dyDescent="0.35">
      <c r="R595" s="13" t="s">
        <v>42</v>
      </c>
      <c r="S595" s="13" t="s">
        <v>43</v>
      </c>
      <c r="T595" s="26" t="s">
        <v>44</v>
      </c>
      <c r="U595" s="27" t="s">
        <v>45</v>
      </c>
      <c r="V595" s="27" t="s">
        <v>46</v>
      </c>
      <c r="W595" s="27" t="s">
        <v>52</v>
      </c>
      <c r="X595" s="13" t="s">
        <v>43</v>
      </c>
      <c r="Y595" s="26" t="s">
        <v>44</v>
      </c>
      <c r="Z595" s="27" t="s">
        <v>54</v>
      </c>
      <c r="AA595" s="27"/>
      <c r="AB595" s="26"/>
      <c r="AH595" s="196" t="s">
        <v>1152</v>
      </c>
      <c r="AI595" s="138">
        <v>3</v>
      </c>
      <c r="AJ595" s="141">
        <f>8+3</f>
        <v>11</v>
      </c>
      <c r="AK595" s="134"/>
      <c r="AL595" s="135"/>
      <c r="AM595" s="136"/>
      <c r="AN595" s="138"/>
      <c r="AO595" s="141"/>
      <c r="AP595" s="134" t="s">
        <v>140</v>
      </c>
      <c r="AQ595" s="135"/>
      <c r="AR595" s="136"/>
      <c r="AS595" s="28"/>
      <c r="AT595" s="28"/>
      <c r="AU595" s="28"/>
      <c r="AW595" s="28"/>
      <c r="AX595" s="259" t="s">
        <v>1728</v>
      </c>
      <c r="AY595" s="138">
        <v>0</v>
      </c>
      <c r="AZ595" s="141">
        <v>1</v>
      </c>
      <c r="BA595" s="138"/>
      <c r="BB595" s="43"/>
      <c r="BC595" s="141"/>
      <c r="BD595" s="138">
        <v>53</v>
      </c>
      <c r="BE595" s="141"/>
      <c r="BF595" s="138" t="s">
        <v>1729</v>
      </c>
      <c r="BG595" s="258" t="s">
        <v>1730</v>
      </c>
      <c r="BH595" s="260" t="s">
        <v>1731</v>
      </c>
      <c r="BJ595" s="28"/>
    </row>
    <row r="596" spans="3:62" ht="15.6" x14ac:dyDescent="0.3">
      <c r="R596" s="32" t="s">
        <v>85</v>
      </c>
      <c r="S596">
        <v>0</v>
      </c>
      <c r="T596">
        <v>0</v>
      </c>
      <c r="U596" s="33"/>
      <c r="V596" s="34"/>
      <c r="W596" s="34"/>
      <c r="X596" s="33"/>
      <c r="Y596" s="35"/>
      <c r="Z596" s="34" t="s">
        <v>58</v>
      </c>
      <c r="AA596" s="8"/>
      <c r="AB596" s="7"/>
      <c r="AH596" s="196" t="s">
        <v>1153</v>
      </c>
      <c r="AI596" s="138">
        <v>10</v>
      </c>
      <c r="AJ596" s="141">
        <v>6</v>
      </c>
      <c r="AK596" s="138"/>
      <c r="AL596" s="28"/>
      <c r="AM596" s="141"/>
      <c r="AN596" s="138"/>
      <c r="AO596" s="141"/>
      <c r="AP596" s="138"/>
      <c r="AQ596" s="28"/>
      <c r="AR596" s="141"/>
      <c r="AS596" s="28"/>
      <c r="AT596" s="28"/>
      <c r="AU596" s="28"/>
      <c r="AW596" s="28"/>
      <c r="AX596" s="196" t="s">
        <v>64</v>
      </c>
      <c r="AY596" s="138">
        <v>0</v>
      </c>
      <c r="AZ596" s="141">
        <v>2</v>
      </c>
      <c r="BA596" s="138"/>
      <c r="BB596" s="43"/>
      <c r="BC596" s="141"/>
      <c r="BD596" s="138"/>
      <c r="BE596" s="141"/>
      <c r="BF596" s="138" t="s">
        <v>1732</v>
      </c>
      <c r="BG596" s="258" t="s">
        <v>1733</v>
      </c>
      <c r="BH596" s="141" t="s">
        <v>1734</v>
      </c>
      <c r="BJ596" s="28"/>
    </row>
    <row r="597" spans="3:62" ht="15.6" x14ac:dyDescent="0.3">
      <c r="G597" s="1"/>
      <c r="H597" s="1" t="s">
        <v>5</v>
      </c>
      <c r="I597" s="1"/>
      <c r="J597" s="1"/>
      <c r="K597" s="1"/>
      <c r="L597" s="1"/>
      <c r="R597" s="44" t="s">
        <v>64</v>
      </c>
      <c r="S597" s="18">
        <v>107</v>
      </c>
      <c r="T597" s="18">
        <v>139</v>
      </c>
      <c r="U597" s="10">
        <v>0</v>
      </c>
      <c r="V597" s="18">
        <v>0</v>
      </c>
      <c r="W597" s="18">
        <v>0</v>
      </c>
      <c r="X597" s="10">
        <v>0</v>
      </c>
      <c r="Y597" s="11">
        <v>0</v>
      </c>
      <c r="Z597" s="45">
        <v>8</v>
      </c>
      <c r="AA597" s="28" t="s">
        <v>474</v>
      </c>
      <c r="AB597" s="11"/>
      <c r="AH597" s="196" t="s">
        <v>1154</v>
      </c>
      <c r="AI597" s="138">
        <v>0</v>
      </c>
      <c r="AJ597" s="141">
        <v>7</v>
      </c>
      <c r="AK597" s="138"/>
      <c r="AL597" s="28"/>
      <c r="AM597" s="141"/>
      <c r="AN597" s="138"/>
      <c r="AO597" s="141"/>
      <c r="AP597" s="138"/>
      <c r="AQ597" s="28"/>
      <c r="AR597" s="141"/>
      <c r="AS597" s="28"/>
      <c r="AT597" s="28"/>
      <c r="AU597" s="28"/>
      <c r="AV597" t="s">
        <v>6</v>
      </c>
      <c r="AW597" s="28"/>
      <c r="AX597" s="196" t="s">
        <v>169</v>
      </c>
      <c r="AY597" s="138">
        <v>0</v>
      </c>
      <c r="AZ597" s="141">
        <v>3</v>
      </c>
      <c r="BA597" s="138"/>
      <c r="BB597" s="43"/>
      <c r="BC597" s="141"/>
      <c r="BD597" s="138"/>
      <c r="BE597" s="141"/>
      <c r="BF597" s="138" t="s">
        <v>1735</v>
      </c>
      <c r="BG597" s="258" t="s">
        <v>1736</v>
      </c>
      <c r="BH597" s="141" t="s">
        <v>1737</v>
      </c>
      <c r="BJ597" s="28"/>
    </row>
    <row r="598" spans="3:62" ht="16.2" thickBot="1" x14ac:dyDescent="0.35">
      <c r="I598" t="s">
        <v>2</v>
      </c>
      <c r="Q598" s="28"/>
      <c r="R598" s="46" t="s">
        <v>84</v>
      </c>
      <c r="S598">
        <f>SUM(S596:S597)</f>
        <v>107</v>
      </c>
      <c r="T598">
        <f>SUM(T596:T597)</f>
        <v>139</v>
      </c>
      <c r="U598" s="47"/>
      <c r="V598" s="48"/>
      <c r="W598" s="48"/>
      <c r="X598" s="47"/>
      <c r="Y598" s="49"/>
      <c r="Z598" s="48"/>
      <c r="AA598" s="48" t="s">
        <v>249</v>
      </c>
      <c r="AB598" s="49">
        <f>SUM(Z597:Z598)</f>
        <v>8</v>
      </c>
      <c r="AH598" s="196" t="s">
        <v>113</v>
      </c>
      <c r="AI598" s="138">
        <f>4+0+13+6+74</f>
        <v>97</v>
      </c>
      <c r="AJ598" s="141">
        <f>3+9+8+2+5+58+1</f>
        <v>86</v>
      </c>
      <c r="AK598" s="138"/>
      <c r="AL598" s="28"/>
      <c r="AM598" s="141"/>
      <c r="AN598" s="138"/>
      <c r="AO598" s="141"/>
      <c r="AP598" s="138" t="s">
        <v>142</v>
      </c>
      <c r="AQ598" s="28"/>
      <c r="AR598" s="141" t="s">
        <v>1155</v>
      </c>
      <c r="AS598" s="28"/>
      <c r="AT598" s="28"/>
      <c r="AU598" s="28"/>
      <c r="AW598" s="28"/>
      <c r="AX598" s="196" t="s">
        <v>1588</v>
      </c>
      <c r="AY598" s="138">
        <v>0</v>
      </c>
      <c r="AZ598" s="141">
        <v>0</v>
      </c>
      <c r="BA598" s="138"/>
      <c r="BB598" s="43"/>
      <c r="BC598" s="141"/>
      <c r="BD598" s="138"/>
      <c r="BE598" s="141"/>
      <c r="BF598" s="138" t="s">
        <v>771</v>
      </c>
      <c r="BG598" s="258" t="s">
        <v>714</v>
      </c>
      <c r="BH598" s="141" t="s">
        <v>1738</v>
      </c>
      <c r="BJ598" s="28"/>
    </row>
    <row r="599" spans="3:62" ht="15.6" x14ac:dyDescent="0.3">
      <c r="G599" t="s">
        <v>13</v>
      </c>
      <c r="Q599" s="28"/>
      <c r="R599" s="33"/>
      <c r="S599" s="33"/>
      <c r="T599" s="35"/>
      <c r="U599" s="34"/>
      <c r="V599" s="34"/>
      <c r="W599" s="34"/>
      <c r="X599" s="33"/>
      <c r="Y599" s="35"/>
      <c r="Z599" s="53" t="s">
        <v>82</v>
      </c>
      <c r="AA599" s="34"/>
      <c r="AB599" s="35"/>
      <c r="AH599" s="196" t="s">
        <v>1156</v>
      </c>
      <c r="AI599" s="138">
        <v>0</v>
      </c>
      <c r="AJ599" s="141">
        <v>2</v>
      </c>
      <c r="AK599" s="138"/>
      <c r="AL599" s="28"/>
      <c r="AM599" s="141"/>
      <c r="AN599" s="138"/>
      <c r="AO599" s="141"/>
      <c r="AP599" s="138" t="s">
        <v>146</v>
      </c>
      <c r="AQ599" s="28"/>
      <c r="AR599" s="141" t="s">
        <v>1096</v>
      </c>
      <c r="AS599" s="28"/>
      <c r="AT599" s="28"/>
      <c r="AU599" s="28"/>
      <c r="AW599" s="28"/>
      <c r="AX599" s="196" t="s">
        <v>1376</v>
      </c>
      <c r="AY599" s="138">
        <v>0</v>
      </c>
      <c r="AZ599" s="141">
        <v>1</v>
      </c>
      <c r="BA599" s="138"/>
      <c r="BB599" s="43"/>
      <c r="BC599" s="141"/>
      <c r="BD599" s="138"/>
      <c r="BE599" s="141"/>
      <c r="BF599" s="138" t="s">
        <v>1739</v>
      </c>
      <c r="BG599" s="258" t="s">
        <v>1680</v>
      </c>
      <c r="BH599" s="141" t="s">
        <v>1377</v>
      </c>
      <c r="BJ599" s="28"/>
    </row>
    <row r="600" spans="3:62" ht="16.2" thickBot="1" x14ac:dyDescent="0.35">
      <c r="I600" t="s">
        <v>556</v>
      </c>
      <c r="M600" s="5" t="s">
        <v>16</v>
      </c>
      <c r="Q600" s="28"/>
      <c r="R600" s="47" t="s">
        <v>85</v>
      </c>
      <c r="S600" s="47">
        <v>6</v>
      </c>
      <c r="T600" s="49">
        <v>6</v>
      </c>
      <c r="U600" s="48"/>
      <c r="V600" s="48">
        <v>0</v>
      </c>
      <c r="W600" s="48">
        <v>0</v>
      </c>
      <c r="X600" s="47">
        <v>0</v>
      </c>
      <c r="Y600" s="49">
        <v>0</v>
      </c>
      <c r="Z600" s="51">
        <v>1</v>
      </c>
      <c r="AA600" s="48" t="s">
        <v>86</v>
      </c>
      <c r="AB600" s="49">
        <f>SUM(Z600)</f>
        <v>1</v>
      </c>
      <c r="AG600" t="s">
        <v>6</v>
      </c>
      <c r="AH600" s="196" t="s">
        <v>133</v>
      </c>
      <c r="AI600" s="138">
        <f>4+2+2</f>
        <v>8</v>
      </c>
      <c r="AJ600" s="141">
        <f>18+4</f>
        <v>22</v>
      </c>
      <c r="AK600" s="138"/>
      <c r="AL600" s="28"/>
      <c r="AM600" s="141"/>
      <c r="AN600" s="138"/>
      <c r="AO600" s="141"/>
      <c r="AP600" s="138"/>
      <c r="AQ600" s="28"/>
      <c r="AR600" s="141"/>
      <c r="AS600" s="28"/>
      <c r="AT600" s="28"/>
      <c r="AU600" s="28"/>
      <c r="AW600" s="28"/>
      <c r="AX600" s="196" t="s">
        <v>1567</v>
      </c>
      <c r="AY600" s="138">
        <v>0</v>
      </c>
      <c r="AZ600" s="141">
        <v>0</v>
      </c>
      <c r="BA600" s="138"/>
      <c r="BB600" s="43"/>
      <c r="BC600" s="141"/>
      <c r="BD600" s="138"/>
      <c r="BE600" s="141"/>
      <c r="BF600" s="138" t="s">
        <v>1740</v>
      </c>
      <c r="BG600" s="258" t="s">
        <v>385</v>
      </c>
      <c r="BH600" s="141" t="s">
        <v>1741</v>
      </c>
      <c r="BJ600" s="28"/>
    </row>
    <row r="601" spans="3:62" ht="15.6" x14ac:dyDescent="0.3">
      <c r="D601" s="6" t="s">
        <v>17</v>
      </c>
      <c r="E601" s="6" t="s">
        <v>27</v>
      </c>
      <c r="F601" s="7"/>
      <c r="G601" s="8" t="s">
        <v>28</v>
      </c>
      <c r="H601" s="8"/>
      <c r="I601" s="8"/>
      <c r="J601" s="6" t="s">
        <v>29</v>
      </c>
      <c r="K601" s="7" t="s">
        <v>30</v>
      </c>
      <c r="L601" s="8" t="s">
        <v>31</v>
      </c>
      <c r="M601" s="8"/>
      <c r="N601" s="7"/>
      <c r="Q601" s="28"/>
      <c r="R601" s="50" t="s">
        <v>107</v>
      </c>
      <c r="S601" s="31">
        <v>0</v>
      </c>
      <c r="T601" s="31">
        <v>0</v>
      </c>
      <c r="U601" s="29"/>
      <c r="V601" s="31"/>
      <c r="W601" s="30"/>
      <c r="X601" s="55">
        <v>0</v>
      </c>
      <c r="Y601" s="8">
        <v>0</v>
      </c>
      <c r="Z601" s="29"/>
      <c r="AA601" s="34" t="s">
        <v>92</v>
      </c>
      <c r="AB601" s="35"/>
      <c r="AH601" s="196" t="s">
        <v>468</v>
      </c>
      <c r="AI601" s="138">
        <v>3</v>
      </c>
      <c r="AJ601" s="141">
        <v>3</v>
      </c>
      <c r="AK601" s="138" t="s">
        <v>150</v>
      </c>
      <c r="AL601" s="28"/>
      <c r="AM601" s="141"/>
      <c r="AN601" s="138"/>
      <c r="AO601" s="141"/>
      <c r="AP601" s="138" t="s">
        <v>151</v>
      </c>
      <c r="AQ601" s="28"/>
      <c r="AR601" s="141"/>
      <c r="AS601" s="28"/>
      <c r="AT601" s="28"/>
      <c r="AU601" s="28"/>
      <c r="AW601" s="28"/>
      <c r="AX601" s="196" t="s">
        <v>1742</v>
      </c>
      <c r="AY601" s="138">
        <v>0</v>
      </c>
      <c r="AZ601" s="141">
        <v>0</v>
      </c>
      <c r="BA601" s="138"/>
      <c r="BB601" s="43"/>
      <c r="BC601" s="141"/>
      <c r="BD601" s="138"/>
      <c r="BE601" s="141"/>
      <c r="BF601" s="138" t="s">
        <v>310</v>
      </c>
      <c r="BG601" s="258" t="s">
        <v>1743</v>
      </c>
      <c r="BH601" s="141" t="s">
        <v>1744</v>
      </c>
      <c r="BJ601" s="28"/>
    </row>
    <row r="602" spans="3:62" ht="15.6" x14ac:dyDescent="0.3">
      <c r="D602" s="10"/>
      <c r="E602" s="10"/>
      <c r="F602" s="11"/>
      <c r="G602" s="3"/>
      <c r="H602" s="3"/>
      <c r="I602" s="3"/>
      <c r="J602" s="10"/>
      <c r="K602" s="11" t="s">
        <v>6</v>
      </c>
      <c r="L602" s="3" t="s">
        <v>41</v>
      </c>
      <c r="M602" s="3"/>
      <c r="N602" s="11"/>
      <c r="Q602" s="28"/>
      <c r="R602" s="41" t="s">
        <v>99</v>
      </c>
      <c r="S602" s="45">
        <v>0</v>
      </c>
      <c r="T602" s="45">
        <v>0</v>
      </c>
      <c r="U602" s="42">
        <v>0</v>
      </c>
      <c r="V602" s="45">
        <v>0</v>
      </c>
      <c r="W602" s="40">
        <v>0</v>
      </c>
      <c r="X602" s="45">
        <v>67423</v>
      </c>
      <c r="Y602" s="56">
        <v>18029</v>
      </c>
      <c r="Z602" s="52">
        <v>30</v>
      </c>
      <c r="AA602" s="37" t="s">
        <v>100</v>
      </c>
      <c r="AB602" s="40"/>
      <c r="AH602" s="196" t="s">
        <v>85</v>
      </c>
      <c r="AI602" s="138">
        <f>3+20</f>
        <v>23</v>
      </c>
      <c r="AJ602" s="141">
        <v>11</v>
      </c>
      <c r="AK602" s="138"/>
      <c r="AL602" s="28"/>
      <c r="AM602" s="141"/>
      <c r="AN602" s="138"/>
      <c r="AO602" s="141"/>
      <c r="AP602" s="138" t="s">
        <v>311</v>
      </c>
      <c r="AQ602" s="28" t="s">
        <v>532</v>
      </c>
      <c r="AR602" s="141" t="s">
        <v>1157</v>
      </c>
      <c r="AS602" s="28"/>
      <c r="AT602" s="28"/>
      <c r="AU602" s="28"/>
      <c r="AX602" s="196" t="s">
        <v>105</v>
      </c>
      <c r="AY602" s="138">
        <v>0</v>
      </c>
      <c r="AZ602" s="141">
        <v>0</v>
      </c>
      <c r="BA602" s="138"/>
      <c r="BB602" s="43"/>
      <c r="BC602" s="141"/>
      <c r="BD602" s="138"/>
      <c r="BE602" s="141"/>
      <c r="BF602" s="138" t="s">
        <v>310</v>
      </c>
      <c r="BG602" s="258" t="s">
        <v>626</v>
      </c>
      <c r="BH602" s="141" t="s">
        <v>507</v>
      </c>
      <c r="BJ602" s="28"/>
    </row>
    <row r="603" spans="3:62" ht="16.2" thickBot="1" x14ac:dyDescent="0.35">
      <c r="D603" s="13" t="s">
        <v>42</v>
      </c>
      <c r="E603" s="13" t="s">
        <v>43</v>
      </c>
      <c r="F603" s="26" t="s">
        <v>44</v>
      </c>
      <c r="G603" s="27" t="s">
        <v>45</v>
      </c>
      <c r="H603" s="27" t="s">
        <v>46</v>
      </c>
      <c r="I603" s="27" t="s">
        <v>52</v>
      </c>
      <c r="J603" s="13" t="s">
        <v>43</v>
      </c>
      <c r="K603" s="26" t="s">
        <v>44</v>
      </c>
      <c r="L603" s="27" t="s">
        <v>54</v>
      </c>
      <c r="M603" s="27"/>
      <c r="N603" s="26"/>
      <c r="Q603" s="28"/>
      <c r="R603" s="17" t="s">
        <v>84</v>
      </c>
      <c r="S603" s="18">
        <f>SUM(S601:S602)</f>
        <v>0</v>
      </c>
      <c r="T603" s="18">
        <f>SUM(T601:T602)</f>
        <v>0</v>
      </c>
      <c r="U603" s="13"/>
      <c r="V603" s="27"/>
      <c r="W603" s="26"/>
      <c r="X603" s="58">
        <f>+X602+X601</f>
        <v>67423</v>
      </c>
      <c r="Y603" s="27">
        <f>+Y602+Y601</f>
        <v>18029</v>
      </c>
      <c r="Z603" s="59"/>
      <c r="AA603" s="48" t="s">
        <v>506</v>
      </c>
      <c r="AB603" s="60">
        <f>SUM(Z602:Z603)</f>
        <v>30</v>
      </c>
      <c r="AH603" s="196" t="s">
        <v>358</v>
      </c>
      <c r="AI603" s="138">
        <v>0</v>
      </c>
      <c r="AJ603" s="141">
        <v>8</v>
      </c>
      <c r="AK603" s="138"/>
      <c r="AL603" s="28"/>
      <c r="AM603" s="141"/>
      <c r="AN603" s="138"/>
      <c r="AO603" s="141"/>
      <c r="AP603" s="138" t="s">
        <v>1158</v>
      </c>
      <c r="AQ603" s="28" t="s">
        <v>577</v>
      </c>
      <c r="AR603" s="141" t="s">
        <v>455</v>
      </c>
      <c r="AS603" s="28"/>
      <c r="AT603" s="28"/>
      <c r="AU603" s="28"/>
      <c r="AW603" s="141"/>
      <c r="AX603" s="209"/>
      <c r="AY603" s="212"/>
      <c r="AZ603" s="209"/>
      <c r="BA603" s="138"/>
      <c r="BB603" s="28"/>
      <c r="BC603" s="141"/>
      <c r="BD603" s="138"/>
      <c r="BE603" s="141"/>
      <c r="BF603" s="138" t="s">
        <v>451</v>
      </c>
      <c r="BG603" s="258" t="s">
        <v>513</v>
      </c>
      <c r="BH603" s="141"/>
      <c r="BJ603" s="28"/>
    </row>
    <row r="604" spans="3:62" x14ac:dyDescent="0.3">
      <c r="D604" s="32" t="s">
        <v>85</v>
      </c>
      <c r="E604">
        <v>29</v>
      </c>
      <c r="F604">
        <v>29</v>
      </c>
      <c r="G604" s="33"/>
      <c r="H604" s="34"/>
      <c r="I604" s="34"/>
      <c r="J604" s="33"/>
      <c r="K604" s="35"/>
      <c r="L604" s="34" t="s">
        <v>58</v>
      </c>
      <c r="M604" s="8"/>
      <c r="N604" s="7"/>
      <c r="Q604" s="28"/>
      <c r="R604" s="32"/>
      <c r="S604" s="63">
        <v>0</v>
      </c>
      <c r="T604" s="64">
        <v>0</v>
      </c>
      <c r="U604" s="33"/>
      <c r="V604" s="8"/>
      <c r="W604" s="35"/>
      <c r="X604" s="65"/>
      <c r="Y604" s="66"/>
      <c r="Z604" s="29"/>
      <c r="AA604" s="31"/>
      <c r="AB604" s="35"/>
      <c r="AH604" s="196" t="s">
        <v>331</v>
      </c>
      <c r="AI604" s="138">
        <v>0</v>
      </c>
      <c r="AJ604" s="141">
        <v>3</v>
      </c>
      <c r="AK604" s="138"/>
      <c r="AL604" s="28"/>
      <c r="AM604" s="141"/>
      <c r="AN604" s="138"/>
      <c r="AO604" s="141"/>
      <c r="AP604" s="138" t="s">
        <v>540</v>
      </c>
      <c r="AQ604" s="28" t="s">
        <v>371</v>
      </c>
      <c r="AR604" s="141" t="s">
        <v>1160</v>
      </c>
      <c r="AS604" s="28"/>
      <c r="AT604" s="28"/>
      <c r="AU604" s="28"/>
      <c r="AW604" s="141"/>
      <c r="AX604" s="251"/>
      <c r="AY604" s="263"/>
      <c r="AZ604" s="264"/>
      <c r="BA604" s="142"/>
      <c r="BB604" s="143"/>
      <c r="BC604" s="146"/>
      <c r="BD604" s="142"/>
      <c r="BE604" s="146"/>
      <c r="BF604" s="323"/>
      <c r="BG604" s="143"/>
      <c r="BH604" s="146">
        <v>141</v>
      </c>
      <c r="BJ604" s="28"/>
    </row>
    <row r="605" spans="3:62" x14ac:dyDescent="0.3">
      <c r="D605" s="44" t="s">
        <v>64</v>
      </c>
      <c r="E605" s="18">
        <v>135</v>
      </c>
      <c r="F605" s="18">
        <v>117</v>
      </c>
      <c r="G605" s="10">
        <v>0</v>
      </c>
      <c r="H605" s="18">
        <v>0</v>
      </c>
      <c r="I605" s="18">
        <v>0</v>
      </c>
      <c r="J605" s="10">
        <v>0</v>
      </c>
      <c r="K605" s="11">
        <v>0</v>
      </c>
      <c r="L605" s="45">
        <v>9</v>
      </c>
      <c r="M605" s="28" t="s">
        <v>474</v>
      </c>
      <c r="N605" s="11" t="s">
        <v>6</v>
      </c>
      <c r="Q605" s="28"/>
      <c r="R605" s="41"/>
      <c r="S605" s="70">
        <v>0</v>
      </c>
      <c r="T605" s="71">
        <v>0</v>
      </c>
      <c r="U605" s="42"/>
      <c r="V605" s="28"/>
      <c r="W605" s="40"/>
      <c r="X605" s="42"/>
      <c r="Y605" s="40"/>
      <c r="Z605" s="42"/>
      <c r="AA605" s="54"/>
      <c r="AB605" s="40"/>
      <c r="AH605" s="196" t="s">
        <v>169</v>
      </c>
      <c r="AI605" s="138">
        <f>2+26</f>
        <v>28</v>
      </c>
      <c r="AJ605" s="141">
        <f>1+2+18</f>
        <v>21</v>
      </c>
      <c r="AK605" s="138"/>
      <c r="AL605" s="28"/>
      <c r="AM605" s="141"/>
      <c r="AN605" s="138"/>
      <c r="AO605" s="141"/>
      <c r="AP605" s="138" t="s">
        <v>497</v>
      </c>
      <c r="AQ605" s="43" t="s">
        <v>1162</v>
      </c>
      <c r="AR605" s="141" t="s">
        <v>1163</v>
      </c>
      <c r="AS605" s="28"/>
      <c r="AT605" s="28"/>
      <c r="AU605" s="28"/>
      <c r="AW605" s="141"/>
      <c r="AX605" s="265" t="s">
        <v>84</v>
      </c>
      <c r="AY605" s="247">
        <v>61</v>
      </c>
      <c r="AZ605" s="266">
        <v>97</v>
      </c>
      <c r="BA605" s="197"/>
      <c r="BB605" s="198"/>
      <c r="BC605" s="249"/>
      <c r="BD605" s="197"/>
      <c r="BE605" s="249"/>
      <c r="BF605" s="198"/>
      <c r="BG605" s="198" t="s">
        <v>939</v>
      </c>
      <c r="BH605" s="249">
        <v>307</v>
      </c>
      <c r="BJ605" s="28"/>
    </row>
    <row r="606" spans="3:62" ht="15" thickBot="1" x14ac:dyDescent="0.35">
      <c r="C606" s="28"/>
      <c r="D606" s="46" t="s">
        <v>84</v>
      </c>
      <c r="E606">
        <f>SUM(E604:E605)</f>
        <v>164</v>
      </c>
      <c r="F606">
        <f>SUM(F604:F605)</f>
        <v>146</v>
      </c>
      <c r="G606" s="47"/>
      <c r="H606" s="48"/>
      <c r="I606" s="48"/>
      <c r="J606" s="47"/>
      <c r="K606" s="49"/>
      <c r="L606" s="48">
        <v>2</v>
      </c>
      <c r="M606" s="48" t="s">
        <v>69</v>
      </c>
      <c r="N606" s="49">
        <f>SUM(L605:L606)</f>
        <v>11</v>
      </c>
      <c r="Q606" s="28" t="s">
        <v>6</v>
      </c>
      <c r="R606" s="68"/>
      <c r="S606">
        <f>SUM(S604:S605)</f>
        <v>0</v>
      </c>
      <c r="T606">
        <f>SUM(T604:T605)</f>
        <v>0</v>
      </c>
      <c r="U606" s="47">
        <v>0</v>
      </c>
      <c r="V606" s="27">
        <v>0</v>
      </c>
      <c r="W606" s="49">
        <v>0</v>
      </c>
      <c r="X606" s="75">
        <v>0</v>
      </c>
      <c r="Y606" s="49">
        <v>0</v>
      </c>
      <c r="Z606" s="47"/>
      <c r="AA606" s="51"/>
      <c r="AB606" s="49">
        <f>SUM(Z605:Z606)</f>
        <v>0</v>
      </c>
      <c r="AH606" s="196" t="s">
        <v>484</v>
      </c>
      <c r="AI606" s="138">
        <v>6</v>
      </c>
      <c r="AJ606" s="141">
        <v>0</v>
      </c>
      <c r="AK606" s="138"/>
      <c r="AL606" s="28"/>
      <c r="AM606" s="141"/>
      <c r="AN606" s="138"/>
      <c r="AO606" s="141"/>
      <c r="AP606" s="138" t="s">
        <v>1165</v>
      </c>
      <c r="AQ606" s="43" t="s">
        <v>896</v>
      </c>
      <c r="AR606" s="141" t="s">
        <v>1166</v>
      </c>
      <c r="AS606" s="28"/>
      <c r="AT606" s="28"/>
      <c r="AU606" s="28"/>
      <c r="AW606" s="28"/>
      <c r="AX606" s="28" t="s">
        <v>223</v>
      </c>
      <c r="AY606" s="43">
        <v>3220</v>
      </c>
      <c r="AZ606" s="186">
        <v>3734</v>
      </c>
      <c r="BJ606" s="28"/>
    </row>
    <row r="607" spans="3:62" ht="15" thickBot="1" x14ac:dyDescent="0.35">
      <c r="C607" s="28"/>
      <c r="D607" s="33"/>
      <c r="E607" s="33"/>
      <c r="F607" s="35"/>
      <c r="G607" s="34"/>
      <c r="H607" s="34"/>
      <c r="I607" s="34"/>
      <c r="J607" s="33"/>
      <c r="K607" s="35"/>
      <c r="L607" s="53" t="s">
        <v>82</v>
      </c>
      <c r="M607" s="34"/>
      <c r="N607" s="35"/>
      <c r="O607" s="34" t="s">
        <v>91</v>
      </c>
      <c r="P607">
        <v>2015</v>
      </c>
      <c r="Q607" s="28">
        <v>10</v>
      </c>
      <c r="R607" s="33" t="s">
        <v>89</v>
      </c>
      <c r="S607" s="78">
        <v>340</v>
      </c>
      <c r="T607" s="79">
        <f>339+15</f>
        <v>354</v>
      </c>
      <c r="U607" s="34"/>
      <c r="V607" s="8"/>
      <c r="W607" s="35"/>
      <c r="X607" s="80"/>
      <c r="Y607" s="34"/>
      <c r="Z607" s="33"/>
      <c r="AA607" s="34" t="s">
        <v>91</v>
      </c>
      <c r="AB607" s="35"/>
      <c r="AH607" s="226" t="s">
        <v>184</v>
      </c>
      <c r="AI607" s="138">
        <f>1+4+1+2+2</f>
        <v>10</v>
      </c>
      <c r="AJ607" s="141">
        <f>1+2+3</f>
        <v>6</v>
      </c>
      <c r="AK607" s="138"/>
      <c r="AL607" s="28"/>
      <c r="AM607" s="141"/>
      <c r="AN607" s="138"/>
      <c r="AO607" s="141"/>
      <c r="AP607" s="217" t="s">
        <v>1168</v>
      </c>
      <c r="AQ607" s="218" t="s">
        <v>1169</v>
      </c>
      <c r="AR607" s="141" t="s">
        <v>482</v>
      </c>
      <c r="AS607" s="28"/>
      <c r="AT607" s="28"/>
      <c r="AU607" s="28"/>
      <c r="AW607" s="28"/>
      <c r="AX607" s="28" t="s">
        <v>1340</v>
      </c>
      <c r="AY607" s="28"/>
      <c r="AZ607" s="186">
        <v>141</v>
      </c>
      <c r="BJ607" s="28"/>
    </row>
    <row r="608" spans="3:62" ht="15" thickBot="1" x14ac:dyDescent="0.35">
      <c r="C608" s="28"/>
      <c r="D608" s="47" t="s">
        <v>85</v>
      </c>
      <c r="E608" s="47">
        <v>0</v>
      </c>
      <c r="F608" s="49">
        <v>0</v>
      </c>
      <c r="G608" s="48"/>
      <c r="H608" s="48">
        <v>0</v>
      </c>
      <c r="I608" s="48">
        <v>0</v>
      </c>
      <c r="J608" s="47">
        <v>0</v>
      </c>
      <c r="K608" s="49">
        <v>0</v>
      </c>
      <c r="L608" s="51"/>
      <c r="M608" s="48" t="s">
        <v>86</v>
      </c>
      <c r="N608" s="49">
        <f>SUM(L608)</f>
        <v>0</v>
      </c>
      <c r="O608" s="34" t="s">
        <v>91</v>
      </c>
      <c r="P608">
        <v>2015</v>
      </c>
      <c r="Q608" s="28">
        <v>10</v>
      </c>
      <c r="R608" s="52" t="s">
        <v>85</v>
      </c>
      <c r="S608" s="42">
        <v>0</v>
      </c>
      <c r="T608" s="40">
        <v>0</v>
      </c>
      <c r="U608" s="28"/>
      <c r="V608" s="28"/>
      <c r="W608" s="40"/>
      <c r="Z608" s="42"/>
      <c r="AA608" s="43"/>
      <c r="AB608" s="40"/>
      <c r="AH608" s="219" t="s">
        <v>107</v>
      </c>
      <c r="AI608" s="138">
        <v>0</v>
      </c>
      <c r="AJ608" s="141">
        <v>7</v>
      </c>
      <c r="AK608" s="138"/>
      <c r="AL608" s="28"/>
      <c r="AM608" s="141"/>
      <c r="AN608" s="138"/>
      <c r="AO608" s="141"/>
      <c r="AP608" s="138" t="s">
        <v>287</v>
      </c>
      <c r="AQ608" s="222" t="s">
        <v>385</v>
      </c>
      <c r="AR608" s="141" t="s">
        <v>1079</v>
      </c>
      <c r="AS608" s="28"/>
      <c r="AT608" s="28"/>
      <c r="AU608" s="28"/>
      <c r="AW608" s="28"/>
      <c r="AX608" s="28" t="s">
        <v>229</v>
      </c>
      <c r="AY608" s="28"/>
      <c r="AZ608" s="186">
        <v>2</v>
      </c>
      <c r="BJ608" s="28"/>
    </row>
    <row r="609" spans="1:62" x14ac:dyDescent="0.3">
      <c r="C609" s="28"/>
      <c r="D609" s="50" t="s">
        <v>107</v>
      </c>
      <c r="E609" s="31">
        <v>49</v>
      </c>
      <c r="F609" s="31">
        <v>85</v>
      </c>
      <c r="G609" s="29"/>
      <c r="H609" s="31"/>
      <c r="I609" s="30"/>
      <c r="J609" s="55"/>
      <c r="K609" s="8"/>
      <c r="L609" s="29"/>
      <c r="M609" s="34" t="s">
        <v>92</v>
      </c>
      <c r="N609" s="35"/>
      <c r="O609" s="34" t="s">
        <v>91</v>
      </c>
      <c r="P609">
        <v>2015</v>
      </c>
      <c r="Q609" s="28">
        <v>10</v>
      </c>
      <c r="R609" s="67" t="s">
        <v>113</v>
      </c>
      <c r="S609" s="42">
        <v>561</v>
      </c>
      <c r="T609" s="40">
        <v>643</v>
      </c>
      <c r="U609" s="28"/>
      <c r="V609" s="28"/>
      <c r="W609" s="40"/>
      <c r="X609" s="28"/>
      <c r="Y609" s="28"/>
      <c r="Z609" s="67">
        <v>70</v>
      </c>
      <c r="AA609" s="43" t="s">
        <v>73</v>
      </c>
      <c r="AB609" s="40"/>
      <c r="AH609" s="196" t="s">
        <v>523</v>
      </c>
      <c r="AI609" s="138">
        <v>0</v>
      </c>
      <c r="AJ609" s="141">
        <v>2</v>
      </c>
      <c r="AK609" s="138"/>
      <c r="AL609" s="28"/>
      <c r="AM609" s="141"/>
      <c r="AN609" s="138"/>
      <c r="AO609" s="141"/>
      <c r="AP609" s="223" t="s">
        <v>1175</v>
      </c>
      <c r="AQ609" s="43" t="s">
        <v>1176</v>
      </c>
      <c r="AR609" s="209" t="s">
        <v>514</v>
      </c>
      <c r="AS609" s="43"/>
      <c r="AT609" s="43"/>
      <c r="AU609" s="28"/>
      <c r="AW609" s="28"/>
      <c r="AX609" t="s">
        <v>232</v>
      </c>
      <c r="AZ609" s="178" t="s">
        <v>233</v>
      </c>
      <c r="BB609">
        <v>1197</v>
      </c>
      <c r="BD609" t="s">
        <v>234</v>
      </c>
      <c r="BF609" t="s">
        <v>233</v>
      </c>
      <c r="BH609">
        <v>3698</v>
      </c>
      <c r="BJ609" s="28"/>
    </row>
    <row r="610" spans="1:62" ht="15" thickBot="1" x14ac:dyDescent="0.35">
      <c r="C610" s="28"/>
      <c r="D610" s="41" t="s">
        <v>99</v>
      </c>
      <c r="E610" s="45">
        <v>0</v>
      </c>
      <c r="F610" s="45">
        <v>0</v>
      </c>
      <c r="G610" s="42">
        <v>0</v>
      </c>
      <c r="H610" s="45">
        <v>0</v>
      </c>
      <c r="I610" s="40">
        <v>0</v>
      </c>
      <c r="J610" s="45">
        <v>58719</v>
      </c>
      <c r="K610" s="56">
        <v>21131</v>
      </c>
      <c r="L610" s="52">
        <v>29</v>
      </c>
      <c r="M610" s="37" t="s">
        <v>100</v>
      </c>
      <c r="N610" s="40"/>
      <c r="Q610" s="28">
        <v>10</v>
      </c>
      <c r="R610" s="47" t="s">
        <v>84</v>
      </c>
      <c r="S610" s="47">
        <f>SUM(S607:S609)</f>
        <v>901</v>
      </c>
      <c r="T610" s="49">
        <f>SUM(T607:T609)</f>
        <v>997</v>
      </c>
      <c r="U610" s="81">
        <v>0</v>
      </c>
      <c r="V610" s="27">
        <v>0</v>
      </c>
      <c r="W610" s="82">
        <f>+W607</f>
        <v>0</v>
      </c>
      <c r="X610" s="74">
        <v>0</v>
      </c>
      <c r="Y610" s="74">
        <v>0</v>
      </c>
      <c r="Z610" s="47"/>
      <c r="AA610" s="51"/>
      <c r="AB610" s="49">
        <f>SUM(Z609)</f>
        <v>70</v>
      </c>
      <c r="AH610" s="196" t="s">
        <v>1179</v>
      </c>
      <c r="AI610" s="138">
        <v>8</v>
      </c>
      <c r="AJ610" s="141">
        <v>2</v>
      </c>
      <c r="AK610" s="138"/>
      <c r="AL610" s="28"/>
      <c r="AM610" s="141"/>
      <c r="AN610" s="138"/>
      <c r="AO610" s="141"/>
      <c r="AP610" s="221" t="s">
        <v>940</v>
      </c>
      <c r="AQ610" s="220" t="s">
        <v>1180</v>
      </c>
      <c r="AR610" s="213" t="s">
        <v>1181</v>
      </c>
      <c r="AS610" s="228"/>
      <c r="AT610" s="228"/>
      <c r="AU610" s="28"/>
      <c r="AW610" s="28"/>
      <c r="AZ610" t="s">
        <v>236</v>
      </c>
      <c r="BB610">
        <v>1342</v>
      </c>
      <c r="BF610" t="s">
        <v>236</v>
      </c>
      <c r="BH610">
        <v>3409</v>
      </c>
      <c r="BJ610" s="28"/>
    </row>
    <row r="611" spans="1:62" ht="15" thickBot="1" x14ac:dyDescent="0.35">
      <c r="C611" s="28"/>
      <c r="D611" s="17" t="s">
        <v>84</v>
      </c>
      <c r="E611" s="18">
        <f>SUM(E609:E610)</f>
        <v>49</v>
      </c>
      <c r="F611" s="18">
        <f>SUM(F609:F610)</f>
        <v>85</v>
      </c>
      <c r="G611" s="13"/>
      <c r="H611" s="27"/>
      <c r="I611" s="26"/>
      <c r="J611" s="58"/>
      <c r="K611" s="27"/>
      <c r="L611" s="59"/>
      <c r="M611" s="48" t="s">
        <v>506</v>
      </c>
      <c r="N611" s="60">
        <f>SUM(L610:L611)</f>
        <v>29</v>
      </c>
      <c r="O611" s="34" t="s">
        <v>130</v>
      </c>
      <c r="P611">
        <v>2015</v>
      </c>
      <c r="Q611" s="28">
        <v>10</v>
      </c>
      <c r="R611" s="52" t="s">
        <v>113</v>
      </c>
      <c r="S611" s="42">
        <v>726</v>
      </c>
      <c r="T611" s="85">
        <v>759</v>
      </c>
      <c r="U611" s="37"/>
      <c r="V611" s="18"/>
      <c r="W611" s="54"/>
      <c r="X611" s="52"/>
      <c r="Y611" s="40"/>
      <c r="Z611" s="67"/>
      <c r="AA611" s="34" t="s">
        <v>130</v>
      </c>
      <c r="AB611" s="40"/>
      <c r="AH611" s="196" t="s">
        <v>504</v>
      </c>
      <c r="AI611" s="138">
        <v>0</v>
      </c>
      <c r="AJ611" s="141">
        <v>10</v>
      </c>
      <c r="AK611" s="138"/>
      <c r="AL611" s="28"/>
      <c r="AM611" s="141"/>
      <c r="AN611" s="138"/>
      <c r="AO611" s="141"/>
      <c r="AP611" s="138" t="s">
        <v>1185</v>
      </c>
      <c r="AQ611" s="43" t="s">
        <v>325</v>
      </c>
      <c r="AR611" s="141" t="s">
        <v>1186</v>
      </c>
      <c r="AS611" s="28"/>
      <c r="AT611" s="28"/>
      <c r="AU611" s="28"/>
      <c r="AW611" s="28"/>
      <c r="AX611" t="s">
        <v>238</v>
      </c>
      <c r="AY611" t="s">
        <v>239</v>
      </c>
      <c r="BA611" t="s">
        <v>240</v>
      </c>
      <c r="BB611" t="s">
        <v>241</v>
      </c>
      <c r="BE611" t="s">
        <v>242</v>
      </c>
      <c r="BF611" s="131" t="s">
        <v>243</v>
      </c>
      <c r="BJ611" s="28"/>
    </row>
    <row r="612" spans="1:62" ht="15" thickBot="1" x14ac:dyDescent="0.35">
      <c r="A612" s="31" t="s">
        <v>57</v>
      </c>
      <c r="B612">
        <v>2014</v>
      </c>
      <c r="C612" s="28">
        <v>10</v>
      </c>
      <c r="D612" s="32" t="s">
        <v>107</v>
      </c>
      <c r="E612" s="63">
        <v>0</v>
      </c>
      <c r="F612" s="64">
        <v>0</v>
      </c>
      <c r="G612" s="33"/>
      <c r="H612" s="8"/>
      <c r="I612" s="35"/>
      <c r="J612" s="65"/>
      <c r="K612" s="66"/>
      <c r="L612" s="29"/>
      <c r="M612" s="31" t="s">
        <v>57</v>
      </c>
      <c r="N612" s="35"/>
      <c r="Q612" s="28"/>
      <c r="R612" s="42" t="s">
        <v>475</v>
      </c>
      <c r="S612" s="67"/>
      <c r="T612" s="85"/>
      <c r="U612" s="28"/>
      <c r="V612" s="18"/>
      <c r="W612" s="28"/>
      <c r="X612" s="52"/>
      <c r="Y612" s="86"/>
      <c r="Z612" s="52">
        <v>53</v>
      </c>
      <c r="AA612" s="43" t="s">
        <v>73</v>
      </c>
      <c r="AB612" s="40"/>
      <c r="AC612" t="s">
        <v>6</v>
      </c>
      <c r="AH612" s="196" t="s">
        <v>1189</v>
      </c>
      <c r="AI612" s="138">
        <v>7</v>
      </c>
      <c r="AJ612" s="141">
        <v>6</v>
      </c>
      <c r="AK612" s="138"/>
      <c r="AL612" s="28"/>
      <c r="AM612" s="141"/>
      <c r="AN612" s="138"/>
      <c r="AO612" s="141"/>
      <c r="AP612" s="138" t="s">
        <v>890</v>
      </c>
      <c r="AQ612" s="43" t="s">
        <v>771</v>
      </c>
      <c r="AR612" s="141" t="s">
        <v>1190</v>
      </c>
      <c r="AS612" s="28"/>
      <c r="AT612" s="28"/>
      <c r="AU612" s="28"/>
      <c r="AW612" s="28"/>
      <c r="AX612" t="s">
        <v>233</v>
      </c>
      <c r="AZ612">
        <v>37832</v>
      </c>
      <c r="BA612" s="236" t="s">
        <v>233</v>
      </c>
      <c r="BC612">
        <v>1331</v>
      </c>
      <c r="BD612" t="s">
        <v>233</v>
      </c>
      <c r="BF612">
        <v>8344</v>
      </c>
      <c r="BG612" t="s">
        <v>245</v>
      </c>
      <c r="BJ612" s="28"/>
    </row>
    <row r="613" spans="1:62" ht="15" thickBot="1" x14ac:dyDescent="0.35">
      <c r="A613" s="31" t="s">
        <v>57</v>
      </c>
      <c r="B613">
        <v>2014</v>
      </c>
      <c r="C613" s="28">
        <v>10</v>
      </c>
      <c r="D613" s="41" t="s">
        <v>113</v>
      </c>
      <c r="E613" s="70">
        <v>0</v>
      </c>
      <c r="F613" s="71">
        <v>0</v>
      </c>
      <c r="G613" s="42"/>
      <c r="H613" s="28"/>
      <c r="I613" s="40"/>
      <c r="J613" s="42"/>
      <c r="K613" s="40"/>
      <c r="L613" s="42"/>
      <c r="M613" s="54" t="s">
        <v>530</v>
      </c>
      <c r="N613" s="40"/>
      <c r="Q613" s="28"/>
      <c r="R613" s="59" t="s">
        <v>84</v>
      </c>
      <c r="S613" s="13">
        <f>SUM(S611:S612)</f>
        <v>726</v>
      </c>
      <c r="T613" s="60">
        <f>SUM(T611:T612)</f>
        <v>759</v>
      </c>
      <c r="U613" s="81">
        <v>0</v>
      </c>
      <c r="V613" s="27">
        <v>0</v>
      </c>
      <c r="W613" s="27">
        <v>0</v>
      </c>
      <c r="X613" s="13">
        <v>0</v>
      </c>
      <c r="Y613" s="26">
        <v>0</v>
      </c>
      <c r="Z613" s="13"/>
      <c r="AA613" s="43"/>
      <c r="AB613" s="26">
        <f>SUM(Z611:Z612)</f>
        <v>53</v>
      </c>
      <c r="AH613" s="196" t="s">
        <v>190</v>
      </c>
      <c r="AI613" s="138">
        <v>4</v>
      </c>
      <c r="AJ613" s="141">
        <v>2</v>
      </c>
      <c r="AK613" s="138"/>
      <c r="AL613" s="28"/>
      <c r="AM613" s="141"/>
      <c r="AN613" s="138"/>
      <c r="AO613" s="141"/>
      <c r="AP613" s="138" t="s">
        <v>516</v>
      </c>
      <c r="AQ613" s="43" t="s">
        <v>740</v>
      </c>
      <c r="AR613" s="141" t="s">
        <v>1192</v>
      </c>
      <c r="AS613" s="28"/>
      <c r="AT613" s="28"/>
      <c r="AU613" s="43"/>
      <c r="AW613" s="28"/>
      <c r="AX613" t="s">
        <v>236</v>
      </c>
      <c r="AZ613">
        <v>46801</v>
      </c>
      <c r="BA613" s="236" t="s">
        <v>236</v>
      </c>
      <c r="BC613">
        <v>7013</v>
      </c>
      <c r="BD613" t="s">
        <v>236</v>
      </c>
      <c r="BF613">
        <v>11954</v>
      </c>
      <c r="BI613">
        <v>100084</v>
      </c>
      <c r="BJ613" s="28"/>
    </row>
    <row r="614" spans="1:62" ht="15" thickBot="1" x14ac:dyDescent="0.35">
      <c r="A614" s="31" t="s">
        <v>57</v>
      </c>
      <c r="B614">
        <v>2014</v>
      </c>
      <c r="C614" s="28">
        <v>10</v>
      </c>
      <c r="D614" s="68" t="s">
        <v>84</v>
      </c>
      <c r="E614">
        <f>SUM(E612:E613)</f>
        <v>0</v>
      </c>
      <c r="F614">
        <f>SUM(F612:F613)</f>
        <v>0</v>
      </c>
      <c r="G614" s="47">
        <v>0</v>
      </c>
      <c r="H614" s="27">
        <v>0</v>
      </c>
      <c r="I614" s="49">
        <v>0</v>
      </c>
      <c r="J614" s="75">
        <v>0</v>
      </c>
      <c r="K614" s="49">
        <v>0</v>
      </c>
      <c r="L614" s="47"/>
      <c r="M614" s="51" t="s">
        <v>73</v>
      </c>
      <c r="N614" s="49">
        <f>SUM(L613:L614)</f>
        <v>0</v>
      </c>
      <c r="Q614" s="28"/>
      <c r="R614" s="88" t="s">
        <v>139</v>
      </c>
      <c r="S614" s="33">
        <v>0</v>
      </c>
      <c r="T614" s="34">
        <v>19</v>
      </c>
      <c r="U614" s="152"/>
      <c r="V614" s="89"/>
      <c r="W614" s="66"/>
      <c r="X614" s="8"/>
      <c r="Y614" s="35"/>
      <c r="Z614" s="34" t="s">
        <v>140</v>
      </c>
      <c r="AA614" s="34"/>
      <c r="AB614" s="35"/>
      <c r="AH614" s="196" t="s">
        <v>470</v>
      </c>
      <c r="AI614" s="138">
        <v>2</v>
      </c>
      <c r="AJ614" s="141">
        <v>3</v>
      </c>
      <c r="AK614" s="138"/>
      <c r="AL614" s="28"/>
      <c r="AM614" s="141"/>
      <c r="AN614" s="138"/>
      <c r="AO614" s="141"/>
      <c r="AP614" s="138" t="s">
        <v>379</v>
      </c>
      <c r="AQ614" s="43" t="s">
        <v>1196</v>
      </c>
      <c r="AR614" s="141" t="s">
        <v>180</v>
      </c>
      <c r="AS614" s="28"/>
      <c r="AT614" s="28"/>
      <c r="AU614" s="228"/>
      <c r="AW614" s="28"/>
      <c r="AX614" s="28"/>
      <c r="AY614" s="28"/>
      <c r="AZ614" s="178"/>
      <c r="BA614" s="28"/>
      <c r="BB614" s="28"/>
      <c r="BC614" s="28"/>
      <c r="BD614" s="28"/>
      <c r="BE614" s="28"/>
      <c r="BF614" s="28"/>
      <c r="BG614" s="28"/>
      <c r="BH614" s="28"/>
      <c r="BI614" s="28"/>
    </row>
    <row r="615" spans="1:62" ht="15" thickBot="1" x14ac:dyDescent="0.35">
      <c r="A615" s="34" t="s">
        <v>91</v>
      </c>
      <c r="B615">
        <v>2014</v>
      </c>
      <c r="C615" s="28">
        <v>10</v>
      </c>
      <c r="D615" s="33" t="s">
        <v>557</v>
      </c>
      <c r="E615" s="78">
        <v>3</v>
      </c>
      <c r="F615" s="79">
        <v>18</v>
      </c>
      <c r="G615" s="34"/>
      <c r="H615" s="8"/>
      <c r="I615" s="35">
        <v>18</v>
      </c>
      <c r="J615" s="80"/>
      <c r="K615" s="34"/>
      <c r="L615" s="33"/>
      <c r="M615" s="34" t="s">
        <v>91</v>
      </c>
      <c r="N615" s="35"/>
      <c r="Q615" s="28"/>
      <c r="R615" s="42" t="s">
        <v>164</v>
      </c>
      <c r="S615" s="42">
        <v>4</v>
      </c>
      <c r="T615" s="43">
        <v>0</v>
      </c>
      <c r="U615" s="42"/>
      <c r="V615" s="28"/>
      <c r="W615" s="40"/>
      <c r="X615" s="28"/>
      <c r="Y615" s="40"/>
      <c r="Z615" s="28"/>
      <c r="AA615" s="28"/>
      <c r="AB615" s="40"/>
      <c r="AH615" s="196" t="s">
        <v>200</v>
      </c>
      <c r="AI615" s="138">
        <v>21</v>
      </c>
      <c r="AJ615" s="141">
        <f>2+8</f>
        <v>10</v>
      </c>
      <c r="AK615" s="138"/>
      <c r="AL615" s="28"/>
      <c r="AM615" s="141"/>
      <c r="AN615" s="138"/>
      <c r="AO615" s="141"/>
      <c r="AP615" s="138"/>
      <c r="AQ615" s="28"/>
      <c r="AR615" s="141"/>
      <c r="AS615" s="28"/>
      <c r="AT615" s="28"/>
      <c r="AU615" s="28"/>
      <c r="AW615" s="28"/>
      <c r="AX615" s="28"/>
      <c r="AY615" s="28"/>
      <c r="AZ615" s="28"/>
      <c r="BA615" s="28"/>
      <c r="BB615" s="28"/>
      <c r="BC615" s="28"/>
      <c r="BD615" s="28"/>
      <c r="BE615" s="28"/>
      <c r="BF615" s="28"/>
      <c r="BG615" s="28"/>
      <c r="BH615" s="28"/>
      <c r="BI615" s="28"/>
    </row>
    <row r="616" spans="1:62" ht="15" thickBot="1" x14ac:dyDescent="0.35">
      <c r="A616" s="34" t="s">
        <v>91</v>
      </c>
      <c r="B616">
        <v>2014</v>
      </c>
      <c r="C616" s="28">
        <v>10</v>
      </c>
      <c r="D616" s="52" t="s">
        <v>531</v>
      </c>
      <c r="E616" s="42">
        <v>0</v>
      </c>
      <c r="F616" s="40">
        <v>0</v>
      </c>
      <c r="G616" s="28"/>
      <c r="H616" s="28"/>
      <c r="I616" s="40"/>
      <c r="L616" s="42"/>
      <c r="M616" s="28"/>
      <c r="N616" s="40"/>
      <c r="Q616" s="28"/>
      <c r="R616" s="153" t="s">
        <v>108</v>
      </c>
      <c r="S616" s="42">
        <v>6</v>
      </c>
      <c r="T616" s="43">
        <v>0</v>
      </c>
      <c r="U616" s="42"/>
      <c r="V616" s="28"/>
      <c r="W616" s="40"/>
      <c r="X616" s="28"/>
      <c r="Y616" s="40"/>
      <c r="Z616" s="28"/>
      <c r="AA616" s="28"/>
      <c r="AB616" s="40"/>
      <c r="AH616" s="196" t="s">
        <v>564</v>
      </c>
      <c r="AI616" s="138">
        <v>11</v>
      </c>
      <c r="AJ616" s="141">
        <v>5</v>
      </c>
      <c r="AK616" s="138"/>
      <c r="AL616" s="28"/>
      <c r="AM616" s="141"/>
      <c r="AN616" s="138"/>
      <c r="AO616" s="141"/>
      <c r="AP616" s="138"/>
      <c r="AQ616" s="28"/>
      <c r="AR616" s="141"/>
      <c r="AS616" s="28"/>
      <c r="AT616" s="28"/>
      <c r="AU616" s="28"/>
      <c r="AW616" s="28"/>
      <c r="AX616" s="28"/>
      <c r="AY616" s="28"/>
      <c r="AZ616" s="28"/>
      <c r="BA616" s="28"/>
      <c r="BB616" s="28"/>
      <c r="BC616" s="28"/>
      <c r="BD616" s="28"/>
      <c r="BE616" s="28"/>
      <c r="BF616" s="257"/>
      <c r="BG616" s="28"/>
      <c r="BH616" s="28"/>
      <c r="BI616" s="28"/>
    </row>
    <row r="617" spans="1:62" ht="15" thickBot="1" x14ac:dyDescent="0.35">
      <c r="A617" s="34" t="s">
        <v>91</v>
      </c>
      <c r="B617">
        <v>2014</v>
      </c>
      <c r="C617" s="28">
        <v>10</v>
      </c>
      <c r="D617" s="67" t="s">
        <v>113</v>
      </c>
      <c r="E617" s="42">
        <v>619</v>
      </c>
      <c r="F617" s="40">
        <v>694</v>
      </c>
      <c r="G617" s="28"/>
      <c r="H617" s="28"/>
      <c r="I617" s="40"/>
      <c r="J617" s="28"/>
      <c r="K617" s="28"/>
      <c r="L617" s="67">
        <v>51</v>
      </c>
      <c r="M617" s="43" t="s">
        <v>73</v>
      </c>
      <c r="N617" s="40"/>
      <c r="Q617" s="28"/>
      <c r="R617" s="92" t="s">
        <v>113</v>
      </c>
      <c r="S617" s="67">
        <f>11+8+12+64+8+4</f>
        <v>107</v>
      </c>
      <c r="T617" s="43">
        <f>7+2+5+17+62+9+8</f>
        <v>110</v>
      </c>
      <c r="U617" s="52"/>
      <c r="V617" s="54"/>
      <c r="W617" s="85"/>
      <c r="X617" s="18"/>
      <c r="Y617" s="40"/>
      <c r="Z617" s="18" t="s">
        <v>142</v>
      </c>
      <c r="AA617" s="18"/>
      <c r="AB617" s="39" t="s">
        <v>814</v>
      </c>
      <c r="AH617" s="196" t="s">
        <v>211</v>
      </c>
      <c r="AI617" s="138">
        <f>13+1</f>
        <v>14</v>
      </c>
      <c r="AJ617" s="141">
        <v>1</v>
      </c>
      <c r="AK617" s="138"/>
      <c r="AL617" s="28"/>
      <c r="AM617" s="141"/>
      <c r="AN617" s="138"/>
      <c r="AO617" s="141"/>
      <c r="AP617" s="138"/>
      <c r="AQ617" s="28"/>
      <c r="AR617" s="141"/>
      <c r="AS617" s="28"/>
      <c r="AT617" s="28"/>
      <c r="AU617" s="28"/>
      <c r="AW617" s="28"/>
      <c r="AX617" s="28"/>
      <c r="AY617" s="28"/>
      <c r="AZ617" s="28"/>
      <c r="BA617" s="218"/>
      <c r="BB617" s="28"/>
      <c r="BC617" s="28"/>
      <c r="BD617" s="28"/>
      <c r="BE617" s="28"/>
      <c r="BF617" s="28"/>
      <c r="BG617" s="28"/>
      <c r="BH617" s="28"/>
      <c r="BI617" s="28"/>
    </row>
    <row r="618" spans="1:62" ht="15" thickBot="1" x14ac:dyDescent="0.35">
      <c r="A618" s="34" t="s">
        <v>91</v>
      </c>
      <c r="B618">
        <v>2014</v>
      </c>
      <c r="C618" s="28">
        <v>10</v>
      </c>
      <c r="D618" s="47" t="s">
        <v>84</v>
      </c>
      <c r="E618" s="47">
        <f>SUM(E615:E617)</f>
        <v>622</v>
      </c>
      <c r="F618" s="49">
        <f>SUM(F615:F617)</f>
        <v>712</v>
      </c>
      <c r="G618" s="81">
        <v>0</v>
      </c>
      <c r="H618" s="27">
        <v>0</v>
      </c>
      <c r="I618" s="82">
        <f>+I615</f>
        <v>18</v>
      </c>
      <c r="J618" s="74">
        <v>0</v>
      </c>
      <c r="K618" s="74">
        <v>0</v>
      </c>
      <c r="L618" s="47"/>
      <c r="M618" s="51"/>
      <c r="N618" s="49">
        <f>SUM(L617)</f>
        <v>51</v>
      </c>
      <c r="Q618" s="28"/>
      <c r="R618" s="42" t="s">
        <v>657</v>
      </c>
      <c r="S618" s="67">
        <v>0</v>
      </c>
      <c r="T618" s="43">
        <v>0</v>
      </c>
      <c r="U618" s="52"/>
      <c r="V618" s="54"/>
      <c r="W618" s="85"/>
      <c r="X618" s="18"/>
      <c r="Y618" s="40"/>
      <c r="Z618" s="154" t="s">
        <v>146</v>
      </c>
      <c r="AA618" s="28"/>
      <c r="AB618" s="94" t="s">
        <v>253</v>
      </c>
      <c r="AH618" s="196" t="s">
        <v>218</v>
      </c>
      <c r="AI618" s="138">
        <v>0</v>
      </c>
      <c r="AJ618" s="141">
        <f>12+2</f>
        <v>14</v>
      </c>
      <c r="AK618" s="138"/>
      <c r="AL618" s="28">
        <v>0</v>
      </c>
      <c r="AM618" s="141"/>
      <c r="AN618" s="138"/>
      <c r="AO618" s="141"/>
      <c r="AP618" s="138"/>
      <c r="AQ618" s="28"/>
      <c r="AR618" s="141"/>
      <c r="AS618" s="28"/>
      <c r="AT618" s="28"/>
      <c r="AU618" s="28"/>
    </row>
    <row r="619" spans="1:62" ht="15" thickBot="1" x14ac:dyDescent="0.35">
      <c r="A619" s="34" t="s">
        <v>130</v>
      </c>
      <c r="B619">
        <v>2014</v>
      </c>
      <c r="C619" s="28">
        <v>10</v>
      </c>
      <c r="D619" s="52" t="s">
        <v>113</v>
      </c>
      <c r="E619" s="42">
        <v>703</v>
      </c>
      <c r="F619" s="85">
        <v>713</v>
      </c>
      <c r="G619" s="37"/>
      <c r="H619" s="18"/>
      <c r="I619" s="54"/>
      <c r="J619" s="52"/>
      <c r="K619" s="40"/>
      <c r="L619" s="67"/>
      <c r="M619" s="34" t="s">
        <v>130</v>
      </c>
      <c r="N619" s="40"/>
      <c r="Q619" s="28"/>
      <c r="R619" s="127" t="s">
        <v>817</v>
      </c>
      <c r="S619" s="67">
        <v>0</v>
      </c>
      <c r="T619" s="43">
        <v>0</v>
      </c>
      <c r="U619" s="42"/>
      <c r="V619" s="28"/>
      <c r="W619" s="40"/>
      <c r="X619" s="28"/>
      <c r="Y619" s="40"/>
      <c r="Z619" s="28"/>
      <c r="AA619" s="28"/>
      <c r="AB619" s="40"/>
      <c r="AH619" s="196" t="s">
        <v>93</v>
      </c>
      <c r="AI619" s="138">
        <v>0</v>
      </c>
      <c r="AJ619" s="141">
        <f>6+6</f>
        <v>12</v>
      </c>
      <c r="AK619" s="138"/>
      <c r="AL619" s="28"/>
      <c r="AM619" s="141"/>
      <c r="AN619" s="138"/>
      <c r="AO619" s="141"/>
      <c r="AP619" s="138"/>
      <c r="AQ619" s="28"/>
      <c r="AR619" s="141"/>
      <c r="AS619" s="28"/>
      <c r="AT619" s="28"/>
      <c r="AU619" s="28"/>
    </row>
    <row r="620" spans="1:62" ht="15" thickBot="1" x14ac:dyDescent="0.35">
      <c r="A620" s="34" t="s">
        <v>130</v>
      </c>
      <c r="B620">
        <v>2014</v>
      </c>
      <c r="C620" s="28">
        <v>10</v>
      </c>
      <c r="D620" s="42" t="s">
        <v>475</v>
      </c>
      <c r="E620" s="67">
        <v>0</v>
      </c>
      <c r="F620" s="85">
        <v>0</v>
      </c>
      <c r="G620" s="28"/>
      <c r="H620" s="18"/>
      <c r="I620" s="28"/>
      <c r="J620" s="52"/>
      <c r="K620" s="86"/>
      <c r="L620" s="52">
        <v>53</v>
      </c>
      <c r="M620" s="43" t="s">
        <v>73</v>
      </c>
      <c r="N620" s="40"/>
      <c r="O620" t="s">
        <v>6</v>
      </c>
      <c r="Q620" s="28"/>
      <c r="R620" s="52" t="s">
        <v>133</v>
      </c>
      <c r="S620" s="67">
        <f>2+31</f>
        <v>33</v>
      </c>
      <c r="T620" s="43">
        <f>3+30</f>
        <v>33</v>
      </c>
      <c r="U620" s="52" t="s">
        <v>150</v>
      </c>
      <c r="V620" s="54"/>
      <c r="W620" s="85"/>
      <c r="X620" s="18"/>
      <c r="Y620" s="40"/>
      <c r="Z620" s="28" t="s">
        <v>151</v>
      </c>
      <c r="AA620" s="28"/>
      <c r="AB620" s="185"/>
      <c r="AH620" s="199" t="s">
        <v>84</v>
      </c>
      <c r="AI620" s="142">
        <f>SUM(AI595:AI619)</f>
        <v>255</v>
      </c>
      <c r="AJ620" s="146">
        <f>SUM(AJ595:AJ619)</f>
        <v>260</v>
      </c>
      <c r="AK620" s="142">
        <v>0</v>
      </c>
      <c r="AL620" s="143">
        <f>SUM(AL595:AL619)</f>
        <v>0</v>
      </c>
      <c r="AM620" s="146">
        <v>0</v>
      </c>
      <c r="AN620" s="142">
        <v>0</v>
      </c>
      <c r="AO620" s="146">
        <v>0</v>
      </c>
      <c r="AP620" s="142"/>
      <c r="AQ620" s="143"/>
      <c r="AR620" s="146">
        <f>11+8+8+6+10+6+4+8+16+6+8+7+3+6+5</f>
        <v>112</v>
      </c>
      <c r="AS620" s="28"/>
      <c r="AT620" s="28"/>
      <c r="AU620" s="28"/>
      <c r="AW620" s="28"/>
      <c r="AX620" s="28"/>
      <c r="AY620" s="28"/>
      <c r="AZ620" s="28" t="s">
        <v>1656</v>
      </c>
      <c r="BA620" s="28"/>
      <c r="BB620" s="28"/>
    </row>
    <row r="621" spans="1:62" ht="15" thickBot="1" x14ac:dyDescent="0.35">
      <c r="A621" s="34" t="s">
        <v>130</v>
      </c>
      <c r="B621">
        <v>2014</v>
      </c>
      <c r="C621" s="28">
        <v>10</v>
      </c>
      <c r="D621" s="59" t="s">
        <v>84</v>
      </c>
      <c r="E621" s="13">
        <f>SUM(E619:E620)</f>
        <v>703</v>
      </c>
      <c r="F621" s="60">
        <f>SUM(F619:F620)</f>
        <v>713</v>
      </c>
      <c r="G621" s="81">
        <v>0</v>
      </c>
      <c r="H621" s="27">
        <v>0</v>
      </c>
      <c r="I621" s="27">
        <v>0</v>
      </c>
      <c r="J621" s="13">
        <v>0</v>
      </c>
      <c r="K621" s="26">
        <v>0</v>
      </c>
      <c r="L621" s="13"/>
      <c r="M621" s="43"/>
      <c r="N621" s="26">
        <f>SUM(L619:L620)</f>
        <v>53</v>
      </c>
      <c r="Q621" s="28"/>
      <c r="R621" s="52" t="s">
        <v>85</v>
      </c>
      <c r="S621" s="42">
        <v>0</v>
      </c>
      <c r="T621" s="43">
        <v>0</v>
      </c>
      <c r="U621" s="42"/>
      <c r="V621" s="54"/>
      <c r="W621" s="40"/>
      <c r="X621" s="45"/>
      <c r="Y621" s="56"/>
      <c r="Z621" s="43" t="s">
        <v>425</v>
      </c>
      <c r="AA621" s="28" t="s">
        <v>822</v>
      </c>
      <c r="AB621" s="40" t="s">
        <v>885</v>
      </c>
      <c r="AH621" t="s">
        <v>223</v>
      </c>
      <c r="AI621">
        <f>SUM(AI620+AI594+AI589+AI584+AI581+AI579+AI591)</f>
        <v>2070</v>
      </c>
      <c r="AJ621">
        <f>SUM(AJ620+AJ594+AJ589+AJ584+AJ579+AJ581+AJ591)</f>
        <v>2391</v>
      </c>
      <c r="AK621">
        <v>0</v>
      </c>
      <c r="AL621">
        <f>SUM(AL620+AL594+AL589+AL584+AL581+AL577)</f>
        <v>0</v>
      </c>
      <c r="AM621">
        <v>0</v>
      </c>
      <c r="AN621">
        <f>SUM(AN620+AN594+AN589+AN583+AN581+AN577)</f>
        <v>58088</v>
      </c>
      <c r="AO621">
        <f>SUM(AO620+AO594+AO589+AO583+AO581+AO577)</f>
        <v>14544</v>
      </c>
      <c r="AQ621" t="s">
        <v>939</v>
      </c>
      <c r="AR621">
        <f>SUM(+AR594+AR589+AR584+AR581+AR579)</f>
        <v>174</v>
      </c>
      <c r="AU621" s="28"/>
      <c r="AW621" s="28"/>
      <c r="AX621" s="28"/>
      <c r="AY621" s="28"/>
      <c r="AZ621" s="28"/>
      <c r="BA621" s="28"/>
      <c r="BB621" s="28"/>
      <c r="BC621" s="28"/>
      <c r="BD621" s="28"/>
    </row>
    <row r="622" spans="1:62" ht="15.6" x14ac:dyDescent="0.3">
      <c r="C622" s="28"/>
      <c r="D622" s="88" t="s">
        <v>139</v>
      </c>
      <c r="E622" s="33">
        <v>13</v>
      </c>
      <c r="F622" s="34">
        <v>13</v>
      </c>
      <c r="G622" s="152"/>
      <c r="H622" s="89"/>
      <c r="I622" s="66"/>
      <c r="J622" s="8"/>
      <c r="K622" s="35"/>
      <c r="L622" s="34" t="s">
        <v>140</v>
      </c>
      <c r="M622" s="34"/>
      <c r="N622" s="35"/>
      <c r="Q622" s="28"/>
      <c r="R622" s="151" t="s">
        <v>93</v>
      </c>
      <c r="S622" s="36">
        <v>6</v>
      </c>
      <c r="T622" s="37">
        <f>1+6</f>
        <v>7</v>
      </c>
      <c r="U622" s="10"/>
      <c r="V622" s="18"/>
      <c r="W622" s="11"/>
      <c r="X622" s="18"/>
      <c r="Y622" s="11"/>
      <c r="Z622" s="158" t="s">
        <v>541</v>
      </c>
      <c r="AA622" s="178" t="s">
        <v>886</v>
      </c>
      <c r="AB622" s="114" t="s">
        <v>649</v>
      </c>
      <c r="AH622" t="s">
        <v>225</v>
      </c>
      <c r="AJ622">
        <f>SUM(AR620)</f>
        <v>112</v>
      </c>
      <c r="AL622" s="184" t="s">
        <v>1207</v>
      </c>
      <c r="AM622" t="s">
        <v>1208</v>
      </c>
      <c r="AU622" s="28"/>
      <c r="AW622" s="28"/>
      <c r="AX622" s="28"/>
      <c r="AY622" s="28"/>
      <c r="AZ622" s="28"/>
      <c r="BA622" s="28"/>
      <c r="BB622" s="28"/>
      <c r="BC622" s="28"/>
      <c r="BD622" s="28"/>
    </row>
    <row r="623" spans="1:62" x14ac:dyDescent="0.3">
      <c r="C623" s="28"/>
      <c r="D623" s="42" t="s">
        <v>158</v>
      </c>
      <c r="E623" s="42">
        <f>12+15</f>
        <v>27</v>
      </c>
      <c r="F623" s="28">
        <v>15</v>
      </c>
      <c r="G623" s="42"/>
      <c r="H623" s="28"/>
      <c r="I623" s="40"/>
      <c r="J623" s="28"/>
      <c r="K623" s="40"/>
      <c r="L623" s="28"/>
      <c r="M623" s="28"/>
      <c r="N623" s="40"/>
      <c r="Q623" s="28"/>
      <c r="R623" s="42" t="s">
        <v>214</v>
      </c>
      <c r="S623" s="42">
        <v>0</v>
      </c>
      <c r="T623" s="54">
        <v>1</v>
      </c>
      <c r="U623" s="10"/>
      <c r="V623" s="18"/>
      <c r="W623" s="11"/>
      <c r="X623" s="18"/>
      <c r="Y623" s="11"/>
      <c r="Z623" s="158" t="s">
        <v>320</v>
      </c>
      <c r="AA623" s="186" t="s">
        <v>887</v>
      </c>
      <c r="AB623" s="39" t="s">
        <v>868</v>
      </c>
      <c r="AH623" t="s">
        <v>229</v>
      </c>
      <c r="AJ623">
        <f>16+19</f>
        <v>35</v>
      </c>
      <c r="AU623" s="28"/>
      <c r="AW623" s="28"/>
      <c r="AX623" s="28"/>
      <c r="AY623" s="28"/>
      <c r="AZ623" s="28"/>
      <c r="BA623" s="28"/>
      <c r="BB623" s="28"/>
      <c r="BC623" s="28"/>
      <c r="BD623" s="28"/>
    </row>
    <row r="624" spans="1:62" x14ac:dyDescent="0.3">
      <c r="C624" s="28"/>
      <c r="D624" s="153" t="s">
        <v>559</v>
      </c>
      <c r="E624" s="42">
        <v>1</v>
      </c>
      <c r="F624" s="28">
        <v>4</v>
      </c>
      <c r="G624" s="42"/>
      <c r="H624" s="28"/>
      <c r="I624" s="40"/>
      <c r="J624" s="28"/>
      <c r="K624" s="40"/>
      <c r="L624" s="28"/>
      <c r="M624" s="28"/>
      <c r="N624" s="40"/>
      <c r="Q624" s="28"/>
      <c r="R624" s="36" t="s">
        <v>169</v>
      </c>
      <c r="S624" s="36">
        <f>4+3</f>
        <v>7</v>
      </c>
      <c r="T624" s="37">
        <f>4+1</f>
        <v>5</v>
      </c>
      <c r="U624" s="10"/>
      <c r="V624" s="18"/>
      <c r="W624" s="11"/>
      <c r="X624" s="18"/>
      <c r="Y624" s="11"/>
      <c r="Z624" s="158" t="s">
        <v>888</v>
      </c>
      <c r="AA624" s="37" t="s">
        <v>539</v>
      </c>
      <c r="AB624" s="39" t="s">
        <v>257</v>
      </c>
      <c r="AH624" t="s">
        <v>232</v>
      </c>
      <c r="AJ624" t="s">
        <v>233</v>
      </c>
      <c r="AL624">
        <f>SUM(T621)</f>
        <v>0</v>
      </c>
      <c r="AN624" t="s">
        <v>234</v>
      </c>
      <c r="AP624" t="s">
        <v>233</v>
      </c>
      <c r="AR624">
        <f>SUM(AI621)</f>
        <v>2070</v>
      </c>
      <c r="AU624" s="28"/>
      <c r="AW624" s="28"/>
      <c r="AX624" s="28"/>
      <c r="AY624" s="28"/>
      <c r="AZ624" s="28"/>
      <c r="BA624" s="43"/>
      <c r="BB624" s="43"/>
      <c r="BC624" s="28"/>
      <c r="BD624" s="28"/>
    </row>
    <row r="625" spans="3:64" ht="15.6" x14ac:dyDescent="0.3">
      <c r="C625" s="28"/>
      <c r="D625" s="92" t="s">
        <v>113</v>
      </c>
      <c r="E625" s="67">
        <f>92+16+10+6+9+4</f>
        <v>137</v>
      </c>
      <c r="F625" s="43">
        <f>16+81+10+4+9</f>
        <v>120</v>
      </c>
      <c r="G625" s="52"/>
      <c r="H625" s="54"/>
      <c r="I625" s="85"/>
      <c r="J625" s="18"/>
      <c r="K625" s="40"/>
      <c r="L625" s="18" t="s">
        <v>142</v>
      </c>
      <c r="M625" s="18"/>
      <c r="N625" s="39" t="s">
        <v>438</v>
      </c>
      <c r="Q625" s="28"/>
      <c r="R625" s="36" t="s">
        <v>99</v>
      </c>
      <c r="S625" s="36">
        <v>0</v>
      </c>
      <c r="T625" s="37">
        <f>2+1</f>
        <v>3</v>
      </c>
      <c r="U625" s="10"/>
      <c r="V625" s="18"/>
      <c r="W625" s="11"/>
      <c r="X625" s="18"/>
      <c r="Y625" s="11"/>
      <c r="Z625" s="179" t="s">
        <v>345</v>
      </c>
      <c r="AA625" s="37" t="s">
        <v>889</v>
      </c>
      <c r="AB625" s="39" t="s">
        <v>890</v>
      </c>
      <c r="AG625" t="s">
        <v>6</v>
      </c>
      <c r="AJ625" t="s">
        <v>236</v>
      </c>
      <c r="AL625">
        <f>SUM(U621)</f>
        <v>0</v>
      </c>
      <c r="AP625" t="s">
        <v>236</v>
      </c>
      <c r="AR625">
        <f>SUM(AJ621)</f>
        <v>2391</v>
      </c>
      <c r="AW625" s="28"/>
      <c r="AX625" s="28"/>
      <c r="AY625" s="28"/>
      <c r="AZ625" s="28"/>
      <c r="BA625" s="258"/>
      <c r="BB625" s="43"/>
      <c r="BC625" s="28"/>
      <c r="BD625" s="28"/>
    </row>
    <row r="626" spans="3:64" x14ac:dyDescent="0.3">
      <c r="C626" s="28"/>
      <c r="D626" s="92" t="s">
        <v>384</v>
      </c>
      <c r="E626" s="67">
        <v>7</v>
      </c>
      <c r="F626" s="43">
        <v>0</v>
      </c>
      <c r="G626" s="52"/>
      <c r="H626" s="54"/>
      <c r="I626" s="85"/>
      <c r="J626" s="18"/>
      <c r="K626" s="40"/>
      <c r="L626" s="154" t="s">
        <v>146</v>
      </c>
      <c r="M626" s="28"/>
      <c r="N626" s="94" t="s">
        <v>560</v>
      </c>
      <c r="Q626" s="28"/>
      <c r="R626" s="150" t="s">
        <v>200</v>
      </c>
      <c r="S626" s="36">
        <v>0</v>
      </c>
      <c r="T626" s="37">
        <v>1</v>
      </c>
      <c r="U626" s="10"/>
      <c r="V626" s="37"/>
      <c r="W626" s="11"/>
      <c r="X626" s="18"/>
      <c r="Y626" s="11"/>
      <c r="Z626" s="158" t="s">
        <v>891</v>
      </c>
      <c r="AA626" s="54" t="s">
        <v>892</v>
      </c>
      <c r="AB626" s="39" t="s">
        <v>893</v>
      </c>
      <c r="AH626" t="s">
        <v>238</v>
      </c>
      <c r="AI626" t="s">
        <v>239</v>
      </c>
      <c r="AK626" t="s">
        <v>240</v>
      </c>
      <c r="AL626" t="s">
        <v>241</v>
      </c>
      <c r="AO626" t="s">
        <v>242</v>
      </c>
      <c r="AP626" t="s">
        <v>243</v>
      </c>
      <c r="AW626" s="28"/>
      <c r="AX626" s="28"/>
      <c r="AY626" s="28"/>
      <c r="AZ626" s="28"/>
      <c r="BA626" s="43"/>
      <c r="BB626" s="28"/>
      <c r="BC626" s="28"/>
      <c r="BD626" s="28"/>
    </row>
    <row r="627" spans="3:64" x14ac:dyDescent="0.3">
      <c r="C627" s="28" t="s">
        <v>6</v>
      </c>
      <c r="D627" s="127" t="s">
        <v>200</v>
      </c>
      <c r="E627" s="67">
        <v>3</v>
      </c>
      <c r="F627" s="43">
        <v>0</v>
      </c>
      <c r="G627" s="42"/>
      <c r="H627" s="28"/>
      <c r="I627" s="40"/>
      <c r="J627" s="28"/>
      <c r="K627" s="40"/>
      <c r="L627" s="28"/>
      <c r="M627" s="28"/>
      <c r="N627" s="40"/>
      <c r="Q627" s="37"/>
      <c r="R627" s="36" t="s">
        <v>196</v>
      </c>
      <c r="S627" s="36">
        <v>5</v>
      </c>
      <c r="T627" s="37">
        <v>0</v>
      </c>
      <c r="U627" s="10"/>
      <c r="V627" s="18"/>
      <c r="W627" s="11"/>
      <c r="X627" s="18"/>
      <c r="Y627" s="11"/>
      <c r="Z627" s="37" t="s">
        <v>894</v>
      </c>
      <c r="AA627" s="37" t="s">
        <v>895</v>
      </c>
      <c r="AB627" s="180" t="s">
        <v>519</v>
      </c>
      <c r="AH627" t="s">
        <v>233</v>
      </c>
      <c r="AJ627" t="e">
        <f>SUM(#REF!)</f>
        <v>#REF!</v>
      </c>
      <c r="AK627" t="s">
        <v>233</v>
      </c>
      <c r="AM627">
        <f>SUM(F621)</f>
        <v>713</v>
      </c>
      <c r="AN627" t="s">
        <v>233</v>
      </c>
      <c r="AP627">
        <f>SUM(AM627+AI621)</f>
        <v>2783</v>
      </c>
      <c r="AQ627" t="s">
        <v>245</v>
      </c>
      <c r="AR627" t="e">
        <f>SUM(AJ627+AP627)</f>
        <v>#REF!</v>
      </c>
    </row>
    <row r="628" spans="3:64" x14ac:dyDescent="0.3">
      <c r="C628" s="28"/>
      <c r="D628" s="52" t="s">
        <v>133</v>
      </c>
      <c r="E628" s="67">
        <v>5</v>
      </c>
      <c r="F628" s="43">
        <v>7</v>
      </c>
      <c r="G628" s="52" t="s">
        <v>150</v>
      </c>
      <c r="H628" s="54"/>
      <c r="I628" s="85"/>
      <c r="J628" s="18"/>
      <c r="K628" s="40"/>
      <c r="L628" s="28" t="s">
        <v>151</v>
      </c>
      <c r="M628" s="28"/>
      <c r="N628" s="96"/>
      <c r="Q628" s="28"/>
      <c r="R628" s="150" t="s">
        <v>211</v>
      </c>
      <c r="S628" s="36">
        <v>13</v>
      </c>
      <c r="T628" s="37">
        <v>19</v>
      </c>
      <c r="U628" s="10"/>
      <c r="V628" s="18"/>
      <c r="W628" s="11"/>
      <c r="X628" s="18"/>
      <c r="Y628" s="11"/>
      <c r="Z628" s="159" t="s">
        <v>602</v>
      </c>
      <c r="AA628" s="37" t="s">
        <v>896</v>
      </c>
      <c r="AB628" s="39" t="s">
        <v>897</v>
      </c>
      <c r="AH628" t="s">
        <v>236</v>
      </c>
      <c r="AJ628" t="e">
        <f>SUM(#REF!)</f>
        <v>#REF!</v>
      </c>
      <c r="AK628" t="s">
        <v>236</v>
      </c>
      <c r="AM628">
        <f>SUM(G621)</f>
        <v>0</v>
      </c>
      <c r="AN628" t="s">
        <v>236</v>
      </c>
      <c r="AP628">
        <f>SUM(AM628+AJ621)</f>
        <v>2391</v>
      </c>
      <c r="AR628" t="e">
        <f>SUM(AJ628+AP628)</f>
        <v>#REF!</v>
      </c>
    </row>
    <row r="629" spans="3:64" x14ac:dyDescent="0.3">
      <c r="C629" s="28"/>
      <c r="D629" s="52" t="s">
        <v>85</v>
      </c>
      <c r="E629" s="42">
        <f>8+12</f>
        <v>20</v>
      </c>
      <c r="F629" s="43">
        <v>7</v>
      </c>
      <c r="G629" s="42"/>
      <c r="H629" s="54"/>
      <c r="I629" s="40"/>
      <c r="J629" s="45"/>
      <c r="K629" s="56"/>
      <c r="L629" s="43" t="s">
        <v>561</v>
      </c>
      <c r="M629" s="28" t="s">
        <v>562</v>
      </c>
      <c r="N629" s="40" t="s">
        <v>563</v>
      </c>
      <c r="R629" s="150" t="s">
        <v>64</v>
      </c>
      <c r="S629" s="36">
        <v>1</v>
      </c>
      <c r="T629" s="37">
        <v>0</v>
      </c>
      <c r="U629" s="10"/>
      <c r="V629" s="18"/>
      <c r="W629" s="11"/>
      <c r="X629" s="18"/>
      <c r="Y629" s="11"/>
      <c r="Z629" s="128" t="s">
        <v>899</v>
      </c>
      <c r="AA629" s="37" t="s">
        <v>693</v>
      </c>
      <c r="AB629" s="39" t="s">
        <v>900</v>
      </c>
      <c r="BB629" t="s">
        <v>5</v>
      </c>
      <c r="BE629" s="28"/>
      <c r="BF629" s="28"/>
      <c r="BG629" s="28"/>
      <c r="BH629" s="28"/>
      <c r="BI629" s="28"/>
      <c r="BJ629" s="28"/>
    </row>
    <row r="630" spans="3:64" ht="15.6" x14ac:dyDescent="0.3">
      <c r="C630" s="28"/>
      <c r="D630" s="151" t="s">
        <v>564</v>
      </c>
      <c r="E630" s="36">
        <v>16</v>
      </c>
      <c r="F630" s="37">
        <v>5</v>
      </c>
      <c r="G630" s="10"/>
      <c r="H630" s="18"/>
      <c r="I630" s="11"/>
      <c r="J630" s="18"/>
      <c r="K630" s="11"/>
      <c r="L630" s="155" t="s">
        <v>382</v>
      </c>
      <c r="M630" s="28" t="s">
        <v>325</v>
      </c>
      <c r="N630" s="99" t="s">
        <v>415</v>
      </c>
      <c r="R630" s="36" t="s">
        <v>184</v>
      </c>
      <c r="S630" s="36">
        <v>0</v>
      </c>
      <c r="T630" s="37">
        <v>0</v>
      </c>
      <c r="U630" s="10"/>
      <c r="V630" s="18"/>
      <c r="W630" s="11"/>
      <c r="X630" s="18"/>
      <c r="Y630" s="11"/>
      <c r="Z630" s="128" t="s">
        <v>901</v>
      </c>
      <c r="AA630" s="37" t="s">
        <v>902</v>
      </c>
      <c r="AB630" s="39" t="s">
        <v>295</v>
      </c>
      <c r="BC630" t="s">
        <v>2</v>
      </c>
      <c r="BE630" s="28"/>
      <c r="BF630" s="28"/>
      <c r="BG630" s="28"/>
      <c r="BH630" s="28"/>
      <c r="BI630" s="28"/>
      <c r="BJ630" s="28"/>
      <c r="BK630" s="28"/>
      <c r="BL630" s="28"/>
    </row>
    <row r="631" spans="3:64" ht="15.6" x14ac:dyDescent="0.3">
      <c r="C631" s="28"/>
      <c r="D631" s="92" t="s">
        <v>174</v>
      </c>
      <c r="E631" s="42">
        <v>31</v>
      </c>
      <c r="F631" s="28">
        <v>0</v>
      </c>
      <c r="G631" s="10"/>
      <c r="H631" s="18"/>
      <c r="I631" s="11"/>
      <c r="J631" s="18"/>
      <c r="K631" s="11"/>
      <c r="L631" s="154" t="s">
        <v>565</v>
      </c>
      <c r="M631" s="100" t="s">
        <v>566</v>
      </c>
      <c r="N631" s="39" t="s">
        <v>567</v>
      </c>
      <c r="R631" s="36" t="s">
        <v>107</v>
      </c>
      <c r="S631" s="10">
        <v>2</v>
      </c>
      <c r="T631" s="37">
        <v>2</v>
      </c>
      <c r="U631" s="10"/>
      <c r="V631" s="18"/>
      <c r="W631" s="39"/>
      <c r="X631" s="18"/>
      <c r="Y631" s="11"/>
      <c r="Z631" s="159" t="s">
        <v>651</v>
      </c>
      <c r="AA631" s="37"/>
      <c r="AB631" s="39"/>
      <c r="BA631" t="s">
        <v>13</v>
      </c>
      <c r="BE631" s="28"/>
      <c r="BF631" s="28"/>
      <c r="BG631" s="28"/>
      <c r="BH631" s="28"/>
      <c r="BI631" s="28"/>
      <c r="BJ631" s="28"/>
      <c r="BK631" s="28"/>
      <c r="BL631" s="28"/>
    </row>
    <row r="632" spans="3:64" x14ac:dyDescent="0.3">
      <c r="C632" s="28"/>
      <c r="D632" s="36" t="s">
        <v>169</v>
      </c>
      <c r="E632" s="36">
        <v>9</v>
      </c>
      <c r="F632" s="37">
        <v>9</v>
      </c>
      <c r="G632" s="10"/>
      <c r="H632" s="18"/>
      <c r="I632" s="11"/>
      <c r="J632" s="18"/>
      <c r="K632" s="11"/>
      <c r="L632" s="155" t="s">
        <v>154</v>
      </c>
      <c r="M632" s="37" t="s">
        <v>568</v>
      </c>
      <c r="N632" s="39" t="s">
        <v>569</v>
      </c>
      <c r="R632" s="150" t="s">
        <v>669</v>
      </c>
      <c r="S632" s="10">
        <v>5</v>
      </c>
      <c r="T632" s="37">
        <v>5</v>
      </c>
      <c r="U632" s="10"/>
      <c r="V632" s="18"/>
      <c r="W632" s="11"/>
      <c r="X632" s="18"/>
      <c r="Y632" s="11"/>
      <c r="Z632" s="179"/>
      <c r="AA632" s="37"/>
      <c r="AB632" s="39"/>
      <c r="BC632" t="s">
        <v>1833</v>
      </c>
      <c r="BE632" s="28"/>
      <c r="BF632" s="28"/>
      <c r="BG632" s="238" t="s">
        <v>950</v>
      </c>
      <c r="BH632" s="28"/>
      <c r="BI632" s="28"/>
      <c r="BJ632" s="28"/>
      <c r="BK632" s="28"/>
      <c r="BL632" s="28"/>
    </row>
    <row r="633" spans="3:64" x14ac:dyDescent="0.3">
      <c r="C633" s="28"/>
      <c r="D633" s="36" t="s">
        <v>99</v>
      </c>
      <c r="E633" s="36">
        <v>0</v>
      </c>
      <c r="F633" s="37">
        <v>9</v>
      </c>
      <c r="G633" s="10"/>
      <c r="H633" s="18"/>
      <c r="I633" s="11"/>
      <c r="J633" s="18"/>
      <c r="K633" s="11"/>
      <c r="L633" s="156" t="s">
        <v>305</v>
      </c>
      <c r="M633" s="157" t="s">
        <v>517</v>
      </c>
      <c r="N633" s="94" t="s">
        <v>570</v>
      </c>
      <c r="R633" s="92" t="s">
        <v>358</v>
      </c>
      <c r="S633" s="84">
        <v>18</v>
      </c>
      <c r="T633" s="54">
        <v>17</v>
      </c>
      <c r="U633" s="84"/>
      <c r="V633" s="45"/>
      <c r="W633" s="85"/>
      <c r="X633" s="18"/>
      <c r="Y633" s="11"/>
      <c r="Z633" s="179"/>
      <c r="AA633" s="54"/>
      <c r="AB633" s="86"/>
      <c r="AL633" t="s">
        <v>5</v>
      </c>
      <c r="AX633" s="195" t="s">
        <v>17</v>
      </c>
      <c r="AY633" s="134" t="s">
        <v>27</v>
      </c>
      <c r="AZ633" s="135"/>
      <c r="BA633" s="134" t="s">
        <v>28</v>
      </c>
      <c r="BB633" s="135"/>
      <c r="BC633" s="136"/>
      <c r="BD633" s="134" t="s">
        <v>1289</v>
      </c>
      <c r="BE633" s="136"/>
      <c r="BF633" s="135" t="s">
        <v>31</v>
      </c>
      <c r="BG633" s="135"/>
      <c r="BH633" s="136"/>
      <c r="BI633" s="28"/>
      <c r="BJ633" s="28"/>
      <c r="BK633" s="28"/>
      <c r="BL633" s="28"/>
    </row>
    <row r="634" spans="3:64" x14ac:dyDescent="0.3">
      <c r="C634" s="28"/>
      <c r="D634" s="150" t="s">
        <v>358</v>
      </c>
      <c r="E634" s="36">
        <v>9</v>
      </c>
      <c r="F634" s="37">
        <v>9</v>
      </c>
      <c r="G634" s="10"/>
      <c r="H634" s="37"/>
      <c r="I634" s="11"/>
      <c r="J634" s="18"/>
      <c r="K634" s="11"/>
      <c r="L634" s="158" t="s">
        <v>571</v>
      </c>
      <c r="M634" s="54" t="s">
        <v>572</v>
      </c>
      <c r="N634" s="39" t="s">
        <v>573</v>
      </c>
      <c r="R634" s="67" t="s">
        <v>564</v>
      </c>
      <c r="S634" s="84">
        <f>1+7</f>
        <v>8</v>
      </c>
      <c r="T634" s="54">
        <v>5</v>
      </c>
      <c r="U634" s="84"/>
      <c r="V634" s="45"/>
      <c r="W634" s="85"/>
      <c r="X634" s="45"/>
      <c r="Y634" s="85"/>
      <c r="Z634" s="179"/>
      <c r="AA634" s="54"/>
      <c r="AB634" s="180"/>
      <c r="AM634" t="s">
        <v>2</v>
      </c>
      <c r="AX634" s="196"/>
      <c r="AY634" s="138"/>
      <c r="AZ634" s="28"/>
      <c r="BA634" s="138"/>
      <c r="BB634" s="28"/>
      <c r="BC634" s="141"/>
      <c r="BD634" s="138"/>
      <c r="BE634" s="141"/>
      <c r="BF634" s="28" t="s">
        <v>41</v>
      </c>
      <c r="BG634" s="28"/>
      <c r="BH634" s="141"/>
      <c r="BI634" s="28"/>
      <c r="BJ634" s="28"/>
      <c r="BK634" s="28"/>
      <c r="BL634" s="28"/>
    </row>
    <row r="635" spans="3:64" x14ac:dyDescent="0.3">
      <c r="C635" s="37"/>
      <c r="D635" s="36" t="s">
        <v>574</v>
      </c>
      <c r="E635" s="36">
        <v>1</v>
      </c>
      <c r="F635" s="37">
        <v>7</v>
      </c>
      <c r="G635" s="10"/>
      <c r="H635" s="18"/>
      <c r="I635" s="11"/>
      <c r="J635" s="18"/>
      <c r="K635" s="11"/>
      <c r="L635" s="37" t="s">
        <v>575</v>
      </c>
      <c r="M635" s="37" t="s">
        <v>576</v>
      </c>
      <c r="N635" s="40" t="s">
        <v>577</v>
      </c>
      <c r="R635" s="67" t="s">
        <v>102</v>
      </c>
      <c r="S635" s="84">
        <v>4</v>
      </c>
      <c r="T635" s="54">
        <v>5</v>
      </c>
      <c r="U635" s="84"/>
      <c r="V635" s="45"/>
      <c r="W635" s="85"/>
      <c r="X635" s="45"/>
      <c r="Y635" s="85"/>
      <c r="Z635" s="179"/>
      <c r="AA635" s="54"/>
      <c r="AB635" s="180"/>
      <c r="AK635" t="s">
        <v>13</v>
      </c>
      <c r="AX635" s="199" t="s">
        <v>42</v>
      </c>
      <c r="AY635" s="142" t="s">
        <v>43</v>
      </c>
      <c r="AZ635" s="143" t="s">
        <v>44</v>
      </c>
      <c r="BA635" s="142" t="s">
        <v>45</v>
      </c>
      <c r="BB635" s="143" t="s">
        <v>46</v>
      </c>
      <c r="BC635" s="146" t="s">
        <v>52</v>
      </c>
      <c r="BD635" s="142" t="s">
        <v>43</v>
      </c>
      <c r="BE635" s="146"/>
      <c r="BF635" s="143" t="s">
        <v>54</v>
      </c>
      <c r="BG635" s="143"/>
      <c r="BH635" s="146"/>
      <c r="BI635" s="28"/>
      <c r="BJ635" s="28"/>
      <c r="BK635" s="28"/>
      <c r="BL635" s="28"/>
    </row>
    <row r="636" spans="3:64" x14ac:dyDescent="0.3">
      <c r="C636" s="28"/>
      <c r="D636" s="150" t="s">
        <v>211</v>
      </c>
      <c r="E636" s="36">
        <v>11</v>
      </c>
      <c r="F636" s="37">
        <v>3</v>
      </c>
      <c r="G636" s="10"/>
      <c r="H636" s="18"/>
      <c r="I636" s="11"/>
      <c r="J636" s="18"/>
      <c r="K636" s="11"/>
      <c r="L636" s="159" t="s">
        <v>578</v>
      </c>
      <c r="M636" s="37" t="s">
        <v>551</v>
      </c>
      <c r="N636" s="39" t="s">
        <v>579</v>
      </c>
      <c r="R636" s="127" t="s">
        <v>756</v>
      </c>
      <c r="S636" s="84">
        <v>7</v>
      </c>
      <c r="T636" s="54">
        <v>7</v>
      </c>
      <c r="U636" s="42"/>
      <c r="V636" s="45"/>
      <c r="W636" s="40"/>
      <c r="X636" s="45"/>
      <c r="Y636" s="85"/>
      <c r="Z636" s="158"/>
      <c r="AA636" s="54"/>
      <c r="AB636" s="86"/>
      <c r="AM636" t="s">
        <v>1209</v>
      </c>
      <c r="AQ636" s="194" t="s">
        <v>950</v>
      </c>
      <c r="AX636" s="195" t="s">
        <v>64</v>
      </c>
      <c r="AY636" s="134">
        <v>65</v>
      </c>
      <c r="AZ636" s="136">
        <v>103</v>
      </c>
      <c r="BA636" s="134"/>
      <c r="BB636" s="135"/>
      <c r="BC636" s="136"/>
      <c r="BD636" s="134"/>
      <c r="BE636" s="136"/>
      <c r="BF636" s="134" t="s">
        <v>58</v>
      </c>
      <c r="BG636" s="135"/>
      <c r="BH636" s="136"/>
      <c r="BJ636" s="28"/>
      <c r="BK636" s="28"/>
      <c r="BL636" s="28"/>
    </row>
    <row r="637" spans="3:64" x14ac:dyDescent="0.3">
      <c r="D637" s="150" t="s">
        <v>74</v>
      </c>
      <c r="E637" s="36">
        <v>1</v>
      </c>
      <c r="F637" s="37">
        <v>1</v>
      </c>
      <c r="G637" s="10"/>
      <c r="H637" s="18"/>
      <c r="I637" s="11"/>
      <c r="J637" s="18"/>
      <c r="K637" s="11"/>
      <c r="L637" s="37" t="s">
        <v>580</v>
      </c>
      <c r="M637" s="37" t="s">
        <v>581</v>
      </c>
      <c r="N637" s="114" t="s">
        <v>546</v>
      </c>
      <c r="R637" s="127" t="s">
        <v>218</v>
      </c>
      <c r="S637" s="84">
        <v>21</v>
      </c>
      <c r="T637" s="54">
        <v>13</v>
      </c>
      <c r="U637" s="42"/>
      <c r="V637" s="45">
        <v>3</v>
      </c>
      <c r="W637" s="40"/>
      <c r="X637" s="45"/>
      <c r="Y637" s="85"/>
      <c r="Z637" s="179"/>
      <c r="AA637" s="54"/>
      <c r="AB637" s="180"/>
      <c r="AH637" s="195" t="s">
        <v>17</v>
      </c>
      <c r="AI637" s="134" t="s">
        <v>27</v>
      </c>
      <c r="AJ637" s="136"/>
      <c r="AK637" s="135" t="s">
        <v>28</v>
      </c>
      <c r="AL637" s="135"/>
      <c r="AM637" s="135"/>
      <c r="AN637" s="135" t="s">
        <v>29</v>
      </c>
      <c r="AO637" s="135" t="s">
        <v>30</v>
      </c>
      <c r="AP637" s="135" t="s">
        <v>31</v>
      </c>
      <c r="AQ637" s="135"/>
      <c r="AR637" s="136"/>
      <c r="AS637" s="28"/>
      <c r="AT637" s="28"/>
      <c r="AX637" s="196" t="s">
        <v>56</v>
      </c>
      <c r="AY637" s="138">
        <v>51</v>
      </c>
      <c r="AZ637" s="141">
        <v>12</v>
      </c>
      <c r="BA637" s="138">
        <v>0</v>
      </c>
      <c r="BB637" s="43">
        <v>0</v>
      </c>
      <c r="BC637" s="209">
        <v>0</v>
      </c>
      <c r="BD637" s="138">
        <v>0</v>
      </c>
      <c r="BE637" s="141">
        <v>0</v>
      </c>
      <c r="BF637" s="212">
        <v>14</v>
      </c>
      <c r="BG637" s="28" t="s">
        <v>474</v>
      </c>
      <c r="BH637" s="141" t="s">
        <v>1834</v>
      </c>
      <c r="BJ637" s="28"/>
      <c r="BK637" s="28"/>
      <c r="BL637" s="28"/>
    </row>
    <row r="638" spans="3:64" x14ac:dyDescent="0.3">
      <c r="D638" s="36" t="s">
        <v>214</v>
      </c>
      <c r="E638" s="36">
        <v>2</v>
      </c>
      <c r="F638" s="37">
        <v>2</v>
      </c>
      <c r="G638" s="10"/>
      <c r="H638" s="18"/>
      <c r="I638" s="11"/>
      <c r="J638" s="18"/>
      <c r="K638" s="11"/>
      <c r="L638" s="37" t="s">
        <v>507</v>
      </c>
      <c r="M638" s="37" t="s">
        <v>165</v>
      </c>
      <c r="N638" s="39" t="s">
        <v>582</v>
      </c>
      <c r="R638" s="181" t="s">
        <v>220</v>
      </c>
      <c r="S638" s="10">
        <f>1+4</f>
        <v>5</v>
      </c>
      <c r="T638" s="18">
        <f>7+4</f>
        <v>11</v>
      </c>
      <c r="U638" s="10"/>
      <c r="V638" s="18"/>
      <c r="W638" s="11"/>
      <c r="X638" s="18"/>
      <c r="Y638" s="11"/>
      <c r="Z638" s="179"/>
      <c r="AA638" s="37"/>
      <c r="AB638" s="182"/>
      <c r="AH638" s="196"/>
      <c r="AI638" s="138"/>
      <c r="AJ638" s="141"/>
      <c r="AK638" s="28"/>
      <c r="AL638" s="28"/>
      <c r="AM638" s="28"/>
      <c r="AN638" s="28"/>
      <c r="AO638" s="28" t="s">
        <v>6</v>
      </c>
      <c r="AP638" s="28" t="s">
        <v>41</v>
      </c>
      <c r="AQ638" s="28"/>
      <c r="AR638" s="141"/>
      <c r="AS638" s="28"/>
      <c r="AT638" s="28"/>
      <c r="AX638" s="196" t="s">
        <v>59</v>
      </c>
      <c r="AY638" s="138">
        <v>7</v>
      </c>
      <c r="AZ638" s="141">
        <v>8</v>
      </c>
      <c r="BA638" s="138">
        <v>0</v>
      </c>
      <c r="BB638" s="43">
        <v>0</v>
      </c>
      <c r="BC638" s="209">
        <v>0</v>
      </c>
      <c r="BD638" s="138">
        <v>0</v>
      </c>
      <c r="BE638" s="141">
        <v>0</v>
      </c>
      <c r="BF638" s="138">
        <v>8</v>
      </c>
      <c r="BG638" s="28" t="s">
        <v>69</v>
      </c>
      <c r="BH638" s="141"/>
      <c r="BJ638" s="28"/>
      <c r="BK638" s="28"/>
      <c r="BL638" s="28"/>
    </row>
    <row r="639" spans="3:64" ht="15" thickBot="1" x14ac:dyDescent="0.35">
      <c r="D639" s="36" t="s">
        <v>583</v>
      </c>
      <c r="E639" s="10">
        <v>0</v>
      </c>
      <c r="F639" s="37">
        <v>4</v>
      </c>
      <c r="G639" s="10"/>
      <c r="H639" s="18"/>
      <c r="I639" s="39"/>
      <c r="J639" s="18"/>
      <c r="K639" s="11"/>
      <c r="L639" s="159" t="s">
        <v>584</v>
      </c>
      <c r="M639" s="37" t="s">
        <v>449</v>
      </c>
      <c r="N639" s="39" t="s">
        <v>585</v>
      </c>
      <c r="R639" s="13" t="s">
        <v>84</v>
      </c>
      <c r="S639" s="13">
        <f>SUM(S614:S638)</f>
        <v>252</v>
      </c>
      <c r="T639" s="27">
        <f>SUM(T614:T638)</f>
        <v>263</v>
      </c>
      <c r="U639" s="13">
        <v>0</v>
      </c>
      <c r="V639" s="27">
        <f>SUM(V614:V638)</f>
        <v>3</v>
      </c>
      <c r="W639" s="26">
        <f>SUM(W614:W638)</f>
        <v>0</v>
      </c>
      <c r="X639" s="58">
        <v>0</v>
      </c>
      <c r="Y639" s="26">
        <v>0</v>
      </c>
      <c r="Z639" s="81"/>
      <c r="AA639" s="27"/>
      <c r="AB639" s="26">
        <f>10+6+12+4+11+3+8+17+5+10+13</f>
        <v>99</v>
      </c>
      <c r="AH639" s="199" t="s">
        <v>42</v>
      </c>
      <c r="AI639" s="142" t="s">
        <v>43</v>
      </c>
      <c r="AJ639" s="146" t="s">
        <v>44</v>
      </c>
      <c r="AK639" s="143" t="s">
        <v>45</v>
      </c>
      <c r="AL639" s="143" t="s">
        <v>46</v>
      </c>
      <c r="AM639" s="143" t="s">
        <v>52</v>
      </c>
      <c r="AN639" s="143" t="s">
        <v>43</v>
      </c>
      <c r="AO639" s="143" t="s">
        <v>44</v>
      </c>
      <c r="AP639" s="143" t="s">
        <v>54</v>
      </c>
      <c r="AQ639" s="143"/>
      <c r="AR639" s="146"/>
      <c r="AS639" s="28"/>
      <c r="AT639" s="28"/>
      <c r="AX639" s="239" t="s">
        <v>84</v>
      </c>
      <c r="AY639" s="142">
        <f>SUM(AY636:AY638)</f>
        <v>123</v>
      </c>
      <c r="AZ639" s="146">
        <f>SUM(AZ636:AZ638)</f>
        <v>123</v>
      </c>
      <c r="BA639" s="142">
        <v>0</v>
      </c>
      <c r="BB639" s="143">
        <v>0</v>
      </c>
      <c r="BC639" s="146">
        <v>0</v>
      </c>
      <c r="BD639" s="142">
        <v>0</v>
      </c>
      <c r="BE639" s="146">
        <v>0</v>
      </c>
      <c r="BF639" s="142"/>
      <c r="BG639" s="143"/>
      <c r="BH639" s="146">
        <v>22</v>
      </c>
      <c r="BI639" s="28"/>
      <c r="BJ639" s="28"/>
      <c r="BK639" s="28"/>
      <c r="BL639" s="28"/>
    </row>
    <row r="640" spans="3:64" ht="15" thickBot="1" x14ac:dyDescent="0.35">
      <c r="D640" s="93" t="s">
        <v>181</v>
      </c>
      <c r="E640" s="10">
        <v>0</v>
      </c>
      <c r="F640" s="37">
        <v>2</v>
      </c>
      <c r="G640" s="10"/>
      <c r="H640" s="18"/>
      <c r="I640" s="11"/>
      <c r="J640" s="18"/>
      <c r="K640" s="11"/>
      <c r="L640" s="54" t="s">
        <v>586</v>
      </c>
      <c r="M640" s="37" t="s">
        <v>587</v>
      </c>
      <c r="N640" s="39" t="s">
        <v>588</v>
      </c>
      <c r="R640" s="13" t="s">
        <v>223</v>
      </c>
      <c r="S640" s="13">
        <f>SUM(S639+S613+S610+S606+S603+S600+S598)</f>
        <v>1992</v>
      </c>
      <c r="T640" s="26">
        <f>SUM(T639+T613+T610+T606+T603+T600+T598)</f>
        <v>2164</v>
      </c>
      <c r="U640" s="26">
        <f>SUM(U639+U613+U610+U606+U603+U600+U598)</f>
        <v>0</v>
      </c>
      <c r="V640" s="26">
        <f>SUM(V639+V613+V610+V606+V603+V600+V598)</f>
        <v>3</v>
      </c>
      <c r="W640" s="26">
        <f>SUM(W639+W613+W610+W606+W603+W600+W598)</f>
        <v>0</v>
      </c>
      <c r="X640" s="160">
        <f>SUM(X639+X613+X610+X606+X602+X600+X598)</f>
        <v>67423</v>
      </c>
      <c r="Y640" s="26">
        <f>SUM(Y639+Y613+Y610+Y606+Y602+Y600+Y598)</f>
        <v>18029</v>
      </c>
      <c r="Z640" s="81"/>
      <c r="AA640" s="27" t="s">
        <v>247</v>
      </c>
      <c r="AB640" s="26">
        <f>SUM(AB598:AB639)</f>
        <v>261</v>
      </c>
      <c r="AH640" s="195" t="s">
        <v>6</v>
      </c>
      <c r="AI640" s="135"/>
      <c r="AJ640" s="135"/>
      <c r="AK640" s="134"/>
      <c r="AL640" s="135"/>
      <c r="AM640" s="135"/>
      <c r="AN640" s="134"/>
      <c r="AO640" s="136"/>
      <c r="AP640" s="135" t="s">
        <v>58</v>
      </c>
      <c r="AQ640" s="135"/>
      <c r="AR640" s="136"/>
      <c r="AS640" s="28"/>
      <c r="AT640" s="28"/>
      <c r="AX640" s="195" t="s">
        <v>6</v>
      </c>
      <c r="AY640" s="134"/>
      <c r="AZ640" s="136"/>
      <c r="BA640" s="135"/>
      <c r="BB640" s="135"/>
      <c r="BC640" s="135"/>
      <c r="BD640" s="134"/>
      <c r="BE640" s="136"/>
      <c r="BF640" s="135"/>
      <c r="BG640" s="135"/>
      <c r="BH640" s="136"/>
      <c r="BJ640" s="28"/>
      <c r="BK640" s="28"/>
      <c r="BL640" s="28"/>
    </row>
    <row r="641" spans="3:64" x14ac:dyDescent="0.3">
      <c r="D641" s="92" t="s">
        <v>64</v>
      </c>
      <c r="E641" s="84">
        <v>1</v>
      </c>
      <c r="F641" s="54">
        <v>4</v>
      </c>
      <c r="G641" s="84"/>
      <c r="H641" s="45"/>
      <c r="I641" s="85"/>
      <c r="J641" s="18"/>
      <c r="K641" s="11"/>
      <c r="M641" s="54" t="s">
        <v>589</v>
      </c>
      <c r="N641" s="86"/>
      <c r="R641" s="131" t="s">
        <v>225</v>
      </c>
      <c r="T641">
        <f>SUM(AB639)</f>
        <v>99</v>
      </c>
      <c r="V641" t="s">
        <v>184</v>
      </c>
      <c r="W641" s="132"/>
      <c r="AH641" s="196" t="s">
        <v>64</v>
      </c>
      <c r="AI641" s="28">
        <f>33+127</f>
        <v>160</v>
      </c>
      <c r="AJ641" s="28">
        <v>144</v>
      </c>
      <c r="AK641" s="138">
        <v>0</v>
      </c>
      <c r="AL641" s="28">
        <v>0</v>
      </c>
      <c r="AM641" s="28">
        <v>0</v>
      </c>
      <c r="AN641" s="138">
        <v>0</v>
      </c>
      <c r="AO641" s="141">
        <v>0</v>
      </c>
      <c r="AP641" s="43">
        <v>19</v>
      </c>
      <c r="AQ641" s="28" t="s">
        <v>474</v>
      </c>
      <c r="AR641" s="141" t="s">
        <v>6</v>
      </c>
      <c r="AS641" s="28"/>
      <c r="AT641" s="28"/>
      <c r="AU641" s="28"/>
      <c r="AX641" s="199"/>
      <c r="AY641" s="142"/>
      <c r="AZ641" s="146"/>
      <c r="BA641" s="143"/>
      <c r="BB641" s="143"/>
      <c r="BC641" s="143"/>
      <c r="BD641" s="142"/>
      <c r="BE641" s="146"/>
      <c r="BF641" s="143"/>
      <c r="BG641" s="143"/>
      <c r="BH641" s="146"/>
      <c r="BJ641" s="28"/>
      <c r="BK641" s="28"/>
      <c r="BL641" s="28"/>
    </row>
    <row r="642" spans="3:64" x14ac:dyDescent="0.3">
      <c r="D642" s="127" t="s">
        <v>220</v>
      </c>
      <c r="E642" s="84">
        <v>2</v>
      </c>
      <c r="F642" s="54">
        <v>0</v>
      </c>
      <c r="G642" s="84"/>
      <c r="H642" s="45"/>
      <c r="I642" s="85"/>
      <c r="J642" s="45"/>
      <c r="K642" s="85"/>
      <c r="L642" s="54"/>
      <c r="M642" s="54"/>
      <c r="N642" s="40"/>
      <c r="R642" t="s">
        <v>229</v>
      </c>
      <c r="T642">
        <v>22</v>
      </c>
      <c r="AH642" s="196" t="s">
        <v>108</v>
      </c>
      <c r="AI642">
        <v>13</v>
      </c>
      <c r="AJ642">
        <v>0</v>
      </c>
      <c r="AK642" s="138"/>
      <c r="AL642" s="28"/>
      <c r="AM642" s="28"/>
      <c r="AN642" s="138"/>
      <c r="AO642" s="141"/>
      <c r="AP642" s="28">
        <v>2</v>
      </c>
      <c r="AQ642" s="28" t="s">
        <v>1045</v>
      </c>
      <c r="AR642" s="141"/>
      <c r="AS642" s="28"/>
      <c r="AT642" s="28"/>
      <c r="AU642" s="28"/>
      <c r="AX642" s="195" t="s">
        <v>107</v>
      </c>
      <c r="AY642" s="134">
        <v>0</v>
      </c>
      <c r="AZ642" s="136">
        <v>0</v>
      </c>
      <c r="BA642" s="135"/>
      <c r="BB642" s="135"/>
      <c r="BC642" s="135"/>
      <c r="BD642" s="134"/>
      <c r="BE642" s="136"/>
      <c r="BF642" s="135"/>
      <c r="BG642" s="135" t="s">
        <v>92</v>
      </c>
      <c r="BH642" s="136"/>
      <c r="BJ642" s="28"/>
      <c r="BK642" s="28"/>
      <c r="BL642" s="28"/>
    </row>
    <row r="643" spans="3:64" x14ac:dyDescent="0.3">
      <c r="D643" s="127" t="s">
        <v>495</v>
      </c>
      <c r="E643" s="84">
        <v>0</v>
      </c>
      <c r="F643" s="54">
        <v>2</v>
      </c>
      <c r="G643" s="84"/>
      <c r="H643" s="45"/>
      <c r="I643" s="85"/>
      <c r="J643" s="45"/>
      <c r="K643" s="85"/>
      <c r="L643" s="54"/>
      <c r="M643" s="54"/>
      <c r="N643" s="40"/>
      <c r="R643" t="s">
        <v>232</v>
      </c>
      <c r="T643" t="s">
        <v>233</v>
      </c>
      <c r="V643">
        <f>SUM(G640)</f>
        <v>0</v>
      </c>
      <c r="X643" t="s">
        <v>234</v>
      </c>
      <c r="Z643" t="s">
        <v>233</v>
      </c>
      <c r="AB643">
        <f>SUM(S640)</f>
        <v>1992</v>
      </c>
      <c r="AH643" s="199" t="s">
        <v>84</v>
      </c>
      <c r="AI643" s="143">
        <f>SUM(AI640:AI642)</f>
        <v>173</v>
      </c>
      <c r="AJ643" s="143">
        <f>SUM(AJ640:AJ642)</f>
        <v>144</v>
      </c>
      <c r="AK643" s="142"/>
      <c r="AL643" s="143"/>
      <c r="AM643" s="143"/>
      <c r="AN643" s="142"/>
      <c r="AO643" s="146"/>
      <c r="AP643" s="143">
        <v>1</v>
      </c>
      <c r="AQ643" s="143" t="s">
        <v>69</v>
      </c>
      <c r="AR643" s="146">
        <f>SUM(AP641:AP643)</f>
        <v>22</v>
      </c>
      <c r="AS643" s="28"/>
      <c r="AT643" s="28"/>
      <c r="AU643" s="28"/>
      <c r="AX643" s="196" t="s">
        <v>99</v>
      </c>
      <c r="AY643" s="138">
        <v>0</v>
      </c>
      <c r="AZ643" s="141">
        <v>0</v>
      </c>
      <c r="BA643" s="28">
        <v>0</v>
      </c>
      <c r="BB643" s="28">
        <v>0</v>
      </c>
      <c r="BC643" s="28">
        <v>0</v>
      </c>
      <c r="BD643" s="138">
        <v>66197</v>
      </c>
      <c r="BE643" s="141">
        <v>16362</v>
      </c>
      <c r="BF643" s="43">
        <v>25</v>
      </c>
      <c r="BG643" s="28" t="s">
        <v>100</v>
      </c>
      <c r="BH643" s="141"/>
      <c r="BJ643" s="28"/>
      <c r="BK643" s="28"/>
      <c r="BL643" s="28"/>
    </row>
    <row r="644" spans="3:64" x14ac:dyDescent="0.3">
      <c r="D644" s="127" t="s">
        <v>107</v>
      </c>
      <c r="E644" s="84">
        <v>4</v>
      </c>
      <c r="F644" s="54">
        <v>0</v>
      </c>
      <c r="G644" s="42"/>
      <c r="H644" s="45"/>
      <c r="I644" s="40"/>
      <c r="J644" s="45"/>
      <c r="K644" s="85"/>
      <c r="L644" s="155"/>
      <c r="M644" s="54"/>
      <c r="N644" s="86"/>
      <c r="Q644" t="s">
        <v>6</v>
      </c>
      <c r="T644" t="s">
        <v>236</v>
      </c>
      <c r="V644">
        <f>SUM(H640)</f>
        <v>0</v>
      </c>
      <c r="Z644" t="s">
        <v>236</v>
      </c>
      <c r="AB644">
        <f>SUM(T640)</f>
        <v>2164</v>
      </c>
      <c r="AH644" s="195" t="s">
        <v>6</v>
      </c>
      <c r="AI644" s="134" t="s">
        <v>6</v>
      </c>
      <c r="AJ644" s="136"/>
      <c r="AK644" s="135"/>
      <c r="AL644" s="135">
        <v>0</v>
      </c>
      <c r="AM644" s="135"/>
      <c r="AN644" s="134"/>
      <c r="AO644" s="136"/>
      <c r="AP644" s="135" t="s">
        <v>1092</v>
      </c>
      <c r="AQ644" s="135"/>
      <c r="AR644" s="136"/>
      <c r="AS644" s="28"/>
      <c r="AT644" s="28"/>
      <c r="AU644" s="28"/>
      <c r="AX644" s="199" t="s">
        <v>84</v>
      </c>
      <c r="AY644" s="138">
        <v>0</v>
      </c>
      <c r="AZ644" s="141">
        <v>0</v>
      </c>
      <c r="BA644" s="143"/>
      <c r="BB644" s="143"/>
      <c r="BC644" s="143"/>
      <c r="BD644" s="138"/>
      <c r="BE644" s="141"/>
      <c r="BF644" s="43"/>
      <c r="BG644" s="28" t="s">
        <v>506</v>
      </c>
      <c r="BH644" s="141">
        <f>SUM(BF643:BF644)</f>
        <v>25</v>
      </c>
      <c r="BJ644" s="28"/>
      <c r="BK644" s="28"/>
      <c r="BL644" s="28"/>
    </row>
    <row r="645" spans="3:64" x14ac:dyDescent="0.3">
      <c r="D645" s="127" t="s">
        <v>218</v>
      </c>
      <c r="E645" s="84">
        <v>2</v>
      </c>
      <c r="F645" s="54">
        <v>5</v>
      </c>
      <c r="G645" s="42"/>
      <c r="H645" s="45"/>
      <c r="I645" s="40"/>
      <c r="J645" s="45"/>
      <c r="K645" s="85"/>
      <c r="L645" s="54"/>
      <c r="M645" s="54"/>
      <c r="N645" s="40"/>
      <c r="R645" s="134" t="s">
        <v>238</v>
      </c>
      <c r="S645" s="135" t="s">
        <v>239</v>
      </c>
      <c r="T645" s="136"/>
      <c r="U645" s="134" t="s">
        <v>240</v>
      </c>
      <c r="V645" s="135" t="s">
        <v>241</v>
      </c>
      <c r="W645" s="136"/>
      <c r="X645" s="134"/>
      <c r="Y645" s="135" t="s">
        <v>242</v>
      </c>
      <c r="Z645" s="137" t="s">
        <v>243</v>
      </c>
      <c r="AA645" s="135"/>
      <c r="AB645" s="135"/>
      <c r="AC645" s="136"/>
      <c r="AD645" s="28"/>
      <c r="AH645" s="199" t="s">
        <v>108</v>
      </c>
      <c r="AI645" s="142">
        <v>365</v>
      </c>
      <c r="AJ645" s="146">
        <v>364</v>
      </c>
      <c r="AK645" s="143"/>
      <c r="AL645" s="143">
        <v>0</v>
      </c>
      <c r="AM645" s="143">
        <v>0</v>
      </c>
      <c r="AN645" s="142">
        <v>0</v>
      </c>
      <c r="AO645" s="146">
        <v>0</v>
      </c>
      <c r="AP645" s="143">
        <v>16</v>
      </c>
      <c r="AQ645" s="143" t="s">
        <v>780</v>
      </c>
      <c r="AR645" s="146">
        <f>SUM(AP645)</f>
        <v>16</v>
      </c>
      <c r="AS645" s="28"/>
      <c r="AT645" s="28"/>
      <c r="AU645" s="135" t="s">
        <v>91</v>
      </c>
      <c r="AV645">
        <v>2017</v>
      </c>
      <c r="AW645">
        <v>10</v>
      </c>
      <c r="AX645" s="138" t="s">
        <v>137</v>
      </c>
      <c r="AY645" s="134">
        <v>1039</v>
      </c>
      <c r="AZ645" s="136">
        <v>855</v>
      </c>
      <c r="BA645" s="134">
        <v>0</v>
      </c>
      <c r="BB645" s="135">
        <v>0</v>
      </c>
      <c r="BC645" s="136">
        <v>0</v>
      </c>
      <c r="BD645" s="134">
        <v>0</v>
      </c>
      <c r="BE645" s="135">
        <v>0</v>
      </c>
      <c r="BF645" s="134"/>
      <c r="BG645" s="135" t="s">
        <v>91</v>
      </c>
      <c r="BH645" s="136"/>
      <c r="BJ645" s="28"/>
      <c r="BK645" s="28"/>
      <c r="BL645" s="28"/>
    </row>
    <row r="646" spans="3:64" x14ac:dyDescent="0.3">
      <c r="D646" s="98" t="s">
        <v>526</v>
      </c>
      <c r="E646" s="10">
        <v>0</v>
      </c>
      <c r="F646" s="18">
        <v>0</v>
      </c>
      <c r="G646" s="10"/>
      <c r="H646" s="18"/>
      <c r="I646" s="11"/>
      <c r="J646" s="18"/>
      <c r="K646" s="11"/>
      <c r="L646" s="54"/>
      <c r="M646" s="37"/>
      <c r="N646" s="129"/>
      <c r="R646" s="138" t="s">
        <v>233</v>
      </c>
      <c r="S646" s="28"/>
      <c r="T646" s="139" t="e">
        <f>SUM(#REF!)</f>
        <v>#REF!</v>
      </c>
      <c r="U646" s="138" t="s">
        <v>233</v>
      </c>
      <c r="V646" s="28"/>
      <c r="W646" s="139" t="e">
        <f>SUM(#REF!)</f>
        <v>#REF!</v>
      </c>
      <c r="X646" s="138" t="s">
        <v>233</v>
      </c>
      <c r="Y646" s="28"/>
      <c r="Z646" s="140" t="e">
        <f>SUM(AB643+W646)</f>
        <v>#REF!</v>
      </c>
      <c r="AA646" s="28" t="s">
        <v>245</v>
      </c>
      <c r="AB646" s="140" t="e">
        <f>SUM(Z646+T646)</f>
        <v>#REF!</v>
      </c>
      <c r="AC646" s="139"/>
      <c r="AD646" s="140"/>
      <c r="AE646" s="28"/>
      <c r="AF646" s="28"/>
      <c r="AH646" s="195" t="s">
        <v>107</v>
      </c>
      <c r="AI646" s="134">
        <v>0</v>
      </c>
      <c r="AJ646" s="136">
        <v>0</v>
      </c>
      <c r="AK646" s="135"/>
      <c r="AL646" s="135"/>
      <c r="AM646" s="135"/>
      <c r="AN646" s="134"/>
      <c r="AO646" s="136"/>
      <c r="AP646" s="135"/>
      <c r="AQ646" s="135" t="s">
        <v>92</v>
      </c>
      <c r="AR646" s="136"/>
      <c r="AS646" s="28"/>
      <c r="AT646" s="28"/>
      <c r="AU646" s="135" t="s">
        <v>91</v>
      </c>
      <c r="AV646">
        <v>2017</v>
      </c>
      <c r="AW646">
        <v>10</v>
      </c>
      <c r="AX646" s="138" t="s">
        <v>88</v>
      </c>
      <c r="AY646" s="138">
        <v>138</v>
      </c>
      <c r="AZ646" s="141">
        <v>1166</v>
      </c>
      <c r="BA646" s="138">
        <v>0</v>
      </c>
      <c r="BB646" s="43">
        <v>0</v>
      </c>
      <c r="BC646" s="141"/>
      <c r="BD646" s="138">
        <v>0</v>
      </c>
      <c r="BE646" s="43">
        <v>0</v>
      </c>
      <c r="BF646" s="212"/>
      <c r="BG646" s="43"/>
      <c r="BH646" s="141"/>
      <c r="BJ646" s="28"/>
      <c r="BK646" s="28"/>
      <c r="BL646" s="28"/>
    </row>
    <row r="647" spans="3:64" ht="15" thickBot="1" x14ac:dyDescent="0.35">
      <c r="D647" s="13" t="s">
        <v>84</v>
      </c>
      <c r="E647" s="13">
        <f>SUM(E622:E646)</f>
        <v>302</v>
      </c>
      <c r="F647" s="27">
        <f>SUM(F622:F646)</f>
        <v>228</v>
      </c>
      <c r="G647" s="13">
        <v>0</v>
      </c>
      <c r="H647" s="27">
        <f>SUM(H622:H646)</f>
        <v>0</v>
      </c>
      <c r="I647" s="26">
        <v>0</v>
      </c>
      <c r="J647" s="58">
        <v>0</v>
      </c>
      <c r="K647" s="26">
        <v>0</v>
      </c>
      <c r="L647" s="81"/>
      <c r="M647" s="27"/>
      <c r="N647" s="26">
        <f>11+5+6+19+14+3+17+13+5+5+6+7+5+4+2</f>
        <v>122</v>
      </c>
      <c r="R647" s="142" t="s">
        <v>236</v>
      </c>
      <c r="S647" s="143"/>
      <c r="T647" s="144" t="e">
        <f>SUM(#REF!)</f>
        <v>#REF!</v>
      </c>
      <c r="U647" s="142" t="s">
        <v>236</v>
      </c>
      <c r="V647" s="143"/>
      <c r="W647" s="144" t="e">
        <f>SUM(#REF!)</f>
        <v>#REF!</v>
      </c>
      <c r="X647" s="142" t="s">
        <v>236</v>
      </c>
      <c r="Y647" s="143"/>
      <c r="Z647" s="145" t="e">
        <f>SUM(AB644+W647)</f>
        <v>#REF!</v>
      </c>
      <c r="AA647" s="143"/>
      <c r="AB647" s="145" t="e">
        <f>SUM(Z647+T647)</f>
        <v>#REF!</v>
      </c>
      <c r="AC647" s="144"/>
      <c r="AD647" s="140"/>
      <c r="AE647" s="140"/>
      <c r="AF647" s="140"/>
      <c r="AH647" s="196" t="s">
        <v>99</v>
      </c>
      <c r="AI647" s="138">
        <v>0</v>
      </c>
      <c r="AJ647" s="141">
        <v>0</v>
      </c>
      <c r="AK647" s="28">
        <v>0</v>
      </c>
      <c r="AL647" s="28">
        <v>0</v>
      </c>
      <c r="AM647" s="28">
        <v>0</v>
      </c>
      <c r="AN647" s="138">
        <v>74519</v>
      </c>
      <c r="AO647" s="141">
        <v>18180</v>
      </c>
      <c r="AP647" s="43">
        <v>25</v>
      </c>
      <c r="AQ647" s="28" t="s">
        <v>100</v>
      </c>
      <c r="AR647" s="141"/>
      <c r="AS647" s="28"/>
      <c r="AT647" s="28"/>
      <c r="AU647" s="135" t="s">
        <v>91</v>
      </c>
      <c r="AV647">
        <v>2017</v>
      </c>
      <c r="AW647">
        <v>10</v>
      </c>
      <c r="AX647" s="212" t="s">
        <v>97</v>
      </c>
      <c r="AY647" s="212">
        <v>1430</v>
      </c>
      <c r="AZ647" s="209">
        <v>1395</v>
      </c>
      <c r="BA647" s="138">
        <v>0</v>
      </c>
      <c r="BB647" s="43">
        <v>0</v>
      </c>
      <c r="BC647" s="141">
        <v>0</v>
      </c>
      <c r="BD647" s="138">
        <v>0</v>
      </c>
      <c r="BE647" s="43">
        <v>0</v>
      </c>
      <c r="BF647" s="138"/>
      <c r="BG647" s="43" t="s">
        <v>1835</v>
      </c>
      <c r="BH647" s="141"/>
      <c r="BJ647" s="28"/>
      <c r="BK647" s="28"/>
      <c r="BL647" s="28"/>
    </row>
    <row r="648" spans="3:64" ht="15" thickBot="1" x14ac:dyDescent="0.35">
      <c r="D648" s="13" t="s">
        <v>223</v>
      </c>
      <c r="E648" s="13">
        <f>SUM(E647+E621+E618+E614+E611+E608+E606)</f>
        <v>1840</v>
      </c>
      <c r="F648" s="26">
        <f>SUM(F647+F621+F618+F614+F611+F608+F606)</f>
        <v>1884</v>
      </c>
      <c r="G648" s="26">
        <f>SUM(G647+G621+G618+G614+G611+G608+G606)</f>
        <v>0</v>
      </c>
      <c r="H648" s="26">
        <f>SUM(H647+H621+H618+H614+H611+H608+H606)</f>
        <v>0</v>
      </c>
      <c r="I648" s="26">
        <f>SUM(I647+I621+I618+I614+I611+I608+I606)</f>
        <v>18</v>
      </c>
      <c r="J648" s="160">
        <f>SUM(J647+J621+J618+J614+J610+J608+J606)</f>
        <v>58719</v>
      </c>
      <c r="K648" s="26">
        <f>SUM(K647+K621+K618+K614+K610+K608+K606)</f>
        <v>21131</v>
      </c>
      <c r="L648" s="81"/>
      <c r="M648" s="27" t="s">
        <v>247</v>
      </c>
      <c r="N648" s="26">
        <f>SUM(N605:N646)</f>
        <v>144</v>
      </c>
      <c r="AE648" s="140"/>
      <c r="AF648" s="140"/>
      <c r="AH648" s="199" t="s">
        <v>84</v>
      </c>
      <c r="AI648" s="138">
        <f>SUM(AI646:AI647)</f>
        <v>0</v>
      </c>
      <c r="AJ648" s="141">
        <f>SUM(AJ646:AJ647)</f>
        <v>0</v>
      </c>
      <c r="AK648" s="143"/>
      <c r="AL648" s="143"/>
      <c r="AM648" s="143"/>
      <c r="AN648" s="142"/>
      <c r="AO648" s="146"/>
      <c r="AP648" s="143">
        <v>0</v>
      </c>
      <c r="AQ648" s="143" t="s">
        <v>506</v>
      </c>
      <c r="AR648" s="146">
        <f>SUM(AP647:AP648)</f>
        <v>25</v>
      </c>
      <c r="AS648" s="28"/>
      <c r="AT648" s="28"/>
      <c r="AU648" s="135" t="s">
        <v>91</v>
      </c>
      <c r="AV648">
        <v>2017</v>
      </c>
      <c r="AW648">
        <v>10</v>
      </c>
      <c r="AX648" s="138" t="s">
        <v>113</v>
      </c>
      <c r="AY648" s="138">
        <v>577</v>
      </c>
      <c r="AZ648" s="141">
        <v>610</v>
      </c>
      <c r="BA648" s="138">
        <v>0</v>
      </c>
      <c r="BB648" s="43">
        <v>0</v>
      </c>
      <c r="BC648" s="141">
        <v>0</v>
      </c>
      <c r="BD648" s="138">
        <v>0</v>
      </c>
      <c r="BE648" s="43">
        <v>0</v>
      </c>
      <c r="BF648" s="212"/>
      <c r="BG648" s="28" t="s">
        <v>1836</v>
      </c>
      <c r="BH648" s="141"/>
      <c r="BJ648" s="28"/>
      <c r="BK648" s="28"/>
      <c r="BL648" s="28"/>
    </row>
    <row r="649" spans="3:64" x14ac:dyDescent="0.3">
      <c r="D649" s="131" t="s">
        <v>225</v>
      </c>
      <c r="F649">
        <f>SUM(N647)</f>
        <v>122</v>
      </c>
      <c r="I649" s="132"/>
      <c r="AE649" s="28" t="s">
        <v>91</v>
      </c>
      <c r="AF649">
        <v>2016</v>
      </c>
      <c r="AG649">
        <v>11</v>
      </c>
      <c r="AH649" s="138" t="s">
        <v>89</v>
      </c>
      <c r="AI649" s="134">
        <v>554</v>
      </c>
      <c r="AJ649" s="136">
        <v>508</v>
      </c>
      <c r="AN649" s="134"/>
      <c r="AO649" s="136"/>
      <c r="AP649" s="28"/>
      <c r="AQ649" s="28" t="s">
        <v>91</v>
      </c>
      <c r="AR649" s="141"/>
      <c r="AS649" s="28"/>
      <c r="AT649" s="28"/>
      <c r="AU649" s="135" t="s">
        <v>91</v>
      </c>
      <c r="AV649">
        <v>2017</v>
      </c>
      <c r="AW649">
        <v>10</v>
      </c>
      <c r="AX649" s="212" t="s">
        <v>85</v>
      </c>
      <c r="AY649" s="212">
        <v>0</v>
      </c>
      <c r="AZ649" s="209">
        <v>0</v>
      </c>
      <c r="BA649" s="138">
        <v>0</v>
      </c>
      <c r="BB649" s="43">
        <v>0</v>
      </c>
      <c r="BC649" s="141">
        <v>0</v>
      </c>
      <c r="BD649" s="138">
        <v>0</v>
      </c>
      <c r="BE649" s="43">
        <v>0</v>
      </c>
      <c r="BF649" s="138"/>
      <c r="BG649" s="43" t="s">
        <v>1837</v>
      </c>
      <c r="BH649" s="141"/>
      <c r="BJ649" s="43"/>
      <c r="BK649" s="28"/>
      <c r="BL649" s="28"/>
    </row>
    <row r="650" spans="3:64" x14ac:dyDescent="0.3">
      <c r="D650" t="s">
        <v>229</v>
      </c>
      <c r="F650">
        <v>26</v>
      </c>
      <c r="AE650" s="28" t="s">
        <v>91</v>
      </c>
      <c r="AF650">
        <v>2016</v>
      </c>
      <c r="AG650">
        <v>11</v>
      </c>
      <c r="AH650" s="138" t="s">
        <v>137</v>
      </c>
      <c r="AI650" s="138">
        <v>355</v>
      </c>
      <c r="AJ650" s="141">
        <v>353</v>
      </c>
      <c r="AN650" s="138"/>
      <c r="AO650" s="141"/>
      <c r="AP650" s="43">
        <v>60</v>
      </c>
      <c r="AQ650" s="43" t="s">
        <v>145</v>
      </c>
      <c r="AR650" s="141"/>
      <c r="AS650" s="28"/>
      <c r="AT650" s="28"/>
      <c r="AU650" s="135" t="s">
        <v>91</v>
      </c>
      <c r="AV650">
        <v>2017</v>
      </c>
      <c r="AW650">
        <v>10</v>
      </c>
      <c r="AX650" s="212" t="s">
        <v>817</v>
      </c>
      <c r="AY650" s="212">
        <v>14</v>
      </c>
      <c r="AZ650" s="209">
        <v>919</v>
      </c>
      <c r="BA650" s="138">
        <v>0</v>
      </c>
      <c r="BB650" s="43">
        <v>0</v>
      </c>
      <c r="BC650" s="141">
        <v>0</v>
      </c>
      <c r="BD650" s="138">
        <v>0</v>
      </c>
      <c r="BE650" s="43">
        <v>0</v>
      </c>
      <c r="BF650" s="138"/>
      <c r="BG650" s="43" t="s">
        <v>1838</v>
      </c>
      <c r="BH650" s="141"/>
      <c r="BI650" s="28"/>
      <c r="BJ650" s="43"/>
      <c r="BK650" s="43"/>
      <c r="BL650" s="28"/>
    </row>
    <row r="651" spans="3:64" x14ac:dyDescent="0.3">
      <c r="D651" t="s">
        <v>232</v>
      </c>
      <c r="F651" t="s">
        <v>233</v>
      </c>
      <c r="H651" t="e">
        <f>SUM(#REF!)</f>
        <v>#REF!</v>
      </c>
      <c r="J651" t="s">
        <v>234</v>
      </c>
      <c r="L651" t="s">
        <v>233</v>
      </c>
      <c r="N651">
        <f>SUM(E648)</f>
        <v>1840</v>
      </c>
      <c r="AE651" s="28" t="s">
        <v>91</v>
      </c>
      <c r="AF651">
        <v>2016</v>
      </c>
      <c r="AG651">
        <v>11</v>
      </c>
      <c r="AH651" s="138" t="s">
        <v>113</v>
      </c>
      <c r="AI651" s="138">
        <v>696</v>
      </c>
      <c r="AJ651" s="141">
        <v>673</v>
      </c>
      <c r="AN651" s="138"/>
      <c r="AO651" s="141"/>
      <c r="AP651" s="43"/>
      <c r="AQ651" s="28" t="s">
        <v>73</v>
      </c>
      <c r="AR651" s="141"/>
      <c r="AS651" s="28"/>
      <c r="AT651" s="28"/>
      <c r="AU651" s="135" t="s">
        <v>91</v>
      </c>
      <c r="AV651">
        <v>2017</v>
      </c>
      <c r="AW651">
        <v>10</v>
      </c>
      <c r="AX651" s="212" t="s">
        <v>429</v>
      </c>
      <c r="AY651" s="212">
        <v>144</v>
      </c>
      <c r="AZ651" s="209">
        <v>233</v>
      </c>
      <c r="BA651" s="138">
        <v>0</v>
      </c>
      <c r="BB651" s="43">
        <v>0</v>
      </c>
      <c r="BC651" s="141">
        <v>0</v>
      </c>
      <c r="BD651" s="138">
        <v>0</v>
      </c>
      <c r="BE651" s="43">
        <v>0</v>
      </c>
      <c r="BF651" s="138"/>
      <c r="BG651" s="28"/>
      <c r="BH651" s="141"/>
      <c r="BI651" s="28"/>
      <c r="BJ651" s="43"/>
      <c r="BK651" s="43"/>
      <c r="BL651" s="28"/>
    </row>
    <row r="652" spans="3:64" ht="15.6" x14ac:dyDescent="0.3">
      <c r="C652" t="s">
        <v>6</v>
      </c>
      <c r="F652" t="s">
        <v>236</v>
      </c>
      <c r="H652" t="e">
        <f>SUM(#REF!)</f>
        <v>#REF!</v>
      </c>
      <c r="L652" t="s">
        <v>236</v>
      </c>
      <c r="N652">
        <f>SUM(F648)</f>
        <v>1884</v>
      </c>
      <c r="U652" s="1"/>
      <c r="V652" s="1" t="s">
        <v>5</v>
      </c>
      <c r="W652" s="1"/>
      <c r="X652" s="1"/>
      <c r="Y652" s="1"/>
      <c r="Z652" s="1"/>
      <c r="AE652" s="28" t="s">
        <v>91</v>
      </c>
      <c r="AF652">
        <v>2016</v>
      </c>
      <c r="AG652">
        <v>11</v>
      </c>
      <c r="AH652" s="138" t="s">
        <v>84</v>
      </c>
      <c r="AI652" s="138">
        <f>SUM(AI649:AI651)</f>
        <v>1605</v>
      </c>
      <c r="AJ652" s="141">
        <f>SUM(AJ649:AJ651)</f>
        <v>1534</v>
      </c>
      <c r="AK652">
        <v>0</v>
      </c>
      <c r="AL652">
        <v>0</v>
      </c>
      <c r="AM652">
        <v>0</v>
      </c>
      <c r="AN652" s="138">
        <v>0</v>
      </c>
      <c r="AO652" s="141">
        <v>0</v>
      </c>
      <c r="AP652" s="43">
        <v>31</v>
      </c>
      <c r="AQ652" s="43" t="s">
        <v>1134</v>
      </c>
      <c r="AR652" s="141">
        <f>SUM(AP650:AP652)</f>
        <v>91</v>
      </c>
      <c r="AS652" s="28"/>
      <c r="AT652" s="28"/>
      <c r="AU652" s="135" t="s">
        <v>91</v>
      </c>
      <c r="AV652">
        <v>2017</v>
      </c>
      <c r="AW652">
        <v>10</v>
      </c>
      <c r="AX652" s="212" t="s">
        <v>89</v>
      </c>
      <c r="AY652" s="212">
        <v>1191</v>
      </c>
      <c r="AZ652" s="209">
        <v>1207</v>
      </c>
      <c r="BA652" s="212">
        <v>0</v>
      </c>
      <c r="BB652" s="43">
        <v>0</v>
      </c>
      <c r="BC652" s="209">
        <v>0</v>
      </c>
      <c r="BD652" s="212">
        <v>0</v>
      </c>
      <c r="BE652" s="43">
        <v>0</v>
      </c>
      <c r="BF652" s="142"/>
      <c r="BG652" s="143"/>
      <c r="BH652" s="146">
        <v>79</v>
      </c>
      <c r="BI652" s="28"/>
      <c r="BJ652" s="28"/>
      <c r="BK652" s="43"/>
      <c r="BL652" s="28"/>
    </row>
    <row r="653" spans="3:64" x14ac:dyDescent="0.3">
      <c r="D653" s="134" t="s">
        <v>238</v>
      </c>
      <c r="E653" s="135" t="s">
        <v>239</v>
      </c>
      <c r="F653" s="136"/>
      <c r="G653" s="134" t="s">
        <v>240</v>
      </c>
      <c r="H653" s="135" t="s">
        <v>241</v>
      </c>
      <c r="I653" s="136"/>
      <c r="J653" s="134"/>
      <c r="K653" s="135" t="s">
        <v>242</v>
      </c>
      <c r="L653" s="137" t="s">
        <v>243</v>
      </c>
      <c r="M653" s="135"/>
      <c r="N653" s="135"/>
      <c r="O653" s="136"/>
      <c r="W653" t="s">
        <v>2</v>
      </c>
      <c r="AG653">
        <v>11</v>
      </c>
      <c r="AH653" s="134"/>
      <c r="AI653" s="134"/>
      <c r="AJ653" s="136"/>
      <c r="AK653" s="135"/>
      <c r="AL653" s="135"/>
      <c r="AM653" s="135"/>
      <c r="AN653" s="134"/>
      <c r="AO653" s="136"/>
      <c r="AP653" s="135" t="s">
        <v>1025</v>
      </c>
      <c r="AQ653" s="135"/>
      <c r="AR653" s="136"/>
      <c r="AS653" s="28"/>
      <c r="AT653" s="28"/>
      <c r="AU653" s="28"/>
      <c r="AX653" s="247" t="s">
        <v>84</v>
      </c>
      <c r="AY653" s="247">
        <f>SUM(AY642:AY652)</f>
        <v>4533</v>
      </c>
      <c r="AZ653" s="248">
        <f>SUM(AZ642:AZ652)</f>
        <v>6385</v>
      </c>
      <c r="BA653" s="197">
        <v>0</v>
      </c>
      <c r="BB653" s="198">
        <v>0</v>
      </c>
      <c r="BC653" s="249">
        <v>0</v>
      </c>
      <c r="BD653" s="197">
        <v>0</v>
      </c>
      <c r="BE653" s="249">
        <v>0</v>
      </c>
      <c r="BF653" s="197"/>
      <c r="BG653" s="198"/>
      <c r="BH653" s="249"/>
      <c r="BI653" s="28"/>
      <c r="BJ653" s="28"/>
      <c r="BK653" s="43"/>
      <c r="BL653" s="28"/>
    </row>
    <row r="654" spans="3:64" x14ac:dyDescent="0.3">
      <c r="D654" s="138" t="s">
        <v>233</v>
      </c>
      <c r="E654" s="28"/>
      <c r="F654" s="139" t="e">
        <f>SUM(#REF!)</f>
        <v>#REF!</v>
      </c>
      <c r="G654" s="138" t="s">
        <v>233</v>
      </c>
      <c r="H654" s="28"/>
      <c r="I654" s="139" t="e">
        <f>SUM(#REF!)</f>
        <v>#REF!</v>
      </c>
      <c r="J654" s="138" t="s">
        <v>233</v>
      </c>
      <c r="K654" s="28"/>
      <c r="L654" s="140" t="e">
        <f>SUM(N651+I654)</f>
        <v>#REF!</v>
      </c>
      <c r="M654" s="28" t="s">
        <v>245</v>
      </c>
      <c r="N654" s="28" t="e">
        <f>SUM(L654+F654)</f>
        <v>#REF!</v>
      </c>
      <c r="O654" s="141"/>
      <c r="U654" t="s">
        <v>13</v>
      </c>
      <c r="AG654">
        <v>11</v>
      </c>
      <c r="AH654" s="142" t="s">
        <v>64</v>
      </c>
      <c r="AI654" s="142">
        <v>47</v>
      </c>
      <c r="AJ654" s="146">
        <v>66</v>
      </c>
      <c r="AK654" s="143"/>
      <c r="AL654" s="143"/>
      <c r="AM654" s="143"/>
      <c r="AN654" s="142"/>
      <c r="AO654" s="146"/>
      <c r="AP654" s="143">
        <v>9</v>
      </c>
      <c r="AQ654" s="143" t="s">
        <v>1026</v>
      </c>
      <c r="AR654" s="146">
        <f>SUM(AP654)</f>
        <v>9</v>
      </c>
      <c r="AS654" s="28"/>
      <c r="AT654" s="28"/>
      <c r="AU654" s="28"/>
      <c r="AX654" s="134"/>
      <c r="AY654" s="134"/>
      <c r="AZ654" s="136"/>
      <c r="BA654" s="135"/>
      <c r="BB654" s="135"/>
      <c r="BC654" s="135"/>
      <c r="BD654" s="138"/>
      <c r="BE654" s="141"/>
      <c r="BF654" s="28" t="s">
        <v>1025</v>
      </c>
      <c r="BG654" s="28"/>
      <c r="BH654" s="141"/>
      <c r="BJ654" s="28"/>
      <c r="BK654" s="28"/>
      <c r="BL654" s="28"/>
    </row>
    <row r="655" spans="3:64" ht="15" thickBot="1" x14ac:dyDescent="0.35">
      <c r="D655" s="142" t="s">
        <v>236</v>
      </c>
      <c r="E655" s="143"/>
      <c r="F655" s="144" t="e">
        <f>SUM(#REF!)</f>
        <v>#REF!</v>
      </c>
      <c r="G655" s="142" t="s">
        <v>236</v>
      </c>
      <c r="H655" s="143"/>
      <c r="I655" s="144" t="e">
        <f>SUM(#REF!)</f>
        <v>#REF!</v>
      </c>
      <c r="J655" s="142" t="s">
        <v>236</v>
      </c>
      <c r="K655" s="143"/>
      <c r="L655" s="145" t="e">
        <f>SUM(N652+I655)</f>
        <v>#REF!</v>
      </c>
      <c r="M655" s="143"/>
      <c r="N655" s="143" t="e">
        <f>SUM(L655+F655)</f>
        <v>#REF!</v>
      </c>
      <c r="O655" s="146"/>
      <c r="W655" t="s">
        <v>907</v>
      </c>
      <c r="AA655" s="5" t="s">
        <v>16</v>
      </c>
      <c r="AE655" s="135" t="s">
        <v>994</v>
      </c>
      <c r="AF655">
        <v>2016</v>
      </c>
      <c r="AG655">
        <v>11</v>
      </c>
      <c r="AH655" s="138" t="s">
        <v>113</v>
      </c>
      <c r="AI655" s="138">
        <v>493</v>
      </c>
      <c r="AJ655" s="141">
        <v>459</v>
      </c>
      <c r="AK655" s="28"/>
      <c r="AL655" s="28"/>
      <c r="AM655" s="28"/>
      <c r="AN655" s="138"/>
      <c r="AO655" s="141"/>
      <c r="AP655" s="28" t="s">
        <v>994</v>
      </c>
      <c r="AQ655" s="28"/>
      <c r="AR655" s="141"/>
      <c r="AS655" s="28"/>
      <c r="AT655" s="28"/>
      <c r="AU655" s="28"/>
      <c r="AX655" s="142" t="s">
        <v>64</v>
      </c>
      <c r="AY655" s="142">
        <v>59</v>
      </c>
      <c r="AZ655" s="146">
        <v>76</v>
      </c>
      <c r="BA655" s="143">
        <v>0</v>
      </c>
      <c r="BB655" s="143">
        <v>0</v>
      </c>
      <c r="BC655" s="143"/>
      <c r="BD655" s="142">
        <v>0</v>
      </c>
      <c r="BE655" s="146">
        <v>0</v>
      </c>
      <c r="BF655" s="143">
        <v>9</v>
      </c>
      <c r="BG655" s="143" t="s">
        <v>1026</v>
      </c>
      <c r="BH655" s="146">
        <f>SUM(BF655)</f>
        <v>9</v>
      </c>
      <c r="BI655" t="s">
        <v>6</v>
      </c>
      <c r="BJ655" s="28"/>
      <c r="BK655" s="28"/>
      <c r="BL655" s="28"/>
    </row>
    <row r="656" spans="3:64" x14ac:dyDescent="0.3">
      <c r="R656" s="6" t="s">
        <v>17</v>
      </c>
      <c r="S656" s="6" t="s">
        <v>27</v>
      </c>
      <c r="T656" s="7"/>
      <c r="U656" s="8" t="s">
        <v>28</v>
      </c>
      <c r="V656" s="8"/>
      <c r="W656" s="8"/>
      <c r="X656" s="6" t="s">
        <v>29</v>
      </c>
      <c r="Y656" s="7" t="s">
        <v>30</v>
      </c>
      <c r="Z656" s="8" t="s">
        <v>31</v>
      </c>
      <c r="AA656" s="8"/>
      <c r="AB656" s="7"/>
      <c r="AE656" s="135" t="s">
        <v>994</v>
      </c>
      <c r="AF656">
        <v>2016</v>
      </c>
      <c r="AG656">
        <v>11</v>
      </c>
      <c r="AH656" s="138" t="s">
        <v>475</v>
      </c>
      <c r="AI656" s="138">
        <v>0</v>
      </c>
      <c r="AJ656" s="141">
        <v>0</v>
      </c>
      <c r="AK656" s="28"/>
      <c r="AL656" s="28"/>
      <c r="AM656" s="28"/>
      <c r="AN656" s="138"/>
      <c r="AO656" s="141"/>
      <c r="AP656" s="28">
        <v>19</v>
      </c>
      <c r="AQ656" s="28" t="s">
        <v>100</v>
      </c>
      <c r="AR656" s="141"/>
      <c r="AS656" s="28"/>
      <c r="AT656" s="28"/>
      <c r="AU656" s="28"/>
      <c r="AX656" s="138"/>
      <c r="AY656" s="138"/>
      <c r="AZ656" s="141"/>
      <c r="BA656" s="28"/>
      <c r="BB656" s="28"/>
      <c r="BC656" s="28"/>
      <c r="BD656" s="138"/>
      <c r="BE656" s="141"/>
      <c r="BF656" s="28" t="s">
        <v>994</v>
      </c>
      <c r="BG656" s="28"/>
      <c r="BH656" s="141"/>
      <c r="BJ656" s="28"/>
      <c r="BK656" s="28"/>
      <c r="BL656" s="28"/>
    </row>
    <row r="657" spans="3:64" x14ac:dyDescent="0.3">
      <c r="R657" s="10"/>
      <c r="S657" s="10"/>
      <c r="T657" s="11"/>
      <c r="U657" s="3"/>
      <c r="V657" s="3"/>
      <c r="W657" s="3"/>
      <c r="X657" s="10"/>
      <c r="Y657" s="11" t="s">
        <v>6</v>
      </c>
      <c r="Z657" s="3" t="s">
        <v>41</v>
      </c>
      <c r="AA657" s="3"/>
      <c r="AB657" s="11"/>
      <c r="AE657" s="135" t="s">
        <v>994</v>
      </c>
      <c r="AF657">
        <v>2016</v>
      </c>
      <c r="AG657">
        <v>11</v>
      </c>
      <c r="AH657" s="142" t="s">
        <v>84</v>
      </c>
      <c r="AI657" s="142">
        <f>SUM(AI655:AI656)</f>
        <v>493</v>
      </c>
      <c r="AJ657" s="146">
        <f>SUM(AJ655:AJ656)</f>
        <v>459</v>
      </c>
      <c r="AK657" s="143">
        <v>0</v>
      </c>
      <c r="AL657" s="143">
        <v>0</v>
      </c>
      <c r="AM657" s="143">
        <v>0</v>
      </c>
      <c r="AN657" s="142">
        <v>0</v>
      </c>
      <c r="AO657" s="146">
        <v>0</v>
      </c>
      <c r="AP657" s="43">
        <v>23</v>
      </c>
      <c r="AQ657" s="43" t="s">
        <v>73</v>
      </c>
      <c r="AR657" s="146">
        <f>SUM(AP656:AP657)</f>
        <v>42</v>
      </c>
      <c r="AS657" s="28"/>
      <c r="AT657" s="28"/>
      <c r="AU657" s="28" t="s">
        <v>994</v>
      </c>
      <c r="AV657">
        <v>2017</v>
      </c>
      <c r="AW657">
        <v>10</v>
      </c>
      <c r="AX657" s="138" t="s">
        <v>113</v>
      </c>
      <c r="AY657" s="138">
        <v>414</v>
      </c>
      <c r="AZ657" s="141">
        <v>419</v>
      </c>
      <c r="BA657" s="28">
        <v>0</v>
      </c>
      <c r="BB657" s="43">
        <v>0</v>
      </c>
      <c r="BC657" s="43">
        <v>0</v>
      </c>
      <c r="BD657" s="138">
        <v>0</v>
      </c>
      <c r="BE657" s="141">
        <v>0</v>
      </c>
      <c r="BF657" s="28">
        <v>12</v>
      </c>
      <c r="BG657" s="28" t="s">
        <v>100</v>
      </c>
      <c r="BH657" s="141"/>
      <c r="BJ657" s="28"/>
      <c r="BK657" s="28"/>
      <c r="BL657" s="43"/>
    </row>
    <row r="658" spans="3:64" ht="15" thickBot="1" x14ac:dyDescent="0.35">
      <c r="R658" s="13" t="s">
        <v>42</v>
      </c>
      <c r="S658" s="13" t="s">
        <v>43</v>
      </c>
      <c r="T658" s="26" t="s">
        <v>44</v>
      </c>
      <c r="U658" s="27" t="s">
        <v>45</v>
      </c>
      <c r="V658" s="27" t="s">
        <v>46</v>
      </c>
      <c r="W658" s="27" t="s">
        <v>52</v>
      </c>
      <c r="X658" s="13" t="s">
        <v>43</v>
      </c>
      <c r="Y658" s="26" t="s">
        <v>44</v>
      </c>
      <c r="Z658" s="27" t="s">
        <v>54</v>
      </c>
      <c r="AA658" s="27"/>
      <c r="AB658" s="26"/>
      <c r="AH658" s="196" t="s">
        <v>484</v>
      </c>
      <c r="AI658" s="138">
        <v>6</v>
      </c>
      <c r="AJ658" s="141">
        <v>0</v>
      </c>
      <c r="AK658" s="134"/>
      <c r="AL658" s="135"/>
      <c r="AM658" s="136"/>
      <c r="AN658" s="138"/>
      <c r="AO658" s="141"/>
      <c r="AP658" s="134" t="s">
        <v>140</v>
      </c>
      <c r="AQ658" s="135"/>
      <c r="AR658" s="136"/>
      <c r="AS658" s="28"/>
      <c r="AT658" s="28"/>
      <c r="AU658" s="28"/>
      <c r="AX658" s="142" t="s">
        <v>84</v>
      </c>
      <c r="AY658" s="142">
        <v>414</v>
      </c>
      <c r="AZ658" s="146">
        <v>419</v>
      </c>
      <c r="BA658" s="28">
        <v>0</v>
      </c>
      <c r="BB658" s="28">
        <v>0</v>
      </c>
      <c r="BC658" s="28">
        <v>0</v>
      </c>
      <c r="BD658" s="142">
        <v>0</v>
      </c>
      <c r="BE658" s="146">
        <v>0</v>
      </c>
      <c r="BF658" s="43">
        <v>31</v>
      </c>
      <c r="BG658" s="43" t="s">
        <v>1292</v>
      </c>
      <c r="BH658" s="146">
        <v>43</v>
      </c>
      <c r="BJ658" s="28"/>
      <c r="BK658" s="28"/>
      <c r="BL658" s="43"/>
    </row>
    <row r="659" spans="3:64" x14ac:dyDescent="0.3">
      <c r="R659" s="32" t="s">
        <v>85</v>
      </c>
      <c r="S659">
        <v>0</v>
      </c>
      <c r="T659">
        <v>17</v>
      </c>
      <c r="U659" s="33"/>
      <c r="V659" s="34"/>
      <c r="W659" s="34"/>
      <c r="X659" s="33"/>
      <c r="Y659" s="35"/>
      <c r="Z659" s="34" t="s">
        <v>58</v>
      </c>
      <c r="AA659" s="8"/>
      <c r="AB659" s="7"/>
      <c r="AH659" s="196" t="s">
        <v>139</v>
      </c>
      <c r="AI659" s="138">
        <v>0</v>
      </c>
      <c r="AJ659" s="141">
        <v>1</v>
      </c>
      <c r="AK659" s="138"/>
      <c r="AL659" s="28"/>
      <c r="AM659" s="141"/>
      <c r="AN659" s="138"/>
      <c r="AO659" s="141"/>
      <c r="AP659" s="138"/>
      <c r="AQ659" s="28"/>
      <c r="AR659" s="141"/>
      <c r="AS659" s="28"/>
      <c r="AT659" s="28"/>
      <c r="AU659" s="28"/>
      <c r="AX659" s="195" t="s">
        <v>102</v>
      </c>
      <c r="AY659" s="134">
        <v>6</v>
      </c>
      <c r="AZ659" s="135">
        <v>10</v>
      </c>
      <c r="BA659" s="32" t="s">
        <v>17</v>
      </c>
      <c r="BB659" s="34" t="s">
        <v>1755</v>
      </c>
      <c r="BC659" s="35"/>
      <c r="BD659" s="135"/>
      <c r="BE659" s="136"/>
      <c r="BF659" s="134" t="s">
        <v>140</v>
      </c>
      <c r="BG659" s="135"/>
      <c r="BH659" s="136"/>
      <c r="BJ659" s="28"/>
      <c r="BK659" s="28"/>
      <c r="BL659" s="28"/>
    </row>
    <row r="660" spans="3:64" x14ac:dyDescent="0.3">
      <c r="R660" s="44" t="s">
        <v>64</v>
      </c>
      <c r="S660" s="18">
        <v>135</v>
      </c>
      <c r="T660" s="18">
        <v>147</v>
      </c>
      <c r="U660" s="10">
        <v>0</v>
      </c>
      <c r="V660" s="18">
        <v>0</v>
      </c>
      <c r="W660" s="18">
        <v>0</v>
      </c>
      <c r="X660" s="10">
        <v>0</v>
      </c>
      <c r="Y660" s="11">
        <v>0</v>
      </c>
      <c r="Z660" s="45">
        <v>13</v>
      </c>
      <c r="AA660" s="28" t="s">
        <v>474</v>
      </c>
      <c r="AB660" s="11"/>
      <c r="AH660" s="196" t="s">
        <v>1211</v>
      </c>
      <c r="AI660" s="138">
        <v>5</v>
      </c>
      <c r="AJ660" s="141">
        <v>0</v>
      </c>
      <c r="AK660" s="138"/>
      <c r="AL660" s="28"/>
      <c r="AM660" s="141"/>
      <c r="AN660" s="138"/>
      <c r="AO660" s="141"/>
      <c r="AP660" s="138"/>
      <c r="AQ660" s="28"/>
      <c r="AR660" s="141"/>
      <c r="AS660" s="28"/>
      <c r="AT660" s="28"/>
      <c r="AU660" s="28"/>
      <c r="AX660" s="196" t="s">
        <v>113</v>
      </c>
      <c r="AY660" s="138">
        <v>57</v>
      </c>
      <c r="AZ660" s="43">
        <v>89</v>
      </c>
      <c r="BA660" s="41"/>
      <c r="BB660" s="28"/>
      <c r="BC660" s="40"/>
      <c r="BD660" s="28"/>
      <c r="BE660" s="141"/>
      <c r="BF660" s="138"/>
      <c r="BG660" s="28"/>
      <c r="BH660" s="141"/>
      <c r="BJ660" s="28"/>
      <c r="BK660" s="28"/>
      <c r="BL660" s="28"/>
    </row>
    <row r="661" spans="3:64" ht="16.2" thickBot="1" x14ac:dyDescent="0.35">
      <c r="G661" s="1"/>
      <c r="H661" s="1" t="s">
        <v>5</v>
      </c>
      <c r="I661" s="1"/>
      <c r="J661" s="1"/>
      <c r="K661" s="1"/>
      <c r="L661" s="1"/>
      <c r="Q661" s="28"/>
      <c r="R661" s="46" t="s">
        <v>84</v>
      </c>
      <c r="S661">
        <f>SUM(S659:S660)</f>
        <v>135</v>
      </c>
      <c r="T661">
        <f>SUM(T659:T660)</f>
        <v>164</v>
      </c>
      <c r="U661" s="47"/>
      <c r="V661" s="48"/>
      <c r="W661" s="48"/>
      <c r="X661" s="47"/>
      <c r="Y661" s="49"/>
      <c r="Z661" s="48"/>
      <c r="AA661" s="48" t="s">
        <v>249</v>
      </c>
      <c r="AB661" s="49">
        <f>SUM(Z660:Z661)</f>
        <v>13</v>
      </c>
      <c r="AH661" s="196" t="s">
        <v>113</v>
      </c>
      <c r="AI661" s="138">
        <f>20+4+2+5</f>
        <v>31</v>
      </c>
      <c r="AJ661" s="141">
        <f>16+2+4+3+2+3</f>
        <v>30</v>
      </c>
      <c r="AK661" s="138"/>
      <c r="AL661" s="28"/>
      <c r="AM661" s="141"/>
      <c r="AN661" s="138"/>
      <c r="AO661" s="141"/>
      <c r="AP661" s="138" t="s">
        <v>142</v>
      </c>
      <c r="AQ661" s="28"/>
      <c r="AR661" s="141" t="s">
        <v>620</v>
      </c>
      <c r="AS661" s="28"/>
      <c r="AT661" s="28"/>
      <c r="AU661" s="28"/>
      <c r="AX661" s="196" t="s">
        <v>230</v>
      </c>
      <c r="AY661" s="138">
        <v>0</v>
      </c>
      <c r="AZ661" s="43">
        <v>0</v>
      </c>
      <c r="BA661" s="46" t="s">
        <v>1759</v>
      </c>
      <c r="BB661" s="48" t="s">
        <v>43</v>
      </c>
      <c r="BC661" s="49" t="s">
        <v>1760</v>
      </c>
      <c r="BD661" s="28"/>
      <c r="BE661" s="141"/>
      <c r="BF661" s="138"/>
      <c r="BG661" s="28"/>
      <c r="BH661" s="141"/>
      <c r="BJ661" s="28"/>
      <c r="BK661" s="28"/>
      <c r="BL661" s="43"/>
    </row>
    <row r="662" spans="3:64" x14ac:dyDescent="0.3">
      <c r="I662" t="s">
        <v>2</v>
      </c>
      <c r="Q662" s="28"/>
      <c r="R662" s="33"/>
      <c r="S662" s="33"/>
      <c r="T662" s="35"/>
      <c r="U662" s="34"/>
      <c r="V662" s="34"/>
      <c r="W662" s="34"/>
      <c r="X662" s="33"/>
      <c r="Y662" s="35"/>
      <c r="Z662" s="53" t="s">
        <v>82</v>
      </c>
      <c r="AA662" s="34"/>
      <c r="AB662" s="35"/>
      <c r="AH662" s="196" t="s">
        <v>108</v>
      </c>
      <c r="AI662" s="138">
        <v>8</v>
      </c>
      <c r="AJ662" s="141">
        <v>2</v>
      </c>
      <c r="AK662" s="138"/>
      <c r="AL662" s="28"/>
      <c r="AM662" s="141"/>
      <c r="AN662" s="138"/>
      <c r="AO662" s="141"/>
      <c r="AP662" s="138" t="s">
        <v>146</v>
      </c>
      <c r="AQ662" s="28"/>
      <c r="AR662" s="141" t="s">
        <v>1212</v>
      </c>
      <c r="AS662" s="28"/>
      <c r="AT662" s="28"/>
      <c r="AU662" s="28"/>
      <c r="AX662" s="196" t="s">
        <v>1435</v>
      </c>
      <c r="AY662" s="138">
        <v>0</v>
      </c>
      <c r="AZ662" s="141">
        <v>0</v>
      </c>
      <c r="BA662" s="196" t="s">
        <v>1842</v>
      </c>
      <c r="BB662" s="43">
        <v>4</v>
      </c>
      <c r="BC662" s="141">
        <v>0</v>
      </c>
      <c r="BD662" s="138"/>
      <c r="BE662" s="141"/>
      <c r="BF662" s="138" t="s">
        <v>142</v>
      </c>
      <c r="BG662" s="28"/>
      <c r="BH662" s="141" t="s">
        <v>730</v>
      </c>
      <c r="BJ662" s="28"/>
      <c r="BK662" s="28"/>
      <c r="BL662" s="28"/>
    </row>
    <row r="663" spans="3:64" ht="15" thickBot="1" x14ac:dyDescent="0.35">
      <c r="G663" t="s">
        <v>13</v>
      </c>
      <c r="Q663" s="28"/>
      <c r="R663" s="47" t="s">
        <v>85</v>
      </c>
      <c r="S663" s="47">
        <v>13</v>
      </c>
      <c r="T663" s="49">
        <v>10</v>
      </c>
      <c r="U663" s="48"/>
      <c r="V663" s="48">
        <v>0</v>
      </c>
      <c r="W663" s="48">
        <v>0</v>
      </c>
      <c r="X663" s="47">
        <v>0</v>
      </c>
      <c r="Y663" s="49">
        <v>0</v>
      </c>
      <c r="Z663" s="51">
        <v>3</v>
      </c>
      <c r="AA663" s="48" t="s">
        <v>86</v>
      </c>
      <c r="AB663" s="49">
        <f>SUM(Z663)</f>
        <v>3</v>
      </c>
      <c r="AG663" t="s">
        <v>6</v>
      </c>
      <c r="AH663" s="196" t="s">
        <v>133</v>
      </c>
      <c r="AI663" s="138">
        <v>8</v>
      </c>
      <c r="AJ663" s="141">
        <v>7</v>
      </c>
      <c r="AK663" s="138"/>
      <c r="AL663" s="28"/>
      <c r="AM663" s="141"/>
      <c r="AN663" s="138"/>
      <c r="AO663" s="141"/>
      <c r="AP663" s="138"/>
      <c r="AQ663" s="28"/>
      <c r="AR663" s="141"/>
      <c r="AS663" s="28"/>
      <c r="AT663" s="28"/>
      <c r="AU663" s="28"/>
      <c r="AX663" s="196" t="s">
        <v>99</v>
      </c>
      <c r="AY663" s="138">
        <v>0</v>
      </c>
      <c r="AZ663" s="141">
        <v>0</v>
      </c>
      <c r="BA663" s="196" t="s">
        <v>1844</v>
      </c>
      <c r="BB663" s="28">
        <v>0</v>
      </c>
      <c r="BC663" s="141">
        <v>0</v>
      </c>
      <c r="BD663" s="138"/>
      <c r="BE663" s="141"/>
      <c r="BF663" s="138" t="s">
        <v>146</v>
      </c>
      <c r="BG663" s="28"/>
      <c r="BH663" s="141" t="s">
        <v>1634</v>
      </c>
      <c r="BJ663" s="28"/>
      <c r="BK663" s="28"/>
      <c r="BL663" s="43"/>
    </row>
    <row r="664" spans="3:64" ht="15" thickBot="1" x14ac:dyDescent="0.35">
      <c r="I664" t="s">
        <v>590</v>
      </c>
      <c r="M664" s="5" t="s">
        <v>16</v>
      </c>
      <c r="Q664" s="28"/>
      <c r="R664" s="50" t="s">
        <v>107</v>
      </c>
      <c r="S664" s="31">
        <v>0</v>
      </c>
      <c r="T664" s="31">
        <v>0</v>
      </c>
      <c r="U664" s="29"/>
      <c r="V664" s="31"/>
      <c r="W664" s="30"/>
      <c r="X664" s="55">
        <v>0</v>
      </c>
      <c r="Y664" s="8">
        <v>0</v>
      </c>
      <c r="Z664" s="29"/>
      <c r="AA664" s="34" t="s">
        <v>92</v>
      </c>
      <c r="AB664" s="35"/>
      <c r="AH664" s="196" t="s">
        <v>99</v>
      </c>
      <c r="AI664" s="138">
        <v>1</v>
      </c>
      <c r="AJ664" s="141">
        <v>2</v>
      </c>
      <c r="AK664" s="138" t="s">
        <v>150</v>
      </c>
      <c r="AL664" s="28"/>
      <c r="AM664" s="141"/>
      <c r="AN664" s="138"/>
      <c r="AO664" s="141"/>
      <c r="AP664" s="138" t="s">
        <v>151</v>
      </c>
      <c r="AQ664" s="28"/>
      <c r="AR664" s="141"/>
      <c r="AS664" s="28"/>
      <c r="AT664" s="28"/>
      <c r="AU664" s="28"/>
      <c r="AX664" s="196" t="s">
        <v>211</v>
      </c>
      <c r="AY664" s="138">
        <v>2</v>
      </c>
      <c r="AZ664" s="141">
        <v>1</v>
      </c>
      <c r="BA664" s="196" t="s">
        <v>1845</v>
      </c>
      <c r="BB664" s="43">
        <v>0</v>
      </c>
      <c r="BC664" s="141">
        <v>0</v>
      </c>
      <c r="BD664" s="138"/>
      <c r="BE664" s="141"/>
      <c r="BF664" s="138"/>
      <c r="BG664" s="28"/>
      <c r="BH664" s="141" t="s">
        <v>1846</v>
      </c>
      <c r="BJ664" s="28"/>
      <c r="BK664" s="28"/>
      <c r="BL664" s="28"/>
    </row>
    <row r="665" spans="3:64" x14ac:dyDescent="0.3">
      <c r="D665" s="6" t="s">
        <v>17</v>
      </c>
      <c r="E665" s="6" t="s">
        <v>27</v>
      </c>
      <c r="F665" s="7"/>
      <c r="G665" s="8" t="s">
        <v>28</v>
      </c>
      <c r="H665" s="8"/>
      <c r="I665" s="8"/>
      <c r="J665" s="6" t="s">
        <v>29</v>
      </c>
      <c r="K665" s="7" t="s">
        <v>30</v>
      </c>
      <c r="L665" s="8" t="s">
        <v>31</v>
      </c>
      <c r="M665" s="8"/>
      <c r="N665" s="7"/>
      <c r="Q665" s="28"/>
      <c r="R665" s="41" t="s">
        <v>99</v>
      </c>
      <c r="S665" s="45">
        <v>0</v>
      </c>
      <c r="T665" s="45">
        <v>0</v>
      </c>
      <c r="U665" s="42">
        <v>0</v>
      </c>
      <c r="V665" s="45">
        <v>0</v>
      </c>
      <c r="W665" s="40">
        <v>0</v>
      </c>
      <c r="X665" s="45">
        <v>66521</v>
      </c>
      <c r="Y665" s="56">
        <v>19089</v>
      </c>
      <c r="Z665" s="52">
        <v>24</v>
      </c>
      <c r="AA665" s="37" t="s">
        <v>100</v>
      </c>
      <c r="AB665" s="40"/>
      <c r="AH665" s="196" t="s">
        <v>85</v>
      </c>
      <c r="AI665" s="138">
        <f>5+9</f>
        <v>14</v>
      </c>
      <c r="AJ665" s="141">
        <v>0</v>
      </c>
      <c r="AK665" s="138"/>
      <c r="AL665" s="28"/>
      <c r="AM665" s="141"/>
      <c r="AN665" s="138"/>
      <c r="AO665" s="141"/>
      <c r="AP665" s="138" t="s">
        <v>1213</v>
      </c>
      <c r="AQ665" s="28" t="s">
        <v>1214</v>
      </c>
      <c r="AR665" s="141" t="s">
        <v>1215</v>
      </c>
      <c r="AS665" s="28"/>
      <c r="AT665" s="28"/>
      <c r="AU665" s="28"/>
      <c r="AX665" s="196" t="s">
        <v>169</v>
      </c>
      <c r="AY665" s="138">
        <v>2</v>
      </c>
      <c r="AZ665" s="141">
        <v>5</v>
      </c>
      <c r="BA665" s="196" t="s">
        <v>1848</v>
      </c>
      <c r="BB665" s="43">
        <v>4</v>
      </c>
      <c r="BC665" s="141">
        <v>0</v>
      </c>
      <c r="BD665" s="138"/>
      <c r="BE665" s="141"/>
      <c r="BF665" s="138" t="s">
        <v>151</v>
      </c>
      <c r="BG665" s="28" t="s">
        <v>1849</v>
      </c>
      <c r="BH665" s="141" t="s">
        <v>1850</v>
      </c>
      <c r="BJ665" s="28"/>
      <c r="BK665" s="28"/>
      <c r="BL665" s="43"/>
    </row>
    <row r="666" spans="3:64" ht="15" thickBot="1" x14ac:dyDescent="0.35">
      <c r="D666" s="10"/>
      <c r="E666" s="10"/>
      <c r="F666" s="11"/>
      <c r="G666" s="3"/>
      <c r="H666" s="3"/>
      <c r="I666" s="3"/>
      <c r="J666" s="10"/>
      <c r="K666" s="11" t="s">
        <v>6</v>
      </c>
      <c r="L666" s="3" t="s">
        <v>41</v>
      </c>
      <c r="M666" s="3"/>
      <c r="N666" s="11"/>
      <c r="Q666" s="28"/>
      <c r="R666" s="17" t="s">
        <v>84</v>
      </c>
      <c r="S666" s="18">
        <f>SUM(S664:S665)</f>
        <v>0</v>
      </c>
      <c r="T666" s="18">
        <f>SUM(T664:T665)</f>
        <v>0</v>
      </c>
      <c r="U666" s="13"/>
      <c r="V666" s="27"/>
      <c r="W666" s="26"/>
      <c r="X666" s="58">
        <f>+X665+X664</f>
        <v>66521</v>
      </c>
      <c r="Y666" s="27">
        <f>+Y665+Y664</f>
        <v>19089</v>
      </c>
      <c r="Z666" s="59"/>
      <c r="AA666" s="48" t="s">
        <v>506</v>
      </c>
      <c r="AB666" s="60">
        <f>SUM(Z665:Z666)</f>
        <v>24</v>
      </c>
      <c r="AH666" s="196" t="s">
        <v>358</v>
      </c>
      <c r="AI666" s="138">
        <v>8</v>
      </c>
      <c r="AJ666" s="141">
        <v>10</v>
      </c>
      <c r="AK666" s="138"/>
      <c r="AL666" s="28"/>
      <c r="AM666" s="141"/>
      <c r="AN666" s="138"/>
      <c r="AO666" s="141"/>
      <c r="AP666" s="138" t="s">
        <v>625</v>
      </c>
      <c r="AQ666" s="28" t="s">
        <v>1216</v>
      </c>
      <c r="AR666" s="141" t="s">
        <v>1217</v>
      </c>
      <c r="AS666" s="28"/>
      <c r="AT666" s="28"/>
      <c r="AU666" s="28"/>
      <c r="AX666" s="196" t="s">
        <v>133</v>
      </c>
      <c r="AY666" s="138">
        <v>0</v>
      </c>
      <c r="AZ666" s="141">
        <v>1</v>
      </c>
      <c r="BA666" s="196" t="s">
        <v>1852</v>
      </c>
      <c r="BB666" s="43">
        <v>0</v>
      </c>
      <c r="BC666" s="141">
        <v>0</v>
      </c>
      <c r="BD666" s="138"/>
      <c r="BE666" s="141"/>
      <c r="BF666" s="138" t="s">
        <v>1493</v>
      </c>
      <c r="BG666" s="257" t="s">
        <v>845</v>
      </c>
      <c r="BH666" s="141"/>
      <c r="BJ666" s="28"/>
      <c r="BK666" s="28"/>
      <c r="BL666" s="28"/>
    </row>
    <row r="667" spans="3:64" ht="15" thickBot="1" x14ac:dyDescent="0.35">
      <c r="D667" s="13" t="s">
        <v>42</v>
      </c>
      <c r="E667" s="13" t="s">
        <v>43</v>
      </c>
      <c r="F667" s="26" t="s">
        <v>44</v>
      </c>
      <c r="G667" s="27" t="s">
        <v>45</v>
      </c>
      <c r="H667" s="27" t="s">
        <v>46</v>
      </c>
      <c r="I667" s="27" t="s">
        <v>52</v>
      </c>
      <c r="J667" s="13" t="s">
        <v>43</v>
      </c>
      <c r="K667" s="26" t="s">
        <v>44</v>
      </c>
      <c r="L667" s="27" t="s">
        <v>54</v>
      </c>
      <c r="M667" s="27"/>
      <c r="N667" s="26"/>
      <c r="Q667" s="28"/>
      <c r="R667" s="32"/>
      <c r="S667" s="63">
        <v>0</v>
      </c>
      <c r="T667" s="64">
        <v>0</v>
      </c>
      <c r="U667" s="33"/>
      <c r="V667" s="8"/>
      <c r="W667" s="35"/>
      <c r="X667" s="65"/>
      <c r="Y667" s="66"/>
      <c r="Z667" s="29"/>
      <c r="AA667" s="31"/>
      <c r="AB667" s="35"/>
      <c r="AH667" s="196" t="s">
        <v>107</v>
      </c>
      <c r="AI667" s="138">
        <v>0</v>
      </c>
      <c r="AJ667" s="141">
        <v>2</v>
      </c>
      <c r="AK667" s="138"/>
      <c r="AL667" s="28"/>
      <c r="AM667" s="141"/>
      <c r="AN667" s="138"/>
      <c r="AO667" s="141"/>
      <c r="AP667" s="138" t="s">
        <v>671</v>
      </c>
      <c r="AQ667" s="28" t="s">
        <v>180</v>
      </c>
      <c r="AR667" s="141" t="s">
        <v>1218</v>
      </c>
      <c r="AS667" s="28"/>
      <c r="AT667" s="28"/>
      <c r="AU667" s="28"/>
      <c r="AX667" s="196" t="s">
        <v>214</v>
      </c>
      <c r="AY667" s="138">
        <v>0</v>
      </c>
      <c r="AZ667" s="141">
        <v>0</v>
      </c>
      <c r="BA667" s="196" t="s">
        <v>1853</v>
      </c>
      <c r="BB667" s="43">
        <v>0</v>
      </c>
      <c r="BC667" s="141"/>
      <c r="BD667" s="138"/>
      <c r="BE667" s="141"/>
      <c r="BF667" s="212" t="s">
        <v>651</v>
      </c>
      <c r="BG667" s="28" t="s">
        <v>1854</v>
      </c>
      <c r="BH667" s="141"/>
      <c r="BJ667" s="28"/>
      <c r="BK667" s="28"/>
      <c r="BL667" s="28"/>
    </row>
    <row r="668" spans="3:64" x14ac:dyDescent="0.3">
      <c r="D668" s="32" t="s">
        <v>85</v>
      </c>
      <c r="E668">
        <v>0</v>
      </c>
      <c r="F668">
        <v>0</v>
      </c>
      <c r="G668" s="33"/>
      <c r="H668" s="34"/>
      <c r="I668" s="34"/>
      <c r="J668" s="33"/>
      <c r="K668" s="35"/>
      <c r="L668" s="34" t="s">
        <v>58</v>
      </c>
      <c r="M668" s="8"/>
      <c r="N668" s="7"/>
      <c r="Q668" s="28"/>
      <c r="R668" s="41"/>
      <c r="S668" s="70">
        <v>0</v>
      </c>
      <c r="T668" s="71">
        <v>0</v>
      </c>
      <c r="U668" s="42"/>
      <c r="V668" s="28"/>
      <c r="W668" s="40"/>
      <c r="X668" s="42"/>
      <c r="Y668" s="40"/>
      <c r="Z668" s="42"/>
      <c r="AA668" s="54"/>
      <c r="AB668" s="40"/>
      <c r="AH668" s="196" t="s">
        <v>169</v>
      </c>
      <c r="AI668" s="138">
        <v>0</v>
      </c>
      <c r="AJ668" s="141">
        <v>2</v>
      </c>
      <c r="AK668" s="138"/>
      <c r="AL668" s="28"/>
      <c r="AM668" s="141"/>
      <c r="AN668" s="138"/>
      <c r="AO668" s="141"/>
      <c r="AP668" s="138" t="s">
        <v>1220</v>
      </c>
      <c r="AQ668" s="43" t="s">
        <v>482</v>
      </c>
      <c r="AR668" s="141" t="s">
        <v>330</v>
      </c>
      <c r="AS668" s="28"/>
      <c r="AT668" s="28"/>
      <c r="AU668" s="28"/>
      <c r="AX668" s="196" t="s">
        <v>218</v>
      </c>
      <c r="AY668" s="138">
        <v>0</v>
      </c>
      <c r="AZ668" s="141">
        <v>12</v>
      </c>
      <c r="BA668" s="196" t="s">
        <v>1777</v>
      </c>
      <c r="BB668" s="43">
        <v>1</v>
      </c>
      <c r="BC668" s="141">
        <v>0</v>
      </c>
      <c r="BD668" s="138"/>
      <c r="BE668" s="141"/>
      <c r="BF668" s="212" t="s">
        <v>309</v>
      </c>
      <c r="BG668" s="43" t="s">
        <v>1436</v>
      </c>
      <c r="BH668" s="141"/>
      <c r="BJ668" s="28"/>
      <c r="BK668" s="28"/>
      <c r="BL668" s="28"/>
    </row>
    <row r="669" spans="3:64" ht="15" thickBot="1" x14ac:dyDescent="0.35">
      <c r="D669" s="44" t="s">
        <v>64</v>
      </c>
      <c r="E669" s="18">
        <v>123</v>
      </c>
      <c r="F669" s="18">
        <v>119</v>
      </c>
      <c r="G669" s="10">
        <v>0</v>
      </c>
      <c r="H669" s="18">
        <v>0</v>
      </c>
      <c r="I669" s="18">
        <v>0</v>
      </c>
      <c r="J669" s="10">
        <v>0</v>
      </c>
      <c r="K669" s="11">
        <v>0</v>
      </c>
      <c r="L669" s="45">
        <v>6</v>
      </c>
      <c r="M669" s="28" t="s">
        <v>474</v>
      </c>
      <c r="N669" s="11" t="s">
        <v>6</v>
      </c>
      <c r="Q669" s="28" t="s">
        <v>6</v>
      </c>
      <c r="R669" s="68"/>
      <c r="S669">
        <f>SUM(S667:S668)</f>
        <v>0</v>
      </c>
      <c r="T669">
        <f>SUM(T667:T668)</f>
        <v>0</v>
      </c>
      <c r="U669" s="47">
        <v>0</v>
      </c>
      <c r="V669" s="27">
        <v>0</v>
      </c>
      <c r="W669" s="49">
        <v>0</v>
      </c>
      <c r="X669" s="75">
        <v>0</v>
      </c>
      <c r="Y669" s="49">
        <v>0</v>
      </c>
      <c r="Z669" s="47"/>
      <c r="AA669" s="51"/>
      <c r="AB669" s="49">
        <f>SUM(Z668:Z669)</f>
        <v>0</v>
      </c>
      <c r="AH669" s="196" t="s">
        <v>1222</v>
      </c>
      <c r="AI669" s="138">
        <v>0</v>
      </c>
      <c r="AJ669" s="141">
        <v>0</v>
      </c>
      <c r="AK669" s="138"/>
      <c r="AL669" s="28"/>
      <c r="AM669" s="141"/>
      <c r="AN669" s="138">
        <v>2682</v>
      </c>
      <c r="AO669" s="141"/>
      <c r="AP669" s="138" t="s">
        <v>1223</v>
      </c>
      <c r="AQ669" s="43" t="s">
        <v>207</v>
      </c>
      <c r="AR669" s="141" t="s">
        <v>287</v>
      </c>
      <c r="AS669" s="28"/>
      <c r="AT669" s="28"/>
      <c r="AU669" s="28"/>
      <c r="AX669" s="196" t="s">
        <v>564</v>
      </c>
      <c r="AY669" s="138">
        <v>0</v>
      </c>
      <c r="AZ669" s="141">
        <v>6</v>
      </c>
      <c r="BA669" s="196"/>
      <c r="BB669" s="43"/>
      <c r="BC669" s="141"/>
      <c r="BD669" s="138"/>
      <c r="BE669" s="141"/>
      <c r="BF669" s="138" t="s">
        <v>310</v>
      </c>
      <c r="BG669" s="43" t="s">
        <v>1856</v>
      </c>
      <c r="BH669" s="141"/>
      <c r="BJ669" s="28"/>
      <c r="BK669" s="28"/>
      <c r="BL669" s="28"/>
    </row>
    <row r="670" spans="3:64" ht="15" thickBot="1" x14ac:dyDescent="0.35">
      <c r="C670" s="28"/>
      <c r="D670" s="46" t="s">
        <v>84</v>
      </c>
      <c r="E670">
        <f>SUM(E668:E669)</f>
        <v>123</v>
      </c>
      <c r="F670">
        <f>SUM(F668:F669)</f>
        <v>119</v>
      </c>
      <c r="G670" s="47"/>
      <c r="H670" s="48"/>
      <c r="I670" s="48"/>
      <c r="J670" s="47"/>
      <c r="K670" s="49"/>
      <c r="L670" s="48">
        <v>3</v>
      </c>
      <c r="M670" s="48" t="s">
        <v>69</v>
      </c>
      <c r="N670" s="49">
        <f>SUM(L669:L670)</f>
        <v>9</v>
      </c>
      <c r="O670" s="34" t="s">
        <v>91</v>
      </c>
      <c r="P670">
        <v>2015</v>
      </c>
      <c r="Q670" s="28">
        <v>11</v>
      </c>
      <c r="R670" s="33" t="s">
        <v>89</v>
      </c>
      <c r="S670" s="78">
        <v>348</v>
      </c>
      <c r="T670" s="79">
        <v>362</v>
      </c>
      <c r="U670" s="34"/>
      <c r="V670" s="8"/>
      <c r="W670" s="35"/>
      <c r="X670" s="80"/>
      <c r="Y670" s="34"/>
      <c r="Z670" s="33"/>
      <c r="AA670" s="34" t="s">
        <v>91</v>
      </c>
      <c r="AB670" s="35"/>
      <c r="AH670" s="196" t="s">
        <v>97</v>
      </c>
      <c r="AI670" s="138">
        <v>0</v>
      </c>
      <c r="AJ670" s="141">
        <v>3</v>
      </c>
      <c r="AK670" s="138"/>
      <c r="AL670" s="28"/>
      <c r="AM670" s="141"/>
      <c r="AN670" s="138"/>
      <c r="AO670" s="141"/>
      <c r="AP670" s="217" t="s">
        <v>1226</v>
      </c>
      <c r="AQ670" s="215" t="s">
        <v>1227</v>
      </c>
      <c r="AR670" s="141" t="s">
        <v>377</v>
      </c>
      <c r="AS670" s="28"/>
      <c r="AT670" s="28"/>
      <c r="AU670" s="28"/>
      <c r="AX670" s="196" t="s">
        <v>108</v>
      </c>
      <c r="AY670" s="138">
        <v>6</v>
      </c>
      <c r="AZ670" s="141">
        <v>2</v>
      </c>
      <c r="BA670" s="196"/>
      <c r="BB670" s="43"/>
      <c r="BC670" s="141"/>
      <c r="BD670" s="138"/>
      <c r="BE670" s="141"/>
      <c r="BF670" s="138" t="s">
        <v>1033</v>
      </c>
      <c r="BG670" s="43" t="s">
        <v>1857</v>
      </c>
      <c r="BH670" s="141"/>
      <c r="BJ670" s="28"/>
      <c r="BK670" s="28"/>
      <c r="BL670" s="28"/>
    </row>
    <row r="671" spans="3:64" ht="15" thickBot="1" x14ac:dyDescent="0.35">
      <c r="C671" s="28"/>
      <c r="D671" s="33"/>
      <c r="E671" s="33"/>
      <c r="F671" s="35"/>
      <c r="G671" s="34"/>
      <c r="H671" s="34"/>
      <c r="I671" s="34"/>
      <c r="J671" s="33"/>
      <c r="K671" s="35"/>
      <c r="L671" s="53" t="s">
        <v>82</v>
      </c>
      <c r="M671" s="34"/>
      <c r="N671" s="35"/>
      <c r="O671" s="34" t="s">
        <v>91</v>
      </c>
      <c r="P671">
        <v>2015</v>
      </c>
      <c r="Q671" s="28">
        <v>11</v>
      </c>
      <c r="R671" s="52" t="s">
        <v>85</v>
      </c>
      <c r="S671" s="42">
        <v>0</v>
      </c>
      <c r="T671" s="40">
        <v>0</v>
      </c>
      <c r="U671" s="28"/>
      <c r="V671" s="28"/>
      <c r="W671" s="40"/>
      <c r="Z671" s="42"/>
      <c r="AA671" s="43"/>
      <c r="AB671" s="40"/>
      <c r="AH671" s="219" t="s">
        <v>1230</v>
      </c>
      <c r="AI671" s="138">
        <v>3</v>
      </c>
      <c r="AJ671" s="141">
        <v>3</v>
      </c>
      <c r="AK671" s="138"/>
      <c r="AL671" s="28"/>
      <c r="AM671" s="141"/>
      <c r="AN671" s="138"/>
      <c r="AO671" s="141"/>
      <c r="AP671" s="138" t="s">
        <v>276</v>
      </c>
      <c r="AQ671" s="222" t="s">
        <v>348</v>
      </c>
      <c r="AR671" s="141" t="s">
        <v>1231</v>
      </c>
      <c r="AS671" s="28"/>
      <c r="AT671" s="28"/>
      <c r="AU671" s="28"/>
      <c r="AX671" s="196" t="s">
        <v>1858</v>
      </c>
      <c r="AY671" s="138">
        <v>5</v>
      </c>
      <c r="AZ671" s="141">
        <v>5</v>
      </c>
      <c r="BA671" s="196"/>
      <c r="BB671" s="28"/>
      <c r="BC671" s="141"/>
      <c r="BD671" s="138"/>
      <c r="BE671" s="141"/>
      <c r="BF671" s="212" t="s">
        <v>510</v>
      </c>
      <c r="BG671" s="43" t="s">
        <v>582</v>
      </c>
      <c r="BH671" s="141"/>
      <c r="BJ671" s="28"/>
      <c r="BK671" s="28"/>
      <c r="BL671" s="28"/>
    </row>
    <row r="672" spans="3:64" ht="15" thickBot="1" x14ac:dyDescent="0.35">
      <c r="C672" s="28"/>
      <c r="D672" s="47" t="s">
        <v>85</v>
      </c>
      <c r="E672" s="47">
        <v>0</v>
      </c>
      <c r="F672" s="49">
        <v>0</v>
      </c>
      <c r="G672" s="48"/>
      <c r="H672" s="48">
        <v>0</v>
      </c>
      <c r="I672" s="48">
        <v>0</v>
      </c>
      <c r="J672" s="47">
        <v>0</v>
      </c>
      <c r="K672" s="49">
        <v>0</v>
      </c>
      <c r="L672" s="51"/>
      <c r="M672" s="48" t="s">
        <v>86</v>
      </c>
      <c r="N672" s="49">
        <f>SUM(L672)</f>
        <v>0</v>
      </c>
      <c r="O672" s="34" t="s">
        <v>91</v>
      </c>
      <c r="P672">
        <v>2015</v>
      </c>
      <c r="Q672" s="28">
        <v>11</v>
      </c>
      <c r="R672" s="67" t="s">
        <v>113</v>
      </c>
      <c r="S672" s="42">
        <v>543</v>
      </c>
      <c r="T672" s="40">
        <v>544</v>
      </c>
      <c r="U672" s="28"/>
      <c r="V672" s="28"/>
      <c r="W672" s="40"/>
      <c r="X672" s="28"/>
      <c r="Y672" s="28"/>
      <c r="Z672" s="67">
        <v>68</v>
      </c>
      <c r="AA672" s="43" t="s">
        <v>73</v>
      </c>
      <c r="AB672" s="40"/>
      <c r="AH672" s="196" t="s">
        <v>64</v>
      </c>
      <c r="AI672" s="138">
        <v>2</v>
      </c>
      <c r="AJ672" s="141">
        <v>0</v>
      </c>
      <c r="AK672" s="138"/>
      <c r="AL672" s="28"/>
      <c r="AM672" s="141"/>
      <c r="AN672" s="138"/>
      <c r="AO672" s="141"/>
      <c r="AP672" s="223" t="s">
        <v>1234</v>
      </c>
      <c r="AQ672" s="43"/>
      <c r="AR672" s="209" t="s">
        <v>1235</v>
      </c>
      <c r="AS672" s="43"/>
      <c r="AT672" s="43"/>
      <c r="AU672" s="28"/>
      <c r="AX672" s="196" t="s">
        <v>1859</v>
      </c>
      <c r="AY672" s="138">
        <v>0</v>
      </c>
      <c r="AZ672" s="141">
        <v>0</v>
      </c>
      <c r="BA672" s="196"/>
      <c r="BB672" s="28"/>
      <c r="BC672" s="141"/>
      <c r="BD672" s="138"/>
      <c r="BE672" s="141"/>
      <c r="BF672" s="138" t="s">
        <v>544</v>
      </c>
      <c r="BG672" s="43" t="s">
        <v>1850</v>
      </c>
      <c r="BH672" s="209"/>
      <c r="BJ672" s="28"/>
      <c r="BK672" s="28"/>
      <c r="BL672" s="28"/>
    </row>
    <row r="673" spans="1:64" ht="16.2" thickBot="1" x14ac:dyDescent="0.35">
      <c r="C673" s="28"/>
      <c r="D673" s="50" t="s">
        <v>107</v>
      </c>
      <c r="E673" s="31">
        <v>60</v>
      </c>
      <c r="F673" s="31">
        <v>61</v>
      </c>
      <c r="G673" s="29"/>
      <c r="H673" s="31"/>
      <c r="I673" s="30"/>
      <c r="J673" s="55"/>
      <c r="K673" s="8"/>
      <c r="L673" s="29"/>
      <c r="M673" s="34" t="s">
        <v>92</v>
      </c>
      <c r="N673" s="35"/>
      <c r="Q673" s="28">
        <v>11</v>
      </c>
      <c r="R673" s="47" t="s">
        <v>84</v>
      </c>
      <c r="S673" s="47">
        <f>SUM(S670:S672)</f>
        <v>891</v>
      </c>
      <c r="T673" s="49">
        <f>SUM(T670:T672)</f>
        <v>906</v>
      </c>
      <c r="U673" s="81">
        <v>0</v>
      </c>
      <c r="V673" s="27">
        <v>0</v>
      </c>
      <c r="W673" s="82">
        <f>+W670</f>
        <v>0</v>
      </c>
      <c r="X673" s="74">
        <v>0</v>
      </c>
      <c r="Y673" s="74">
        <v>0</v>
      </c>
      <c r="Z673" s="47"/>
      <c r="AA673" s="51"/>
      <c r="AB673" s="49">
        <f>SUM(Z672)</f>
        <v>68</v>
      </c>
      <c r="AH673" s="196" t="s">
        <v>526</v>
      </c>
      <c r="AI673" s="138">
        <v>0</v>
      </c>
      <c r="AJ673" s="141">
        <v>15</v>
      </c>
      <c r="AK673" s="138"/>
      <c r="AL673" s="28"/>
      <c r="AM673" s="141"/>
      <c r="AN673" s="138"/>
      <c r="AO673" s="141"/>
      <c r="AP673" s="138" t="s">
        <v>1239</v>
      </c>
      <c r="AQ673" s="43" t="s">
        <v>490</v>
      </c>
      <c r="AR673" s="213" t="s">
        <v>664</v>
      </c>
      <c r="AS673" s="228"/>
      <c r="AT673" s="228"/>
      <c r="AU673" s="28"/>
      <c r="AX673" s="196" t="s">
        <v>783</v>
      </c>
      <c r="AY673" s="138">
        <v>0</v>
      </c>
      <c r="AZ673" s="141">
        <v>0</v>
      </c>
      <c r="BA673" s="196"/>
      <c r="BB673" s="28"/>
      <c r="BC673" s="141"/>
      <c r="BD673" s="138"/>
      <c r="BE673" s="141"/>
      <c r="BF673" s="138" t="s">
        <v>1377</v>
      </c>
      <c r="BG673" s="258" t="s">
        <v>1860</v>
      </c>
      <c r="BH673" s="209"/>
      <c r="BJ673" s="28"/>
      <c r="BK673" s="28"/>
      <c r="BL673" s="28"/>
    </row>
    <row r="674" spans="1:64" x14ac:dyDescent="0.3">
      <c r="C674" s="28"/>
      <c r="D674" s="41" t="s">
        <v>99</v>
      </c>
      <c r="E674" s="45">
        <v>0</v>
      </c>
      <c r="F674" s="45">
        <v>0</v>
      </c>
      <c r="G674" s="42">
        <v>0</v>
      </c>
      <c r="H674" s="45">
        <v>0</v>
      </c>
      <c r="I674" s="40">
        <v>0</v>
      </c>
      <c r="J674" s="45">
        <v>43499</v>
      </c>
      <c r="K674" s="56">
        <v>12223</v>
      </c>
      <c r="L674" s="52">
        <v>24</v>
      </c>
      <c r="M674" s="37" t="s">
        <v>100</v>
      </c>
      <c r="N674" s="40"/>
      <c r="O674" s="34" t="s">
        <v>130</v>
      </c>
      <c r="P674">
        <v>2015</v>
      </c>
      <c r="Q674" s="28">
        <v>11</v>
      </c>
      <c r="R674" s="52" t="s">
        <v>113</v>
      </c>
      <c r="S674" s="42">
        <v>701</v>
      </c>
      <c r="T674" s="85">
        <v>626</v>
      </c>
      <c r="U674" s="37"/>
      <c r="V674" s="18"/>
      <c r="W674" s="54"/>
      <c r="X674" s="52"/>
      <c r="Y674" s="40"/>
      <c r="Z674" s="67"/>
      <c r="AA674" s="34" t="s">
        <v>130</v>
      </c>
      <c r="AB674" s="40"/>
      <c r="AH674" s="196" t="s">
        <v>1242</v>
      </c>
      <c r="AI674" s="138">
        <v>0</v>
      </c>
      <c r="AJ674" s="141">
        <v>7</v>
      </c>
      <c r="AK674" s="138"/>
      <c r="AL674" s="28"/>
      <c r="AM674" s="141"/>
      <c r="AN674" s="138"/>
      <c r="AO674" s="141"/>
      <c r="AP674" s="138" t="s">
        <v>1243</v>
      </c>
      <c r="AQ674" s="43"/>
      <c r="AR674" s="141" t="s">
        <v>1244</v>
      </c>
      <c r="AS674" s="28"/>
      <c r="AT674" s="28"/>
      <c r="AU674" s="28"/>
      <c r="AX674" s="196" t="s">
        <v>88</v>
      </c>
      <c r="AY674" s="138">
        <v>3</v>
      </c>
      <c r="AZ674" s="141">
        <v>3</v>
      </c>
      <c r="BA674" s="196"/>
      <c r="BB674" s="43"/>
      <c r="BC674" s="141"/>
      <c r="BD674" s="138"/>
      <c r="BE674" s="141"/>
      <c r="BF674" s="138" t="s">
        <v>280</v>
      </c>
      <c r="BG674" s="43" t="s">
        <v>415</v>
      </c>
      <c r="BH674" s="141"/>
      <c r="BJ674" s="28"/>
      <c r="BK674" s="28"/>
      <c r="BL674" s="28"/>
    </row>
    <row r="675" spans="1:64" ht="16.2" thickBot="1" x14ac:dyDescent="0.35">
      <c r="C675" s="28"/>
      <c r="D675" s="17" t="s">
        <v>84</v>
      </c>
      <c r="E675" s="18">
        <f>SUM(E673:E674)</f>
        <v>60</v>
      </c>
      <c r="F675" s="18">
        <f>SUM(F673:F674)</f>
        <v>61</v>
      </c>
      <c r="G675" s="13"/>
      <c r="H675" s="27"/>
      <c r="I675" s="26"/>
      <c r="J675" s="58"/>
      <c r="K675" s="27"/>
      <c r="L675" s="59"/>
      <c r="M675" s="48" t="s">
        <v>506</v>
      </c>
      <c r="N675" s="60">
        <f>SUM(L674:L675)</f>
        <v>24</v>
      </c>
      <c r="Q675" s="28"/>
      <c r="R675" s="42" t="s">
        <v>475</v>
      </c>
      <c r="S675" s="67"/>
      <c r="T675" s="85"/>
      <c r="U675" s="28"/>
      <c r="V675" s="18"/>
      <c r="W675" s="28"/>
      <c r="X675" s="52"/>
      <c r="Y675" s="86"/>
      <c r="Z675" s="52">
        <v>50</v>
      </c>
      <c r="AA675" s="43" t="s">
        <v>73</v>
      </c>
      <c r="AB675" s="40"/>
      <c r="AC675" t="s">
        <v>6</v>
      </c>
      <c r="AH675" s="196" t="s">
        <v>1247</v>
      </c>
      <c r="AI675" s="138">
        <v>0</v>
      </c>
      <c r="AJ675" s="141">
        <v>6</v>
      </c>
      <c r="AK675" s="138"/>
      <c r="AL675" s="28"/>
      <c r="AM675" s="141"/>
      <c r="AN675" s="138"/>
      <c r="AO675" s="141"/>
      <c r="AP675" s="138" t="s">
        <v>1248</v>
      </c>
      <c r="AQ675" s="43" t="s">
        <v>1249</v>
      </c>
      <c r="AR675" s="141" t="s">
        <v>1250</v>
      </c>
      <c r="AS675" s="28"/>
      <c r="AT675" s="28"/>
      <c r="AU675" s="28"/>
      <c r="AX675" s="259" t="s">
        <v>93</v>
      </c>
      <c r="AY675" s="138">
        <v>18</v>
      </c>
      <c r="AZ675" s="141">
        <v>20</v>
      </c>
      <c r="BA675" s="196"/>
      <c r="BB675" s="43"/>
      <c r="BC675" s="141"/>
      <c r="BD675" s="138"/>
      <c r="BE675" s="141"/>
      <c r="BF675" s="138" t="s">
        <v>1861</v>
      </c>
      <c r="BG675" s="258" t="s">
        <v>1718</v>
      </c>
      <c r="BH675" s="260"/>
      <c r="BJ675" s="28"/>
      <c r="BK675" s="28"/>
      <c r="BL675" s="28"/>
    </row>
    <row r="676" spans="1:64" ht="16.2" thickBot="1" x14ac:dyDescent="0.35">
      <c r="C676" s="28"/>
      <c r="D676" s="32" t="s">
        <v>107</v>
      </c>
      <c r="E676" s="63">
        <v>0</v>
      </c>
      <c r="F676" s="64">
        <v>0</v>
      </c>
      <c r="G676" s="33"/>
      <c r="H676" s="8"/>
      <c r="I676" s="35"/>
      <c r="J676" s="65"/>
      <c r="K676" s="66"/>
      <c r="L676" s="29"/>
      <c r="M676" s="31" t="s">
        <v>57</v>
      </c>
      <c r="N676" s="35"/>
      <c r="Q676" s="28"/>
      <c r="R676" s="59" t="s">
        <v>84</v>
      </c>
      <c r="S676" s="13">
        <f>SUM(S674:S675)</f>
        <v>701</v>
      </c>
      <c r="T676" s="60">
        <f>SUM(T674:T675)</f>
        <v>626</v>
      </c>
      <c r="U676" s="81">
        <v>0</v>
      </c>
      <c r="V676" s="27">
        <v>0</v>
      </c>
      <c r="W676" s="27">
        <v>0</v>
      </c>
      <c r="X676" s="13">
        <v>0</v>
      </c>
      <c r="Y676" s="26">
        <v>0</v>
      </c>
      <c r="Z676" s="13"/>
      <c r="AA676" s="43"/>
      <c r="AB676" s="26">
        <f>SUM(Z674:Z675)</f>
        <v>50</v>
      </c>
      <c r="AH676" s="196" t="s">
        <v>1252</v>
      </c>
      <c r="AI676" s="138">
        <v>0</v>
      </c>
      <c r="AJ676" s="141">
        <v>2</v>
      </c>
      <c r="AK676" s="138"/>
      <c r="AL676" s="28"/>
      <c r="AM676" s="141"/>
      <c r="AN676" s="138"/>
      <c r="AO676" s="141"/>
      <c r="AP676" s="138" t="s">
        <v>899</v>
      </c>
      <c r="AQ676" s="43" t="s">
        <v>1136</v>
      </c>
      <c r="AR676" s="141" t="s">
        <v>411</v>
      </c>
      <c r="AS676" s="28"/>
      <c r="AT676" s="28"/>
      <c r="AU676" s="43"/>
      <c r="AX676" s="196" t="s">
        <v>596</v>
      </c>
      <c r="AY676" s="138">
        <v>2</v>
      </c>
      <c r="AZ676" s="141">
        <v>9</v>
      </c>
      <c r="BA676" s="196"/>
      <c r="BB676" s="43"/>
      <c r="BC676" s="141"/>
      <c r="BD676" s="138"/>
      <c r="BE676" s="141"/>
      <c r="BF676" s="138" t="s">
        <v>180</v>
      </c>
      <c r="BG676" s="258" t="s">
        <v>1862</v>
      </c>
      <c r="BH676" s="141"/>
      <c r="BJ676" s="28"/>
      <c r="BK676" s="28"/>
      <c r="BL676" s="28"/>
    </row>
    <row r="677" spans="1:64" ht="15.6" x14ac:dyDescent="0.3">
      <c r="C677" s="28"/>
      <c r="D677" s="41" t="s">
        <v>113</v>
      </c>
      <c r="E677" s="70">
        <v>0</v>
      </c>
      <c r="F677" s="71">
        <v>0</v>
      </c>
      <c r="G677" s="42"/>
      <c r="H677" s="28"/>
      <c r="I677" s="40"/>
      <c r="J677" s="42"/>
      <c r="K677" s="40"/>
      <c r="L677" s="42"/>
      <c r="M677" s="54" t="s">
        <v>530</v>
      </c>
      <c r="N677" s="40"/>
      <c r="Q677" s="28"/>
      <c r="R677" s="88" t="s">
        <v>158</v>
      </c>
      <c r="S677" s="33">
        <v>8</v>
      </c>
      <c r="T677" s="34">
        <v>7</v>
      </c>
      <c r="U677" s="152"/>
      <c r="V677" s="89"/>
      <c r="W677" s="66">
        <v>7</v>
      </c>
      <c r="X677" s="8"/>
      <c r="Y677" s="35"/>
      <c r="Z677" s="34" t="s">
        <v>140</v>
      </c>
      <c r="AA677" s="34"/>
      <c r="AB677" s="35"/>
      <c r="AH677" s="196" t="s">
        <v>1255</v>
      </c>
      <c r="AI677" s="138">
        <v>3</v>
      </c>
      <c r="AJ677" s="141">
        <v>3</v>
      </c>
      <c r="AK677" s="138"/>
      <c r="AL677" s="28"/>
      <c r="AM677" s="141"/>
      <c r="AN677" s="138"/>
      <c r="AO677" s="141"/>
      <c r="AP677" s="138" t="s">
        <v>969</v>
      </c>
      <c r="AQ677" s="43" t="s">
        <v>629</v>
      </c>
      <c r="AR677" s="141" t="s">
        <v>483</v>
      </c>
      <c r="AS677" s="28"/>
      <c r="AT677" s="28"/>
      <c r="AU677" s="228"/>
      <c r="AX677" s="196" t="s">
        <v>85</v>
      </c>
      <c r="AY677" s="138">
        <v>2</v>
      </c>
      <c r="AZ677" s="141">
        <v>8</v>
      </c>
      <c r="BA677" s="196"/>
      <c r="BB677" s="43"/>
      <c r="BC677" s="141"/>
      <c r="BD677" s="138"/>
      <c r="BE677" s="141"/>
      <c r="BF677" s="138" t="s">
        <v>698</v>
      </c>
      <c r="BG677" s="258" t="s">
        <v>1863</v>
      </c>
      <c r="BH677" s="141"/>
      <c r="BJ677" s="28"/>
      <c r="BK677" s="28"/>
      <c r="BL677" s="28"/>
    </row>
    <row r="678" spans="1:64" ht="16.2" thickBot="1" x14ac:dyDescent="0.35">
      <c r="C678" s="28" t="s">
        <v>6</v>
      </c>
      <c r="D678" s="68" t="s">
        <v>84</v>
      </c>
      <c r="E678">
        <f>SUM(E676:E677)</f>
        <v>0</v>
      </c>
      <c r="F678">
        <f>SUM(F676:F677)</f>
        <v>0</v>
      </c>
      <c r="G678" s="47">
        <v>0</v>
      </c>
      <c r="H678" s="27">
        <v>0</v>
      </c>
      <c r="I678" s="49">
        <v>0</v>
      </c>
      <c r="J678" s="75">
        <v>0</v>
      </c>
      <c r="K678" s="49">
        <v>0</v>
      </c>
      <c r="L678" s="47"/>
      <c r="M678" s="51" t="s">
        <v>73</v>
      </c>
      <c r="N678" s="49">
        <f>SUM(L677:L678)</f>
        <v>0</v>
      </c>
      <c r="Q678" s="28"/>
      <c r="R678" s="42" t="s">
        <v>164</v>
      </c>
      <c r="S678" s="42">
        <v>3</v>
      </c>
      <c r="T678" s="43">
        <f>3+4</f>
        <v>7</v>
      </c>
      <c r="U678" s="42"/>
      <c r="V678" s="28"/>
      <c r="W678" s="40"/>
      <c r="X678" s="28"/>
      <c r="Y678" s="40"/>
      <c r="Z678" s="28"/>
      <c r="AA678" s="28"/>
      <c r="AB678" s="40"/>
      <c r="AH678" s="196" t="s">
        <v>1118</v>
      </c>
      <c r="AI678" s="138">
        <v>0</v>
      </c>
      <c r="AJ678" s="141">
        <v>24</v>
      </c>
      <c r="AK678" s="138"/>
      <c r="AL678" s="28"/>
      <c r="AM678" s="141"/>
      <c r="AN678" s="138"/>
      <c r="AO678" s="141"/>
      <c r="AP678" s="138"/>
      <c r="AQ678" s="43" t="s">
        <v>1257</v>
      </c>
      <c r="AR678" s="141" t="s">
        <v>1258</v>
      </c>
      <c r="AS678" s="28"/>
      <c r="AT678" s="28"/>
      <c r="AU678" s="28"/>
      <c r="AX678" s="196" t="s">
        <v>164</v>
      </c>
      <c r="AY678" s="138">
        <v>0</v>
      </c>
      <c r="AZ678" s="141">
        <v>0</v>
      </c>
      <c r="BA678" s="196"/>
      <c r="BB678" s="43"/>
      <c r="BC678" s="141"/>
      <c r="BD678" s="138"/>
      <c r="BE678" s="141"/>
      <c r="BF678" s="138" t="s">
        <v>1498</v>
      </c>
      <c r="BG678" s="258"/>
      <c r="BH678" s="141"/>
      <c r="BJ678" s="28"/>
      <c r="BK678" s="28"/>
      <c r="BL678" s="28"/>
    </row>
    <row r="679" spans="1:64" ht="16.2" thickBot="1" x14ac:dyDescent="0.35">
      <c r="A679" s="34" t="s">
        <v>91</v>
      </c>
      <c r="B679">
        <v>2014</v>
      </c>
      <c r="C679" s="28">
        <v>11</v>
      </c>
      <c r="D679" s="33" t="s">
        <v>557</v>
      </c>
      <c r="E679" s="78">
        <v>77</v>
      </c>
      <c r="F679" s="79">
        <v>127</v>
      </c>
      <c r="G679" s="34"/>
      <c r="H679" s="8"/>
      <c r="I679" s="35">
        <v>18</v>
      </c>
      <c r="J679" s="80"/>
      <c r="K679" s="34"/>
      <c r="L679" s="33"/>
      <c r="M679" s="34" t="s">
        <v>91</v>
      </c>
      <c r="N679" s="35"/>
      <c r="Q679" s="28"/>
      <c r="R679" s="153" t="s">
        <v>108</v>
      </c>
      <c r="S679" s="42">
        <v>0</v>
      </c>
      <c r="T679" s="43">
        <v>2</v>
      </c>
      <c r="U679" s="42"/>
      <c r="V679" s="28"/>
      <c r="W679" s="40"/>
      <c r="X679" s="28"/>
      <c r="Y679" s="40"/>
      <c r="Z679" s="28"/>
      <c r="AA679" s="28"/>
      <c r="AB679" s="40"/>
      <c r="AH679" s="196" t="s">
        <v>564</v>
      </c>
      <c r="AI679" s="138">
        <v>5</v>
      </c>
      <c r="AJ679" s="141">
        <f>5+4</f>
        <v>9</v>
      </c>
      <c r="AK679" s="138"/>
      <c r="AL679" s="28"/>
      <c r="AM679" s="141"/>
      <c r="AN679" s="138"/>
      <c r="AO679" s="141"/>
      <c r="AP679" s="138"/>
      <c r="AQ679" s="28"/>
      <c r="AR679" s="141"/>
      <c r="AS679" s="28"/>
      <c r="AT679" s="28"/>
      <c r="AU679" s="28"/>
      <c r="AX679" s="196" t="s">
        <v>200</v>
      </c>
      <c r="AY679" s="138">
        <v>14</v>
      </c>
      <c r="AZ679" s="141">
        <v>9</v>
      </c>
      <c r="BA679" s="196"/>
      <c r="BB679" s="43"/>
      <c r="BC679" s="141"/>
      <c r="BD679" s="138"/>
      <c r="BE679" s="141"/>
      <c r="BF679" s="138" t="s">
        <v>333</v>
      </c>
      <c r="BG679" s="258"/>
      <c r="BH679" s="141"/>
      <c r="BJ679" s="28"/>
      <c r="BK679" s="28"/>
      <c r="BL679" s="28"/>
    </row>
    <row r="680" spans="1:64" ht="16.2" thickBot="1" x14ac:dyDescent="0.35">
      <c r="A680" s="34" t="s">
        <v>91</v>
      </c>
      <c r="B680">
        <v>2014</v>
      </c>
      <c r="C680" s="28">
        <v>11</v>
      </c>
      <c r="D680" s="52" t="s">
        <v>531</v>
      </c>
      <c r="E680" s="42">
        <v>0</v>
      </c>
      <c r="F680" s="40">
        <v>0</v>
      </c>
      <c r="G680" s="28"/>
      <c r="H680" s="28"/>
      <c r="I680" s="40"/>
      <c r="L680" s="42"/>
      <c r="M680" s="28"/>
      <c r="N680" s="40"/>
      <c r="Q680" s="28"/>
      <c r="R680" s="92" t="s">
        <v>113</v>
      </c>
      <c r="S680" s="67">
        <f>3+2+45+8+1+1+3+5</f>
        <v>68</v>
      </c>
      <c r="T680" s="43">
        <f>1+2+33+2+2+5+2+5+3</f>
        <v>55</v>
      </c>
      <c r="U680" s="52"/>
      <c r="V680" s="54"/>
      <c r="W680" s="85"/>
      <c r="X680" s="18"/>
      <c r="Y680" s="40"/>
      <c r="Z680" s="18" t="s">
        <v>142</v>
      </c>
      <c r="AA680" s="18"/>
      <c r="AB680" s="39" t="s">
        <v>730</v>
      </c>
      <c r="AH680" s="196" t="s">
        <v>211</v>
      </c>
      <c r="AI680" s="138">
        <v>3</v>
      </c>
      <c r="AJ680" s="141">
        <v>0</v>
      </c>
      <c r="AK680" s="138"/>
      <c r="AL680" s="28"/>
      <c r="AM680" s="141"/>
      <c r="AN680" s="138"/>
      <c r="AO680" s="141"/>
      <c r="AP680" s="138"/>
      <c r="AQ680" s="28"/>
      <c r="AR680" s="141"/>
      <c r="AS680" s="28"/>
      <c r="AT680" s="28"/>
      <c r="AU680" s="28"/>
      <c r="AX680" s="196" t="s">
        <v>1864</v>
      </c>
      <c r="AY680" s="138">
        <v>0</v>
      </c>
      <c r="AZ680" s="141">
        <v>0</v>
      </c>
      <c r="BA680" s="196"/>
      <c r="BB680" s="43"/>
      <c r="BC680" s="141"/>
      <c r="BD680" s="138"/>
      <c r="BE680" s="141"/>
      <c r="BF680" s="138" t="s">
        <v>1865</v>
      </c>
      <c r="BG680" s="258"/>
      <c r="BH680" s="141"/>
      <c r="BK680" s="28"/>
      <c r="BL680" s="28"/>
    </row>
    <row r="681" spans="1:64" ht="16.2" thickBot="1" x14ac:dyDescent="0.35">
      <c r="A681" s="34" t="s">
        <v>91</v>
      </c>
      <c r="B681">
        <v>2014</v>
      </c>
      <c r="C681" s="28">
        <v>11</v>
      </c>
      <c r="D681" s="67" t="s">
        <v>113</v>
      </c>
      <c r="E681" s="42">
        <v>610</v>
      </c>
      <c r="F681" s="40">
        <v>607</v>
      </c>
      <c r="G681" s="28"/>
      <c r="H681" s="28"/>
      <c r="I681" s="40"/>
      <c r="J681" s="28"/>
      <c r="K681" s="28"/>
      <c r="L681" s="67">
        <v>51</v>
      </c>
      <c r="M681" s="43" t="s">
        <v>73</v>
      </c>
      <c r="N681" s="40"/>
      <c r="Q681" s="28"/>
      <c r="R681" s="42" t="s">
        <v>504</v>
      </c>
      <c r="S681" s="67">
        <v>9</v>
      </c>
      <c r="T681" s="43">
        <v>6</v>
      </c>
      <c r="U681" s="52"/>
      <c r="V681" s="54"/>
      <c r="W681" s="85"/>
      <c r="X681" s="18"/>
      <c r="Y681" s="40"/>
      <c r="Z681" s="154" t="s">
        <v>146</v>
      </c>
      <c r="AA681" s="28"/>
      <c r="AB681" s="94" t="s">
        <v>253</v>
      </c>
      <c r="AH681" s="196" t="s">
        <v>218</v>
      </c>
      <c r="AI681" s="138">
        <v>0</v>
      </c>
      <c r="AJ681" s="141">
        <f>10+3</f>
        <v>13</v>
      </c>
      <c r="AK681" s="138"/>
      <c r="AL681" s="28">
        <v>0</v>
      </c>
      <c r="AM681" s="141"/>
      <c r="AN681" s="138"/>
      <c r="AO681" s="141"/>
      <c r="AP681" s="138"/>
      <c r="AQ681" s="28"/>
      <c r="AR681" s="141"/>
      <c r="AS681" s="28"/>
      <c r="AT681" s="28"/>
      <c r="AU681" s="28"/>
      <c r="AX681" s="196" t="s">
        <v>1374</v>
      </c>
      <c r="AY681" s="138">
        <v>0</v>
      </c>
      <c r="AZ681" s="141">
        <v>0</v>
      </c>
      <c r="BA681" s="196"/>
      <c r="BB681" s="43"/>
      <c r="BC681" s="141"/>
      <c r="BD681" s="138"/>
      <c r="BE681" s="141"/>
      <c r="BF681" s="138" t="s">
        <v>1824</v>
      </c>
      <c r="BG681" s="258"/>
      <c r="BH681" s="141"/>
    </row>
    <row r="682" spans="1:64" ht="16.2" thickBot="1" x14ac:dyDescent="0.35">
      <c r="A682" s="34" t="s">
        <v>91</v>
      </c>
      <c r="B682">
        <v>2014</v>
      </c>
      <c r="C682" s="28">
        <v>11</v>
      </c>
      <c r="D682" s="47" t="s">
        <v>84</v>
      </c>
      <c r="E682" s="47">
        <f>SUM(E679:E681)</f>
        <v>687</v>
      </c>
      <c r="F682" s="49">
        <f>SUM(F679:F681)</f>
        <v>734</v>
      </c>
      <c r="G682" s="81">
        <v>0</v>
      </c>
      <c r="H682" s="27">
        <v>0</v>
      </c>
      <c r="I682" s="82">
        <f>+I679</f>
        <v>18</v>
      </c>
      <c r="J682" s="74">
        <v>0</v>
      </c>
      <c r="K682" s="74">
        <v>0</v>
      </c>
      <c r="L682" s="47"/>
      <c r="M682" s="51"/>
      <c r="N682" s="49">
        <f>SUM(L681)</f>
        <v>51</v>
      </c>
      <c r="Q682" s="28"/>
      <c r="R682" s="127" t="s">
        <v>817</v>
      </c>
      <c r="S682" s="67">
        <v>0</v>
      </c>
      <c r="T682" s="43">
        <v>0</v>
      </c>
      <c r="U682" s="42"/>
      <c r="V682" s="28"/>
      <c r="W682" s="40"/>
      <c r="X682" s="28"/>
      <c r="Y682" s="40"/>
      <c r="Z682" s="28"/>
      <c r="AA682" s="28"/>
      <c r="AB682" s="40"/>
      <c r="AH682" s="196" t="s">
        <v>93</v>
      </c>
      <c r="AI682" s="138">
        <v>0</v>
      </c>
      <c r="AJ682" s="141">
        <v>0</v>
      </c>
      <c r="AK682" s="138"/>
      <c r="AL682" s="28"/>
      <c r="AM682" s="141"/>
      <c r="AN682" s="138"/>
      <c r="AO682" s="141"/>
      <c r="AP682" s="138"/>
      <c r="AQ682" s="28"/>
      <c r="AR682" s="141"/>
      <c r="AS682" s="28"/>
      <c r="AT682" s="28"/>
      <c r="AU682" s="28"/>
      <c r="AX682" s="196" t="s">
        <v>139</v>
      </c>
      <c r="AY682" s="138">
        <v>0</v>
      </c>
      <c r="AZ682" s="141">
        <v>0</v>
      </c>
      <c r="BA682" s="196"/>
      <c r="BB682" s="43"/>
      <c r="BC682" s="141"/>
      <c r="BD682" s="138"/>
      <c r="BE682" s="141"/>
      <c r="BF682" s="138" t="s">
        <v>1866</v>
      </c>
      <c r="BG682" s="258"/>
      <c r="BH682" s="141"/>
    </row>
    <row r="683" spans="1:64" ht="16.2" thickBot="1" x14ac:dyDescent="0.35">
      <c r="A683" s="34" t="s">
        <v>130</v>
      </c>
      <c r="B683">
        <v>2014</v>
      </c>
      <c r="C683" s="28">
        <v>11</v>
      </c>
      <c r="D683" s="52" t="s">
        <v>113</v>
      </c>
      <c r="E683" s="42">
        <v>731</v>
      </c>
      <c r="F683" s="85">
        <v>679</v>
      </c>
      <c r="G683" s="37"/>
      <c r="H683" s="18"/>
      <c r="I683" s="54"/>
      <c r="J683" s="52"/>
      <c r="K683" s="40"/>
      <c r="L683" s="67"/>
      <c r="M683" s="34" t="s">
        <v>130</v>
      </c>
      <c r="N683" s="40"/>
      <c r="Q683" s="28"/>
      <c r="R683" s="52" t="s">
        <v>133</v>
      </c>
      <c r="S683" s="67">
        <v>2</v>
      </c>
      <c r="T683" s="43">
        <v>3</v>
      </c>
      <c r="U683" s="52" t="s">
        <v>150</v>
      </c>
      <c r="V683" s="54"/>
      <c r="W683" s="85"/>
      <c r="X683" s="18"/>
      <c r="Y683" s="40"/>
      <c r="Z683" s="28" t="s">
        <v>151</v>
      </c>
      <c r="AA683" s="28"/>
      <c r="AB683" s="185"/>
      <c r="AH683" s="199" t="s">
        <v>84</v>
      </c>
      <c r="AI683" s="142">
        <f>SUM(AI658:AI682)</f>
        <v>97</v>
      </c>
      <c r="AJ683" s="146">
        <f>SUM(AJ658:AJ682)</f>
        <v>141</v>
      </c>
      <c r="AK683" s="142">
        <v>0</v>
      </c>
      <c r="AL683" s="143">
        <f>SUM(AL658:AL682)</f>
        <v>0</v>
      </c>
      <c r="AM683" s="146">
        <v>0</v>
      </c>
      <c r="AN683" s="142">
        <f>SUM(AN658:AN682)</f>
        <v>2682</v>
      </c>
      <c r="AO683" s="146">
        <v>0</v>
      </c>
      <c r="AP683" s="142"/>
      <c r="AQ683" s="143"/>
      <c r="AR683" s="146">
        <f>9+5+3+5+6+3+18+5+4+7+3+15+6+4+4</f>
        <v>97</v>
      </c>
      <c r="AS683" s="28"/>
      <c r="AT683" s="28"/>
      <c r="AU683" s="28"/>
      <c r="AX683" s="211" t="s">
        <v>1867</v>
      </c>
      <c r="AY683" s="212">
        <v>0</v>
      </c>
      <c r="AZ683" s="209">
        <v>0</v>
      </c>
      <c r="BA683" s="196"/>
      <c r="BB683" s="28"/>
      <c r="BC683" s="141"/>
      <c r="BD683" s="138"/>
      <c r="BE683" s="141"/>
      <c r="BF683" s="138" t="s">
        <v>1868</v>
      </c>
      <c r="BG683" s="258"/>
      <c r="BH683" s="141"/>
    </row>
    <row r="684" spans="1:64" ht="15" thickBot="1" x14ac:dyDescent="0.35">
      <c r="A684" s="34" t="s">
        <v>130</v>
      </c>
      <c r="B684">
        <v>2014</v>
      </c>
      <c r="C684" s="28">
        <v>11</v>
      </c>
      <c r="D684" s="42" t="s">
        <v>475</v>
      </c>
      <c r="E684" s="67">
        <v>0</v>
      </c>
      <c r="F684" s="85">
        <v>0</v>
      </c>
      <c r="G684" s="28"/>
      <c r="H684" s="18"/>
      <c r="I684" s="28"/>
      <c r="J684" s="52"/>
      <c r="K684" s="86"/>
      <c r="L684" s="52">
        <v>50</v>
      </c>
      <c r="M684" s="43" t="s">
        <v>73</v>
      </c>
      <c r="N684" s="40"/>
      <c r="O684" t="s">
        <v>6</v>
      </c>
      <c r="Q684" s="28"/>
      <c r="R684" s="52" t="s">
        <v>85</v>
      </c>
      <c r="S684" s="42">
        <v>1</v>
      </c>
      <c r="T684" s="43">
        <v>0</v>
      </c>
      <c r="U684" s="42"/>
      <c r="V684" s="54"/>
      <c r="W684" s="40"/>
      <c r="X684" s="45"/>
      <c r="Y684" s="56"/>
      <c r="Z684" s="43" t="s">
        <v>909</v>
      </c>
      <c r="AA684" s="28" t="s">
        <v>910</v>
      </c>
      <c r="AB684" s="40" t="s">
        <v>719</v>
      </c>
      <c r="AH684" t="s">
        <v>223</v>
      </c>
      <c r="AI684">
        <f>SUM(AI683+AI657+AI652+AI648+AI645+AI643+AI654)</f>
        <v>2780</v>
      </c>
      <c r="AJ684">
        <f>SUM(AJ683+AJ657+AJ652+AJ648+AJ643+AJ645+AJ654)</f>
        <v>2708</v>
      </c>
      <c r="AK684">
        <v>0</v>
      </c>
      <c r="AL684">
        <f>SUM(AL683+AL657+AL652+AL648+AL645+AL641)</f>
        <v>0</v>
      </c>
      <c r="AM684">
        <v>0</v>
      </c>
      <c r="AN684">
        <f>SUM(AN683+AN657+AN652+AN647+AN645+AN641)</f>
        <v>77201</v>
      </c>
      <c r="AO684">
        <f>SUM(AO683+AO657+AO652+AO647+AO645+AO641)</f>
        <v>18180</v>
      </c>
      <c r="AQ684" t="s">
        <v>939</v>
      </c>
      <c r="AR684">
        <f>SUM(+AR657+AR652+AR648+AR645+AR643)</f>
        <v>196</v>
      </c>
      <c r="AU684" s="28"/>
      <c r="AX684" s="239" t="s">
        <v>862</v>
      </c>
      <c r="AY684" s="263">
        <v>0</v>
      </c>
      <c r="AZ684" s="264">
        <v>0</v>
      </c>
      <c r="BA684" s="199"/>
      <c r="BB684" s="143"/>
      <c r="BC684" s="146"/>
      <c r="BD684" s="142"/>
      <c r="BE684" s="146"/>
      <c r="BF684" s="323" t="s">
        <v>444</v>
      </c>
      <c r="BG684" s="143"/>
      <c r="BH684" s="146">
        <v>93</v>
      </c>
    </row>
    <row r="685" spans="1:64" ht="16.2" thickBot="1" x14ac:dyDescent="0.35">
      <c r="A685" s="34" t="s">
        <v>130</v>
      </c>
      <c r="B685">
        <v>2014</v>
      </c>
      <c r="C685" s="28">
        <v>11</v>
      </c>
      <c r="D685" s="59" t="s">
        <v>84</v>
      </c>
      <c r="E685" s="13">
        <f>SUM(E683:E684)</f>
        <v>731</v>
      </c>
      <c r="F685" s="60">
        <f>SUM(F683:F684)</f>
        <v>679</v>
      </c>
      <c r="G685" s="81">
        <v>0</v>
      </c>
      <c r="H685" s="27">
        <v>0</v>
      </c>
      <c r="I685" s="27">
        <v>0</v>
      </c>
      <c r="J685" s="13">
        <v>0</v>
      </c>
      <c r="K685" s="26">
        <v>0</v>
      </c>
      <c r="L685" s="13"/>
      <c r="M685" s="43"/>
      <c r="N685" s="26">
        <f>SUM(L683:L684)</f>
        <v>50</v>
      </c>
      <c r="Q685" s="28"/>
      <c r="R685" s="151" t="s">
        <v>93</v>
      </c>
      <c r="S685" s="36">
        <v>0</v>
      </c>
      <c r="T685" s="37">
        <v>2</v>
      </c>
      <c r="U685" s="10"/>
      <c r="V685" s="18"/>
      <c r="W685" s="11"/>
      <c r="X685" s="18"/>
      <c r="Y685" s="11"/>
      <c r="Z685" s="158" t="s">
        <v>911</v>
      </c>
      <c r="AA685" s="178" t="s">
        <v>584</v>
      </c>
      <c r="AB685" s="114" t="s">
        <v>254</v>
      </c>
      <c r="AH685" t="s">
        <v>225</v>
      </c>
      <c r="AJ685">
        <f>SUM(AR683)</f>
        <v>97</v>
      </c>
      <c r="AU685" s="28"/>
      <c r="AX685" s="265" t="s">
        <v>84</v>
      </c>
      <c r="AY685" s="247">
        <v>117</v>
      </c>
      <c r="AZ685" s="266">
        <v>180</v>
      </c>
      <c r="BA685" s="197" t="s">
        <v>84</v>
      </c>
      <c r="BB685" s="198">
        <v>9</v>
      </c>
      <c r="BC685" s="249">
        <v>0</v>
      </c>
      <c r="BD685" s="197"/>
      <c r="BE685" s="249"/>
      <c r="BF685" s="198"/>
      <c r="BG685" s="198" t="s">
        <v>743</v>
      </c>
      <c r="BH685" s="249">
        <v>271</v>
      </c>
    </row>
    <row r="686" spans="1:64" x14ac:dyDescent="0.3">
      <c r="C686" s="28"/>
      <c r="D686" s="88" t="s">
        <v>139</v>
      </c>
      <c r="E686" s="33">
        <v>1</v>
      </c>
      <c r="F686" s="34">
        <v>1</v>
      </c>
      <c r="G686" s="152"/>
      <c r="H686" s="89"/>
      <c r="I686" s="66"/>
      <c r="J686" s="8"/>
      <c r="K686" s="35"/>
      <c r="L686" s="34" t="s">
        <v>140</v>
      </c>
      <c r="M686" s="34"/>
      <c r="N686" s="35"/>
      <c r="Q686" s="28"/>
      <c r="R686" s="42" t="s">
        <v>445</v>
      </c>
      <c r="S686" s="42">
        <v>2</v>
      </c>
      <c r="T686" s="54">
        <v>0</v>
      </c>
      <c r="U686" s="10"/>
      <c r="V686" s="18"/>
      <c r="W686" s="11"/>
      <c r="X686" s="18"/>
      <c r="Y686" s="11"/>
      <c r="Z686" s="158" t="s">
        <v>462</v>
      </c>
      <c r="AA686" s="186" t="s">
        <v>551</v>
      </c>
      <c r="AB686" s="39" t="s">
        <v>912</v>
      </c>
      <c r="AH686" t="s">
        <v>229</v>
      </c>
      <c r="AJ686">
        <f>13+8+2</f>
        <v>23</v>
      </c>
      <c r="AU686" s="28"/>
      <c r="AX686" s="28" t="s">
        <v>223</v>
      </c>
      <c r="AY686" s="212">
        <v>5255</v>
      </c>
      <c r="AZ686" s="186">
        <v>7183</v>
      </c>
      <c r="BA686" t="s">
        <v>1804</v>
      </c>
      <c r="BB686" t="s">
        <v>1869</v>
      </c>
      <c r="BC686">
        <v>7183</v>
      </c>
    </row>
    <row r="687" spans="1:64" x14ac:dyDescent="0.3">
      <c r="C687" s="28"/>
      <c r="D687" s="42" t="s">
        <v>158</v>
      </c>
      <c r="E687" s="42">
        <v>0</v>
      </c>
      <c r="F687" s="28">
        <v>10</v>
      </c>
      <c r="G687" s="42"/>
      <c r="H687" s="28"/>
      <c r="I687" s="40"/>
      <c r="J687" s="28"/>
      <c r="K687" s="40"/>
      <c r="L687" s="28"/>
      <c r="M687" s="28"/>
      <c r="N687" s="40"/>
      <c r="Q687" s="28"/>
      <c r="R687" s="36" t="s">
        <v>169</v>
      </c>
      <c r="S687" s="36">
        <v>3</v>
      </c>
      <c r="T687" s="37">
        <v>1</v>
      </c>
      <c r="U687" s="10"/>
      <c r="V687" s="18"/>
      <c r="W687" s="11"/>
      <c r="X687" s="18"/>
      <c r="Y687" s="11"/>
      <c r="Z687" s="158" t="s">
        <v>913</v>
      </c>
      <c r="AA687" s="37" t="s">
        <v>914</v>
      </c>
      <c r="AB687" s="39" t="s">
        <v>269</v>
      </c>
      <c r="AH687" t="s">
        <v>232</v>
      </c>
      <c r="AJ687" t="s">
        <v>233</v>
      </c>
      <c r="AL687">
        <f>SUM(T684)</f>
        <v>0</v>
      </c>
      <c r="AN687" t="s">
        <v>234</v>
      </c>
      <c r="AP687" t="s">
        <v>233</v>
      </c>
      <c r="AR687">
        <f>SUM(AI684)</f>
        <v>2780</v>
      </c>
      <c r="AU687" s="28"/>
      <c r="AX687" s="28" t="s">
        <v>1340</v>
      </c>
      <c r="AY687" s="28"/>
      <c r="AZ687" s="186">
        <v>93</v>
      </c>
    </row>
    <row r="688" spans="1:64" x14ac:dyDescent="0.3">
      <c r="C688" s="28"/>
      <c r="D688" s="153" t="s">
        <v>108</v>
      </c>
      <c r="E688" s="42">
        <v>19</v>
      </c>
      <c r="F688" s="43">
        <v>13</v>
      </c>
      <c r="G688" s="42"/>
      <c r="H688" s="28"/>
      <c r="I688" s="40"/>
      <c r="J688" s="28"/>
      <c r="K688" s="40"/>
      <c r="L688" s="28"/>
      <c r="M688" s="28"/>
      <c r="N688" s="40"/>
      <c r="Q688" s="28"/>
      <c r="R688" s="36" t="s">
        <v>99</v>
      </c>
      <c r="S688" s="36">
        <v>5</v>
      </c>
      <c r="T688" s="37">
        <v>0</v>
      </c>
      <c r="U688" s="10"/>
      <c r="V688" s="18"/>
      <c r="W688" s="11"/>
      <c r="X688" s="18"/>
      <c r="Y688" s="11"/>
      <c r="Z688" s="179" t="s">
        <v>604</v>
      </c>
      <c r="AA688" s="37" t="s">
        <v>915</v>
      </c>
      <c r="AB688" s="39" t="s">
        <v>586</v>
      </c>
      <c r="AG688" t="s">
        <v>6</v>
      </c>
      <c r="AJ688" t="s">
        <v>236</v>
      </c>
      <c r="AL688">
        <f>SUM(U684)</f>
        <v>0</v>
      </c>
      <c r="AP688" t="s">
        <v>236</v>
      </c>
      <c r="AR688">
        <f>SUM(AJ684)</f>
        <v>2708</v>
      </c>
      <c r="AX688" s="28" t="s">
        <v>229</v>
      </c>
      <c r="AY688" s="28"/>
      <c r="AZ688" s="186">
        <v>2</v>
      </c>
    </row>
    <row r="689" spans="3:61" x14ac:dyDescent="0.3">
      <c r="C689" s="28"/>
      <c r="D689" s="92" t="s">
        <v>113</v>
      </c>
      <c r="E689" s="67">
        <f>1+4+15+1+64+3+2+8</f>
        <v>98</v>
      </c>
      <c r="F689" s="43">
        <f>14+1+3+61+5+2</f>
        <v>86</v>
      </c>
      <c r="G689" s="52"/>
      <c r="H689" s="54"/>
      <c r="I689" s="85"/>
      <c r="J689" s="18"/>
      <c r="K689" s="40"/>
      <c r="L689" s="18" t="s">
        <v>142</v>
      </c>
      <c r="M689" s="18"/>
      <c r="N689" s="39" t="s">
        <v>251</v>
      </c>
      <c r="Q689" s="28"/>
      <c r="R689" s="150" t="s">
        <v>358</v>
      </c>
      <c r="S689" s="36">
        <v>9</v>
      </c>
      <c r="T689" s="37">
        <v>0</v>
      </c>
      <c r="U689" s="10"/>
      <c r="V689" s="37"/>
      <c r="W689" s="11"/>
      <c r="X689" s="18"/>
      <c r="Y689" s="11"/>
      <c r="Z689" s="158" t="s">
        <v>580</v>
      </c>
      <c r="AA689" s="54" t="s">
        <v>172</v>
      </c>
      <c r="AB689" s="39" t="s">
        <v>482</v>
      </c>
      <c r="AH689" t="s">
        <v>238</v>
      </c>
      <c r="AI689" t="s">
        <v>239</v>
      </c>
      <c r="AK689" t="s">
        <v>240</v>
      </c>
      <c r="AL689" t="s">
        <v>241</v>
      </c>
      <c r="AO689" t="s">
        <v>242</v>
      </c>
      <c r="AP689" t="s">
        <v>243</v>
      </c>
      <c r="AX689" t="s">
        <v>232</v>
      </c>
      <c r="AZ689" s="178" t="s">
        <v>233</v>
      </c>
      <c r="BB689">
        <v>1792</v>
      </c>
      <c r="BD689" t="s">
        <v>234</v>
      </c>
      <c r="BF689" t="s">
        <v>233</v>
      </c>
      <c r="BH689">
        <v>5255</v>
      </c>
    </row>
    <row r="690" spans="3:61" x14ac:dyDescent="0.3">
      <c r="C690" s="28"/>
      <c r="D690" s="42" t="s">
        <v>214</v>
      </c>
      <c r="E690" s="67">
        <v>8</v>
      </c>
      <c r="F690" s="43">
        <v>12</v>
      </c>
      <c r="G690" s="52"/>
      <c r="H690" s="54"/>
      <c r="I690" s="85"/>
      <c r="J690" s="18"/>
      <c r="K690" s="40"/>
      <c r="L690" s="154" t="s">
        <v>146</v>
      </c>
      <c r="M690" s="28"/>
      <c r="N690" s="94" t="s">
        <v>591</v>
      </c>
      <c r="Q690" s="37"/>
      <c r="R690" s="36" t="s">
        <v>678</v>
      </c>
      <c r="S690" s="36">
        <v>38</v>
      </c>
      <c r="T690" s="37">
        <v>0</v>
      </c>
      <c r="U690" s="10"/>
      <c r="V690" s="18"/>
      <c r="W690" s="11"/>
      <c r="X690" s="18"/>
      <c r="Y690" s="11"/>
      <c r="Z690" s="37" t="s">
        <v>322</v>
      </c>
      <c r="AA690" s="37" t="s">
        <v>916</v>
      </c>
      <c r="AB690" s="180" t="s">
        <v>917</v>
      </c>
      <c r="AH690" t="s">
        <v>233</v>
      </c>
      <c r="AJ690" t="e">
        <f>SUM(#REF!)</f>
        <v>#REF!</v>
      </c>
      <c r="AK690" t="s">
        <v>233</v>
      </c>
      <c r="AM690">
        <f>SUM(F680)</f>
        <v>0</v>
      </c>
      <c r="AN690" t="s">
        <v>233</v>
      </c>
      <c r="AP690">
        <f>SUM(AM690+AI684)</f>
        <v>2780</v>
      </c>
      <c r="AQ690" t="s">
        <v>245</v>
      </c>
      <c r="AR690" t="e">
        <f>SUM(AJ690+AP690)</f>
        <v>#REF!</v>
      </c>
      <c r="AZ690" t="s">
        <v>236</v>
      </c>
      <c r="BB690">
        <v>1809</v>
      </c>
      <c r="BF690" t="s">
        <v>236</v>
      </c>
      <c r="BH690">
        <v>7183</v>
      </c>
    </row>
    <row r="691" spans="3:61" x14ac:dyDescent="0.3">
      <c r="C691" s="28" t="s">
        <v>6</v>
      </c>
      <c r="D691" s="127" t="s">
        <v>200</v>
      </c>
      <c r="E691" s="67">
        <f>12+5</f>
        <v>17</v>
      </c>
      <c r="F691" s="43">
        <v>11</v>
      </c>
      <c r="G691" s="42"/>
      <c r="H691" s="28"/>
      <c r="I691" s="40"/>
      <c r="J691" s="28"/>
      <c r="K691" s="40"/>
      <c r="L691" s="28"/>
      <c r="M691" s="28"/>
      <c r="N691" s="40"/>
      <c r="Q691" s="28"/>
      <c r="R691" s="150" t="s">
        <v>211</v>
      </c>
      <c r="S691" s="36">
        <v>2</v>
      </c>
      <c r="T691" s="37">
        <v>0</v>
      </c>
      <c r="U691" s="10"/>
      <c r="V691" s="18"/>
      <c r="W691" s="11"/>
      <c r="X691" s="18"/>
      <c r="Y691" s="11"/>
      <c r="Z691" s="159" t="s">
        <v>918</v>
      </c>
      <c r="AA691" s="37"/>
      <c r="AB691" s="39" t="s">
        <v>697</v>
      </c>
      <c r="AH691" t="s">
        <v>236</v>
      </c>
      <c r="AJ691" t="e">
        <f>SUM(#REF!)</f>
        <v>#REF!</v>
      </c>
      <c r="AK691" t="s">
        <v>236</v>
      </c>
      <c r="AM691">
        <f>SUM(G680)</f>
        <v>0</v>
      </c>
      <c r="AN691" t="s">
        <v>236</v>
      </c>
      <c r="AP691">
        <f>SUM(AM691+AJ684)</f>
        <v>2708</v>
      </c>
      <c r="AR691" t="e">
        <f>SUM(AJ691+AP691)</f>
        <v>#REF!</v>
      </c>
      <c r="AX691" t="s">
        <v>238</v>
      </c>
      <c r="AY691" t="s">
        <v>239</v>
      </c>
      <c r="BA691" t="s">
        <v>240</v>
      </c>
      <c r="BB691" t="s">
        <v>241</v>
      </c>
      <c r="BE691" t="s">
        <v>242</v>
      </c>
      <c r="BF691" s="131" t="s">
        <v>243</v>
      </c>
    </row>
    <row r="692" spans="3:61" x14ac:dyDescent="0.3">
      <c r="C692" s="28"/>
      <c r="D692" s="52" t="s">
        <v>133</v>
      </c>
      <c r="E692" s="67">
        <f>30+4</f>
        <v>34</v>
      </c>
      <c r="F692" s="43">
        <f>24+6+1</f>
        <v>31</v>
      </c>
      <c r="G692" s="52" t="s">
        <v>150</v>
      </c>
      <c r="H692" s="54"/>
      <c r="I692" s="85"/>
      <c r="J692" s="18"/>
      <c r="K692" s="40"/>
      <c r="L692" s="28" t="s">
        <v>151</v>
      </c>
      <c r="M692" s="28"/>
      <c r="N692" s="96"/>
      <c r="R692" s="150" t="s">
        <v>64</v>
      </c>
      <c r="S692" s="36">
        <f>3+5</f>
        <v>8</v>
      </c>
      <c r="T692" s="37">
        <v>8</v>
      </c>
      <c r="U692" s="10"/>
      <c r="V692" s="18"/>
      <c r="W692" s="11"/>
      <c r="X692" s="18"/>
      <c r="Y692" s="11"/>
      <c r="Z692" s="128" t="s">
        <v>500</v>
      </c>
      <c r="AA692" s="37" t="s">
        <v>919</v>
      </c>
      <c r="AB692" s="39" t="s">
        <v>333</v>
      </c>
      <c r="AX692" t="s">
        <v>233</v>
      </c>
      <c r="AZ692">
        <v>39888</v>
      </c>
      <c r="BA692" s="236" t="s">
        <v>233</v>
      </c>
      <c r="BC692">
        <v>2666</v>
      </c>
      <c r="BD692" t="s">
        <v>233</v>
      </c>
      <c r="BF692">
        <v>10967</v>
      </c>
      <c r="BG692" t="s">
        <v>245</v>
      </c>
      <c r="BH692">
        <v>23405</v>
      </c>
    </row>
    <row r="693" spans="3:61" x14ac:dyDescent="0.3">
      <c r="C693" s="28"/>
      <c r="D693" s="52" t="s">
        <v>85</v>
      </c>
      <c r="E693" s="42">
        <v>6</v>
      </c>
      <c r="F693" s="43">
        <v>0</v>
      </c>
      <c r="G693" s="42"/>
      <c r="H693" s="54"/>
      <c r="I693" s="40"/>
      <c r="J693" s="45"/>
      <c r="K693" s="56"/>
      <c r="L693" s="43" t="s">
        <v>592</v>
      </c>
      <c r="M693" s="28" t="s">
        <v>593</v>
      </c>
      <c r="N693" s="40" t="s">
        <v>594</v>
      </c>
      <c r="R693" s="36" t="s">
        <v>184</v>
      </c>
      <c r="S693" s="36"/>
      <c r="T693" s="37"/>
      <c r="U693" s="10"/>
      <c r="V693" s="18"/>
      <c r="W693" s="11"/>
      <c r="X693" s="18"/>
      <c r="Y693" s="11"/>
      <c r="Z693" s="128" t="s">
        <v>921</v>
      </c>
      <c r="AA693" s="37" t="s">
        <v>546</v>
      </c>
      <c r="AB693" s="39" t="s">
        <v>629</v>
      </c>
      <c r="AX693" t="s">
        <v>236</v>
      </c>
      <c r="AZ693">
        <v>47587</v>
      </c>
      <c r="BA693" s="236" t="s">
        <v>236</v>
      </c>
      <c r="BC693">
        <v>8301</v>
      </c>
      <c r="BD693" t="s">
        <v>236</v>
      </c>
      <c r="BF693">
        <v>9738</v>
      </c>
      <c r="BH693">
        <v>87475</v>
      </c>
      <c r="BI693">
        <v>110880</v>
      </c>
    </row>
    <row r="694" spans="3:61" ht="15.6" x14ac:dyDescent="0.3">
      <c r="C694" s="28"/>
      <c r="D694" s="151" t="s">
        <v>102</v>
      </c>
      <c r="E694" s="36">
        <v>0</v>
      </c>
      <c r="F694" s="37">
        <v>4</v>
      </c>
      <c r="G694" s="10"/>
      <c r="H694" s="18"/>
      <c r="I694" s="11"/>
      <c r="J694" s="18"/>
      <c r="K694" s="11"/>
      <c r="L694" s="155" t="s">
        <v>571</v>
      </c>
      <c r="M694" s="28" t="s">
        <v>309</v>
      </c>
      <c r="N694" s="99" t="s">
        <v>595</v>
      </c>
      <c r="R694" s="36" t="s">
        <v>107</v>
      </c>
      <c r="S694" s="10">
        <v>0</v>
      </c>
      <c r="T694" s="37">
        <v>0</v>
      </c>
      <c r="U694" s="10"/>
      <c r="V694" s="18"/>
      <c r="W694" s="39"/>
      <c r="X694" s="18"/>
      <c r="Y694" s="11"/>
      <c r="Z694" s="159" t="s">
        <v>871</v>
      </c>
      <c r="AA694" s="37" t="s">
        <v>922</v>
      </c>
      <c r="AB694" s="39"/>
    </row>
    <row r="695" spans="3:61" ht="15.6" x14ac:dyDescent="0.3">
      <c r="C695" s="28"/>
      <c r="D695" s="42" t="s">
        <v>596</v>
      </c>
      <c r="E695" s="42">
        <v>3</v>
      </c>
      <c r="F695" s="54">
        <v>0</v>
      </c>
      <c r="G695" s="10"/>
      <c r="H695" s="18"/>
      <c r="I695" s="11"/>
      <c r="J695" s="18"/>
      <c r="K695" s="11"/>
      <c r="L695" s="158" t="s">
        <v>597</v>
      </c>
      <c r="M695" s="100" t="s">
        <v>500</v>
      </c>
      <c r="N695" s="39" t="s">
        <v>175</v>
      </c>
      <c r="R695" s="150" t="s">
        <v>120</v>
      </c>
      <c r="S695" s="10">
        <v>4</v>
      </c>
      <c r="T695" s="37">
        <v>0</v>
      </c>
      <c r="U695" s="10"/>
      <c r="V695" s="18"/>
      <c r="W695" s="11"/>
      <c r="X695" s="18"/>
      <c r="Y695" s="11"/>
      <c r="Z695" s="179"/>
      <c r="AA695" s="37"/>
      <c r="AB695" s="39"/>
      <c r="AL695" t="s">
        <v>5</v>
      </c>
    </row>
    <row r="696" spans="3:61" x14ac:dyDescent="0.3">
      <c r="C696" s="28"/>
      <c r="D696" s="36" t="s">
        <v>169</v>
      </c>
      <c r="E696" s="36">
        <v>1</v>
      </c>
      <c r="F696" s="37">
        <v>1</v>
      </c>
      <c r="G696" s="10"/>
      <c r="H696" s="18"/>
      <c r="I696" s="11"/>
      <c r="J696" s="18"/>
      <c r="K696" s="11"/>
      <c r="L696" s="155" t="s">
        <v>598</v>
      </c>
      <c r="M696" s="37" t="s">
        <v>165</v>
      </c>
      <c r="N696" s="39" t="s">
        <v>545</v>
      </c>
      <c r="R696" s="92" t="s">
        <v>862</v>
      </c>
      <c r="S696" s="84">
        <v>0</v>
      </c>
      <c r="T696" s="54">
        <v>2</v>
      </c>
      <c r="U696" s="84"/>
      <c r="V696" s="45"/>
      <c r="W696" s="85"/>
      <c r="X696" s="18"/>
      <c r="Y696" s="11"/>
      <c r="Z696" s="179"/>
      <c r="AA696" s="54"/>
      <c r="AB696" s="86"/>
      <c r="AM696" t="s">
        <v>2</v>
      </c>
    </row>
    <row r="697" spans="3:61" x14ac:dyDescent="0.3">
      <c r="C697" s="28"/>
      <c r="D697" s="36" t="s">
        <v>99</v>
      </c>
      <c r="E697" s="36">
        <v>0</v>
      </c>
      <c r="F697" s="37">
        <v>3</v>
      </c>
      <c r="G697" s="10"/>
      <c r="H697" s="18"/>
      <c r="I697" s="11"/>
      <c r="J697" s="18"/>
      <c r="K697" s="11"/>
      <c r="L697" s="161" t="s">
        <v>599</v>
      </c>
      <c r="M697" s="162" t="s">
        <v>533</v>
      </c>
      <c r="N697" s="114" t="s">
        <v>494</v>
      </c>
      <c r="R697" s="67" t="s">
        <v>564</v>
      </c>
      <c r="S697" s="84">
        <v>5</v>
      </c>
      <c r="T697" s="54">
        <f>5+1</f>
        <v>6</v>
      </c>
      <c r="U697" s="84"/>
      <c r="V697" s="45"/>
      <c r="W697" s="85"/>
      <c r="X697" s="45"/>
      <c r="Y697" s="85"/>
      <c r="Z697" s="179"/>
      <c r="AA697" s="54"/>
      <c r="AB697" s="180"/>
      <c r="AK697" t="s">
        <v>13</v>
      </c>
    </row>
    <row r="698" spans="3:61" x14ac:dyDescent="0.3">
      <c r="C698" s="28"/>
      <c r="D698" s="150" t="s">
        <v>358</v>
      </c>
      <c r="E698" s="36">
        <v>0</v>
      </c>
      <c r="F698" s="37">
        <v>3</v>
      </c>
      <c r="G698" s="10"/>
      <c r="H698" s="37"/>
      <c r="I698" s="11"/>
      <c r="J698" s="18"/>
      <c r="K698" s="11"/>
      <c r="L698" s="158" t="s">
        <v>600</v>
      </c>
      <c r="M698" s="54" t="s">
        <v>601</v>
      </c>
      <c r="N698" s="39" t="s">
        <v>602</v>
      </c>
      <c r="R698" s="67" t="s">
        <v>102</v>
      </c>
      <c r="S698" s="84">
        <v>0</v>
      </c>
      <c r="T698" s="54">
        <v>2</v>
      </c>
      <c r="U698" s="84"/>
      <c r="V698" s="45"/>
      <c r="W698" s="85"/>
      <c r="X698" s="45"/>
      <c r="Y698" s="85"/>
      <c r="Z698" s="179"/>
      <c r="AA698" s="54"/>
      <c r="AB698" s="180"/>
      <c r="AM698" t="s">
        <v>1262</v>
      </c>
      <c r="AQ698" s="194" t="s">
        <v>950</v>
      </c>
    </row>
    <row r="699" spans="3:61" x14ac:dyDescent="0.3">
      <c r="C699" s="37"/>
      <c r="D699" s="36" t="s">
        <v>288</v>
      </c>
      <c r="E699" s="36">
        <v>0</v>
      </c>
      <c r="F699" s="37">
        <v>3</v>
      </c>
      <c r="G699" s="10"/>
      <c r="H699" s="18"/>
      <c r="I699" s="11"/>
      <c r="J699" s="18"/>
      <c r="K699" s="11"/>
      <c r="L699" s="37" t="s">
        <v>551</v>
      </c>
      <c r="M699" s="37" t="s">
        <v>273</v>
      </c>
      <c r="N699" s="40" t="s">
        <v>313</v>
      </c>
      <c r="R699" s="127" t="s">
        <v>89</v>
      </c>
      <c r="S699" s="84">
        <v>0</v>
      </c>
      <c r="T699" s="54">
        <v>2</v>
      </c>
      <c r="U699" s="42"/>
      <c r="V699" s="45"/>
      <c r="W699" s="40"/>
      <c r="X699" s="45"/>
      <c r="Y699" s="85"/>
      <c r="Z699" s="158"/>
      <c r="AA699" s="54"/>
      <c r="AB699" s="86"/>
      <c r="AH699" s="195" t="s">
        <v>17</v>
      </c>
      <c r="AI699" s="134" t="s">
        <v>27</v>
      </c>
      <c r="AJ699" s="136"/>
      <c r="AK699" s="135" t="s">
        <v>28</v>
      </c>
      <c r="AL699" s="135"/>
      <c r="AM699" s="135"/>
      <c r="AN699" s="135" t="s">
        <v>29</v>
      </c>
      <c r="AO699" s="135" t="s">
        <v>30</v>
      </c>
      <c r="AP699" s="135" t="s">
        <v>31</v>
      </c>
      <c r="AQ699" s="135"/>
      <c r="AR699" s="136"/>
      <c r="AS699" s="28"/>
      <c r="AT699" s="28"/>
    </row>
    <row r="700" spans="3:61" x14ac:dyDescent="0.3">
      <c r="C700" s="28"/>
      <c r="D700" s="150" t="s">
        <v>211</v>
      </c>
      <c r="E700" s="36">
        <v>1</v>
      </c>
      <c r="F700" s="37">
        <f>2+3</f>
        <v>5</v>
      </c>
      <c r="G700" s="10"/>
      <c r="H700" s="18"/>
      <c r="I700" s="11"/>
      <c r="J700" s="18"/>
      <c r="K700" s="11"/>
      <c r="L700" s="159" t="s">
        <v>603</v>
      </c>
      <c r="M700" s="37" t="s">
        <v>604</v>
      </c>
      <c r="N700" s="39" t="s">
        <v>444</v>
      </c>
      <c r="R700" s="127" t="s">
        <v>218</v>
      </c>
      <c r="S700" s="84">
        <v>0</v>
      </c>
      <c r="T700" s="54">
        <f>24+5</f>
        <v>29</v>
      </c>
      <c r="U700" s="42"/>
      <c r="V700" s="45">
        <v>0</v>
      </c>
      <c r="W700" s="40"/>
      <c r="X700" s="45"/>
      <c r="Y700" s="85"/>
      <c r="Z700" s="179"/>
      <c r="AA700" s="54"/>
      <c r="AB700" s="180"/>
      <c r="AH700" s="196"/>
      <c r="AI700" s="138"/>
      <c r="AJ700" s="141"/>
      <c r="AK700" s="28"/>
      <c r="AL700" s="28"/>
      <c r="AM700" s="28"/>
      <c r="AN700" s="28"/>
      <c r="AO700" s="28" t="s">
        <v>6</v>
      </c>
      <c r="AP700" s="28" t="s">
        <v>41</v>
      </c>
      <c r="AQ700" s="28"/>
      <c r="AR700" s="141"/>
      <c r="AS700" s="28"/>
      <c r="AT700" s="28"/>
      <c r="AW700" s="28"/>
      <c r="AX700" s="28"/>
      <c r="AY700" s="28"/>
      <c r="AZ700" s="28"/>
      <c r="BA700" s="28"/>
      <c r="BB700" s="28"/>
      <c r="BC700" s="28"/>
      <c r="BD700" s="28"/>
      <c r="BE700" s="28"/>
    </row>
    <row r="701" spans="3:61" x14ac:dyDescent="0.3">
      <c r="D701" s="150" t="s">
        <v>605</v>
      </c>
      <c r="E701" s="36">
        <v>5</v>
      </c>
      <c r="F701" s="37">
        <v>3</v>
      </c>
      <c r="G701" s="10"/>
      <c r="H701" s="18"/>
      <c r="I701" s="11"/>
      <c r="J701" s="18"/>
      <c r="K701" s="11"/>
      <c r="L701" s="37" t="s">
        <v>606</v>
      </c>
      <c r="M701" s="37" t="s">
        <v>520</v>
      </c>
      <c r="N701" s="114" t="s">
        <v>607</v>
      </c>
      <c r="R701" s="181" t="s">
        <v>924</v>
      </c>
      <c r="S701" s="10">
        <v>8</v>
      </c>
      <c r="T701" s="18">
        <v>8</v>
      </c>
      <c r="U701" s="10"/>
      <c r="V701" s="18"/>
      <c r="W701" s="11"/>
      <c r="X701" s="18"/>
      <c r="Y701" s="11"/>
      <c r="Z701" s="179"/>
      <c r="AA701" s="37"/>
      <c r="AB701" s="182"/>
      <c r="AH701" s="199" t="s">
        <v>42</v>
      </c>
      <c r="AI701" s="142" t="s">
        <v>43</v>
      </c>
      <c r="AJ701" s="146" t="s">
        <v>44</v>
      </c>
      <c r="AK701" s="143" t="s">
        <v>45</v>
      </c>
      <c r="AL701" s="143" t="s">
        <v>46</v>
      </c>
      <c r="AM701" s="143" t="s">
        <v>52</v>
      </c>
      <c r="AN701" s="143" t="s">
        <v>43</v>
      </c>
      <c r="AO701" s="143" t="s">
        <v>44</v>
      </c>
      <c r="AP701" s="143" t="s">
        <v>54</v>
      </c>
      <c r="AQ701" s="143"/>
      <c r="AR701" s="146"/>
      <c r="AS701" s="28"/>
      <c r="AT701" s="28"/>
      <c r="AW701" s="28"/>
      <c r="AX701" s="28"/>
      <c r="AY701" s="28"/>
      <c r="AZ701" s="28"/>
      <c r="BA701" s="28"/>
      <c r="BB701" s="28"/>
      <c r="BC701" s="28"/>
      <c r="BD701" s="28"/>
      <c r="BE701" s="28"/>
    </row>
    <row r="702" spans="3:61" ht="15" thickBot="1" x14ac:dyDescent="0.35">
      <c r="D702" s="36" t="s">
        <v>608</v>
      </c>
      <c r="E702" s="36">
        <v>7</v>
      </c>
      <c r="F702" s="37">
        <v>1</v>
      </c>
      <c r="G702" s="10"/>
      <c r="H702" s="18"/>
      <c r="I702" s="11"/>
      <c r="J702" s="18"/>
      <c r="K702" s="11"/>
      <c r="L702" s="37" t="s">
        <v>609</v>
      </c>
      <c r="M702" s="37" t="s">
        <v>515</v>
      </c>
      <c r="N702" s="39" t="s">
        <v>307</v>
      </c>
      <c r="R702" s="13" t="s">
        <v>84</v>
      </c>
      <c r="S702" s="13">
        <f>SUM(S677:S701)</f>
        <v>175</v>
      </c>
      <c r="T702" s="27">
        <f>SUM(T677:T701)</f>
        <v>140</v>
      </c>
      <c r="U702" s="13">
        <v>0</v>
      </c>
      <c r="V702" s="27">
        <f>SUM(V677:V701)</f>
        <v>0</v>
      </c>
      <c r="W702" s="26">
        <f>SUM(W677:W701)</f>
        <v>7</v>
      </c>
      <c r="X702" s="58">
        <v>0</v>
      </c>
      <c r="Y702" s="26">
        <v>0</v>
      </c>
      <c r="Z702" s="81"/>
      <c r="AA702" s="27"/>
      <c r="AB702" s="26">
        <f>5+4+6+9+10+5+5+7+4+5+3+4+5+3</f>
        <v>75</v>
      </c>
      <c r="AH702" s="195" t="s">
        <v>6</v>
      </c>
      <c r="AI702" s="135"/>
      <c r="AJ702" s="135"/>
      <c r="AK702" s="134"/>
      <c r="AL702" s="135"/>
      <c r="AM702" s="135"/>
      <c r="AN702" s="134"/>
      <c r="AO702" s="136"/>
      <c r="AP702" s="135" t="s">
        <v>58</v>
      </c>
      <c r="AQ702" s="135"/>
      <c r="AR702" s="136"/>
      <c r="AS702" s="28"/>
      <c r="AT702" s="28"/>
      <c r="AW702" s="28"/>
      <c r="AX702" s="28"/>
      <c r="AY702" s="28"/>
      <c r="AZ702" s="28"/>
      <c r="BA702" s="28"/>
      <c r="BB702" s="28"/>
      <c r="BC702" s="28"/>
      <c r="BD702" s="28"/>
      <c r="BE702" s="28"/>
    </row>
    <row r="703" spans="3:61" ht="15" thickBot="1" x14ac:dyDescent="0.35">
      <c r="D703" s="36" t="s">
        <v>610</v>
      </c>
      <c r="E703" s="10">
        <v>5</v>
      </c>
      <c r="F703" s="37">
        <v>8</v>
      </c>
      <c r="G703" s="10"/>
      <c r="H703" s="18"/>
      <c r="I703" s="39"/>
      <c r="J703" s="18"/>
      <c r="K703" s="11"/>
      <c r="L703" s="159" t="s">
        <v>611</v>
      </c>
      <c r="M703" s="37" t="s">
        <v>612</v>
      </c>
      <c r="N703" s="39" t="s">
        <v>272</v>
      </c>
      <c r="R703" s="13" t="s">
        <v>223</v>
      </c>
      <c r="S703" s="13">
        <f>SUM(S702+S676+S673+S669+S666+S663+S661)</f>
        <v>1915</v>
      </c>
      <c r="T703" s="26">
        <f>SUM(T702+T676+T673+T669+T666+T663+T661)</f>
        <v>1846</v>
      </c>
      <c r="U703" s="26">
        <f>SUM(U702+U676+U673+U669+U666+U663+U661)</f>
        <v>0</v>
      </c>
      <c r="V703" s="26">
        <f>SUM(V702+V676+V673+V669+V666+V663+V661)</f>
        <v>0</v>
      </c>
      <c r="W703" s="26">
        <f>SUM(W702+W676+W673+W669+W666+W663+W661)</f>
        <v>7</v>
      </c>
      <c r="X703" s="160">
        <f>SUM(X702+X676+X673+X669+X665+X663+X661)</f>
        <v>66521</v>
      </c>
      <c r="Y703" s="26">
        <f>SUM(Y702+Y676+Y673+Y669+Y665+Y663+Y661)</f>
        <v>19089</v>
      </c>
      <c r="Z703" s="81"/>
      <c r="AA703" s="27" t="s">
        <v>247</v>
      </c>
      <c r="AB703" s="26">
        <f>SUM(AB661:AB702)</f>
        <v>233</v>
      </c>
      <c r="AH703" s="196" t="s">
        <v>64</v>
      </c>
      <c r="AI703" s="28">
        <f>81+98</f>
        <v>179</v>
      </c>
      <c r="AJ703" s="28">
        <v>173</v>
      </c>
      <c r="AK703" s="138">
        <v>0</v>
      </c>
      <c r="AL703" s="28">
        <v>0</v>
      </c>
      <c r="AM703" s="28">
        <v>0</v>
      </c>
      <c r="AN703" s="138">
        <v>0</v>
      </c>
      <c r="AO703" s="141">
        <v>0</v>
      </c>
      <c r="AP703" s="43">
        <v>18</v>
      </c>
      <c r="AQ703" s="28" t="s">
        <v>474</v>
      </c>
      <c r="AR703" s="141" t="s">
        <v>6</v>
      </c>
      <c r="AS703" s="28"/>
      <c r="AT703" s="28"/>
      <c r="AU703" s="28"/>
      <c r="AW703" s="28"/>
      <c r="AX703" s="28"/>
      <c r="AY703" s="28"/>
      <c r="AZ703" s="28"/>
      <c r="BA703" s="28"/>
      <c r="BB703" s="28"/>
      <c r="BC703" s="28"/>
      <c r="BD703" s="28"/>
      <c r="BE703" s="28"/>
    </row>
    <row r="704" spans="3:61" x14ac:dyDescent="0.3">
      <c r="D704" s="150" t="s">
        <v>613</v>
      </c>
      <c r="E704" s="10">
        <v>1</v>
      </c>
      <c r="F704" s="37">
        <v>0</v>
      </c>
      <c r="G704" s="10"/>
      <c r="H704" s="18"/>
      <c r="I704" s="11"/>
      <c r="J704" s="18"/>
      <c r="K704" s="11"/>
      <c r="L704" s="54" t="s">
        <v>614</v>
      </c>
      <c r="M704" s="37" t="s">
        <v>615</v>
      </c>
      <c r="N704" s="39"/>
      <c r="R704" s="131" t="s">
        <v>225</v>
      </c>
      <c r="T704">
        <f>SUM(AB702)</f>
        <v>75</v>
      </c>
      <c r="V704" t="s">
        <v>184</v>
      </c>
      <c r="W704" s="132"/>
      <c r="AH704" s="196" t="s">
        <v>108</v>
      </c>
      <c r="AI704">
        <v>15</v>
      </c>
      <c r="AJ704">
        <v>4</v>
      </c>
      <c r="AK704" s="138">
        <v>0</v>
      </c>
      <c r="AL704" s="28">
        <v>0</v>
      </c>
      <c r="AM704" s="28">
        <v>0</v>
      </c>
      <c r="AN704" s="138">
        <v>0</v>
      </c>
      <c r="AO704" s="141">
        <v>0</v>
      </c>
      <c r="AP704" s="28">
        <v>1</v>
      </c>
      <c r="AQ704" s="28" t="s">
        <v>1045</v>
      </c>
      <c r="AR704" s="141"/>
      <c r="AS704" s="28"/>
      <c r="AT704" s="28"/>
      <c r="AU704" s="28"/>
      <c r="AW704" s="28"/>
      <c r="AX704" s="28"/>
      <c r="AY704" s="28"/>
      <c r="AZ704" s="28"/>
      <c r="BA704" s="28"/>
      <c r="BB704" s="43"/>
      <c r="BC704" s="28"/>
      <c r="BD704" s="28"/>
      <c r="BE704" s="28"/>
    </row>
    <row r="705" spans="3:61" x14ac:dyDescent="0.3">
      <c r="D705" s="92" t="s">
        <v>64</v>
      </c>
      <c r="E705" s="84">
        <v>4</v>
      </c>
      <c r="F705" s="54">
        <v>0</v>
      </c>
      <c r="G705" s="84"/>
      <c r="H705" s="45"/>
      <c r="I705" s="85"/>
      <c r="J705" s="18"/>
      <c r="K705" s="11"/>
      <c r="M705" s="54"/>
      <c r="N705" s="86"/>
      <c r="R705" t="s">
        <v>229</v>
      </c>
      <c r="T705">
        <v>18</v>
      </c>
      <c r="AH705" s="199" t="s">
        <v>84</v>
      </c>
      <c r="AI705" s="143">
        <f>SUM(AI702:AI704)</f>
        <v>194</v>
      </c>
      <c r="AJ705" s="143">
        <f>SUM(AJ702:AJ704)</f>
        <v>177</v>
      </c>
      <c r="AK705" s="138">
        <v>0</v>
      </c>
      <c r="AL705" s="28">
        <v>0</v>
      </c>
      <c r="AM705" s="28">
        <v>0</v>
      </c>
      <c r="AN705" s="138">
        <v>0</v>
      </c>
      <c r="AO705" s="141">
        <v>0</v>
      </c>
      <c r="AP705" s="143">
        <v>2</v>
      </c>
      <c r="AQ705" s="143" t="s">
        <v>69</v>
      </c>
      <c r="AR705" s="146">
        <f>SUM(AP703:AP705)</f>
        <v>21</v>
      </c>
      <c r="AS705" s="28"/>
      <c r="AT705" s="28"/>
      <c r="AU705" s="28"/>
      <c r="AW705" s="28"/>
      <c r="AX705" s="28"/>
      <c r="AY705" s="28"/>
      <c r="AZ705" s="28"/>
      <c r="BA705" s="28"/>
      <c r="BB705" s="43"/>
      <c r="BC705" s="28"/>
      <c r="BD705" s="28"/>
      <c r="BE705" s="28"/>
    </row>
    <row r="706" spans="3:61" x14ac:dyDescent="0.3">
      <c r="D706" s="67" t="s">
        <v>220</v>
      </c>
      <c r="E706" s="84">
        <f>3+10</f>
        <v>13</v>
      </c>
      <c r="F706" s="54">
        <v>3</v>
      </c>
      <c r="G706" s="84"/>
      <c r="H706" s="45"/>
      <c r="I706" s="85"/>
      <c r="J706" s="45"/>
      <c r="K706" s="85"/>
      <c r="L706" s="54"/>
      <c r="M706" s="54"/>
      <c r="N706" s="40"/>
      <c r="R706" t="s">
        <v>232</v>
      </c>
      <c r="T706" t="s">
        <v>233</v>
      </c>
      <c r="V706">
        <f>SUM(G703)</f>
        <v>0</v>
      </c>
      <c r="X706" t="s">
        <v>234</v>
      </c>
      <c r="Z706" t="s">
        <v>233</v>
      </c>
      <c r="AB706">
        <f>SUM(S703)</f>
        <v>1915</v>
      </c>
      <c r="AH706" s="195" t="s">
        <v>6</v>
      </c>
      <c r="AI706" s="134" t="s">
        <v>6</v>
      </c>
      <c r="AJ706" s="136"/>
      <c r="AK706" s="135"/>
      <c r="AL706" s="135">
        <v>0</v>
      </c>
      <c r="AM706" s="135"/>
      <c r="AN706" s="134"/>
      <c r="AO706" s="136"/>
      <c r="AP706" s="135" t="s">
        <v>1092</v>
      </c>
      <c r="AQ706" s="135"/>
      <c r="AR706" s="136"/>
      <c r="AS706" s="28"/>
      <c r="AT706" s="28"/>
      <c r="AU706" s="28"/>
      <c r="AW706" s="28"/>
      <c r="AX706" s="28"/>
      <c r="AY706" s="28"/>
      <c r="AZ706" s="28"/>
      <c r="BA706" s="28"/>
      <c r="BB706" s="28"/>
      <c r="BC706" s="28"/>
      <c r="BD706" s="28"/>
      <c r="BE706" s="28"/>
    </row>
    <row r="707" spans="3:61" x14ac:dyDescent="0.3">
      <c r="D707" s="67" t="s">
        <v>616</v>
      </c>
      <c r="E707" s="84">
        <v>0</v>
      </c>
      <c r="F707" s="54">
        <v>1</v>
      </c>
      <c r="G707" s="84"/>
      <c r="H707" s="45"/>
      <c r="I707" s="85"/>
      <c r="J707" s="45"/>
      <c r="K707" s="85"/>
      <c r="L707" s="54"/>
      <c r="M707" s="54"/>
      <c r="N707" s="40"/>
      <c r="Q707" t="s">
        <v>6</v>
      </c>
      <c r="T707" t="s">
        <v>236</v>
      </c>
      <c r="V707">
        <f>SUM(H703)</f>
        <v>0</v>
      </c>
      <c r="Z707" t="s">
        <v>236</v>
      </c>
      <c r="AB707">
        <f>SUM(T703)</f>
        <v>1846</v>
      </c>
      <c r="AH707" s="199" t="s">
        <v>108</v>
      </c>
      <c r="AI707" s="142">
        <v>314</v>
      </c>
      <c r="AJ707" s="146">
        <v>272</v>
      </c>
      <c r="AK707" s="143"/>
      <c r="AL707" s="143">
        <v>0</v>
      </c>
      <c r="AM707" s="143">
        <v>0</v>
      </c>
      <c r="AN707" s="142">
        <v>0</v>
      </c>
      <c r="AO707" s="146">
        <v>0</v>
      </c>
      <c r="AP707" s="143">
        <v>15</v>
      </c>
      <c r="AQ707" s="143" t="s">
        <v>780</v>
      </c>
      <c r="AR707" s="146">
        <f>SUM(AP707)</f>
        <v>15</v>
      </c>
      <c r="AS707" s="28"/>
      <c r="AT707" s="28"/>
      <c r="AU707" s="28"/>
      <c r="AW707" s="28"/>
      <c r="AX707" s="28"/>
      <c r="AY707" s="28"/>
      <c r="AZ707" s="28"/>
      <c r="BA707" s="28"/>
      <c r="BB707" s="43"/>
      <c r="BC707" s="43"/>
      <c r="BD707" s="28"/>
      <c r="BE707" s="28"/>
    </row>
    <row r="708" spans="3:61" x14ac:dyDescent="0.3">
      <c r="D708" s="127" t="s">
        <v>107</v>
      </c>
      <c r="E708" s="84">
        <v>2</v>
      </c>
      <c r="F708" s="54">
        <v>6</v>
      </c>
      <c r="G708" s="42"/>
      <c r="H708" s="45"/>
      <c r="I708" s="40"/>
      <c r="J708" s="45"/>
      <c r="K708" s="85"/>
      <c r="L708" s="155"/>
      <c r="M708" s="54"/>
      <c r="N708" s="86"/>
      <c r="R708" s="134" t="s">
        <v>238</v>
      </c>
      <c r="S708" s="135" t="s">
        <v>239</v>
      </c>
      <c r="T708" s="136"/>
      <c r="U708" s="134" t="s">
        <v>240</v>
      </c>
      <c r="V708" s="135" t="s">
        <v>241</v>
      </c>
      <c r="W708" s="136"/>
      <c r="X708" s="134"/>
      <c r="Y708" s="135" t="s">
        <v>242</v>
      </c>
      <c r="Z708" s="137" t="s">
        <v>243</v>
      </c>
      <c r="AA708" s="135"/>
      <c r="AB708" s="135"/>
      <c r="AC708" s="136"/>
      <c r="AD708" s="28"/>
      <c r="AE708" s="28"/>
      <c r="AF708" s="28"/>
      <c r="AH708" s="195" t="s">
        <v>107</v>
      </c>
      <c r="AI708" s="134">
        <v>0</v>
      </c>
      <c r="AJ708" s="136">
        <v>0</v>
      </c>
      <c r="AK708" s="135"/>
      <c r="AL708" s="135"/>
      <c r="AM708" s="135"/>
      <c r="AN708" s="134"/>
      <c r="AO708" s="136"/>
      <c r="AP708" s="135"/>
      <c r="AQ708" s="135" t="s">
        <v>92</v>
      </c>
      <c r="AR708" s="136"/>
      <c r="AS708" s="28"/>
      <c r="AT708" s="28"/>
      <c r="AU708" s="28"/>
      <c r="AW708" s="28"/>
      <c r="AX708" s="28"/>
      <c r="AY708" s="28"/>
      <c r="AZ708" s="28"/>
      <c r="BA708" s="28"/>
      <c r="BB708" s="28"/>
      <c r="BC708" s="43"/>
      <c r="BD708" s="28"/>
      <c r="BE708" s="28"/>
    </row>
    <row r="709" spans="3:61" x14ac:dyDescent="0.3">
      <c r="D709" s="127" t="s">
        <v>218</v>
      </c>
      <c r="E709" s="84">
        <f>7+1</f>
        <v>8</v>
      </c>
      <c r="F709" s="54">
        <f>3+5</f>
        <v>8</v>
      </c>
      <c r="G709" s="42"/>
      <c r="H709" s="45">
        <v>6</v>
      </c>
      <c r="I709" s="40"/>
      <c r="J709" s="45"/>
      <c r="K709" s="85"/>
      <c r="L709" s="54"/>
      <c r="M709" s="54"/>
      <c r="N709" s="40"/>
      <c r="R709" s="138" t="s">
        <v>233</v>
      </c>
      <c r="S709" s="28"/>
      <c r="T709" s="139" t="e">
        <f>SUM(#REF!)</f>
        <v>#REF!</v>
      </c>
      <c r="U709" s="138" t="s">
        <v>233</v>
      </c>
      <c r="V709" s="28"/>
      <c r="W709" s="139" t="e">
        <f>SUM(#REF!)</f>
        <v>#REF!</v>
      </c>
      <c r="X709" s="138" t="s">
        <v>233</v>
      </c>
      <c r="Y709" s="28"/>
      <c r="Z709" s="140" t="e">
        <f>SUM(AB706+W709)</f>
        <v>#REF!</v>
      </c>
      <c r="AA709" s="28" t="s">
        <v>245</v>
      </c>
      <c r="AB709" s="140" t="e">
        <f>SUM(Z709+T709)</f>
        <v>#REF!</v>
      </c>
      <c r="AC709" s="139"/>
      <c r="AD709" s="140"/>
      <c r="AE709" s="140"/>
      <c r="AF709" s="140"/>
      <c r="AH709" s="196" t="s">
        <v>99</v>
      </c>
      <c r="AI709" s="138">
        <v>0</v>
      </c>
      <c r="AJ709" s="141">
        <v>0</v>
      </c>
      <c r="AK709" s="28">
        <v>0</v>
      </c>
      <c r="AL709" s="28">
        <v>0</v>
      </c>
      <c r="AM709" s="28">
        <v>0</v>
      </c>
      <c r="AN709" s="138">
        <v>85299</v>
      </c>
      <c r="AO709" s="141">
        <v>18180</v>
      </c>
      <c r="AP709" s="43">
        <v>27</v>
      </c>
      <c r="AQ709" s="28" t="s">
        <v>100</v>
      </c>
      <c r="AR709" s="141"/>
      <c r="AS709" s="28"/>
      <c r="AT709" s="28"/>
      <c r="AU709" s="28"/>
      <c r="AW709" s="28"/>
      <c r="AX709" s="28"/>
      <c r="AY709" s="28"/>
      <c r="AZ709" s="28"/>
      <c r="BA709" s="28"/>
      <c r="BB709" s="43"/>
      <c r="BC709" s="28"/>
      <c r="BD709" s="28"/>
      <c r="BE709" s="28"/>
    </row>
    <row r="710" spans="3:61" x14ac:dyDescent="0.3">
      <c r="D710" s="98" t="s">
        <v>93</v>
      </c>
      <c r="E710" s="10">
        <v>3</v>
      </c>
      <c r="F710" s="18">
        <v>2</v>
      </c>
      <c r="G710" s="10"/>
      <c r="H710" s="18"/>
      <c r="I710" s="11"/>
      <c r="J710" s="18"/>
      <c r="K710" s="11"/>
      <c r="L710" s="54"/>
      <c r="M710" s="37"/>
      <c r="N710" s="129"/>
      <c r="R710" s="142" t="s">
        <v>236</v>
      </c>
      <c r="S710" s="143"/>
      <c r="T710" s="144" t="e">
        <f>SUM(#REF!)</f>
        <v>#REF!</v>
      </c>
      <c r="U710" s="142" t="s">
        <v>236</v>
      </c>
      <c r="V710" s="143"/>
      <c r="W710" s="144" t="e">
        <f>SUM(#REF!)</f>
        <v>#REF!</v>
      </c>
      <c r="X710" s="142" t="s">
        <v>236</v>
      </c>
      <c r="Y710" s="143"/>
      <c r="Z710" s="145" t="e">
        <f>SUM(AB707+W710)</f>
        <v>#REF!</v>
      </c>
      <c r="AA710" s="143"/>
      <c r="AB710" s="145" t="e">
        <f>SUM(Z710+T710)</f>
        <v>#REF!</v>
      </c>
      <c r="AC710" s="144"/>
      <c r="AD710" s="140"/>
      <c r="AE710" s="140"/>
      <c r="AF710" s="140"/>
      <c r="AH710" s="199" t="s">
        <v>84</v>
      </c>
      <c r="AI710" s="138">
        <f>SUM(AI708:AI709)</f>
        <v>0</v>
      </c>
      <c r="AJ710" s="141">
        <f>SUM(AJ708:AJ709)</f>
        <v>0</v>
      </c>
      <c r="AK710" s="143"/>
      <c r="AL710" s="143"/>
      <c r="AM710" s="143"/>
      <c r="AN710" s="142"/>
      <c r="AO710" s="146"/>
      <c r="AP710" s="143">
        <v>0</v>
      </c>
      <c r="AQ710" s="143" t="s">
        <v>506</v>
      </c>
      <c r="AR710" s="146">
        <f>SUM(AP709:AP710)</f>
        <v>27</v>
      </c>
      <c r="AS710" s="28"/>
      <c r="AT710" s="28"/>
      <c r="AU710" s="28"/>
      <c r="AW710" s="28"/>
      <c r="AX710" s="28"/>
      <c r="AY710" s="28"/>
      <c r="AZ710" s="28"/>
      <c r="BA710" s="28"/>
      <c r="BB710" s="28"/>
      <c r="BC710" s="43"/>
      <c r="BD710" s="28"/>
      <c r="BE710" s="28"/>
    </row>
    <row r="711" spans="3:61" ht="15" thickBot="1" x14ac:dyDescent="0.35">
      <c r="D711" s="13" t="s">
        <v>84</v>
      </c>
      <c r="E711" s="13">
        <f>SUM(E686:E710)</f>
        <v>236</v>
      </c>
      <c r="F711" s="27">
        <f>SUM(F686:F710)</f>
        <v>215</v>
      </c>
      <c r="G711" s="13">
        <v>0</v>
      </c>
      <c r="H711" s="27">
        <f>SUM(H686:H710)</f>
        <v>6</v>
      </c>
      <c r="I711" s="26">
        <v>0</v>
      </c>
      <c r="J711" s="58">
        <v>0</v>
      </c>
      <c r="K711" s="26">
        <v>0</v>
      </c>
      <c r="L711" s="81"/>
      <c r="M711" s="27"/>
      <c r="N711" s="26">
        <f>8+14+4+8+17+14+6+7+9+9+14+1+1</f>
        <v>112</v>
      </c>
      <c r="AE711" s="28" t="s">
        <v>91</v>
      </c>
      <c r="AF711">
        <v>2016</v>
      </c>
      <c r="AG711">
        <v>12</v>
      </c>
      <c r="AH711" s="138" t="s">
        <v>89</v>
      </c>
      <c r="AI711" s="134">
        <v>833</v>
      </c>
      <c r="AJ711" s="136">
        <v>1030</v>
      </c>
      <c r="AN711" s="134"/>
      <c r="AO711" s="136"/>
      <c r="AP711" s="134"/>
      <c r="AQ711" s="135" t="s">
        <v>91</v>
      </c>
      <c r="AR711" s="136"/>
      <c r="AS711" s="28"/>
      <c r="AT711" s="28"/>
      <c r="AU711" s="28"/>
      <c r="AW711" s="28"/>
      <c r="AX711" s="28"/>
      <c r="AY711" s="28"/>
      <c r="AZ711" s="28"/>
      <c r="BA711" s="28"/>
      <c r="BB711" s="28"/>
      <c r="BC711" s="43"/>
      <c r="BD711" s="28"/>
      <c r="BE711" s="28"/>
    </row>
    <row r="712" spans="3:61" ht="15" thickBot="1" x14ac:dyDescent="0.35">
      <c r="D712" s="13" t="s">
        <v>223</v>
      </c>
      <c r="E712" s="13">
        <f>SUM(E711+E685+E682+E678+E675+E672+E670)</f>
        <v>1837</v>
      </c>
      <c r="F712" s="26">
        <f>SUM(F711+F685+F682+F678+F675+F672+F670)</f>
        <v>1808</v>
      </c>
      <c r="G712" s="26">
        <f>SUM(G711+G685+G682+G678+G675+G672+G670)</f>
        <v>0</v>
      </c>
      <c r="H712" s="26">
        <f>SUM(H711+H685+H682+H678+H675+H672+H670)</f>
        <v>6</v>
      </c>
      <c r="I712" s="26">
        <f>SUM(I711+I685+I682+I678+I675+I672+I670)</f>
        <v>18</v>
      </c>
      <c r="J712" s="160">
        <f>SUM(J711+J685+J682+J678+J674+J672+J670)</f>
        <v>43499</v>
      </c>
      <c r="K712" s="26">
        <f>SUM(K711+K685+K682+K678+K674+K672+K670)</f>
        <v>12223</v>
      </c>
      <c r="L712" s="81"/>
      <c r="M712" s="27" t="s">
        <v>247</v>
      </c>
      <c r="N712" s="26">
        <f>SUM(N670:N711)</f>
        <v>246</v>
      </c>
      <c r="AE712" s="28" t="s">
        <v>91</v>
      </c>
      <c r="AF712">
        <v>2016</v>
      </c>
      <c r="AG712">
        <v>12</v>
      </c>
      <c r="AH712" s="138" t="s">
        <v>137</v>
      </c>
      <c r="AI712" s="138">
        <v>542</v>
      </c>
      <c r="AJ712" s="141">
        <v>557</v>
      </c>
      <c r="AN712" s="138"/>
      <c r="AO712" s="141"/>
      <c r="AP712" s="212">
        <v>32</v>
      </c>
      <c r="AQ712" s="43" t="s">
        <v>101</v>
      </c>
      <c r="AR712" s="141"/>
      <c r="AS712" s="28"/>
      <c r="AT712" s="28"/>
      <c r="AU712" s="28"/>
      <c r="BA712" t="s">
        <v>5</v>
      </c>
      <c r="BD712" s="28"/>
      <c r="BE712" s="28"/>
      <c r="BF712" s="28"/>
      <c r="BG712" s="28"/>
      <c r="BH712" s="28"/>
    </row>
    <row r="713" spans="3:61" x14ac:dyDescent="0.3">
      <c r="D713" s="131" t="s">
        <v>225</v>
      </c>
      <c r="F713">
        <f>SUM(N711)</f>
        <v>112</v>
      </c>
      <c r="I713" s="132"/>
      <c r="AE713" s="28" t="s">
        <v>91</v>
      </c>
      <c r="AF713">
        <v>2016</v>
      </c>
      <c r="AG713">
        <v>12</v>
      </c>
      <c r="AH713" s="138" t="s">
        <v>113</v>
      </c>
      <c r="AI713" s="138">
        <v>632</v>
      </c>
      <c r="AJ713" s="141">
        <v>732</v>
      </c>
      <c r="AN713" s="138"/>
      <c r="AO713" s="141"/>
      <c r="AP713" s="212">
        <v>59</v>
      </c>
      <c r="AQ713" s="28" t="s">
        <v>73</v>
      </c>
      <c r="AR713" s="141"/>
      <c r="AS713" s="28"/>
      <c r="AT713" s="28"/>
      <c r="AU713" s="28"/>
      <c r="BB713" t="s">
        <v>2</v>
      </c>
      <c r="BD713" s="28"/>
      <c r="BE713" s="28"/>
      <c r="BF713" s="28"/>
      <c r="BG713" s="28"/>
      <c r="BH713" s="28"/>
    </row>
    <row r="714" spans="3:61" x14ac:dyDescent="0.3">
      <c r="D714" t="s">
        <v>229</v>
      </c>
      <c r="F714">
        <v>16</v>
      </c>
      <c r="AE714" s="28" t="s">
        <v>91</v>
      </c>
      <c r="AF714">
        <v>2016</v>
      </c>
      <c r="AG714">
        <v>12</v>
      </c>
      <c r="AH714" s="212" t="s">
        <v>108</v>
      </c>
      <c r="AI714" s="212">
        <v>15</v>
      </c>
      <c r="AJ714" s="209">
        <v>107</v>
      </c>
      <c r="AN714" s="138"/>
      <c r="AO714" s="141"/>
      <c r="AP714" s="138"/>
      <c r="AQ714" s="28"/>
      <c r="AR714" s="141"/>
      <c r="AS714" s="28"/>
      <c r="AT714" s="28"/>
      <c r="AU714" s="28"/>
      <c r="AZ714" t="s">
        <v>13</v>
      </c>
      <c r="BD714" s="28"/>
      <c r="BE714" s="28"/>
      <c r="BF714" s="28"/>
      <c r="BG714" s="28"/>
      <c r="BH714" s="28"/>
    </row>
    <row r="715" spans="3:61" x14ac:dyDescent="0.3">
      <c r="D715" t="s">
        <v>232</v>
      </c>
      <c r="F715" t="s">
        <v>233</v>
      </c>
      <c r="H715" t="e">
        <f>SUM(#REF!)</f>
        <v>#REF!</v>
      </c>
      <c r="J715" t="s">
        <v>234</v>
      </c>
      <c r="L715" t="s">
        <v>233</v>
      </c>
      <c r="N715">
        <f>SUM(E712)</f>
        <v>1837</v>
      </c>
      <c r="AG715">
        <v>12</v>
      </c>
      <c r="AH715" s="138" t="s">
        <v>84</v>
      </c>
      <c r="AI715" s="138">
        <f>SUM(AI711:AI714)</f>
        <v>2022</v>
      </c>
      <c r="AJ715" s="141">
        <f>SUM(AJ711:AJ714)</f>
        <v>2426</v>
      </c>
      <c r="AK715">
        <v>0</v>
      </c>
      <c r="AL715">
        <v>0</v>
      </c>
      <c r="AM715">
        <v>0</v>
      </c>
      <c r="AN715" s="142">
        <v>0</v>
      </c>
      <c r="AO715" s="146">
        <v>0</v>
      </c>
      <c r="AP715" s="142">
        <v>1</v>
      </c>
      <c r="AQ715" s="143" t="s">
        <v>780</v>
      </c>
      <c r="AR715" s="146">
        <f>SUM(AP712:AP715)</f>
        <v>92</v>
      </c>
      <c r="AS715" s="28"/>
      <c r="AT715" s="28"/>
      <c r="AU715" s="28"/>
      <c r="BA715" t="s">
        <v>1745</v>
      </c>
      <c r="BD715" s="28"/>
      <c r="BE715" s="28"/>
      <c r="BF715" s="238" t="s">
        <v>950</v>
      </c>
      <c r="BG715" s="28"/>
      <c r="BH715" s="28"/>
    </row>
    <row r="716" spans="3:61" x14ac:dyDescent="0.3">
      <c r="C716" t="s">
        <v>6</v>
      </c>
      <c r="F716" t="s">
        <v>236</v>
      </c>
      <c r="H716" t="e">
        <f>SUM(#REF!)</f>
        <v>#REF!</v>
      </c>
      <c r="L716" t="s">
        <v>236</v>
      </c>
      <c r="N716">
        <f>SUM(F712)</f>
        <v>1808</v>
      </c>
      <c r="AG716">
        <v>12</v>
      </c>
      <c r="AH716" s="134"/>
      <c r="AI716" s="134"/>
      <c r="AJ716" s="136"/>
      <c r="AK716" s="135"/>
      <c r="AL716" s="135"/>
      <c r="AM716" s="135"/>
      <c r="AN716" s="134"/>
      <c r="AO716" s="136"/>
      <c r="AP716" s="135" t="s">
        <v>1025</v>
      </c>
      <c r="AQ716" s="135"/>
      <c r="AR716" s="136"/>
      <c r="AS716" s="28"/>
      <c r="AT716" s="28"/>
      <c r="AU716" s="28"/>
      <c r="AX716" s="195" t="s">
        <v>17</v>
      </c>
      <c r="AY716" s="134" t="s">
        <v>27</v>
      </c>
      <c r="AZ716" s="135"/>
      <c r="BA716" s="134" t="s">
        <v>28</v>
      </c>
      <c r="BB716" s="135"/>
      <c r="BC716" s="136"/>
      <c r="BD716" s="134" t="s">
        <v>1289</v>
      </c>
      <c r="BE716" s="136"/>
      <c r="BF716" s="135" t="s">
        <v>31</v>
      </c>
      <c r="BG716" s="135"/>
      <c r="BH716" s="136"/>
      <c r="BI716" s="28"/>
    </row>
    <row r="717" spans="3:61" x14ac:dyDescent="0.3">
      <c r="D717" s="134" t="s">
        <v>238</v>
      </c>
      <c r="E717" s="135" t="s">
        <v>239</v>
      </c>
      <c r="F717" s="136"/>
      <c r="G717" s="134" t="s">
        <v>240</v>
      </c>
      <c r="H717" s="135" t="s">
        <v>241</v>
      </c>
      <c r="I717" s="136"/>
      <c r="J717" s="134"/>
      <c r="K717" s="135" t="s">
        <v>242</v>
      </c>
      <c r="L717" s="137" t="s">
        <v>243</v>
      </c>
      <c r="M717" s="135"/>
      <c r="N717" s="135"/>
      <c r="O717" s="136"/>
      <c r="AG717">
        <v>12</v>
      </c>
      <c r="AH717" s="142" t="s">
        <v>64</v>
      </c>
      <c r="AI717" s="142">
        <v>117</v>
      </c>
      <c r="AJ717" s="146">
        <v>67</v>
      </c>
      <c r="AK717" s="143"/>
      <c r="AL717" s="143"/>
      <c r="AM717" s="143"/>
      <c r="AN717" s="142"/>
      <c r="AO717" s="146"/>
      <c r="AP717" s="143">
        <v>8</v>
      </c>
      <c r="AQ717" s="143" t="s">
        <v>1026</v>
      </c>
      <c r="AR717" s="146">
        <f>SUM(AP717)</f>
        <v>8</v>
      </c>
      <c r="AS717" s="28"/>
      <c r="AT717" s="28"/>
      <c r="AU717" s="28"/>
      <c r="AX717" s="196"/>
      <c r="AY717" s="138"/>
      <c r="AZ717" s="28"/>
      <c r="BA717" s="138"/>
      <c r="BB717" s="28"/>
      <c r="BC717" s="141"/>
      <c r="BD717" s="138"/>
      <c r="BE717" s="141"/>
      <c r="BF717" s="28" t="s">
        <v>41</v>
      </c>
      <c r="BG717" s="28"/>
      <c r="BH717" s="141"/>
      <c r="BI717" s="28"/>
    </row>
    <row r="718" spans="3:61" ht="15.6" x14ac:dyDescent="0.3">
      <c r="D718" s="138" t="s">
        <v>233</v>
      </c>
      <c r="E718" s="28"/>
      <c r="F718" s="139" t="e">
        <f>SUM(#REF!)</f>
        <v>#REF!</v>
      </c>
      <c r="G718" s="138" t="s">
        <v>233</v>
      </c>
      <c r="H718" s="28"/>
      <c r="I718" s="139" t="e">
        <f>SUM(#REF!)</f>
        <v>#REF!</v>
      </c>
      <c r="J718" s="138" t="s">
        <v>233</v>
      </c>
      <c r="K718" s="28"/>
      <c r="L718" s="140" t="e">
        <f>SUM(N715+I718)</f>
        <v>#REF!</v>
      </c>
      <c r="M718" s="28" t="s">
        <v>245</v>
      </c>
      <c r="N718" s="28" t="e">
        <f>SUM(L718+F718)</f>
        <v>#REF!</v>
      </c>
      <c r="O718" s="141"/>
      <c r="U718" s="1"/>
      <c r="V718" s="1" t="s">
        <v>5</v>
      </c>
      <c r="W718" s="1"/>
      <c r="X718" s="1"/>
      <c r="Y718" s="1"/>
      <c r="Z718" s="1"/>
      <c r="AE718" s="135" t="s">
        <v>994</v>
      </c>
      <c r="AF718">
        <v>2016</v>
      </c>
      <c r="AG718">
        <v>12</v>
      </c>
      <c r="AH718" s="138" t="s">
        <v>113</v>
      </c>
      <c r="AI718" s="138">
        <v>459</v>
      </c>
      <c r="AJ718" s="141">
        <f>489+16</f>
        <v>505</v>
      </c>
      <c r="AK718" s="28"/>
      <c r="AL718" s="28"/>
      <c r="AM718" s="28"/>
      <c r="AN718" s="138"/>
      <c r="AO718" s="141"/>
      <c r="AP718" s="28" t="s">
        <v>994</v>
      </c>
      <c r="AQ718" s="28"/>
      <c r="AR718" s="141"/>
      <c r="AS718" s="28"/>
      <c r="AT718" s="28"/>
      <c r="AU718" s="28"/>
      <c r="AX718" s="199" t="s">
        <v>42</v>
      </c>
      <c r="AY718" s="142" t="s">
        <v>43</v>
      </c>
      <c r="AZ718" s="143" t="s">
        <v>44</v>
      </c>
      <c r="BA718" s="142" t="s">
        <v>45</v>
      </c>
      <c r="BB718" s="143" t="s">
        <v>46</v>
      </c>
      <c r="BC718" s="146" t="s">
        <v>52</v>
      </c>
      <c r="BD718" s="142" t="s">
        <v>43</v>
      </c>
      <c r="BE718" s="146"/>
      <c r="BF718" s="143" t="s">
        <v>54</v>
      </c>
      <c r="BG718" s="143"/>
      <c r="BH718" s="146"/>
      <c r="BI718" s="28"/>
    </row>
    <row r="719" spans="3:61" x14ac:dyDescent="0.3">
      <c r="D719" s="142" t="s">
        <v>236</v>
      </c>
      <c r="E719" s="143"/>
      <c r="F719" s="144" t="e">
        <f>SUM(#REF!)</f>
        <v>#REF!</v>
      </c>
      <c r="G719" s="142" t="s">
        <v>236</v>
      </c>
      <c r="H719" s="143"/>
      <c r="I719" s="144" t="e">
        <f>SUM(#REF!)</f>
        <v>#REF!</v>
      </c>
      <c r="J719" s="142" t="s">
        <v>236</v>
      </c>
      <c r="K719" s="143"/>
      <c r="L719" s="145" t="e">
        <f>SUM(N716+I719)</f>
        <v>#REF!</v>
      </c>
      <c r="M719" s="143"/>
      <c r="N719" s="143" t="e">
        <f>SUM(L719+F719)</f>
        <v>#REF!</v>
      </c>
      <c r="O719" s="146"/>
      <c r="W719" t="s">
        <v>2</v>
      </c>
      <c r="AE719" s="135" t="s">
        <v>994</v>
      </c>
      <c r="AF719">
        <v>2016</v>
      </c>
      <c r="AG719">
        <v>12</v>
      </c>
      <c r="AH719" s="138" t="s">
        <v>93</v>
      </c>
      <c r="AI719" s="138">
        <v>4</v>
      </c>
      <c r="AJ719" s="141">
        <v>16</v>
      </c>
      <c r="AK719" s="28"/>
      <c r="AL719" s="28"/>
      <c r="AM719" s="28"/>
      <c r="AN719" s="138"/>
      <c r="AO719" s="141"/>
      <c r="AP719" s="28">
        <v>15</v>
      </c>
      <c r="AQ719" s="28" t="s">
        <v>100</v>
      </c>
      <c r="AR719" s="141"/>
      <c r="AS719" s="28"/>
      <c r="AT719" s="28"/>
      <c r="AU719" s="28"/>
      <c r="AW719" t="s">
        <v>6</v>
      </c>
      <c r="AX719" s="195"/>
      <c r="AY719" s="134"/>
      <c r="AZ719" s="136"/>
      <c r="BA719" s="134"/>
      <c r="BB719" s="135"/>
      <c r="BC719" s="136"/>
      <c r="BD719" s="134"/>
      <c r="BE719" s="136"/>
      <c r="BF719" s="134" t="s">
        <v>58</v>
      </c>
      <c r="BG719" s="135"/>
      <c r="BH719" s="136"/>
    </row>
    <row r="720" spans="3:61" x14ac:dyDescent="0.3">
      <c r="U720" t="s">
        <v>13</v>
      </c>
      <c r="AE720" s="135" t="s">
        <v>994</v>
      </c>
      <c r="AF720">
        <v>2016</v>
      </c>
      <c r="AG720">
        <v>12</v>
      </c>
      <c r="AH720" s="142" t="s">
        <v>84</v>
      </c>
      <c r="AI720" s="142">
        <f>SUM(AI718:AI719)</f>
        <v>463</v>
      </c>
      <c r="AJ720" s="146">
        <f>SUM(AJ718:AJ719)</f>
        <v>521</v>
      </c>
      <c r="AK720" s="143">
        <v>0</v>
      </c>
      <c r="AL720" s="143">
        <v>0</v>
      </c>
      <c r="AM720" s="143">
        <v>0</v>
      </c>
      <c r="AN720" s="142">
        <v>0</v>
      </c>
      <c r="AO720" s="146">
        <v>0</v>
      </c>
      <c r="AP720" s="43">
        <v>29</v>
      </c>
      <c r="AQ720" s="43" t="s">
        <v>73</v>
      </c>
      <c r="AR720" s="146">
        <f>SUM(AP719:AP720)</f>
        <v>44</v>
      </c>
      <c r="AS720" s="28"/>
      <c r="AT720" s="28"/>
      <c r="AU720" s="28"/>
      <c r="AV720" s="28"/>
      <c r="AX720" s="196" t="s">
        <v>56</v>
      </c>
      <c r="AY720" s="138">
        <v>21</v>
      </c>
      <c r="AZ720" s="141">
        <v>0</v>
      </c>
      <c r="BA720" s="138">
        <v>0</v>
      </c>
      <c r="BB720" s="43">
        <v>0</v>
      </c>
      <c r="BC720" s="209">
        <v>0</v>
      </c>
      <c r="BD720" s="138">
        <v>0</v>
      </c>
      <c r="BE720" s="141">
        <v>0</v>
      </c>
      <c r="BF720" s="212">
        <v>20</v>
      </c>
      <c r="BG720" s="28" t="s">
        <v>474</v>
      </c>
      <c r="BH720" s="141" t="s">
        <v>1746</v>
      </c>
    </row>
    <row r="721" spans="3:61" ht="15" thickBot="1" x14ac:dyDescent="0.35">
      <c r="W721" t="s">
        <v>925</v>
      </c>
      <c r="AA721" s="5" t="s">
        <v>16</v>
      </c>
      <c r="AH721" s="196" t="s">
        <v>1266</v>
      </c>
      <c r="AI721" s="138">
        <v>0</v>
      </c>
      <c r="AJ721" s="141">
        <v>1</v>
      </c>
      <c r="AK721" s="134"/>
      <c r="AL721" s="135"/>
      <c r="AM721" s="136"/>
      <c r="AN721" s="138"/>
      <c r="AO721" s="141"/>
      <c r="AP721" s="134" t="s">
        <v>140</v>
      </c>
      <c r="AQ721" s="135"/>
      <c r="AR721" s="136"/>
      <c r="AS721" s="28"/>
      <c r="AT721" s="28"/>
      <c r="AU721" s="28"/>
      <c r="AV721" s="28"/>
      <c r="AX721" s="196" t="s">
        <v>64</v>
      </c>
      <c r="AY721" s="138">
        <v>108</v>
      </c>
      <c r="AZ721" s="141">
        <v>128</v>
      </c>
      <c r="BA721" s="138">
        <v>0</v>
      </c>
      <c r="BB721" s="43">
        <v>0</v>
      </c>
      <c r="BC721" s="209">
        <v>0</v>
      </c>
      <c r="BD721" s="138">
        <v>0</v>
      </c>
      <c r="BE721" s="141">
        <v>0</v>
      </c>
      <c r="BF721" s="138">
        <v>5</v>
      </c>
      <c r="BG721" s="28" t="s">
        <v>69</v>
      </c>
      <c r="BH721" s="141"/>
    </row>
    <row r="722" spans="3:61" x14ac:dyDescent="0.3">
      <c r="R722" s="6" t="s">
        <v>17</v>
      </c>
      <c r="S722" s="6" t="s">
        <v>27</v>
      </c>
      <c r="T722" s="7"/>
      <c r="U722" s="8" t="s">
        <v>28</v>
      </c>
      <c r="V722" s="8"/>
      <c r="W722" s="8"/>
      <c r="X722" s="6" t="s">
        <v>29</v>
      </c>
      <c r="Y722" s="7" t="s">
        <v>30</v>
      </c>
      <c r="Z722" s="8" t="s">
        <v>31</v>
      </c>
      <c r="AA722" s="8"/>
      <c r="AB722" s="7"/>
      <c r="AH722" s="196" t="s">
        <v>139</v>
      </c>
      <c r="AI722" s="138">
        <v>0</v>
      </c>
      <c r="AJ722" s="141">
        <v>0</v>
      </c>
      <c r="AK722" s="138"/>
      <c r="AL722" s="28"/>
      <c r="AM722" s="141"/>
      <c r="AN722" s="138"/>
      <c r="AO722" s="141"/>
      <c r="AP722" s="138"/>
      <c r="AQ722" s="28"/>
      <c r="AR722" s="141"/>
      <c r="AS722" s="28"/>
      <c r="AT722" s="28"/>
      <c r="AU722" s="28"/>
      <c r="AV722" s="28"/>
      <c r="AX722" s="239" t="s">
        <v>84</v>
      </c>
      <c r="AY722" s="142">
        <f>SUM(AY720:AY721)</f>
        <v>129</v>
      </c>
      <c r="AZ722" s="146">
        <v>128</v>
      </c>
      <c r="BA722" s="142">
        <v>0</v>
      </c>
      <c r="BB722" s="143">
        <v>0</v>
      </c>
      <c r="BC722" s="146">
        <v>0</v>
      </c>
      <c r="BD722" s="142">
        <v>0</v>
      </c>
      <c r="BE722" s="146">
        <v>0</v>
      </c>
      <c r="BF722" s="142"/>
      <c r="BG722" s="143"/>
      <c r="BH722" s="146">
        <v>26</v>
      </c>
      <c r="BI722" s="28"/>
    </row>
    <row r="723" spans="3:61" x14ac:dyDescent="0.3">
      <c r="R723" s="10"/>
      <c r="S723" s="10"/>
      <c r="T723" s="11"/>
      <c r="U723" s="3"/>
      <c r="V723" s="3"/>
      <c r="W723" s="3"/>
      <c r="X723" s="10"/>
      <c r="Y723" s="11" t="s">
        <v>6</v>
      </c>
      <c r="Z723" s="3" t="s">
        <v>41</v>
      </c>
      <c r="AA723" s="3"/>
      <c r="AB723" s="11"/>
      <c r="AH723" s="196" t="s">
        <v>502</v>
      </c>
      <c r="AI723" s="138">
        <v>0</v>
      </c>
      <c r="AJ723" s="141">
        <v>0</v>
      </c>
      <c r="AK723" s="138"/>
      <c r="AL723" s="28"/>
      <c r="AM723" s="141"/>
      <c r="AN723" s="138"/>
      <c r="AO723" s="141"/>
      <c r="AP723" s="138"/>
      <c r="AQ723" s="28"/>
      <c r="AR723" s="141"/>
      <c r="AS723" s="28"/>
      <c r="AT723" s="28"/>
      <c r="AU723" s="28"/>
      <c r="AV723" s="28"/>
      <c r="AX723" s="196" t="s">
        <v>1247</v>
      </c>
      <c r="AY723" s="134">
        <v>2430</v>
      </c>
      <c r="AZ723" s="136">
        <v>1818</v>
      </c>
      <c r="BA723" s="212">
        <v>0</v>
      </c>
      <c r="BB723" s="43">
        <v>0</v>
      </c>
      <c r="BC723" s="209">
        <v>0</v>
      </c>
      <c r="BD723" s="134">
        <v>2430</v>
      </c>
      <c r="BE723" s="136">
        <v>1818</v>
      </c>
      <c r="BF723" s="134"/>
      <c r="BG723" s="135" t="s">
        <v>92</v>
      </c>
      <c r="BH723" s="136"/>
    </row>
    <row r="724" spans="3:61" ht="15" thickBot="1" x14ac:dyDescent="0.35">
      <c r="R724" s="13" t="s">
        <v>42</v>
      </c>
      <c r="S724" s="13" t="s">
        <v>43</v>
      </c>
      <c r="T724" s="26" t="s">
        <v>44</v>
      </c>
      <c r="U724" s="27" t="s">
        <v>45</v>
      </c>
      <c r="V724" s="27" t="s">
        <v>46</v>
      </c>
      <c r="W724" s="27" t="s">
        <v>52</v>
      </c>
      <c r="X724" s="13" t="s">
        <v>43</v>
      </c>
      <c r="Y724" s="26" t="s">
        <v>44</v>
      </c>
      <c r="Z724" s="27" t="s">
        <v>54</v>
      </c>
      <c r="AA724" s="27"/>
      <c r="AB724" s="26"/>
      <c r="AH724" s="196" t="s">
        <v>113</v>
      </c>
      <c r="AI724" s="138">
        <f>2+10</f>
        <v>12</v>
      </c>
      <c r="AJ724" s="141">
        <f>2+21</f>
        <v>23</v>
      </c>
      <c r="AK724" s="138"/>
      <c r="AL724" s="28"/>
      <c r="AM724" s="141"/>
      <c r="AN724" s="138"/>
      <c r="AO724" s="141"/>
      <c r="AP724" s="138" t="s">
        <v>142</v>
      </c>
      <c r="AQ724" s="28"/>
      <c r="AR724" s="141" t="s">
        <v>438</v>
      </c>
      <c r="AS724" s="28"/>
      <c r="AT724" s="28"/>
      <c r="AU724" s="28"/>
      <c r="AV724" s="28"/>
      <c r="AX724" s="196" t="s">
        <v>99</v>
      </c>
      <c r="AY724" s="138">
        <v>0</v>
      </c>
      <c r="AZ724" s="141">
        <v>0</v>
      </c>
      <c r="BA724" s="28">
        <v>0</v>
      </c>
      <c r="BB724" s="28">
        <v>0</v>
      </c>
      <c r="BC724" s="28">
        <v>0</v>
      </c>
      <c r="BD724" s="138">
        <v>79731</v>
      </c>
      <c r="BE724" s="141">
        <v>17271</v>
      </c>
      <c r="BF724" s="212">
        <v>29</v>
      </c>
      <c r="BG724" s="28" t="s">
        <v>1297</v>
      </c>
      <c r="BH724" s="141"/>
    </row>
    <row r="725" spans="3:61" x14ac:dyDescent="0.3">
      <c r="R725" s="32" t="s">
        <v>85</v>
      </c>
      <c r="S725">
        <v>30</v>
      </c>
      <c r="T725">
        <v>23</v>
      </c>
      <c r="U725" s="33"/>
      <c r="V725" s="34">
        <v>34</v>
      </c>
      <c r="W725" s="35"/>
      <c r="X725" s="34"/>
      <c r="Y725" s="34"/>
      <c r="Z725" s="33" t="s">
        <v>58</v>
      </c>
      <c r="AA725" s="8"/>
      <c r="AB725" s="7"/>
      <c r="AG725" t="s">
        <v>6</v>
      </c>
      <c r="AH725" s="196" t="s">
        <v>108</v>
      </c>
      <c r="AI725" s="138">
        <v>7</v>
      </c>
      <c r="AJ725" s="141">
        <f>1+4</f>
        <v>5</v>
      </c>
      <c r="AK725" s="138"/>
      <c r="AL725" s="28"/>
      <c r="AM725" s="141"/>
      <c r="AN725" s="138"/>
      <c r="AO725" s="141"/>
      <c r="AP725" s="138" t="s">
        <v>146</v>
      </c>
      <c r="AQ725" s="28"/>
      <c r="AR725" s="141" t="s">
        <v>955</v>
      </c>
      <c r="AS725" s="28"/>
      <c r="AT725" s="28"/>
      <c r="AU725" s="28"/>
      <c r="AV725" s="28"/>
      <c r="AX725" s="211" t="s">
        <v>64</v>
      </c>
      <c r="AY725" s="138">
        <v>0</v>
      </c>
      <c r="AZ725" s="141">
        <v>0</v>
      </c>
      <c r="BA725" s="43">
        <v>0</v>
      </c>
      <c r="BB725" s="43">
        <v>0</v>
      </c>
      <c r="BC725" s="43">
        <v>0</v>
      </c>
      <c r="BD725" s="138">
        <v>2100</v>
      </c>
      <c r="BE725" s="141">
        <v>0</v>
      </c>
      <c r="BF725" s="212"/>
      <c r="BG725" s="28"/>
      <c r="BH725" s="141"/>
      <c r="BI725" s="28"/>
    </row>
    <row r="726" spans="3:61" ht="15.6" x14ac:dyDescent="0.3">
      <c r="G726" s="1"/>
      <c r="H726" s="1" t="s">
        <v>5</v>
      </c>
      <c r="I726" s="1"/>
      <c r="J726" s="1"/>
      <c r="K726" s="1"/>
      <c r="L726" s="1"/>
      <c r="R726" s="44" t="s">
        <v>64</v>
      </c>
      <c r="S726" s="18">
        <v>126</v>
      </c>
      <c r="T726" s="18">
        <v>145</v>
      </c>
      <c r="U726" s="10">
        <v>0</v>
      </c>
      <c r="V726" s="18">
        <v>0</v>
      </c>
      <c r="W726" s="11">
        <v>0</v>
      </c>
      <c r="X726" s="18">
        <v>0</v>
      </c>
      <c r="Y726" s="18">
        <v>0</v>
      </c>
      <c r="Z726" s="84">
        <v>24</v>
      </c>
      <c r="AA726" s="28" t="s">
        <v>474</v>
      </c>
      <c r="AB726" s="11"/>
      <c r="AH726" s="196" t="s">
        <v>133</v>
      </c>
      <c r="AI726" s="138">
        <f>10+5+5</f>
        <v>20</v>
      </c>
      <c r="AJ726" s="141">
        <f>10+5</f>
        <v>15</v>
      </c>
      <c r="AK726" s="138"/>
      <c r="AL726" s="28"/>
      <c r="AM726" s="141"/>
      <c r="AN726" s="138"/>
      <c r="AO726" s="141"/>
      <c r="AP726" s="138"/>
      <c r="AQ726" s="28"/>
      <c r="AR726" s="141"/>
      <c r="AS726" s="28"/>
      <c r="AT726" s="28"/>
      <c r="AU726" s="28"/>
      <c r="AV726" s="28"/>
      <c r="AX726" s="199" t="s">
        <v>84</v>
      </c>
      <c r="AY726" s="142">
        <v>2430</v>
      </c>
      <c r="AZ726" s="146">
        <v>1818</v>
      </c>
      <c r="BA726" s="143">
        <v>0</v>
      </c>
      <c r="BB726" s="143">
        <v>0</v>
      </c>
      <c r="BC726" s="143">
        <v>0</v>
      </c>
      <c r="BD726" s="142">
        <f>SUM(BD720:BD725)</f>
        <v>84261</v>
      </c>
      <c r="BE726" s="146">
        <f>SUM(BE720:BE725)</f>
        <v>19089</v>
      </c>
      <c r="BF726" s="263"/>
      <c r="BG726" s="143"/>
      <c r="BH726" s="146">
        <v>29</v>
      </c>
    </row>
    <row r="727" spans="3:61" x14ac:dyDescent="0.3">
      <c r="I727" t="s">
        <v>2</v>
      </c>
      <c r="Q727" s="28"/>
      <c r="R727" s="41" t="s">
        <v>108</v>
      </c>
      <c r="S727">
        <v>8</v>
      </c>
      <c r="T727">
        <v>11</v>
      </c>
      <c r="U727" s="42"/>
      <c r="V727" s="28"/>
      <c r="W727" s="40"/>
      <c r="Z727" s="42"/>
      <c r="AA727" s="28"/>
      <c r="AB727" s="40"/>
      <c r="AH727" s="196" t="s">
        <v>99</v>
      </c>
      <c r="AI727" s="138">
        <v>0</v>
      </c>
      <c r="AJ727" s="141">
        <f>1+2</f>
        <v>3</v>
      </c>
      <c r="AK727" s="138" t="s">
        <v>150</v>
      </c>
      <c r="AL727" s="28"/>
      <c r="AM727" s="141"/>
      <c r="AN727" s="138"/>
      <c r="AO727" s="141"/>
      <c r="AP727" s="138" t="s">
        <v>151</v>
      </c>
      <c r="AQ727" s="28"/>
      <c r="AR727" s="141"/>
      <c r="AS727" s="28"/>
      <c r="AT727" s="28"/>
      <c r="AU727" s="135" t="s">
        <v>91</v>
      </c>
      <c r="AV727" s="28">
        <v>2017</v>
      </c>
      <c r="AW727">
        <v>11</v>
      </c>
      <c r="AX727" s="138" t="s">
        <v>137</v>
      </c>
      <c r="AY727" s="134">
        <v>957</v>
      </c>
      <c r="AZ727" s="136">
        <v>971</v>
      </c>
      <c r="BA727" s="134">
        <v>0</v>
      </c>
      <c r="BB727" s="135">
        <v>0</v>
      </c>
      <c r="BC727" s="136">
        <v>0</v>
      </c>
      <c r="BD727" s="134">
        <v>0</v>
      </c>
      <c r="BE727" s="136">
        <v>0</v>
      </c>
      <c r="BF727" s="134"/>
      <c r="BG727" s="135" t="s">
        <v>91</v>
      </c>
      <c r="BH727" s="136"/>
    </row>
    <row r="728" spans="3:61" ht="15" thickBot="1" x14ac:dyDescent="0.35">
      <c r="G728" t="s">
        <v>13</v>
      </c>
      <c r="Q728" s="28"/>
      <c r="R728" s="46" t="s">
        <v>84</v>
      </c>
      <c r="S728">
        <f>SUM(S725:S727)</f>
        <v>164</v>
      </c>
      <c r="T728">
        <f>SUM(T725:T727)</f>
        <v>179</v>
      </c>
      <c r="U728" s="47"/>
      <c r="V728" s="48">
        <f>SUM(V725:V727)</f>
        <v>34</v>
      </c>
      <c r="W728" s="49"/>
      <c r="X728" s="48"/>
      <c r="Y728" s="48"/>
      <c r="Z728" s="47">
        <v>1</v>
      </c>
      <c r="AA728" s="48" t="s">
        <v>69</v>
      </c>
      <c r="AB728" s="49">
        <f>SUM(Z726:Z728)</f>
        <v>25</v>
      </c>
      <c r="AH728" s="196" t="s">
        <v>85</v>
      </c>
      <c r="AI728" s="138">
        <f>3+3</f>
        <v>6</v>
      </c>
      <c r="AJ728" s="141">
        <f>4+3+3</f>
        <v>10</v>
      </c>
      <c r="AK728" s="138"/>
      <c r="AL728" s="28"/>
      <c r="AM728" s="141"/>
      <c r="AN728" s="138"/>
      <c r="AO728" s="141"/>
      <c r="AP728" s="138" t="s">
        <v>685</v>
      </c>
      <c r="AQ728" s="28" t="s">
        <v>382</v>
      </c>
      <c r="AR728" s="141" t="s">
        <v>371</v>
      </c>
      <c r="AS728" s="28"/>
      <c r="AT728" s="28"/>
      <c r="AU728" s="135" t="s">
        <v>91</v>
      </c>
      <c r="AV728" s="28">
        <v>2017</v>
      </c>
      <c r="AW728">
        <v>11</v>
      </c>
      <c r="AX728" s="138" t="s">
        <v>88</v>
      </c>
      <c r="AY728" s="138">
        <v>249</v>
      </c>
      <c r="AZ728" s="141">
        <v>966</v>
      </c>
      <c r="BA728" s="138">
        <v>0</v>
      </c>
      <c r="BB728" s="43">
        <v>0</v>
      </c>
      <c r="BC728" s="141">
        <v>0</v>
      </c>
      <c r="BD728" s="138">
        <v>0</v>
      </c>
      <c r="BE728" s="209">
        <v>0</v>
      </c>
      <c r="BF728" s="212"/>
      <c r="BG728" s="43"/>
      <c r="BH728" s="141"/>
    </row>
    <row r="729" spans="3:61" ht="15" thickBot="1" x14ac:dyDescent="0.35">
      <c r="I729" t="s">
        <v>619</v>
      </c>
      <c r="M729" s="5" t="s">
        <v>16</v>
      </c>
      <c r="Q729" s="28"/>
      <c r="R729" s="33"/>
      <c r="S729" s="33"/>
      <c r="T729" s="35"/>
      <c r="U729" s="34"/>
      <c r="V729" s="34"/>
      <c r="W729" s="34"/>
      <c r="X729" s="33"/>
      <c r="Y729" s="35"/>
      <c r="Z729" s="53" t="s">
        <v>82</v>
      </c>
      <c r="AA729" s="34"/>
      <c r="AB729" s="35"/>
      <c r="AH729" s="196" t="s">
        <v>358</v>
      </c>
      <c r="AI729" s="138">
        <v>11</v>
      </c>
      <c r="AJ729" s="141">
        <v>10</v>
      </c>
      <c r="AK729" s="138"/>
      <c r="AL729" s="28"/>
      <c r="AM729" s="141"/>
      <c r="AN729" s="138"/>
      <c r="AO729" s="141"/>
      <c r="AP729" s="138" t="s">
        <v>1268</v>
      </c>
      <c r="AQ729" s="28" t="s">
        <v>279</v>
      </c>
      <c r="AR729" s="141" t="s">
        <v>666</v>
      </c>
      <c r="AS729" s="28"/>
      <c r="AT729" s="28"/>
      <c r="AU729" s="135" t="s">
        <v>91</v>
      </c>
      <c r="AV729" s="28">
        <v>2017</v>
      </c>
      <c r="AW729">
        <v>11</v>
      </c>
      <c r="AX729" s="212" t="s">
        <v>97</v>
      </c>
      <c r="AY729" s="212">
        <v>1788</v>
      </c>
      <c r="AZ729" s="209">
        <v>1563</v>
      </c>
      <c r="BA729" s="138">
        <v>0</v>
      </c>
      <c r="BB729" s="43">
        <v>0</v>
      </c>
      <c r="BC729" s="141">
        <v>0</v>
      </c>
      <c r="BD729" s="138">
        <v>0</v>
      </c>
      <c r="BE729" s="209">
        <v>0</v>
      </c>
      <c r="BF729" s="138">
        <v>28</v>
      </c>
      <c r="BG729" s="43" t="s">
        <v>1301</v>
      </c>
      <c r="BH729" s="141"/>
    </row>
    <row r="730" spans="3:61" ht="15" thickBot="1" x14ac:dyDescent="0.35">
      <c r="D730" s="6" t="s">
        <v>17</v>
      </c>
      <c r="E730" s="6" t="s">
        <v>27</v>
      </c>
      <c r="F730" s="7"/>
      <c r="G730" s="8" t="s">
        <v>28</v>
      </c>
      <c r="H730" s="8"/>
      <c r="I730" s="8"/>
      <c r="J730" s="6" t="s">
        <v>29</v>
      </c>
      <c r="K730" s="7" t="s">
        <v>30</v>
      </c>
      <c r="L730" s="8" t="s">
        <v>31</v>
      </c>
      <c r="M730" s="8"/>
      <c r="N730" s="7"/>
      <c r="Q730" s="28"/>
      <c r="R730" s="47" t="s">
        <v>85</v>
      </c>
      <c r="S730" s="47">
        <v>0</v>
      </c>
      <c r="T730" s="49">
        <v>2</v>
      </c>
      <c r="U730" s="48"/>
      <c r="V730" s="48">
        <v>0</v>
      </c>
      <c r="W730" s="48">
        <v>0</v>
      </c>
      <c r="X730" s="47">
        <v>0</v>
      </c>
      <c r="Y730" s="49">
        <v>0</v>
      </c>
      <c r="Z730" s="51">
        <v>1</v>
      </c>
      <c r="AA730" s="48" t="s">
        <v>86</v>
      </c>
      <c r="AB730" s="49">
        <f>SUM(Z730)</f>
        <v>1</v>
      </c>
      <c r="AH730" s="196" t="s">
        <v>220</v>
      </c>
      <c r="AI730" s="138">
        <v>4</v>
      </c>
      <c r="AJ730" s="141">
        <v>3</v>
      </c>
      <c r="AK730" s="138"/>
      <c r="AL730" s="28"/>
      <c r="AM730" s="141"/>
      <c r="AN730" s="138"/>
      <c r="AO730" s="141"/>
      <c r="AP730" s="138" t="s">
        <v>819</v>
      </c>
      <c r="AQ730" s="28" t="s">
        <v>180</v>
      </c>
      <c r="AR730" s="141" t="s">
        <v>1269</v>
      </c>
      <c r="AS730" s="28"/>
      <c r="AT730" s="28"/>
      <c r="AU730" s="135" t="s">
        <v>91</v>
      </c>
      <c r="AV730" s="28">
        <v>2017</v>
      </c>
      <c r="AW730">
        <v>11</v>
      </c>
      <c r="AX730" s="138" t="s">
        <v>113</v>
      </c>
      <c r="AY730" s="138">
        <v>549</v>
      </c>
      <c r="AZ730" s="141">
        <v>523</v>
      </c>
      <c r="BA730" s="138">
        <v>0</v>
      </c>
      <c r="BB730" s="43">
        <v>0</v>
      </c>
      <c r="BC730" s="141">
        <v>0</v>
      </c>
      <c r="BD730" s="138">
        <v>0</v>
      </c>
      <c r="BE730" s="209">
        <v>0</v>
      </c>
      <c r="BF730" s="212">
        <v>32</v>
      </c>
      <c r="BG730" s="28" t="s">
        <v>1303</v>
      </c>
      <c r="BH730" s="141"/>
    </row>
    <row r="731" spans="3:61" x14ac:dyDescent="0.3">
      <c r="D731" s="10"/>
      <c r="E731" s="10"/>
      <c r="F731" s="11"/>
      <c r="G731" s="3"/>
      <c r="H731" s="3"/>
      <c r="I731" s="3"/>
      <c r="J731" s="10"/>
      <c r="K731" s="11" t="s">
        <v>6</v>
      </c>
      <c r="L731" s="3" t="s">
        <v>41</v>
      </c>
      <c r="M731" s="3"/>
      <c r="N731" s="11"/>
      <c r="Q731" s="28"/>
      <c r="R731" s="50" t="s">
        <v>107</v>
      </c>
      <c r="S731" s="31">
        <v>0</v>
      </c>
      <c r="T731" s="31">
        <v>0</v>
      </c>
      <c r="U731" s="29"/>
      <c r="V731" s="31"/>
      <c r="W731" s="30"/>
      <c r="X731" s="55">
        <v>0</v>
      </c>
      <c r="Y731" s="8">
        <v>0</v>
      </c>
      <c r="Z731" s="29"/>
      <c r="AA731" s="34" t="s">
        <v>92</v>
      </c>
      <c r="AB731" s="35"/>
      <c r="AH731" s="196" t="s">
        <v>169</v>
      </c>
      <c r="AI731" s="138">
        <v>0</v>
      </c>
      <c r="AJ731" s="141">
        <f>2+5</f>
        <v>7</v>
      </c>
      <c r="AK731" s="138"/>
      <c r="AL731" s="28"/>
      <c r="AM731" s="141"/>
      <c r="AN731" s="138"/>
      <c r="AO731" s="141"/>
      <c r="AP731" s="138" t="s">
        <v>771</v>
      </c>
      <c r="AQ731" s="43" t="s">
        <v>264</v>
      </c>
      <c r="AR731" s="141" t="s">
        <v>1270</v>
      </c>
      <c r="AS731" s="28"/>
      <c r="AT731" s="28"/>
      <c r="AU731" s="135" t="s">
        <v>91</v>
      </c>
      <c r="AV731" s="28">
        <v>2017</v>
      </c>
      <c r="AW731">
        <v>11</v>
      </c>
      <c r="AX731" s="212" t="s">
        <v>1749</v>
      </c>
      <c r="AY731" s="212">
        <v>13</v>
      </c>
      <c r="AZ731" s="209">
        <v>171</v>
      </c>
      <c r="BA731" s="138">
        <v>0</v>
      </c>
      <c r="BB731" s="43">
        <v>0</v>
      </c>
      <c r="BC731" s="141">
        <v>0</v>
      </c>
      <c r="BD731" s="138">
        <v>0</v>
      </c>
      <c r="BE731" s="209">
        <v>0</v>
      </c>
      <c r="BF731" s="138">
        <v>1</v>
      </c>
      <c r="BG731" s="43" t="s">
        <v>1750</v>
      </c>
      <c r="BH731" s="141"/>
    </row>
    <row r="732" spans="3:61" ht="15" thickBot="1" x14ac:dyDescent="0.35">
      <c r="D732" s="13" t="s">
        <v>42</v>
      </c>
      <c r="E732" s="13" t="s">
        <v>43</v>
      </c>
      <c r="F732" s="26" t="s">
        <v>44</v>
      </c>
      <c r="G732" s="27" t="s">
        <v>45</v>
      </c>
      <c r="H732" s="27" t="s">
        <v>46</v>
      </c>
      <c r="I732" s="27" t="s">
        <v>52</v>
      </c>
      <c r="J732" s="13" t="s">
        <v>43</v>
      </c>
      <c r="K732" s="26" t="s">
        <v>44</v>
      </c>
      <c r="L732" s="27" t="s">
        <v>54</v>
      </c>
      <c r="M732" s="27"/>
      <c r="N732" s="26"/>
      <c r="Q732" s="28"/>
      <c r="R732" s="41" t="s">
        <v>99</v>
      </c>
      <c r="S732" s="45">
        <v>0</v>
      </c>
      <c r="T732" s="45">
        <v>0</v>
      </c>
      <c r="U732" s="42">
        <v>0</v>
      </c>
      <c r="V732" s="45">
        <v>0</v>
      </c>
      <c r="W732" s="40">
        <v>0</v>
      </c>
      <c r="X732" s="45">
        <v>76690</v>
      </c>
      <c r="Y732" s="56">
        <v>18180</v>
      </c>
      <c r="Z732" s="52">
        <v>28</v>
      </c>
      <c r="AA732" s="37" t="s">
        <v>100</v>
      </c>
      <c r="AB732" s="40"/>
      <c r="AH732" s="196" t="s">
        <v>956</v>
      </c>
      <c r="AI732" s="138">
        <v>1</v>
      </c>
      <c r="AJ732" s="141">
        <v>0</v>
      </c>
      <c r="AK732" s="138"/>
      <c r="AL732" s="28"/>
      <c r="AM732" s="141"/>
      <c r="AN732" s="138"/>
      <c r="AO732" s="141"/>
      <c r="AP732" s="138" t="s">
        <v>763</v>
      </c>
      <c r="AQ732" s="43" t="s">
        <v>1271</v>
      </c>
      <c r="AR732" s="141" t="s">
        <v>680</v>
      </c>
      <c r="AS732" s="28"/>
      <c r="AT732" s="28"/>
      <c r="AU732" s="135" t="s">
        <v>91</v>
      </c>
      <c r="AV732" s="28">
        <v>2017</v>
      </c>
      <c r="AW732">
        <v>11</v>
      </c>
      <c r="AX732" s="212" t="s">
        <v>817</v>
      </c>
      <c r="AY732" s="212">
        <v>26</v>
      </c>
      <c r="AZ732" s="209">
        <v>1053</v>
      </c>
      <c r="BA732" s="138">
        <v>0</v>
      </c>
      <c r="BB732" s="43">
        <v>0</v>
      </c>
      <c r="BC732" s="141">
        <v>0</v>
      </c>
      <c r="BD732" s="138">
        <v>0</v>
      </c>
      <c r="BE732" s="209">
        <v>0</v>
      </c>
      <c r="BF732" s="138">
        <v>42</v>
      </c>
      <c r="BG732" s="43" t="s">
        <v>1305</v>
      </c>
      <c r="BH732" s="141"/>
      <c r="BI732" s="28"/>
    </row>
    <row r="733" spans="3:61" ht="15" thickBot="1" x14ac:dyDescent="0.35">
      <c r="D733" s="32" t="s">
        <v>85</v>
      </c>
      <c r="E733">
        <v>6</v>
      </c>
      <c r="F733">
        <v>10</v>
      </c>
      <c r="G733" s="33"/>
      <c r="H733" s="34"/>
      <c r="I733" s="34"/>
      <c r="J733" s="33"/>
      <c r="K733" s="35"/>
      <c r="L733" s="34" t="s">
        <v>58</v>
      </c>
      <c r="M733" s="8"/>
      <c r="N733" s="7"/>
      <c r="Q733" s="28"/>
      <c r="R733" s="17" t="s">
        <v>84</v>
      </c>
      <c r="S733" s="27">
        <f>SUM(S731:S732)</f>
        <v>0</v>
      </c>
      <c r="T733" s="27">
        <f>SUM(T731:T732)</f>
        <v>0</v>
      </c>
      <c r="U733" s="13"/>
      <c r="V733" s="27"/>
      <c r="W733" s="26"/>
      <c r="X733" s="58">
        <f>+X732+X731</f>
        <v>76690</v>
      </c>
      <c r="Y733" s="27">
        <f>+Y732+Y731</f>
        <v>18180</v>
      </c>
      <c r="Z733" s="59">
        <v>1</v>
      </c>
      <c r="AA733" s="48" t="s">
        <v>506</v>
      </c>
      <c r="AB733" s="60">
        <f>SUM(Z732:Z733)</f>
        <v>29</v>
      </c>
      <c r="AH733" s="196" t="s">
        <v>526</v>
      </c>
      <c r="AI733" s="138">
        <v>0</v>
      </c>
      <c r="AJ733" s="141">
        <v>5</v>
      </c>
      <c r="AK733" s="138"/>
      <c r="AL733" s="28"/>
      <c r="AM733" s="141"/>
      <c r="AN733" s="138"/>
      <c r="AO733" s="141"/>
      <c r="AP733" s="217" t="s">
        <v>534</v>
      </c>
      <c r="AQ733" s="215" t="s">
        <v>889</v>
      </c>
      <c r="AR733" s="141" t="s">
        <v>1273</v>
      </c>
      <c r="AS733" s="28"/>
      <c r="AT733" s="28"/>
      <c r="AU733" s="135" t="s">
        <v>91</v>
      </c>
      <c r="AV733" s="28">
        <v>2017</v>
      </c>
      <c r="AW733">
        <v>11</v>
      </c>
      <c r="AX733" s="212" t="s">
        <v>429</v>
      </c>
      <c r="AY733" s="212">
        <v>513</v>
      </c>
      <c r="AZ733" s="209">
        <v>465</v>
      </c>
      <c r="BA733" s="138">
        <v>0</v>
      </c>
      <c r="BB733" s="43">
        <v>0</v>
      </c>
      <c r="BC733" s="141">
        <v>0</v>
      </c>
      <c r="BD733" s="138">
        <v>0</v>
      </c>
      <c r="BE733" s="209">
        <v>0</v>
      </c>
      <c r="BF733" s="138"/>
      <c r="BG733" s="28"/>
      <c r="BH733" s="141"/>
      <c r="BI733" s="28"/>
    </row>
    <row r="734" spans="3:61" x14ac:dyDescent="0.3">
      <c r="D734" s="44" t="s">
        <v>64</v>
      </c>
      <c r="E734" s="18">
        <v>124</v>
      </c>
      <c r="F734" s="18">
        <v>75</v>
      </c>
      <c r="G734" s="10">
        <v>0</v>
      </c>
      <c r="H734" s="18">
        <v>0</v>
      </c>
      <c r="I734" s="18">
        <v>0</v>
      </c>
      <c r="J734" s="10">
        <v>0</v>
      </c>
      <c r="K734" s="11">
        <v>0</v>
      </c>
      <c r="L734" s="45">
        <v>9</v>
      </c>
      <c r="M734" s="28" t="s">
        <v>474</v>
      </c>
      <c r="N734" s="11" t="s">
        <v>6</v>
      </c>
      <c r="Q734" s="28"/>
      <c r="R734" s="41"/>
      <c r="S734" s="70">
        <v>0</v>
      </c>
      <c r="T734" s="71">
        <v>0</v>
      </c>
      <c r="U734" s="42"/>
      <c r="V734" s="28"/>
      <c r="W734" s="40"/>
      <c r="X734" s="42"/>
      <c r="Y734" s="40"/>
      <c r="Z734" s="42"/>
      <c r="AA734" s="54"/>
      <c r="AB734" s="40"/>
      <c r="AH734" s="219" t="s">
        <v>495</v>
      </c>
      <c r="AI734" s="138">
        <v>5</v>
      </c>
      <c r="AJ734" s="141">
        <v>0</v>
      </c>
      <c r="AK734" s="138"/>
      <c r="AL734" s="28"/>
      <c r="AM734" s="141"/>
      <c r="AN734" s="138"/>
      <c r="AO734" s="141"/>
      <c r="AP734" s="138" t="s">
        <v>362</v>
      </c>
      <c r="AQ734" s="222" t="s">
        <v>638</v>
      </c>
      <c r="AR734" s="141" t="s">
        <v>1274</v>
      </c>
      <c r="AS734" s="28"/>
      <c r="AT734" s="28"/>
      <c r="AU734" s="135" t="s">
        <v>91</v>
      </c>
      <c r="AV734" s="28">
        <v>2017</v>
      </c>
      <c r="AW734">
        <v>11</v>
      </c>
      <c r="AX734" s="212" t="s">
        <v>1120</v>
      </c>
      <c r="AY734" s="212">
        <v>19</v>
      </c>
      <c r="AZ734" s="209">
        <v>970</v>
      </c>
      <c r="BA734" s="212">
        <v>0</v>
      </c>
      <c r="BB734" s="43">
        <v>0</v>
      </c>
      <c r="BC734" s="209">
        <v>0</v>
      </c>
      <c r="BD734" s="212">
        <v>0</v>
      </c>
      <c r="BE734" s="209">
        <v>0</v>
      </c>
      <c r="BF734" s="138"/>
      <c r="BG734" s="28"/>
      <c r="BH734" s="141"/>
      <c r="BI734" s="28"/>
    </row>
    <row r="735" spans="3:61" ht="15" thickBot="1" x14ac:dyDescent="0.35">
      <c r="C735" s="28"/>
      <c r="D735" s="46" t="s">
        <v>84</v>
      </c>
      <c r="E735">
        <f>SUM(E733:E734)</f>
        <v>130</v>
      </c>
      <c r="F735">
        <f>SUM(F733:F734)</f>
        <v>85</v>
      </c>
      <c r="G735" s="47"/>
      <c r="H735" s="48"/>
      <c r="I735" s="48"/>
      <c r="J735" s="47"/>
      <c r="K735" s="49"/>
      <c r="L735" s="48">
        <v>3</v>
      </c>
      <c r="M735" s="48" t="s">
        <v>69</v>
      </c>
      <c r="N735" s="49">
        <f>SUM(L734:L735)</f>
        <v>12</v>
      </c>
      <c r="Q735" s="28" t="s">
        <v>6</v>
      </c>
      <c r="R735" s="68"/>
      <c r="S735">
        <f>SUM(S734:S734)</f>
        <v>0</v>
      </c>
      <c r="T735">
        <f>SUM(T734:T734)</f>
        <v>0</v>
      </c>
      <c r="U735" s="47">
        <v>0</v>
      </c>
      <c r="V735" s="27">
        <v>0</v>
      </c>
      <c r="W735" s="49">
        <v>0</v>
      </c>
      <c r="X735" s="75">
        <v>0</v>
      </c>
      <c r="Y735" s="49">
        <v>0</v>
      </c>
      <c r="Z735" s="47"/>
      <c r="AA735" s="51"/>
      <c r="AB735" s="49">
        <f>SUM(Z734:Z735)</f>
        <v>0</v>
      </c>
      <c r="AH735" s="196" t="s">
        <v>64</v>
      </c>
      <c r="AI735" s="138">
        <v>1</v>
      </c>
      <c r="AJ735" s="141">
        <v>0</v>
      </c>
      <c r="AK735" s="138"/>
      <c r="AL735" s="28"/>
      <c r="AM735" s="141"/>
      <c r="AN735" s="138"/>
      <c r="AO735" s="141"/>
      <c r="AP735" s="223" t="s">
        <v>1275</v>
      </c>
      <c r="AQ735" s="43" t="s">
        <v>1086</v>
      </c>
      <c r="AR735" s="209" t="s">
        <v>463</v>
      </c>
      <c r="AS735" s="43"/>
      <c r="AT735" s="43"/>
      <c r="AU735" s="135" t="s">
        <v>91</v>
      </c>
      <c r="AV735" s="28">
        <v>2017</v>
      </c>
      <c r="AW735">
        <v>11</v>
      </c>
      <c r="AX735" s="212" t="s">
        <v>89</v>
      </c>
      <c r="AY735" s="212">
        <v>1145</v>
      </c>
      <c r="AZ735" s="209">
        <v>1320</v>
      </c>
      <c r="BA735" s="138">
        <v>0</v>
      </c>
      <c r="BB735" s="43">
        <v>0</v>
      </c>
      <c r="BC735" s="141">
        <v>0</v>
      </c>
      <c r="BD735" s="138">
        <v>0</v>
      </c>
      <c r="BE735" s="141">
        <v>0</v>
      </c>
      <c r="BF735" s="138"/>
      <c r="BG735" s="28"/>
      <c r="BH735" s="141"/>
      <c r="BI735" s="28"/>
    </row>
    <row r="736" spans="3:61" ht="15" thickBot="1" x14ac:dyDescent="0.35">
      <c r="C736" s="28"/>
      <c r="D736" s="33"/>
      <c r="E736" s="33"/>
      <c r="F736" s="35"/>
      <c r="G736" s="34"/>
      <c r="H736" s="34"/>
      <c r="I736" s="34"/>
      <c r="J736" s="33"/>
      <c r="K736" s="35"/>
      <c r="L736" s="53" t="s">
        <v>82</v>
      </c>
      <c r="M736" s="34"/>
      <c r="N736" s="35"/>
      <c r="O736" s="34" t="s">
        <v>91</v>
      </c>
      <c r="P736">
        <v>2015</v>
      </c>
      <c r="Q736" s="28">
        <v>12</v>
      </c>
      <c r="R736" s="33" t="s">
        <v>89</v>
      </c>
      <c r="S736" s="78">
        <v>366</v>
      </c>
      <c r="T736" s="79">
        <v>437</v>
      </c>
      <c r="U736" s="34"/>
      <c r="V736" s="8"/>
      <c r="W736" s="35"/>
      <c r="X736" s="80"/>
      <c r="Y736" s="34"/>
      <c r="Z736" s="33"/>
      <c r="AA736" s="34" t="s">
        <v>91</v>
      </c>
      <c r="AB736" s="35"/>
      <c r="AH736" s="196" t="s">
        <v>652</v>
      </c>
      <c r="AI736" s="138">
        <v>2</v>
      </c>
      <c r="AJ736" s="141">
        <v>2</v>
      </c>
      <c r="AK736" s="138"/>
      <c r="AL736" s="28"/>
      <c r="AM736" s="141"/>
      <c r="AN736" s="138"/>
      <c r="AO736" s="141"/>
      <c r="AP736" s="138" t="s">
        <v>715</v>
      </c>
      <c r="AQ736" s="43" t="s">
        <v>1277</v>
      </c>
      <c r="AR736" s="213"/>
      <c r="AS736" s="228"/>
      <c r="AT736" s="228"/>
      <c r="AU736" s="28"/>
      <c r="AV736" s="28"/>
      <c r="AX736" s="212" t="s">
        <v>108</v>
      </c>
      <c r="AY736" s="138">
        <v>0</v>
      </c>
      <c r="AZ736" s="141">
        <v>0</v>
      </c>
      <c r="BA736" s="138">
        <v>0</v>
      </c>
      <c r="BB736" s="43">
        <v>0</v>
      </c>
      <c r="BC736" s="141">
        <v>0</v>
      </c>
      <c r="BD736" s="138">
        <v>0</v>
      </c>
      <c r="BE736" s="141">
        <v>0</v>
      </c>
      <c r="BF736" s="138"/>
      <c r="BG736" s="28"/>
      <c r="BH736" s="141"/>
      <c r="BI736" s="28"/>
    </row>
    <row r="737" spans="1:61" ht="15" thickBot="1" x14ac:dyDescent="0.35">
      <c r="C737" s="28"/>
      <c r="D737" s="47" t="s">
        <v>85</v>
      </c>
      <c r="E737" s="47">
        <v>3</v>
      </c>
      <c r="F737" s="49">
        <v>9</v>
      </c>
      <c r="G737" s="48"/>
      <c r="H737" s="48">
        <v>0</v>
      </c>
      <c r="I737" s="48">
        <v>0</v>
      </c>
      <c r="J737" s="47">
        <v>0</v>
      </c>
      <c r="K737" s="49">
        <v>0</v>
      </c>
      <c r="L737" s="51">
        <v>2</v>
      </c>
      <c r="M737" s="48" t="s">
        <v>86</v>
      </c>
      <c r="N737" s="49">
        <f>SUM(L737)</f>
        <v>2</v>
      </c>
      <c r="O737" s="34" t="s">
        <v>91</v>
      </c>
      <c r="P737">
        <v>2015</v>
      </c>
      <c r="Q737" s="28">
        <v>12</v>
      </c>
      <c r="R737" s="52" t="s">
        <v>85</v>
      </c>
      <c r="S737" s="42">
        <v>0</v>
      </c>
      <c r="T737" s="40">
        <v>0</v>
      </c>
      <c r="U737" s="28"/>
      <c r="V737" s="28"/>
      <c r="W737" s="40"/>
      <c r="Z737" s="42"/>
      <c r="AA737" s="43"/>
      <c r="AB737" s="40"/>
      <c r="AH737" s="196" t="s">
        <v>1278</v>
      </c>
      <c r="AI737" s="138">
        <v>8</v>
      </c>
      <c r="AJ737" s="141">
        <v>0</v>
      </c>
      <c r="AK737" s="138"/>
      <c r="AL737" s="28"/>
      <c r="AM737" s="141"/>
      <c r="AN737" s="138"/>
      <c r="AO737" s="141"/>
      <c r="AP737" s="138" t="s">
        <v>409</v>
      </c>
      <c r="AQ737" s="43" t="s">
        <v>978</v>
      </c>
      <c r="AR737" s="141"/>
      <c r="AS737" s="28"/>
      <c r="AT737" s="28"/>
      <c r="AU737" s="28"/>
      <c r="AV737" s="28"/>
      <c r="AX737" s="212" t="s">
        <v>133</v>
      </c>
      <c r="AY737" s="138">
        <v>0</v>
      </c>
      <c r="AZ737" s="141">
        <v>0</v>
      </c>
      <c r="BA737" s="138">
        <v>0</v>
      </c>
      <c r="BB737" s="43">
        <v>0</v>
      </c>
      <c r="BC737" s="141">
        <v>0</v>
      </c>
      <c r="BD737" s="138">
        <v>0</v>
      </c>
      <c r="BE737" s="141">
        <v>0</v>
      </c>
      <c r="BF737" s="138"/>
      <c r="BG737" s="28"/>
      <c r="BH737" s="141"/>
      <c r="BI737" s="28"/>
    </row>
    <row r="738" spans="1:61" ht="15.6" x14ac:dyDescent="0.3">
      <c r="C738" s="28"/>
      <c r="D738" s="50" t="s">
        <v>107</v>
      </c>
      <c r="E738" s="31">
        <v>115</v>
      </c>
      <c r="F738" s="31">
        <v>56</v>
      </c>
      <c r="G738" s="29"/>
      <c r="H738" s="31"/>
      <c r="I738" s="30"/>
      <c r="J738" s="55"/>
      <c r="K738" s="8"/>
      <c r="L738" s="29"/>
      <c r="M738" s="34" t="s">
        <v>92</v>
      </c>
      <c r="N738" s="35"/>
      <c r="O738" s="34" t="s">
        <v>91</v>
      </c>
      <c r="P738">
        <v>2015</v>
      </c>
      <c r="Q738" s="28">
        <v>12</v>
      </c>
      <c r="R738" s="67" t="s">
        <v>113</v>
      </c>
      <c r="S738" s="42">
        <v>457</v>
      </c>
      <c r="T738" s="40">
        <v>535</v>
      </c>
      <c r="U738" s="28"/>
      <c r="V738" s="28"/>
      <c r="W738" s="40"/>
      <c r="X738" s="28"/>
      <c r="Y738" s="28"/>
      <c r="Z738" s="67">
        <v>73</v>
      </c>
      <c r="AA738" s="43" t="s">
        <v>73</v>
      </c>
      <c r="AB738" s="40"/>
      <c r="AH738" s="235" t="s">
        <v>557</v>
      </c>
      <c r="AI738" s="138">
        <v>6</v>
      </c>
      <c r="AJ738" s="141">
        <f>5+7</f>
        <v>12</v>
      </c>
      <c r="AK738" s="138"/>
      <c r="AL738" s="28"/>
      <c r="AM738" s="141"/>
      <c r="AN738" s="138"/>
      <c r="AO738" s="141"/>
      <c r="AP738" s="138" t="s">
        <v>1279</v>
      </c>
      <c r="AQ738" s="43"/>
      <c r="AR738" s="141"/>
      <c r="AS738" s="28"/>
      <c r="AT738" s="28"/>
      <c r="AU738" s="28"/>
      <c r="AV738" s="28"/>
      <c r="AX738" s="212" t="s">
        <v>1307</v>
      </c>
      <c r="AY738" s="142">
        <v>40</v>
      </c>
      <c r="AZ738" s="146">
        <v>0</v>
      </c>
      <c r="BA738" s="142">
        <v>0</v>
      </c>
      <c r="BB738" s="143">
        <v>0</v>
      </c>
      <c r="BC738" s="146">
        <v>0</v>
      </c>
      <c r="BD738" s="142">
        <v>0</v>
      </c>
      <c r="BE738" s="146">
        <v>0</v>
      </c>
      <c r="BF738" s="142"/>
      <c r="BG738" s="143"/>
      <c r="BH738" s="146"/>
      <c r="BI738" s="28"/>
    </row>
    <row r="739" spans="1:61" ht="15" thickBot="1" x14ac:dyDescent="0.35">
      <c r="C739" s="28"/>
      <c r="D739" s="41" t="s">
        <v>99</v>
      </c>
      <c r="E739" s="45">
        <v>0</v>
      </c>
      <c r="F739" s="45">
        <v>0</v>
      </c>
      <c r="G739" s="42">
        <v>0</v>
      </c>
      <c r="H739" s="45">
        <v>0</v>
      </c>
      <c r="I739" s="40">
        <v>0</v>
      </c>
      <c r="J739" s="45">
        <v>61860</v>
      </c>
      <c r="K739" s="56">
        <v>10813</v>
      </c>
      <c r="L739" s="52">
        <v>31</v>
      </c>
      <c r="M739" s="37" t="s">
        <v>100</v>
      </c>
      <c r="N739" s="40"/>
      <c r="Q739" s="28">
        <v>12</v>
      </c>
      <c r="R739" s="47" t="s">
        <v>84</v>
      </c>
      <c r="S739" s="47">
        <f>SUM(S736:S738)</f>
        <v>823</v>
      </c>
      <c r="T739" s="49">
        <f>SUM(T736:T738)</f>
        <v>972</v>
      </c>
      <c r="U739" s="81">
        <v>0</v>
      </c>
      <c r="V739" s="27">
        <v>0</v>
      </c>
      <c r="W739" s="82">
        <f>+W736</f>
        <v>0</v>
      </c>
      <c r="X739" s="74">
        <v>0</v>
      </c>
      <c r="Y739" s="74">
        <v>0</v>
      </c>
      <c r="Z739" s="47"/>
      <c r="AA739" s="51"/>
      <c r="AB739" s="49">
        <f>SUM(Z738)</f>
        <v>73</v>
      </c>
      <c r="AH739" s="196" t="s">
        <v>470</v>
      </c>
      <c r="AI739" s="138">
        <v>0</v>
      </c>
      <c r="AJ739" s="141">
        <v>3</v>
      </c>
      <c r="AK739" s="138"/>
      <c r="AL739" s="28"/>
      <c r="AM739" s="141"/>
      <c r="AN739" s="138"/>
      <c r="AO739" s="141"/>
      <c r="AP739" s="138" t="s">
        <v>287</v>
      </c>
      <c r="AQ739" s="43"/>
      <c r="AR739" s="141"/>
      <c r="AS739" s="28"/>
      <c r="AT739" s="28"/>
      <c r="AU739" s="43"/>
      <c r="AV739" s="43"/>
      <c r="AX739" s="247" t="s">
        <v>84</v>
      </c>
      <c r="AY739" s="247">
        <v>5299</v>
      </c>
      <c r="AZ739" s="248">
        <v>8002</v>
      </c>
      <c r="BA739" s="197">
        <v>0</v>
      </c>
      <c r="BB739" s="198">
        <v>0</v>
      </c>
      <c r="BC739" s="249">
        <v>0</v>
      </c>
      <c r="BD739" s="197">
        <v>0</v>
      </c>
      <c r="BE739" s="249">
        <v>0</v>
      </c>
      <c r="BF739" s="197"/>
      <c r="BG739" s="198"/>
      <c r="BH739" s="249">
        <v>103</v>
      </c>
      <c r="BI739" s="28"/>
    </row>
    <row r="740" spans="1:61" ht="15" thickBot="1" x14ac:dyDescent="0.35">
      <c r="C740" s="28"/>
      <c r="D740" s="17" t="s">
        <v>84</v>
      </c>
      <c r="E740" s="18">
        <f>SUM(E738:E739)</f>
        <v>115</v>
      </c>
      <c r="F740" s="18">
        <f>SUM(F738:F739)</f>
        <v>56</v>
      </c>
      <c r="G740" s="13"/>
      <c r="H740" s="27"/>
      <c r="I740" s="26"/>
      <c r="J740" s="58"/>
      <c r="K740" s="27"/>
      <c r="L740" s="59">
        <v>2</v>
      </c>
      <c r="M740" s="48" t="s">
        <v>506</v>
      </c>
      <c r="N740" s="60">
        <f>SUM(L739:L740)</f>
        <v>33</v>
      </c>
      <c r="O740" s="34" t="s">
        <v>130</v>
      </c>
      <c r="P740">
        <v>2015</v>
      </c>
      <c r="Q740" s="28">
        <v>12</v>
      </c>
      <c r="R740" s="52" t="s">
        <v>113</v>
      </c>
      <c r="S740" s="42">
        <v>546</v>
      </c>
      <c r="T740" s="85">
        <v>644</v>
      </c>
      <c r="U740" s="37"/>
      <c r="V740" s="18"/>
      <c r="W740" s="54"/>
      <c r="X740" s="52"/>
      <c r="Y740" s="40"/>
      <c r="Z740" s="67"/>
      <c r="AA740" s="34" t="s">
        <v>130</v>
      </c>
      <c r="AB740" s="40"/>
      <c r="AH740" s="196" t="s">
        <v>1280</v>
      </c>
      <c r="AI740" s="138">
        <v>8</v>
      </c>
      <c r="AJ740" s="141">
        <v>8</v>
      </c>
      <c r="AK740" s="138"/>
      <c r="AL740" s="28"/>
      <c r="AM740" s="141"/>
      <c r="AN740" s="138"/>
      <c r="AO740" s="141"/>
      <c r="AP740" s="138" t="s">
        <v>272</v>
      </c>
      <c r="AQ740" s="28"/>
      <c r="AR740" s="141"/>
      <c r="AS740" s="28"/>
      <c r="AT740" s="28"/>
      <c r="AU740" s="228"/>
      <c r="AV740" s="228"/>
      <c r="AX740" s="134"/>
      <c r="AY740" s="134"/>
      <c r="AZ740" s="136"/>
      <c r="BA740" s="135"/>
      <c r="BB740" s="135"/>
      <c r="BC740" s="135"/>
      <c r="BD740" s="138"/>
      <c r="BE740" s="141"/>
      <c r="BF740" s="28" t="s">
        <v>1025</v>
      </c>
      <c r="BG740" s="28"/>
      <c r="BH740" s="141"/>
    </row>
    <row r="741" spans="1:61" x14ac:dyDescent="0.3">
      <c r="C741" s="28"/>
      <c r="D741" s="32" t="s">
        <v>107</v>
      </c>
      <c r="E741" s="63">
        <v>0</v>
      </c>
      <c r="F741" s="64">
        <v>0</v>
      </c>
      <c r="G741" s="33"/>
      <c r="H741" s="8"/>
      <c r="I741" s="35"/>
      <c r="J741" s="65"/>
      <c r="K741" s="66"/>
      <c r="L741" s="29"/>
      <c r="M741" s="31" t="s">
        <v>57</v>
      </c>
      <c r="N741" s="35"/>
      <c r="Q741" s="28"/>
      <c r="R741" s="42" t="s">
        <v>475</v>
      </c>
      <c r="S741" s="67"/>
      <c r="T741" s="85"/>
      <c r="U741" s="28"/>
      <c r="V741" s="18"/>
      <c r="W741" s="28"/>
      <c r="X741" s="52"/>
      <c r="Y741" s="86"/>
      <c r="Z741" s="52">
        <v>52</v>
      </c>
      <c r="AA741" s="43" t="s">
        <v>73</v>
      </c>
      <c r="AB741" s="40"/>
      <c r="AC741" t="s">
        <v>6</v>
      </c>
      <c r="AH741" s="196" t="s">
        <v>200</v>
      </c>
      <c r="AI741" s="138">
        <f>1+7</f>
        <v>8</v>
      </c>
      <c r="AJ741" s="141">
        <v>8</v>
      </c>
      <c r="AK741" s="138"/>
      <c r="AL741" s="28"/>
      <c r="AM741" s="141"/>
      <c r="AN741" s="138"/>
      <c r="AO741" s="141"/>
      <c r="AP741" s="138"/>
      <c r="AQ741" s="28"/>
      <c r="AR741" s="141"/>
      <c r="AS741" s="28"/>
      <c r="AT741" s="28"/>
      <c r="AU741" s="28"/>
      <c r="AV741" s="28"/>
      <c r="AX741" s="142" t="s">
        <v>64</v>
      </c>
      <c r="AY741" s="142">
        <v>55</v>
      </c>
      <c r="AZ741" s="146">
        <v>61</v>
      </c>
      <c r="BA741" s="143">
        <v>0</v>
      </c>
      <c r="BB741" s="143">
        <v>0</v>
      </c>
      <c r="BC741" s="143"/>
      <c r="BD741" s="142">
        <v>0</v>
      </c>
      <c r="BE741" s="146">
        <v>0</v>
      </c>
      <c r="BF741" s="143">
        <v>9</v>
      </c>
      <c r="BG741" s="143" t="s">
        <v>1026</v>
      </c>
      <c r="BH741" s="146"/>
      <c r="BI741" t="s">
        <v>6</v>
      </c>
    </row>
    <row r="742" spans="1:61" ht="15" thickBot="1" x14ac:dyDescent="0.35">
      <c r="C742" s="28"/>
      <c r="D742" s="41" t="s">
        <v>113</v>
      </c>
      <c r="E742" s="70">
        <v>0</v>
      </c>
      <c r="F742" s="71">
        <v>0</v>
      </c>
      <c r="G742" s="42"/>
      <c r="H742" s="28"/>
      <c r="I742" s="40"/>
      <c r="J742" s="42"/>
      <c r="K742" s="40"/>
      <c r="L742" s="42"/>
      <c r="M742" s="54" t="s">
        <v>530</v>
      </c>
      <c r="N742" s="40"/>
      <c r="Q742" s="28"/>
      <c r="R742" s="59" t="s">
        <v>84</v>
      </c>
      <c r="S742" s="13">
        <f>SUM(S740:S741)</f>
        <v>546</v>
      </c>
      <c r="T742" s="60">
        <f>SUM(T740:T741)</f>
        <v>644</v>
      </c>
      <c r="U742" s="81">
        <v>0</v>
      </c>
      <c r="V742" s="27">
        <v>0</v>
      </c>
      <c r="W742" s="27">
        <v>0</v>
      </c>
      <c r="X742" s="13">
        <v>0</v>
      </c>
      <c r="Y742" s="26">
        <v>0</v>
      </c>
      <c r="Z742" s="13"/>
      <c r="AA742" s="43"/>
      <c r="AB742" s="26">
        <f>SUM(Z740:Z741)</f>
        <v>52</v>
      </c>
      <c r="AH742" s="196" t="s">
        <v>564</v>
      </c>
      <c r="AI742" s="138">
        <v>2</v>
      </c>
      <c r="AJ742" s="141">
        <v>4</v>
      </c>
      <c r="AK742" s="138"/>
      <c r="AL742" s="28"/>
      <c r="AM742" s="141"/>
      <c r="AN742" s="138"/>
      <c r="AO742" s="141"/>
      <c r="AP742" s="138"/>
      <c r="AQ742" s="28"/>
      <c r="AR742" s="141"/>
      <c r="AS742" s="28"/>
      <c r="AT742" s="28"/>
      <c r="AU742" s="28"/>
      <c r="AV742" s="28"/>
      <c r="AX742" s="138"/>
      <c r="AY742" s="138"/>
      <c r="AZ742" s="141"/>
      <c r="BA742" s="28"/>
      <c r="BB742" s="28"/>
      <c r="BC742" s="28"/>
      <c r="BD742" s="138"/>
      <c r="BE742" s="141"/>
      <c r="BF742" s="28" t="s">
        <v>994</v>
      </c>
      <c r="BG742" s="28"/>
      <c r="BH742" s="141"/>
    </row>
    <row r="743" spans="1:61" ht="15" thickBot="1" x14ac:dyDescent="0.35">
      <c r="C743" s="28" t="s">
        <v>6</v>
      </c>
      <c r="D743" s="68" t="s">
        <v>84</v>
      </c>
      <c r="E743">
        <f>SUM(E741:E742)</f>
        <v>0</v>
      </c>
      <c r="F743">
        <f>SUM(F741:F742)</f>
        <v>0</v>
      </c>
      <c r="G743" s="47">
        <v>0</v>
      </c>
      <c r="H743" s="27">
        <v>0</v>
      </c>
      <c r="I743" s="49">
        <v>0</v>
      </c>
      <c r="J743" s="75">
        <v>0</v>
      </c>
      <c r="K743" s="49">
        <v>0</v>
      </c>
      <c r="L743" s="47"/>
      <c r="M743" s="51" t="s">
        <v>73</v>
      </c>
      <c r="N743" s="49">
        <f>SUM(L742:L743)</f>
        <v>0</v>
      </c>
      <c r="Q743" s="28"/>
      <c r="R743" s="88" t="s">
        <v>158</v>
      </c>
      <c r="S743" s="33">
        <v>4</v>
      </c>
      <c r="T743" s="34">
        <v>0</v>
      </c>
      <c r="U743" s="152"/>
      <c r="V743" s="89"/>
      <c r="W743" s="66" t="s">
        <v>6</v>
      </c>
      <c r="X743" s="8"/>
      <c r="Y743" s="35"/>
      <c r="Z743" s="34" t="s">
        <v>140</v>
      </c>
      <c r="AA743" s="34"/>
      <c r="AB743" s="35"/>
      <c r="AH743" s="196" t="s">
        <v>211</v>
      </c>
      <c r="AI743" s="138">
        <v>14</v>
      </c>
      <c r="AJ743" s="141">
        <v>0</v>
      </c>
      <c r="AK743" s="138"/>
      <c r="AL743" s="28"/>
      <c r="AM743" s="141"/>
      <c r="AN743" s="138"/>
      <c r="AO743" s="141"/>
      <c r="AP743" s="138"/>
      <c r="AQ743" s="28"/>
      <c r="AR743" s="141"/>
      <c r="AS743" s="28"/>
      <c r="AT743" s="28"/>
      <c r="AU743" s="28" t="s">
        <v>994</v>
      </c>
      <c r="AV743" s="28">
        <v>2017</v>
      </c>
      <c r="AW743">
        <v>11</v>
      </c>
      <c r="AX743" s="138" t="s">
        <v>113</v>
      </c>
      <c r="AY743" s="138">
        <v>550</v>
      </c>
      <c r="AZ743" s="141">
        <v>527</v>
      </c>
      <c r="BA743" s="28">
        <v>0</v>
      </c>
      <c r="BB743" s="43">
        <v>0</v>
      </c>
      <c r="BC743" s="43">
        <v>0</v>
      </c>
      <c r="BD743" s="138">
        <v>0</v>
      </c>
      <c r="BE743" s="141">
        <v>0</v>
      </c>
      <c r="BF743" s="43">
        <v>26</v>
      </c>
      <c r="BG743" s="28" t="s">
        <v>100</v>
      </c>
      <c r="BH743" s="141"/>
    </row>
    <row r="744" spans="1:61" ht="15" thickBot="1" x14ac:dyDescent="0.35">
      <c r="A744" s="34" t="s">
        <v>91</v>
      </c>
      <c r="B744">
        <v>2014</v>
      </c>
      <c r="C744" s="28">
        <v>12</v>
      </c>
      <c r="D744" s="33" t="s">
        <v>89</v>
      </c>
      <c r="E744" s="78">
        <v>148</v>
      </c>
      <c r="F744" s="79">
        <v>198</v>
      </c>
      <c r="G744" s="34"/>
      <c r="H744" s="8"/>
      <c r="I744" s="35"/>
      <c r="J744" s="80"/>
      <c r="K744" s="34"/>
      <c r="L744" s="33"/>
      <c r="M744" s="34" t="s">
        <v>91</v>
      </c>
      <c r="N744" s="35"/>
      <c r="Q744" s="28"/>
      <c r="R744" s="42" t="s">
        <v>704</v>
      </c>
      <c r="S744" s="42">
        <v>6</v>
      </c>
      <c r="T744" s="43">
        <v>0</v>
      </c>
      <c r="U744" s="42"/>
      <c r="V744" s="28"/>
      <c r="W744" s="40"/>
      <c r="X744" s="28"/>
      <c r="Y744" s="40"/>
      <c r="Z744" s="28"/>
      <c r="AA744" s="28"/>
      <c r="AB744" s="40"/>
      <c r="AH744" s="196" t="s">
        <v>218</v>
      </c>
      <c r="AI744" s="138">
        <v>0</v>
      </c>
      <c r="AJ744" s="141">
        <f>21+2+2</f>
        <v>25</v>
      </c>
      <c r="AK744" s="138"/>
      <c r="AL744" s="28">
        <v>0</v>
      </c>
      <c r="AM744" s="141"/>
      <c r="AN744" s="138"/>
      <c r="AO744" s="141"/>
      <c r="AP744" s="138"/>
      <c r="AQ744" s="28"/>
      <c r="AR744" s="141"/>
      <c r="AS744" s="28"/>
      <c r="AT744" s="28"/>
      <c r="AU744" s="28"/>
      <c r="AV744" s="28"/>
      <c r="AX744" s="142" t="s">
        <v>84</v>
      </c>
      <c r="AY744" s="142">
        <v>550</v>
      </c>
      <c r="AZ744" s="146">
        <v>550</v>
      </c>
      <c r="BA744" s="28">
        <v>0</v>
      </c>
      <c r="BB744" s="28">
        <v>0</v>
      </c>
      <c r="BC744" s="28">
        <v>0</v>
      </c>
      <c r="BD744" s="142">
        <v>0</v>
      </c>
      <c r="BE744" s="146">
        <v>0</v>
      </c>
      <c r="BF744" s="43">
        <v>21</v>
      </c>
      <c r="BG744" s="43" t="s">
        <v>1292</v>
      </c>
      <c r="BH744" s="146">
        <v>47</v>
      </c>
    </row>
    <row r="745" spans="1:61" ht="15" thickBot="1" x14ac:dyDescent="0.35">
      <c r="A745" s="34" t="s">
        <v>91</v>
      </c>
      <c r="B745">
        <v>2014</v>
      </c>
      <c r="C745" s="28">
        <v>12</v>
      </c>
      <c r="D745" s="52" t="s">
        <v>108</v>
      </c>
      <c r="E745" s="42">
        <v>0</v>
      </c>
      <c r="F745" s="40">
        <v>16</v>
      </c>
      <c r="G745" s="28"/>
      <c r="H745" s="28"/>
      <c r="I745" s="40"/>
      <c r="L745" s="42"/>
      <c r="M745" s="28"/>
      <c r="N745" s="40"/>
      <c r="Q745" s="28"/>
      <c r="R745" s="153" t="s">
        <v>475</v>
      </c>
      <c r="S745" s="42">
        <v>1</v>
      </c>
      <c r="T745" s="43">
        <v>3</v>
      </c>
      <c r="U745" s="42"/>
      <c r="V745" s="28"/>
      <c r="W745" s="40"/>
      <c r="X745" s="28"/>
      <c r="Y745" s="40"/>
      <c r="Z745" s="28"/>
      <c r="AA745" s="28"/>
      <c r="AB745" s="40"/>
      <c r="AH745" s="196" t="s">
        <v>93</v>
      </c>
      <c r="AI745" s="138">
        <v>2</v>
      </c>
      <c r="AJ745" s="141">
        <v>2</v>
      </c>
      <c r="AK745" s="138"/>
      <c r="AL745" s="28"/>
      <c r="AM745" s="141"/>
      <c r="AN745" s="138"/>
      <c r="AO745" s="141"/>
      <c r="AP745" s="138"/>
      <c r="AQ745" s="28"/>
      <c r="AR745" s="141"/>
      <c r="AS745" s="28"/>
      <c r="AT745" s="28"/>
      <c r="AU745" s="28"/>
      <c r="AV745" s="28"/>
      <c r="AX745" s="195" t="s">
        <v>133</v>
      </c>
      <c r="AY745" s="134">
        <v>9</v>
      </c>
      <c r="AZ745" s="135">
        <v>13</v>
      </c>
      <c r="BA745" s="32" t="s">
        <v>17</v>
      </c>
      <c r="BB745" s="34" t="s">
        <v>1755</v>
      </c>
      <c r="BC745" s="35"/>
      <c r="BD745" s="135"/>
      <c r="BE745" s="136"/>
      <c r="BF745" s="134" t="s">
        <v>140</v>
      </c>
      <c r="BG745" s="135"/>
      <c r="BH745" s="136"/>
    </row>
    <row r="746" spans="1:61" ht="15" thickBot="1" x14ac:dyDescent="0.35">
      <c r="A746" s="34" t="s">
        <v>91</v>
      </c>
      <c r="B746">
        <v>2014</v>
      </c>
      <c r="C746" s="28">
        <v>12</v>
      </c>
      <c r="D746" s="67" t="s">
        <v>113</v>
      </c>
      <c r="E746" s="42">
        <v>609</v>
      </c>
      <c r="F746" s="40">
        <v>679</v>
      </c>
      <c r="G746" s="28"/>
      <c r="H746" s="28"/>
      <c r="I746" s="40"/>
      <c r="J746" s="28"/>
      <c r="K746" s="28"/>
      <c r="L746" s="67">
        <v>57</v>
      </c>
      <c r="M746" s="43" t="s">
        <v>73</v>
      </c>
      <c r="N746" s="40"/>
      <c r="Q746" s="28"/>
      <c r="R746" s="92" t="s">
        <v>113</v>
      </c>
      <c r="S746" s="67">
        <f>10+25+4</f>
        <v>39</v>
      </c>
      <c r="T746" s="43">
        <f>27+1+5+15</f>
        <v>48</v>
      </c>
      <c r="U746" s="52"/>
      <c r="V746" s="54"/>
      <c r="W746" s="85"/>
      <c r="X746" s="18"/>
      <c r="Y746" s="40"/>
      <c r="Z746" s="18" t="s">
        <v>142</v>
      </c>
      <c r="AA746" s="18"/>
      <c r="AB746" s="39" t="s">
        <v>814</v>
      </c>
      <c r="AH746" s="199" t="s">
        <v>84</v>
      </c>
      <c r="AI746" s="142">
        <f>SUM(AI721:AI745)</f>
        <v>117</v>
      </c>
      <c r="AJ746" s="146">
        <f>SUM(AJ721:AJ745)</f>
        <v>146</v>
      </c>
      <c r="AK746" s="142">
        <v>0</v>
      </c>
      <c r="AL746" s="143">
        <f>SUM(AL721:AL745)</f>
        <v>0</v>
      </c>
      <c r="AM746" s="146">
        <v>0</v>
      </c>
      <c r="AN746" s="142">
        <v>0</v>
      </c>
      <c r="AO746" s="146">
        <v>0</v>
      </c>
      <c r="AP746" s="142"/>
      <c r="AQ746" s="143"/>
      <c r="AR746" s="146">
        <f>10+8+6+3+4+8+5+11+9+5+3</f>
        <v>72</v>
      </c>
      <c r="AS746" s="28"/>
      <c r="AT746" s="28"/>
      <c r="AU746" s="28"/>
      <c r="AV746" s="28"/>
      <c r="AX746" s="196" t="s">
        <v>113</v>
      </c>
      <c r="AY746" s="138">
        <v>85</v>
      </c>
      <c r="AZ746" s="43">
        <v>108</v>
      </c>
      <c r="BA746" s="41"/>
      <c r="BB746" s="28"/>
      <c r="BC746" s="40"/>
      <c r="BD746" s="28"/>
      <c r="BE746" s="141"/>
      <c r="BF746" s="138"/>
      <c r="BG746" s="28"/>
      <c r="BH746" s="141"/>
    </row>
    <row r="747" spans="1:61" ht="15" thickBot="1" x14ac:dyDescent="0.35">
      <c r="A747" s="34" t="s">
        <v>91</v>
      </c>
      <c r="B747">
        <v>2014</v>
      </c>
      <c r="C747" s="28">
        <v>12</v>
      </c>
      <c r="D747" s="47" t="s">
        <v>84</v>
      </c>
      <c r="E747" s="47">
        <f>SUM(E744:E746)</f>
        <v>757</v>
      </c>
      <c r="F747" s="49">
        <f>SUM(F744:F746)</f>
        <v>893</v>
      </c>
      <c r="G747" s="81">
        <v>0</v>
      </c>
      <c r="H747" s="27">
        <v>0</v>
      </c>
      <c r="I747" s="82">
        <f>+I744</f>
        <v>0</v>
      </c>
      <c r="J747" s="74">
        <v>0</v>
      </c>
      <c r="K747" s="74">
        <v>0</v>
      </c>
      <c r="L747" s="47"/>
      <c r="M747" s="51"/>
      <c r="N747" s="49">
        <f>SUM(L746)</f>
        <v>57</v>
      </c>
      <c r="Q747" s="28"/>
      <c r="R747" s="42" t="s">
        <v>504</v>
      </c>
      <c r="S747" s="67">
        <v>0</v>
      </c>
      <c r="T747" s="43">
        <v>9</v>
      </c>
      <c r="U747" s="52"/>
      <c r="V747" s="54"/>
      <c r="W747" s="85"/>
      <c r="X747" s="18"/>
      <c r="Y747" s="40"/>
      <c r="Z747" s="154" t="s">
        <v>146</v>
      </c>
      <c r="AA747" s="28"/>
      <c r="AB747" s="94" t="s">
        <v>253</v>
      </c>
      <c r="AH747" t="s">
        <v>223</v>
      </c>
      <c r="AI747">
        <f>SUM(AI746+AI720+AI715+AI710+AI707+AI705+AI717)</f>
        <v>3227</v>
      </c>
      <c r="AJ747">
        <f>SUM(AJ746+AJ720+AJ715+AJ710+AJ705+AJ707+AJ717)</f>
        <v>3609</v>
      </c>
      <c r="AK747">
        <v>0</v>
      </c>
      <c r="AL747">
        <f>SUM(AL746+AL720+AL715+AL710+AL707+AL703)</f>
        <v>0</v>
      </c>
      <c r="AM747">
        <v>0</v>
      </c>
      <c r="AN747">
        <f>SUM(AN746+AN720+AN715+AN709+AN707+AN703)</f>
        <v>85299</v>
      </c>
      <c r="AO747">
        <f>SUM(AO746+AO720+AO715+AO709+AO707+AO703)</f>
        <v>18180</v>
      </c>
      <c r="AQ747" t="s">
        <v>939</v>
      </c>
      <c r="AR747">
        <f>SUM(+AR720+AR715+AR710+AR707+AR705)</f>
        <v>199</v>
      </c>
      <c r="AU747" s="28"/>
      <c r="AV747" s="28"/>
      <c r="AX747" s="196" t="s">
        <v>1758</v>
      </c>
      <c r="AY747" s="138">
        <v>2</v>
      </c>
      <c r="AZ747" s="43">
        <v>0</v>
      </c>
      <c r="BA747" s="46" t="s">
        <v>1759</v>
      </c>
      <c r="BB747" s="48" t="s">
        <v>43</v>
      </c>
      <c r="BC747" s="49" t="s">
        <v>1760</v>
      </c>
      <c r="BD747" s="28"/>
      <c r="BE747" s="141"/>
      <c r="BF747" s="138"/>
      <c r="BG747" s="28"/>
      <c r="BH747" s="141"/>
    </row>
    <row r="748" spans="1:61" ht="15" thickBot="1" x14ac:dyDescent="0.35">
      <c r="A748" s="34" t="s">
        <v>130</v>
      </c>
      <c r="B748">
        <v>2014</v>
      </c>
      <c r="C748" s="28">
        <v>12</v>
      </c>
      <c r="D748" s="52" t="s">
        <v>113</v>
      </c>
      <c r="E748" s="42">
        <v>567</v>
      </c>
      <c r="F748" s="85">
        <v>642</v>
      </c>
      <c r="G748" s="37"/>
      <c r="H748" s="18"/>
      <c r="I748" s="54"/>
      <c r="J748" s="52"/>
      <c r="K748" s="40"/>
      <c r="L748" s="67"/>
      <c r="M748" s="34" t="s">
        <v>130</v>
      </c>
      <c r="N748" s="40"/>
      <c r="Q748" s="28"/>
      <c r="R748" s="127" t="s">
        <v>817</v>
      </c>
      <c r="S748" s="67">
        <v>0</v>
      </c>
      <c r="T748" s="43">
        <v>0</v>
      </c>
      <c r="U748" s="42"/>
      <c r="V748" s="28"/>
      <c r="W748" s="40"/>
      <c r="X748" s="28"/>
      <c r="Y748" s="40"/>
      <c r="Z748" s="28"/>
      <c r="AA748" s="28"/>
      <c r="AB748" s="40"/>
      <c r="AH748" t="s">
        <v>225</v>
      </c>
      <c r="AJ748">
        <f>SUM(AR746)</f>
        <v>72</v>
      </c>
      <c r="AU748" s="28"/>
      <c r="AV748" s="28"/>
      <c r="AX748" s="196" t="s">
        <v>468</v>
      </c>
      <c r="AY748" s="138">
        <v>0</v>
      </c>
      <c r="AZ748" s="141">
        <v>3</v>
      </c>
      <c r="BA748" s="324" t="s">
        <v>1761</v>
      </c>
      <c r="BB748" s="43">
        <v>3</v>
      </c>
      <c r="BC748" s="141">
        <v>0</v>
      </c>
      <c r="BD748" s="138"/>
      <c r="BE748" s="141"/>
      <c r="BF748" s="138" t="s">
        <v>142</v>
      </c>
      <c r="BG748" s="28">
        <v>9</v>
      </c>
      <c r="BH748" s="141" t="s">
        <v>682</v>
      </c>
    </row>
    <row r="749" spans="1:61" ht="15" thickBot="1" x14ac:dyDescent="0.35">
      <c r="A749" s="34" t="s">
        <v>130</v>
      </c>
      <c r="B749">
        <v>2014</v>
      </c>
      <c r="C749" s="28">
        <v>12</v>
      </c>
      <c r="D749" s="42" t="s">
        <v>475</v>
      </c>
      <c r="E749" s="67">
        <v>0</v>
      </c>
      <c r="F749" s="85">
        <v>0</v>
      </c>
      <c r="G749" s="28"/>
      <c r="H749" s="18"/>
      <c r="I749" s="28"/>
      <c r="J749" s="52"/>
      <c r="K749" s="86"/>
      <c r="L749" s="52">
        <v>48</v>
      </c>
      <c r="M749" s="43" t="s">
        <v>73</v>
      </c>
      <c r="N749" s="40"/>
      <c r="O749" t="s">
        <v>6</v>
      </c>
      <c r="P749">
        <f>96/2</f>
        <v>48</v>
      </c>
      <c r="Q749" s="28"/>
      <c r="R749" s="52" t="s">
        <v>133</v>
      </c>
      <c r="S749" s="67">
        <v>17</v>
      </c>
      <c r="T749" s="43">
        <v>41</v>
      </c>
      <c r="U749" s="52" t="s">
        <v>150</v>
      </c>
      <c r="V749" s="54"/>
      <c r="W749" s="85"/>
      <c r="X749" s="18"/>
      <c r="Y749" s="40"/>
      <c r="Z749" s="28" t="s">
        <v>151</v>
      </c>
      <c r="AA749" s="28"/>
      <c r="AB749" s="185"/>
      <c r="AH749" t="s">
        <v>229</v>
      </c>
      <c r="AJ749">
        <f>23+7+1+2+10</f>
        <v>43</v>
      </c>
      <c r="AU749" s="28"/>
      <c r="AV749" s="28"/>
      <c r="AX749" s="196" t="s">
        <v>218</v>
      </c>
      <c r="AY749" s="138">
        <v>15</v>
      </c>
      <c r="AZ749" s="141">
        <v>55</v>
      </c>
      <c r="BA749" s="324" t="s">
        <v>1763</v>
      </c>
      <c r="BB749" s="28">
        <v>6</v>
      </c>
      <c r="BC749" s="141">
        <v>3</v>
      </c>
      <c r="BD749" s="138"/>
      <c r="BE749" s="141"/>
      <c r="BF749" s="138" t="s">
        <v>146</v>
      </c>
      <c r="BG749" s="28"/>
      <c r="BH749" s="256" t="s">
        <v>1764</v>
      </c>
    </row>
    <row r="750" spans="1:61" ht="15" thickBot="1" x14ac:dyDescent="0.35">
      <c r="A750" s="34" t="s">
        <v>130</v>
      </c>
      <c r="B750">
        <v>2014</v>
      </c>
      <c r="C750" s="28">
        <v>12</v>
      </c>
      <c r="D750" s="59" t="s">
        <v>84</v>
      </c>
      <c r="E750" s="13">
        <f>SUM(E748:E749)</f>
        <v>567</v>
      </c>
      <c r="F750" s="60">
        <f>SUM(F748:F749)</f>
        <v>642</v>
      </c>
      <c r="G750" s="81">
        <v>0</v>
      </c>
      <c r="H750" s="27">
        <v>0</v>
      </c>
      <c r="I750" s="27">
        <v>0</v>
      </c>
      <c r="J750" s="13">
        <v>0</v>
      </c>
      <c r="K750" s="26">
        <v>0</v>
      </c>
      <c r="L750" s="13"/>
      <c r="M750" s="43"/>
      <c r="N750" s="26">
        <f>SUM(L748:L749)</f>
        <v>48</v>
      </c>
      <c r="Q750" s="28"/>
      <c r="R750" s="52" t="s">
        <v>85</v>
      </c>
      <c r="S750" s="42">
        <f>7+6</f>
        <v>13</v>
      </c>
      <c r="T750" s="43">
        <f>4+2+6</f>
        <v>12</v>
      </c>
      <c r="U750" s="42"/>
      <c r="V750" s="54"/>
      <c r="W750" s="40"/>
      <c r="X750" s="45"/>
      <c r="Y750" s="56"/>
      <c r="Z750" s="43" t="s">
        <v>929</v>
      </c>
      <c r="AA750" s="28" t="s">
        <v>930</v>
      </c>
      <c r="AB750" s="40" t="s">
        <v>719</v>
      </c>
      <c r="AG750" t="s">
        <v>6</v>
      </c>
      <c r="AH750" t="s">
        <v>232</v>
      </c>
      <c r="AJ750" t="s">
        <v>233</v>
      </c>
      <c r="AL750">
        <f>SUM(T746)</f>
        <v>48</v>
      </c>
      <c r="AN750" t="s">
        <v>234</v>
      </c>
      <c r="AP750" t="s">
        <v>233</v>
      </c>
      <c r="AR750">
        <f>SUM(AI747)</f>
        <v>3227</v>
      </c>
      <c r="AU750" s="28"/>
      <c r="AV750" s="28"/>
      <c r="AX750" s="196" t="s">
        <v>211</v>
      </c>
      <c r="AY750" s="138">
        <v>3</v>
      </c>
      <c r="AZ750" s="141">
        <v>0</v>
      </c>
      <c r="BA750" s="324" t="s">
        <v>1765</v>
      </c>
      <c r="BB750" s="43">
        <v>2</v>
      </c>
      <c r="BC750" s="141">
        <v>3</v>
      </c>
      <c r="BD750" s="138"/>
      <c r="BE750" s="141"/>
      <c r="BF750" s="138"/>
      <c r="BG750" s="28"/>
      <c r="BH750" s="141" t="s">
        <v>1766</v>
      </c>
    </row>
    <row r="751" spans="1:61" ht="15.6" x14ac:dyDescent="0.3">
      <c r="C751" s="28"/>
      <c r="D751" s="88" t="s">
        <v>164</v>
      </c>
      <c r="E751" s="33">
        <v>0</v>
      </c>
      <c r="F751" s="34">
        <v>2</v>
      </c>
      <c r="G751" s="152"/>
      <c r="H751" s="89"/>
      <c r="I751" s="66"/>
      <c r="J751" s="8"/>
      <c r="K751" s="35"/>
      <c r="L751" s="34" t="s">
        <v>140</v>
      </c>
      <c r="M751" s="34"/>
      <c r="N751" s="35"/>
      <c r="Q751" s="28"/>
      <c r="R751" s="151" t="s">
        <v>93</v>
      </c>
      <c r="S751" s="36">
        <v>0</v>
      </c>
      <c r="T751" s="37">
        <v>2</v>
      </c>
      <c r="U751" s="10"/>
      <c r="V751" s="18"/>
      <c r="W751" s="11"/>
      <c r="X751" s="18"/>
      <c r="Y751" s="11"/>
      <c r="Z751" s="158" t="s">
        <v>931</v>
      </c>
      <c r="AA751" s="178" t="s">
        <v>510</v>
      </c>
      <c r="AB751" s="114" t="s">
        <v>932</v>
      </c>
      <c r="AJ751" t="s">
        <v>236</v>
      </c>
      <c r="AL751">
        <f>SUM(U746)</f>
        <v>0</v>
      </c>
      <c r="AP751" t="s">
        <v>236</v>
      </c>
      <c r="AR751">
        <f>SUM(AJ747)</f>
        <v>3609</v>
      </c>
      <c r="AX751" s="196" t="s">
        <v>564</v>
      </c>
      <c r="AY751" s="138">
        <v>1</v>
      </c>
      <c r="AZ751" s="141">
        <v>1</v>
      </c>
      <c r="BA751" s="324" t="s">
        <v>1767</v>
      </c>
      <c r="BB751" s="43">
        <v>0</v>
      </c>
      <c r="BC751" s="141">
        <v>0</v>
      </c>
      <c r="BD751" s="138"/>
      <c r="BE751" s="141"/>
      <c r="BF751" s="138" t="s">
        <v>151</v>
      </c>
      <c r="BG751" s="28" t="s">
        <v>1325</v>
      </c>
      <c r="BH751" s="141" t="s">
        <v>1768</v>
      </c>
    </row>
    <row r="752" spans="1:61" x14ac:dyDescent="0.3">
      <c r="C752" s="28"/>
      <c r="D752" s="42" t="s">
        <v>158</v>
      </c>
      <c r="E752" s="42">
        <v>3</v>
      </c>
      <c r="F752" s="43">
        <v>0</v>
      </c>
      <c r="G752" s="42"/>
      <c r="H752" s="28"/>
      <c r="I752" s="40"/>
      <c r="J752" s="28"/>
      <c r="K752" s="40"/>
      <c r="L752" s="28"/>
      <c r="M752" s="28"/>
      <c r="N752" s="40"/>
      <c r="Q752" s="28"/>
      <c r="R752" s="42" t="s">
        <v>526</v>
      </c>
      <c r="S752" s="42">
        <f>18+19</f>
        <v>37</v>
      </c>
      <c r="T752" s="54">
        <f>22+19</f>
        <v>41</v>
      </c>
      <c r="U752" s="10"/>
      <c r="V752" s="18"/>
      <c r="W752" s="11"/>
      <c r="X752" s="18"/>
      <c r="Y752" s="11"/>
      <c r="Z752" s="158" t="s">
        <v>626</v>
      </c>
      <c r="AA752" s="186" t="s">
        <v>349</v>
      </c>
      <c r="AB752" s="39" t="s">
        <v>734</v>
      </c>
      <c r="AH752" t="s">
        <v>238</v>
      </c>
      <c r="AI752" t="s">
        <v>239</v>
      </c>
      <c r="AK752" t="s">
        <v>240</v>
      </c>
      <c r="AL752" t="s">
        <v>241</v>
      </c>
      <c r="AO752" t="s">
        <v>242</v>
      </c>
      <c r="AP752" s="131" t="s">
        <v>243</v>
      </c>
      <c r="AX752" s="196" t="s">
        <v>947</v>
      </c>
      <c r="AY752" s="138">
        <v>0</v>
      </c>
      <c r="AZ752" s="141">
        <v>0</v>
      </c>
      <c r="BA752" s="324" t="s">
        <v>1770</v>
      </c>
      <c r="BB752" s="43">
        <v>0</v>
      </c>
      <c r="BC752" s="141">
        <v>0</v>
      </c>
      <c r="BD752" s="138"/>
      <c r="BE752" s="141"/>
      <c r="BF752" s="138" t="s">
        <v>1257</v>
      </c>
      <c r="BG752" s="257"/>
      <c r="BH752" s="141" t="s">
        <v>1331</v>
      </c>
    </row>
    <row r="753" spans="3:60" x14ac:dyDescent="0.3">
      <c r="C753" s="28"/>
      <c r="D753" s="153" t="s">
        <v>108</v>
      </c>
      <c r="E753" s="42">
        <v>0</v>
      </c>
      <c r="F753" s="43">
        <v>1</v>
      </c>
      <c r="G753" s="42"/>
      <c r="H753" s="28"/>
      <c r="I753" s="40"/>
      <c r="J753" s="28"/>
      <c r="K753" s="40"/>
      <c r="L753" s="28"/>
      <c r="M753" s="28"/>
      <c r="N753" s="40"/>
      <c r="Q753" s="28"/>
      <c r="R753" s="36" t="s">
        <v>169</v>
      </c>
      <c r="S753" s="36">
        <v>7</v>
      </c>
      <c r="T753" s="37">
        <v>7</v>
      </c>
      <c r="U753" s="10"/>
      <c r="V753" s="18"/>
      <c r="W753" s="11"/>
      <c r="X753" s="18"/>
      <c r="Y753" s="11"/>
      <c r="Z753" s="158" t="s">
        <v>933</v>
      </c>
      <c r="AA753" s="37" t="s">
        <v>362</v>
      </c>
      <c r="AB753" s="39" t="s">
        <v>269</v>
      </c>
      <c r="AH753" t="s">
        <v>233</v>
      </c>
      <c r="AJ753" t="e">
        <f>SUM(#REF!)</f>
        <v>#REF!</v>
      </c>
      <c r="AK753" s="236" t="s">
        <v>233</v>
      </c>
      <c r="AM753">
        <f>SUM(F734)</f>
        <v>75</v>
      </c>
      <c r="AN753" t="s">
        <v>233</v>
      </c>
      <c r="AP753">
        <f>SUM(AM753+AI747)</f>
        <v>3302</v>
      </c>
      <c r="AQ753" t="s">
        <v>245</v>
      </c>
      <c r="AR753" t="e">
        <f>SUM(AJ753+AP753)</f>
        <v>#REF!</v>
      </c>
      <c r="AX753" s="196" t="s">
        <v>403</v>
      </c>
      <c r="AY753" s="138">
        <v>8</v>
      </c>
      <c r="AZ753" s="141">
        <v>4</v>
      </c>
      <c r="BA753" s="324" t="s">
        <v>1772</v>
      </c>
      <c r="BB753" s="43">
        <v>0</v>
      </c>
      <c r="BC753" s="141">
        <v>2</v>
      </c>
      <c r="BD753" s="138"/>
      <c r="BE753" s="141"/>
      <c r="BF753" s="212" t="s">
        <v>1773</v>
      </c>
      <c r="BG753" s="28" t="s">
        <v>1774</v>
      </c>
      <c r="BH753" s="141" t="s">
        <v>544</v>
      </c>
    </row>
    <row r="754" spans="3:60" x14ac:dyDescent="0.3">
      <c r="C754" s="28"/>
      <c r="D754" s="92" t="s">
        <v>113</v>
      </c>
      <c r="E754" s="67">
        <f>14+1+8+8+4+47</f>
        <v>82</v>
      </c>
      <c r="F754" s="43">
        <f>13+1+7+15+2+1+2+56</f>
        <v>97</v>
      </c>
      <c r="G754" s="52"/>
      <c r="H754" s="54"/>
      <c r="I754" s="85"/>
      <c r="J754" s="18"/>
      <c r="K754" s="40"/>
      <c r="L754" s="18" t="s">
        <v>142</v>
      </c>
      <c r="M754" s="18"/>
      <c r="N754" s="39" t="s">
        <v>620</v>
      </c>
      <c r="Q754" s="28"/>
      <c r="R754" s="36" t="s">
        <v>99</v>
      </c>
      <c r="S754" s="36">
        <v>0</v>
      </c>
      <c r="T754" s="37">
        <v>0</v>
      </c>
      <c r="U754" s="10"/>
      <c r="V754" s="18"/>
      <c r="W754" s="11"/>
      <c r="X754" s="18"/>
      <c r="Y754" s="11"/>
      <c r="Z754" s="179" t="s">
        <v>934</v>
      </c>
      <c r="AA754" s="37" t="s">
        <v>373</v>
      </c>
      <c r="AB754" s="39" t="s">
        <v>586</v>
      </c>
      <c r="AH754" t="s">
        <v>236</v>
      </c>
      <c r="AJ754" t="e">
        <f>SUM(#REF!)</f>
        <v>#REF!</v>
      </c>
      <c r="AK754" s="236" t="s">
        <v>236</v>
      </c>
      <c r="AM754">
        <f>SUM(G734)</f>
        <v>0</v>
      </c>
      <c r="AN754" t="s">
        <v>236</v>
      </c>
      <c r="AP754">
        <f>SUM(AM754+AJ747)</f>
        <v>3609</v>
      </c>
      <c r="AR754" t="e">
        <f>SUM(AJ754+AP754)</f>
        <v>#REF!</v>
      </c>
      <c r="AX754" s="196" t="s">
        <v>596</v>
      </c>
      <c r="AY754" s="138">
        <v>14</v>
      </c>
      <c r="AZ754" s="141">
        <v>7</v>
      </c>
      <c r="BA754" s="324" t="s">
        <v>1775</v>
      </c>
      <c r="BB754" s="43">
        <v>1</v>
      </c>
      <c r="BC754" s="141">
        <v>3</v>
      </c>
      <c r="BD754" s="138"/>
      <c r="BE754" s="141"/>
      <c r="BF754" s="212" t="s">
        <v>714</v>
      </c>
      <c r="BG754" s="43" t="s">
        <v>1776</v>
      </c>
      <c r="BH754" s="141" t="s">
        <v>1436</v>
      </c>
    </row>
    <row r="755" spans="3:60" x14ac:dyDescent="0.3">
      <c r="C755" s="28"/>
      <c r="D755" s="42" t="s">
        <v>214</v>
      </c>
      <c r="E755" s="67">
        <v>2</v>
      </c>
      <c r="F755" s="43">
        <v>2</v>
      </c>
      <c r="G755" s="52"/>
      <c r="H755" s="54"/>
      <c r="I755" s="85"/>
      <c r="J755" s="18"/>
      <c r="K755" s="40"/>
      <c r="L755" s="154" t="s">
        <v>146</v>
      </c>
      <c r="M755" s="28"/>
      <c r="N755" s="94" t="s">
        <v>591</v>
      </c>
      <c r="Q755" s="28"/>
      <c r="R755" s="93" t="s">
        <v>935</v>
      </c>
      <c r="S755" s="36">
        <v>3</v>
      </c>
      <c r="T755" s="37">
        <v>4</v>
      </c>
      <c r="U755" s="10"/>
      <c r="V755" s="37"/>
      <c r="W755" s="11"/>
      <c r="X755" s="18"/>
      <c r="Y755" s="11"/>
      <c r="Z755" s="158" t="s">
        <v>936</v>
      </c>
      <c r="AA755" s="54" t="s">
        <v>937</v>
      </c>
      <c r="AB755" s="39" t="s">
        <v>482</v>
      </c>
      <c r="AX755" s="196" t="s">
        <v>169</v>
      </c>
      <c r="AY755" s="138">
        <v>0</v>
      </c>
      <c r="AZ755" s="141">
        <v>3</v>
      </c>
      <c r="BA755" s="324" t="s">
        <v>1777</v>
      </c>
      <c r="BB755" s="43">
        <v>0</v>
      </c>
      <c r="BC755" s="141">
        <v>0</v>
      </c>
      <c r="BD755" s="138"/>
      <c r="BE755" s="141"/>
      <c r="BF755" s="138" t="s">
        <v>1778</v>
      </c>
      <c r="BG755" s="43" t="s">
        <v>1779</v>
      </c>
      <c r="BH755" s="141" t="s">
        <v>1780</v>
      </c>
    </row>
    <row r="756" spans="3:60" x14ac:dyDescent="0.3">
      <c r="C756" s="28" t="s">
        <v>6</v>
      </c>
      <c r="D756" s="127" t="s">
        <v>200</v>
      </c>
      <c r="E756" s="67">
        <v>6</v>
      </c>
      <c r="F756" s="43">
        <f>7+4</f>
        <v>11</v>
      </c>
      <c r="G756" s="42"/>
      <c r="H756" s="28"/>
      <c r="I756" s="40"/>
      <c r="J756" s="28"/>
      <c r="K756" s="40"/>
      <c r="L756" s="28"/>
      <c r="M756" s="28"/>
      <c r="N756" s="40"/>
      <c r="Q756" s="37"/>
      <c r="R756" s="36" t="s">
        <v>855</v>
      </c>
      <c r="S756" s="36">
        <v>3</v>
      </c>
      <c r="T756" s="37">
        <v>0</v>
      </c>
      <c r="U756" s="10"/>
      <c r="V756" s="18"/>
      <c r="W756" s="11"/>
      <c r="X756" s="18"/>
      <c r="Y756" s="11"/>
      <c r="Z756" s="37" t="s">
        <v>938</v>
      </c>
      <c r="AA756" s="37" t="s">
        <v>916</v>
      </c>
      <c r="AB756" s="180" t="s">
        <v>917</v>
      </c>
      <c r="AX756" s="196" t="s">
        <v>358</v>
      </c>
      <c r="AY756" s="138">
        <v>0</v>
      </c>
      <c r="AZ756" s="141">
        <v>24</v>
      </c>
      <c r="BA756" s="324" t="s">
        <v>1781</v>
      </c>
      <c r="BB756" s="43">
        <v>0</v>
      </c>
      <c r="BC756" s="141">
        <v>0</v>
      </c>
      <c r="BD756" s="138"/>
      <c r="BE756" s="141"/>
      <c r="BF756" s="138" t="s">
        <v>534</v>
      </c>
      <c r="BG756" s="43" t="s">
        <v>1782</v>
      </c>
      <c r="BH756" s="141" t="s">
        <v>307</v>
      </c>
    </row>
    <row r="757" spans="3:60" x14ac:dyDescent="0.3">
      <c r="C757" s="28"/>
      <c r="D757" s="52" t="s">
        <v>133</v>
      </c>
      <c r="E757" s="67">
        <f>18+5+4</f>
        <v>27</v>
      </c>
      <c r="F757" s="43">
        <f>38+5+5</f>
        <v>48</v>
      </c>
      <c r="G757" s="52" t="s">
        <v>150</v>
      </c>
      <c r="H757" s="54"/>
      <c r="I757" s="85"/>
      <c r="J757" s="18"/>
      <c r="K757" s="40"/>
      <c r="L757" s="28" t="s">
        <v>151</v>
      </c>
      <c r="M757" s="28"/>
      <c r="N757" s="96"/>
      <c r="Q757" s="28"/>
      <c r="R757" s="150" t="s">
        <v>211</v>
      </c>
      <c r="S757" s="36">
        <v>10</v>
      </c>
      <c r="T757" s="37">
        <v>1</v>
      </c>
      <c r="U757" s="10"/>
      <c r="V757" s="18"/>
      <c r="W757" s="11"/>
      <c r="X757" s="18"/>
      <c r="Y757" s="11"/>
      <c r="Z757" s="159" t="s">
        <v>918</v>
      </c>
      <c r="AA757" s="37"/>
      <c r="AB757" s="39" t="s">
        <v>262</v>
      </c>
      <c r="AX757" s="196" t="s">
        <v>85</v>
      </c>
      <c r="AY757" s="138">
        <v>1</v>
      </c>
      <c r="AZ757" s="141">
        <v>4</v>
      </c>
      <c r="BA757" s="324" t="s">
        <v>1783</v>
      </c>
      <c r="BB757" s="43">
        <v>0</v>
      </c>
      <c r="BC757" s="141">
        <v>0</v>
      </c>
      <c r="BD757" s="138"/>
      <c r="BE757" s="141"/>
      <c r="BF757" s="212" t="s">
        <v>1270</v>
      </c>
      <c r="BG757" s="43" t="s">
        <v>1310</v>
      </c>
      <c r="BH757" s="141" t="s">
        <v>1270</v>
      </c>
    </row>
    <row r="758" spans="3:60" x14ac:dyDescent="0.3">
      <c r="C758" s="28"/>
      <c r="D758" s="52" t="s">
        <v>85</v>
      </c>
      <c r="E758" s="42">
        <v>0</v>
      </c>
      <c r="F758" s="43">
        <v>3</v>
      </c>
      <c r="G758" s="42"/>
      <c r="H758" s="54"/>
      <c r="I758" s="40"/>
      <c r="J758" s="45"/>
      <c r="K758" s="56"/>
      <c r="L758" s="43" t="s">
        <v>621</v>
      </c>
      <c r="M758" s="28" t="s">
        <v>622</v>
      </c>
      <c r="N758" s="40" t="s">
        <v>623</v>
      </c>
      <c r="R758" s="150" t="s">
        <v>64</v>
      </c>
      <c r="S758" s="36">
        <v>3</v>
      </c>
      <c r="T758" s="37">
        <v>1</v>
      </c>
      <c r="U758" s="10"/>
      <c r="V758" s="18"/>
      <c r="W758" s="11"/>
      <c r="X758" s="18"/>
      <c r="Y758" s="11"/>
      <c r="Z758" s="128" t="s">
        <v>940</v>
      </c>
      <c r="AA758" s="37" t="s">
        <v>941</v>
      </c>
      <c r="AB758" s="39" t="s">
        <v>191</v>
      </c>
      <c r="AX758" s="196" t="s">
        <v>1784</v>
      </c>
      <c r="AY758" s="138">
        <v>0</v>
      </c>
      <c r="AZ758" s="141">
        <v>0</v>
      </c>
      <c r="BA758" s="324" t="s">
        <v>1785</v>
      </c>
      <c r="BB758" s="43">
        <v>0</v>
      </c>
      <c r="BC758" s="141">
        <v>0</v>
      </c>
      <c r="BD758" s="138"/>
      <c r="BE758" s="141"/>
      <c r="BF758" s="138" t="s">
        <v>1786</v>
      </c>
      <c r="BG758" s="43" t="s">
        <v>650</v>
      </c>
      <c r="BH758" s="209" t="s">
        <v>1313</v>
      </c>
    </row>
    <row r="759" spans="3:60" ht="15.6" x14ac:dyDescent="0.3">
      <c r="C759" s="28"/>
      <c r="D759" s="151" t="s">
        <v>624</v>
      </c>
      <c r="E759" s="36">
        <v>8</v>
      </c>
      <c r="F759" s="37">
        <v>8</v>
      </c>
      <c r="G759" s="10"/>
      <c r="H759" s="18"/>
      <c r="I759" s="11"/>
      <c r="J759" s="18"/>
      <c r="K759" s="11"/>
      <c r="L759" s="155" t="s">
        <v>625</v>
      </c>
      <c r="M759" s="28" t="s">
        <v>626</v>
      </c>
      <c r="N759" s="99" t="s">
        <v>598</v>
      </c>
      <c r="R759" s="36" t="s">
        <v>184</v>
      </c>
      <c r="S759" s="36"/>
      <c r="T759" s="37"/>
      <c r="U759" s="10"/>
      <c r="V759" s="18"/>
      <c r="W759" s="11"/>
      <c r="X759" s="18"/>
      <c r="Y759" s="11"/>
      <c r="Z759" s="157" t="s">
        <v>517</v>
      </c>
      <c r="AA759" s="37" t="s">
        <v>318</v>
      </c>
      <c r="AB759" s="39" t="s">
        <v>942</v>
      </c>
      <c r="AX759" s="196" t="s">
        <v>1041</v>
      </c>
      <c r="AY759" s="138">
        <v>3</v>
      </c>
      <c r="AZ759" s="141">
        <v>0</v>
      </c>
      <c r="BA759" s="324" t="s">
        <v>1787</v>
      </c>
      <c r="BB759" s="43">
        <v>0</v>
      </c>
      <c r="BC759" s="141">
        <v>0</v>
      </c>
      <c r="BD759" s="138"/>
      <c r="BE759" s="141"/>
      <c r="BF759" s="138" t="s">
        <v>1619</v>
      </c>
      <c r="BG759" s="258" t="s">
        <v>1788</v>
      </c>
      <c r="BH759" s="209" t="s">
        <v>1724</v>
      </c>
    </row>
    <row r="760" spans="3:60" ht="15.6" x14ac:dyDescent="0.3">
      <c r="C760" s="28"/>
      <c r="D760" s="42" t="s">
        <v>467</v>
      </c>
      <c r="E760" s="42">
        <v>46</v>
      </c>
      <c r="F760" s="54">
        <v>3</v>
      </c>
      <c r="G760" s="10"/>
      <c r="H760" s="18"/>
      <c r="I760" s="11"/>
      <c r="J760" s="18"/>
      <c r="K760" s="11"/>
      <c r="L760" s="158" t="s">
        <v>627</v>
      </c>
      <c r="M760" s="100" t="s">
        <v>628</v>
      </c>
      <c r="N760" s="39" t="s">
        <v>629</v>
      </c>
      <c r="R760" s="36" t="s">
        <v>107</v>
      </c>
      <c r="S760" s="10">
        <v>3</v>
      </c>
      <c r="T760" s="37">
        <v>1</v>
      </c>
      <c r="U760" s="10"/>
      <c r="V760" s="18"/>
      <c r="W760" s="39"/>
      <c r="X760" s="18"/>
      <c r="Y760" s="11"/>
      <c r="Z760" s="159" t="s">
        <v>257</v>
      </c>
      <c r="AA760" s="37" t="s">
        <v>943</v>
      </c>
      <c r="AB760" s="39" t="s">
        <v>944</v>
      </c>
      <c r="AX760" s="196" t="s">
        <v>1789</v>
      </c>
      <c r="AY760" s="138">
        <v>2</v>
      </c>
      <c r="AZ760" s="141">
        <v>0</v>
      </c>
      <c r="BA760" s="324" t="s">
        <v>1790</v>
      </c>
      <c r="BB760" s="43">
        <v>8</v>
      </c>
      <c r="BC760" s="141">
        <v>0</v>
      </c>
      <c r="BD760" s="138"/>
      <c r="BE760" s="141"/>
      <c r="BF760" s="138" t="s">
        <v>1791</v>
      </c>
      <c r="BG760" s="43" t="s">
        <v>1103</v>
      </c>
      <c r="BH760" s="141" t="s">
        <v>791</v>
      </c>
    </row>
    <row r="761" spans="3:60" ht="15.6" x14ac:dyDescent="0.3">
      <c r="C761" s="28"/>
      <c r="D761" s="36" t="s">
        <v>169</v>
      </c>
      <c r="E761" s="36">
        <v>2</v>
      </c>
      <c r="F761" s="37">
        <v>1</v>
      </c>
      <c r="G761" s="10"/>
      <c r="H761" s="18"/>
      <c r="I761" s="11"/>
      <c r="J761" s="18"/>
      <c r="K761" s="11"/>
      <c r="L761" s="155" t="s">
        <v>520</v>
      </c>
      <c r="M761" s="37" t="s">
        <v>630</v>
      </c>
      <c r="N761" s="39" t="s">
        <v>466</v>
      </c>
      <c r="R761" s="150" t="s">
        <v>200</v>
      </c>
      <c r="S761" s="10">
        <v>5</v>
      </c>
      <c r="T761" s="37">
        <f>10+7</f>
        <v>17</v>
      </c>
      <c r="U761" s="10"/>
      <c r="V761" s="18"/>
      <c r="W761" s="11"/>
      <c r="X761" s="18"/>
      <c r="Y761" s="11"/>
      <c r="Z761" s="179" t="s">
        <v>803</v>
      </c>
      <c r="AA761" s="37" t="s">
        <v>254</v>
      </c>
      <c r="AB761" s="39" t="s">
        <v>522</v>
      </c>
      <c r="AX761" s="259" t="s">
        <v>657</v>
      </c>
      <c r="AY761" s="138">
        <v>0</v>
      </c>
      <c r="AZ761" s="141">
        <v>0</v>
      </c>
      <c r="BA761" s="324" t="s">
        <v>1792</v>
      </c>
      <c r="BB761" s="43">
        <v>9</v>
      </c>
      <c r="BC761" s="141">
        <v>9</v>
      </c>
      <c r="BD761" s="138"/>
      <c r="BE761" s="141"/>
      <c r="BF761" s="138" t="s">
        <v>1793</v>
      </c>
      <c r="BG761" s="258" t="s">
        <v>1056</v>
      </c>
      <c r="BH761" s="260" t="s">
        <v>1794</v>
      </c>
    </row>
    <row r="762" spans="3:60" ht="15.6" x14ac:dyDescent="0.3">
      <c r="C762" s="28"/>
      <c r="D762" s="36" t="s">
        <v>99</v>
      </c>
      <c r="E762" s="36">
        <v>6</v>
      </c>
      <c r="F762" s="37">
        <v>4</v>
      </c>
      <c r="G762" s="10"/>
      <c r="H762" s="18"/>
      <c r="I762" s="11"/>
      <c r="J762" s="18"/>
      <c r="K762" s="11"/>
      <c r="L762" s="54" t="s">
        <v>631</v>
      </c>
      <c r="M762" s="37" t="s">
        <v>603</v>
      </c>
      <c r="N762" s="114" t="s">
        <v>512</v>
      </c>
      <c r="R762" s="92" t="s">
        <v>652</v>
      </c>
      <c r="S762" s="84">
        <v>0</v>
      </c>
      <c r="T762" s="54">
        <v>5</v>
      </c>
      <c r="U762" s="84"/>
      <c r="V762" s="45"/>
      <c r="W762" s="85"/>
      <c r="X762" s="18"/>
      <c r="Y762" s="11"/>
      <c r="Z762" s="179"/>
      <c r="AA762" s="54"/>
      <c r="AB762" s="86"/>
      <c r="AX762" s="196" t="s">
        <v>200</v>
      </c>
      <c r="AY762" s="138">
        <v>8</v>
      </c>
      <c r="AZ762" s="141">
        <v>3</v>
      </c>
      <c r="BA762" s="324" t="s">
        <v>1795</v>
      </c>
      <c r="BB762" s="43">
        <v>2</v>
      </c>
      <c r="BC762" s="141">
        <v>0</v>
      </c>
      <c r="BD762" s="138"/>
      <c r="BE762" s="141"/>
      <c r="BF762" s="138" t="s">
        <v>691</v>
      </c>
      <c r="BG762" s="258" t="s">
        <v>345</v>
      </c>
      <c r="BH762" s="141"/>
    </row>
    <row r="763" spans="3:60" ht="15.6" x14ac:dyDescent="0.3">
      <c r="C763" s="28"/>
      <c r="D763" s="150" t="s">
        <v>632</v>
      </c>
      <c r="E763" s="36">
        <v>9</v>
      </c>
      <c r="F763" s="37">
        <v>9</v>
      </c>
      <c r="G763" s="10"/>
      <c r="H763" s="37"/>
      <c r="I763" s="11"/>
      <c r="J763" s="18"/>
      <c r="K763" s="11"/>
      <c r="L763" s="158" t="s">
        <v>633</v>
      </c>
      <c r="M763" s="156" t="s">
        <v>634</v>
      </c>
      <c r="N763" s="39" t="s">
        <v>635</v>
      </c>
      <c r="R763" s="67" t="s">
        <v>105</v>
      </c>
      <c r="S763" s="84">
        <v>1</v>
      </c>
      <c r="T763" s="54">
        <v>0</v>
      </c>
      <c r="U763" s="84"/>
      <c r="V763" s="45"/>
      <c r="W763" s="85"/>
      <c r="X763" s="45"/>
      <c r="Y763" s="85"/>
      <c r="Z763" s="179"/>
      <c r="AA763" s="54"/>
      <c r="AB763" s="180"/>
      <c r="AX763" s="196" t="s">
        <v>250</v>
      </c>
      <c r="AY763" s="138">
        <v>0</v>
      </c>
      <c r="AZ763" s="141">
        <v>3</v>
      </c>
      <c r="BA763" s="324" t="s">
        <v>1796</v>
      </c>
      <c r="BB763" s="43">
        <v>2</v>
      </c>
      <c r="BC763" s="141">
        <v>2</v>
      </c>
      <c r="BD763" s="138"/>
      <c r="BE763" s="141"/>
      <c r="BF763" s="138" t="s">
        <v>280</v>
      </c>
      <c r="BG763" s="258" t="s">
        <v>1216</v>
      </c>
      <c r="BH763" s="141"/>
    </row>
    <row r="764" spans="3:60" ht="15.6" x14ac:dyDescent="0.3">
      <c r="C764" s="37"/>
      <c r="D764" s="36" t="s">
        <v>636</v>
      </c>
      <c r="E764" s="36">
        <v>0</v>
      </c>
      <c r="F764" s="37">
        <v>3</v>
      </c>
      <c r="G764" s="10"/>
      <c r="H764" s="18"/>
      <c r="I764" s="11"/>
      <c r="J764" s="18"/>
      <c r="K764" s="11"/>
      <c r="L764" s="37" t="s">
        <v>637</v>
      </c>
      <c r="M764" s="37" t="s">
        <v>638</v>
      </c>
      <c r="N764" s="40" t="s">
        <v>639</v>
      </c>
      <c r="R764" s="67" t="s">
        <v>384</v>
      </c>
      <c r="S764" s="84">
        <v>1</v>
      </c>
      <c r="T764" s="54">
        <v>1</v>
      </c>
      <c r="U764" s="84"/>
      <c r="V764" s="45"/>
      <c r="W764" s="85"/>
      <c r="X764" s="45"/>
      <c r="Y764" s="85"/>
      <c r="Z764" s="179"/>
      <c r="AA764" s="54"/>
      <c r="AB764" s="180"/>
      <c r="AX764" s="196" t="s">
        <v>93</v>
      </c>
      <c r="AY764" s="138">
        <v>0</v>
      </c>
      <c r="AZ764" s="141">
        <v>2</v>
      </c>
      <c r="BA764" s="324" t="s">
        <v>1797</v>
      </c>
      <c r="BB764" s="43">
        <v>0</v>
      </c>
      <c r="BC764" s="141">
        <v>0</v>
      </c>
      <c r="BD764" s="138"/>
      <c r="BE764" s="141"/>
      <c r="BF764" s="138" t="s">
        <v>571</v>
      </c>
      <c r="BG764" s="258" t="s">
        <v>1798</v>
      </c>
      <c r="BH764" s="141"/>
    </row>
    <row r="765" spans="3:60" ht="15.6" x14ac:dyDescent="0.3">
      <c r="C765" s="28"/>
      <c r="D765" s="150" t="s">
        <v>211</v>
      </c>
      <c r="E765" s="36">
        <f>4+3</f>
        <v>7</v>
      </c>
      <c r="F765" s="37">
        <f>7+2</f>
        <v>9</v>
      </c>
      <c r="G765" s="10"/>
      <c r="H765" s="18"/>
      <c r="I765" s="11"/>
      <c r="J765" s="18"/>
      <c r="K765" s="11"/>
      <c r="L765" s="159" t="s">
        <v>316</v>
      </c>
      <c r="M765" s="37" t="s">
        <v>207</v>
      </c>
      <c r="N765" s="39" t="s">
        <v>279</v>
      </c>
      <c r="R765" s="127" t="s">
        <v>946</v>
      </c>
      <c r="S765" s="84">
        <v>1</v>
      </c>
      <c r="T765" s="54">
        <v>8</v>
      </c>
      <c r="U765" s="42"/>
      <c r="V765" s="45"/>
      <c r="W765" s="40"/>
      <c r="X765" s="45"/>
      <c r="Y765" s="85"/>
      <c r="Z765" s="158"/>
      <c r="AA765" s="54"/>
      <c r="AB765" s="86"/>
      <c r="AX765" s="196" t="s">
        <v>523</v>
      </c>
      <c r="AY765" s="138">
        <v>4</v>
      </c>
      <c r="AZ765" s="141">
        <v>142</v>
      </c>
      <c r="BA765" s="324" t="s">
        <v>1799</v>
      </c>
      <c r="BB765" s="43">
        <v>0</v>
      </c>
      <c r="BC765" s="141">
        <v>0</v>
      </c>
      <c r="BD765" s="138"/>
      <c r="BE765" s="141"/>
      <c r="BF765" s="138" t="s">
        <v>510</v>
      </c>
      <c r="BG765" s="258" t="s">
        <v>989</v>
      </c>
      <c r="BH765" s="141"/>
    </row>
    <row r="766" spans="3:60" ht="15.6" x14ac:dyDescent="0.3">
      <c r="D766" s="150" t="s">
        <v>640</v>
      </c>
      <c r="E766" s="36">
        <v>2</v>
      </c>
      <c r="F766" s="37">
        <v>1</v>
      </c>
      <c r="G766" s="10"/>
      <c r="H766" s="18"/>
      <c r="I766" s="11"/>
      <c r="J766" s="18"/>
      <c r="K766" s="11"/>
      <c r="L766" s="37" t="s">
        <v>497</v>
      </c>
      <c r="M766" s="37" t="s">
        <v>641</v>
      </c>
      <c r="N766" s="114" t="s">
        <v>642</v>
      </c>
      <c r="R766" s="127" t="s">
        <v>218</v>
      </c>
      <c r="S766" s="84">
        <v>16</v>
      </c>
      <c r="T766" s="54">
        <v>17</v>
      </c>
      <c r="U766" s="42"/>
      <c r="V766" s="45">
        <v>0</v>
      </c>
      <c r="W766" s="40"/>
      <c r="X766" s="45"/>
      <c r="Y766" s="85"/>
      <c r="Z766" s="179"/>
      <c r="AA766" s="54"/>
      <c r="AB766" s="180"/>
      <c r="AX766" s="196" t="s">
        <v>429</v>
      </c>
      <c r="AY766" s="138">
        <v>0</v>
      </c>
      <c r="AZ766" s="141">
        <v>2</v>
      </c>
      <c r="BA766" s="196"/>
      <c r="BB766" s="43"/>
      <c r="BC766" s="141"/>
      <c r="BD766" s="138"/>
      <c r="BE766" s="141"/>
      <c r="BF766" s="138" t="s">
        <v>507</v>
      </c>
      <c r="BG766" s="258" t="s">
        <v>1800</v>
      </c>
      <c r="BH766" s="141"/>
    </row>
    <row r="767" spans="3:60" ht="15.6" x14ac:dyDescent="0.3">
      <c r="D767" s="36" t="s">
        <v>605</v>
      </c>
      <c r="E767" s="36">
        <v>2</v>
      </c>
      <c r="F767" s="37">
        <v>2</v>
      </c>
      <c r="G767" s="10"/>
      <c r="H767" s="18"/>
      <c r="I767" s="11"/>
      <c r="J767" s="18"/>
      <c r="K767" s="11"/>
      <c r="L767" s="37" t="s">
        <v>643</v>
      </c>
      <c r="M767" s="37" t="s">
        <v>644</v>
      </c>
      <c r="N767" s="39" t="s">
        <v>645</v>
      </c>
      <c r="R767" s="181" t="s">
        <v>947</v>
      </c>
      <c r="S767" s="10">
        <v>1</v>
      </c>
      <c r="T767" s="18">
        <v>0</v>
      </c>
      <c r="U767" s="10"/>
      <c r="V767" s="18"/>
      <c r="W767" s="11"/>
      <c r="X767" s="18"/>
      <c r="Y767" s="11"/>
      <c r="Z767" s="179"/>
      <c r="AA767" s="37"/>
      <c r="AB767" s="182"/>
      <c r="AX767" s="196" t="s">
        <v>384</v>
      </c>
      <c r="AY767" s="138">
        <v>1</v>
      </c>
      <c r="AZ767" s="141">
        <v>1</v>
      </c>
      <c r="BA767" s="196"/>
      <c r="BB767" s="43"/>
      <c r="BC767" s="141"/>
      <c r="BD767" s="138"/>
      <c r="BE767" s="141"/>
      <c r="BF767" s="138" t="s">
        <v>1801</v>
      </c>
      <c r="BG767" s="258"/>
      <c r="BH767" s="141"/>
    </row>
    <row r="768" spans="3:60" ht="16.2" thickBot="1" x14ac:dyDescent="0.35">
      <c r="D768" s="36" t="s">
        <v>331</v>
      </c>
      <c r="E768" s="10">
        <v>3</v>
      </c>
      <c r="F768" s="37">
        <v>0</v>
      </c>
      <c r="G768" s="10"/>
      <c r="H768" s="18"/>
      <c r="I768" s="39"/>
      <c r="J768" s="18"/>
      <c r="K768" s="11"/>
      <c r="L768" s="159" t="s">
        <v>646</v>
      </c>
      <c r="M768" s="37" t="s">
        <v>479</v>
      </c>
      <c r="N768" s="39" t="s">
        <v>647</v>
      </c>
      <c r="R768" s="13" t="s">
        <v>84</v>
      </c>
      <c r="S768" s="13">
        <f>SUM(S743:S767)</f>
        <v>171</v>
      </c>
      <c r="T768" s="27">
        <f>SUM(T743:T767)</f>
        <v>218</v>
      </c>
      <c r="U768" s="13">
        <v>0</v>
      </c>
      <c r="V768" s="27">
        <f>SUM(V743:V767)</f>
        <v>0</v>
      </c>
      <c r="W768" s="26">
        <f>SUM(W743:W767)</f>
        <v>0</v>
      </c>
      <c r="X768" s="58">
        <v>0</v>
      </c>
      <c r="Y768" s="26">
        <v>0</v>
      </c>
      <c r="Z768" s="81"/>
      <c r="AA768" s="27"/>
      <c r="AB768" s="26">
        <f>10+7+5+3+6+4+6+6+2+3+3+10+3</f>
        <v>68</v>
      </c>
      <c r="AX768" s="196" t="s">
        <v>64</v>
      </c>
      <c r="AY768" s="138">
        <v>0</v>
      </c>
      <c r="AZ768" s="141">
        <v>2</v>
      </c>
      <c r="BA768" s="196"/>
      <c r="BB768" s="43"/>
      <c r="BC768" s="141"/>
      <c r="BD768" s="138"/>
      <c r="BE768" s="141"/>
      <c r="BF768" s="138" t="s">
        <v>1802</v>
      </c>
      <c r="BG768" s="258"/>
      <c r="BH768" s="141"/>
    </row>
    <row r="769" spans="3:61" ht="16.2" thickBot="1" x14ac:dyDescent="0.35">
      <c r="D769" s="150" t="s">
        <v>250</v>
      </c>
      <c r="E769" s="10">
        <v>0</v>
      </c>
      <c r="F769" s="37">
        <v>1</v>
      </c>
      <c r="G769" s="10"/>
      <c r="H769" s="18"/>
      <c r="I769" s="11"/>
      <c r="J769" s="18"/>
      <c r="K769" s="11"/>
      <c r="L769" s="54" t="s">
        <v>648</v>
      </c>
      <c r="M769" s="37"/>
      <c r="N769" s="39" t="s">
        <v>283</v>
      </c>
      <c r="R769" s="13" t="s">
        <v>223</v>
      </c>
      <c r="S769" s="13">
        <f>SUM(S768+S742+S739+S735+S733+S730+S728)</f>
        <v>1704</v>
      </c>
      <c r="T769" s="26">
        <f>SUM(T768+T742+T739+T735+T733+T730+T728)</f>
        <v>2015</v>
      </c>
      <c r="U769" s="26">
        <f>SUM(U768+U742+U739+U735+U733+U730+U728)</f>
        <v>0</v>
      </c>
      <c r="V769" s="26">
        <f>SUM(V768+V742+V739+V735+V733+V730+V728)</f>
        <v>34</v>
      </c>
      <c r="W769" s="26">
        <f>SUM(W768+W742+W739+W735+W733+W730+W728)</f>
        <v>0</v>
      </c>
      <c r="X769" s="160">
        <f>SUM(X768+X742+X739+X735+X732+X730+X728)</f>
        <v>76690</v>
      </c>
      <c r="Y769" s="26">
        <f>SUM(Y768+Y742+Y739+Y735+Y732+Y730+Y728)</f>
        <v>18180</v>
      </c>
      <c r="Z769" s="81"/>
      <c r="AA769" s="27" t="s">
        <v>247</v>
      </c>
      <c r="AB769" s="26">
        <f>SUM(AB728:AB768)</f>
        <v>248</v>
      </c>
      <c r="AX769" s="211" t="s">
        <v>139</v>
      </c>
      <c r="AY769" s="212">
        <v>1</v>
      </c>
      <c r="AZ769" s="209">
        <v>0</v>
      </c>
      <c r="BA769" s="196"/>
      <c r="BB769" s="28"/>
      <c r="BC769" s="141"/>
      <c r="BD769" s="138"/>
      <c r="BE769" s="141"/>
      <c r="BF769" s="138" t="s">
        <v>1803</v>
      </c>
      <c r="BG769" s="258"/>
      <c r="BH769" s="141"/>
    </row>
    <row r="770" spans="3:61" x14ac:dyDescent="0.3">
      <c r="D770" s="92" t="s">
        <v>64</v>
      </c>
      <c r="E770" s="84">
        <v>0</v>
      </c>
      <c r="F770" s="54">
        <v>0</v>
      </c>
      <c r="G770" s="84"/>
      <c r="H770" s="45"/>
      <c r="I770" s="85"/>
      <c r="J770" s="18"/>
      <c r="K770" s="11"/>
      <c r="L770" s="54" t="s">
        <v>649</v>
      </c>
      <c r="M770" s="54" t="s">
        <v>650</v>
      </c>
      <c r="N770" s="86" t="s">
        <v>576</v>
      </c>
      <c r="R770" s="131" t="s">
        <v>225</v>
      </c>
      <c r="T770">
        <f>SUM(AB768)</f>
        <v>68</v>
      </c>
      <c r="V770" t="s">
        <v>184</v>
      </c>
      <c r="W770" s="132"/>
      <c r="AX770" s="239" t="s">
        <v>108</v>
      </c>
      <c r="AY770" s="263">
        <v>1</v>
      </c>
      <c r="AZ770" s="264">
        <v>1</v>
      </c>
      <c r="BA770" s="199"/>
      <c r="BB770" s="143"/>
      <c r="BC770" s="146"/>
      <c r="BD770" s="142"/>
      <c r="BE770" s="146"/>
      <c r="BF770" s="323" t="s">
        <v>1033</v>
      </c>
      <c r="BG770" s="143"/>
      <c r="BH770" s="146">
        <v>91</v>
      </c>
    </row>
    <row r="771" spans="3:61" x14ac:dyDescent="0.3">
      <c r="D771" s="67" t="s">
        <v>564</v>
      </c>
      <c r="E771" s="84">
        <v>4</v>
      </c>
      <c r="F771" s="54">
        <v>4</v>
      </c>
      <c r="G771" s="84"/>
      <c r="H771" s="45"/>
      <c r="I771" s="85"/>
      <c r="J771" s="45"/>
      <c r="K771" s="85"/>
      <c r="L771" s="54" t="s">
        <v>651</v>
      </c>
      <c r="M771" s="54"/>
      <c r="N771" s="40"/>
      <c r="R771" t="s">
        <v>229</v>
      </c>
      <c r="T771">
        <v>16</v>
      </c>
      <c r="AX771" s="265" t="s">
        <v>84</v>
      </c>
      <c r="AY771" s="247">
        <v>158</v>
      </c>
      <c r="AZ771" s="266">
        <v>375</v>
      </c>
      <c r="BA771" s="325" t="s">
        <v>84</v>
      </c>
      <c r="BB771" s="198">
        <v>33</v>
      </c>
      <c r="BC771" s="249">
        <v>22</v>
      </c>
      <c r="BD771" s="197"/>
      <c r="BE771" s="249"/>
      <c r="BF771" s="198"/>
      <c r="BG771" s="198"/>
      <c r="BH771" s="249">
        <v>296</v>
      </c>
    </row>
    <row r="772" spans="3:61" x14ac:dyDescent="0.3">
      <c r="D772" s="67" t="s">
        <v>652</v>
      </c>
      <c r="E772" s="84">
        <v>3</v>
      </c>
      <c r="F772" s="54">
        <v>0</v>
      </c>
      <c r="G772" s="84"/>
      <c r="H772" s="45"/>
      <c r="I772" s="85"/>
      <c r="J772" s="45"/>
      <c r="K772" s="85"/>
      <c r="L772" s="54"/>
      <c r="M772" s="54"/>
      <c r="N772" s="40"/>
      <c r="R772" t="s">
        <v>232</v>
      </c>
      <c r="T772" t="s">
        <v>233</v>
      </c>
      <c r="V772">
        <f>SUM(G769)</f>
        <v>0</v>
      </c>
      <c r="X772" t="s">
        <v>234</v>
      </c>
      <c r="Z772" t="s">
        <v>233</v>
      </c>
      <c r="AB772">
        <f>SUM(S769)</f>
        <v>1704</v>
      </c>
      <c r="AX772" s="28" t="s">
        <v>223</v>
      </c>
      <c r="AY772" s="43">
        <v>8654</v>
      </c>
      <c r="AZ772" s="186">
        <v>10956</v>
      </c>
      <c r="BA772" s="184" t="s">
        <v>1804</v>
      </c>
      <c r="BB772" t="s">
        <v>1805</v>
      </c>
      <c r="BC772" t="s">
        <v>1806</v>
      </c>
    </row>
    <row r="773" spans="3:61" x14ac:dyDescent="0.3">
      <c r="D773" s="127" t="s">
        <v>107</v>
      </c>
      <c r="E773" s="84">
        <f>3+2</f>
        <v>5</v>
      </c>
      <c r="F773" s="54">
        <v>3</v>
      </c>
      <c r="G773" s="42"/>
      <c r="H773" s="45"/>
      <c r="I773" s="40"/>
      <c r="J773" s="45"/>
      <c r="K773" s="85"/>
      <c r="L773" s="155"/>
      <c r="M773" s="54"/>
      <c r="N773" s="86"/>
      <c r="Q773" t="s">
        <v>6</v>
      </c>
      <c r="T773" t="s">
        <v>236</v>
      </c>
      <c r="V773">
        <f>SUM(H769)</f>
        <v>0</v>
      </c>
      <c r="Z773" t="s">
        <v>236</v>
      </c>
      <c r="AB773">
        <f>SUM(T769)</f>
        <v>2015</v>
      </c>
      <c r="AX773" s="28" t="s">
        <v>1340</v>
      </c>
      <c r="AY773" s="28"/>
      <c r="AZ773" s="186">
        <v>296</v>
      </c>
    </row>
    <row r="774" spans="3:61" x14ac:dyDescent="0.3">
      <c r="D774" s="127" t="s">
        <v>218</v>
      </c>
      <c r="E774" s="84">
        <v>10</v>
      </c>
      <c r="F774" s="54">
        <v>27</v>
      </c>
      <c r="G774" s="42"/>
      <c r="H774" s="45">
        <v>0</v>
      </c>
      <c r="I774" s="40"/>
      <c r="J774" s="45"/>
      <c r="K774" s="85"/>
      <c r="L774" s="54"/>
      <c r="M774" s="54"/>
      <c r="N774" s="40"/>
      <c r="R774" s="134" t="s">
        <v>238</v>
      </c>
      <c r="S774" s="135" t="s">
        <v>239</v>
      </c>
      <c r="T774" s="136"/>
      <c r="U774" s="134" t="s">
        <v>240</v>
      </c>
      <c r="V774" s="135" t="s">
        <v>241</v>
      </c>
      <c r="W774" s="136"/>
      <c r="X774" s="134"/>
      <c r="Y774" s="135" t="s">
        <v>242</v>
      </c>
      <c r="Z774" s="137" t="s">
        <v>243</v>
      </c>
      <c r="AA774" s="135"/>
      <c r="AB774" s="135"/>
      <c r="AC774" s="136"/>
      <c r="AD774" s="28"/>
      <c r="AX774" s="28" t="s">
        <v>229</v>
      </c>
      <c r="AY774" s="28"/>
      <c r="AZ774" s="186">
        <v>4</v>
      </c>
    </row>
    <row r="775" spans="3:61" x14ac:dyDescent="0.3">
      <c r="D775" s="98" t="s">
        <v>93</v>
      </c>
      <c r="E775" s="10">
        <v>8</v>
      </c>
      <c r="F775" s="18">
        <f>8+2</f>
        <v>10</v>
      </c>
      <c r="G775" s="10"/>
      <c r="H775" s="18"/>
      <c r="I775" s="11"/>
      <c r="J775" s="18"/>
      <c r="K775" s="11"/>
      <c r="L775" s="54"/>
      <c r="M775" s="37"/>
      <c r="N775" s="129"/>
      <c r="R775" s="138" t="s">
        <v>233</v>
      </c>
      <c r="S775" s="28"/>
      <c r="T775" s="139" t="e">
        <f>SUM(#REF!)</f>
        <v>#REF!</v>
      </c>
      <c r="U775" s="138" t="s">
        <v>233</v>
      </c>
      <c r="V775" s="28"/>
      <c r="W775" s="139" t="e">
        <f>SUM(#REF!)</f>
        <v>#REF!</v>
      </c>
      <c r="X775" s="138" t="s">
        <v>233</v>
      </c>
      <c r="Y775" s="28"/>
      <c r="Z775" s="140" t="e">
        <f>SUM(AB772+W775)</f>
        <v>#REF!</v>
      </c>
      <c r="AA775" s="28" t="s">
        <v>245</v>
      </c>
      <c r="AB775" s="140" t="e">
        <f>SUM(Z775+T775)</f>
        <v>#REF!</v>
      </c>
      <c r="AC775" s="139"/>
      <c r="AD775" s="140"/>
      <c r="AE775" s="28"/>
      <c r="AF775" s="28"/>
      <c r="AX775" t="s">
        <v>232</v>
      </c>
      <c r="AZ775" s="178" t="s">
        <v>233</v>
      </c>
      <c r="BB775">
        <v>1552</v>
      </c>
      <c r="BD775" t="s">
        <v>234</v>
      </c>
      <c r="BF775" t="s">
        <v>233</v>
      </c>
      <c r="BH775">
        <v>8654</v>
      </c>
    </row>
    <row r="776" spans="3:61" ht="15" thickBot="1" x14ac:dyDescent="0.35">
      <c r="D776" s="13" t="s">
        <v>84</v>
      </c>
      <c r="E776" s="13">
        <f>SUM(E751:E775)</f>
        <v>235</v>
      </c>
      <c r="F776" s="27">
        <f>SUM(F751:F775)</f>
        <v>249</v>
      </c>
      <c r="G776" s="13">
        <v>0</v>
      </c>
      <c r="H776" s="27">
        <f>SUM(H751:H775)</f>
        <v>0</v>
      </c>
      <c r="I776" s="26">
        <v>0</v>
      </c>
      <c r="J776" s="58">
        <v>0</v>
      </c>
      <c r="K776" s="26">
        <v>0</v>
      </c>
      <c r="L776" s="81"/>
      <c r="M776" s="27"/>
      <c r="N776" s="26">
        <f>4+4+19+16+4+5+6+8+5+5+7+4+2+2+10+3+9+1+1</f>
        <v>115</v>
      </c>
      <c r="R776" s="142" t="s">
        <v>236</v>
      </c>
      <c r="S776" s="143"/>
      <c r="T776" s="144" t="e">
        <f>SUM(#REF!)</f>
        <v>#REF!</v>
      </c>
      <c r="U776" s="142" t="s">
        <v>236</v>
      </c>
      <c r="V776" s="143"/>
      <c r="W776" s="144" t="e">
        <f>SUM(#REF!)</f>
        <v>#REF!</v>
      </c>
      <c r="X776" s="142" t="s">
        <v>236</v>
      </c>
      <c r="Y776" s="143"/>
      <c r="Z776" s="145" t="e">
        <f>SUM(AB773+W776)</f>
        <v>#REF!</v>
      </c>
      <c r="AA776" s="143"/>
      <c r="AB776" s="145" t="e">
        <f>SUM(Z776+T776)</f>
        <v>#REF!</v>
      </c>
      <c r="AC776" s="144"/>
      <c r="AD776" s="140"/>
      <c r="AE776" s="140"/>
      <c r="AF776" s="140"/>
      <c r="AZ776" t="s">
        <v>236</v>
      </c>
      <c r="BB776">
        <v>1744</v>
      </c>
      <c r="BF776" t="s">
        <v>236</v>
      </c>
      <c r="BH776">
        <v>10956</v>
      </c>
    </row>
    <row r="777" spans="3:61" ht="15" thickBot="1" x14ac:dyDescent="0.35">
      <c r="D777" s="13" t="s">
        <v>223</v>
      </c>
      <c r="E777" s="13">
        <f>SUM(E776+E750+E747+E743+E740+E737+E735)</f>
        <v>1807</v>
      </c>
      <c r="F777" s="26">
        <f>SUM(F776+F750+F747+F743+F740+F737+F735)</f>
        <v>1934</v>
      </c>
      <c r="G777" s="26">
        <f>SUM(G776+G750+G747+G743+G740+G737+G735)</f>
        <v>0</v>
      </c>
      <c r="H777" s="26">
        <f>SUM(H776+H750+H747+H743+H740+H737+H735)</f>
        <v>0</v>
      </c>
      <c r="I777" s="26">
        <f>SUM(I776+I750+I747+I743+I740+I737+I735)</f>
        <v>0</v>
      </c>
      <c r="J777" s="160">
        <f>SUM(J776+J750+J747+J743+J739+J737+J735)</f>
        <v>61860</v>
      </c>
      <c r="K777" s="26">
        <f>SUM(K776+K750+K747+K743+K739+K737+K735)</f>
        <v>10813</v>
      </c>
      <c r="L777" s="81"/>
      <c r="M777" s="27" t="s">
        <v>247</v>
      </c>
      <c r="N777" s="26">
        <f>SUM(N735:N776)</f>
        <v>267</v>
      </c>
      <c r="AE777" s="140"/>
      <c r="AF777" s="140"/>
      <c r="AX777" t="s">
        <v>238</v>
      </c>
      <c r="AY777" t="s">
        <v>239</v>
      </c>
      <c r="BA777" t="s">
        <v>240</v>
      </c>
      <c r="BB777" t="s">
        <v>241</v>
      </c>
      <c r="BE777" t="s">
        <v>242</v>
      </c>
      <c r="BF777" s="131" t="s">
        <v>243</v>
      </c>
    </row>
    <row r="778" spans="3:61" x14ac:dyDescent="0.3">
      <c r="D778" s="131" t="s">
        <v>225</v>
      </c>
      <c r="F778">
        <f>SUM(N776)</f>
        <v>115</v>
      </c>
      <c r="I778" s="132"/>
      <c r="AX778" t="s">
        <v>233</v>
      </c>
      <c r="AZ778">
        <v>43937</v>
      </c>
      <c r="BA778" s="236" t="s">
        <v>233</v>
      </c>
      <c r="BC778">
        <v>3323</v>
      </c>
      <c r="BD778" t="s">
        <v>233</v>
      </c>
      <c r="BF778">
        <v>10031</v>
      </c>
      <c r="BG778" t="s">
        <v>245</v>
      </c>
      <c r="BH778">
        <v>29641</v>
      </c>
    </row>
    <row r="779" spans="3:61" x14ac:dyDescent="0.3">
      <c r="D779" t="s">
        <v>229</v>
      </c>
      <c r="F779">
        <v>21</v>
      </c>
      <c r="AX779" t="s">
        <v>236</v>
      </c>
      <c r="AZ779">
        <v>45174</v>
      </c>
      <c r="BA779" s="236" t="s">
        <v>236</v>
      </c>
      <c r="BC779">
        <v>6708</v>
      </c>
      <c r="BD779" t="s">
        <v>236</v>
      </c>
      <c r="BF779">
        <v>19610</v>
      </c>
      <c r="BH779">
        <v>89111</v>
      </c>
      <c r="BI779">
        <v>118752</v>
      </c>
    </row>
    <row r="780" spans="3:61" x14ac:dyDescent="0.3">
      <c r="D780" t="s">
        <v>232</v>
      </c>
      <c r="F780" t="s">
        <v>233</v>
      </c>
      <c r="H780" t="e">
        <f>SUM(#REF!)</f>
        <v>#REF!</v>
      </c>
      <c r="J780" t="s">
        <v>234</v>
      </c>
      <c r="L780" t="s">
        <v>233</v>
      </c>
      <c r="N780">
        <f>SUM(E777)</f>
        <v>1807</v>
      </c>
    </row>
    <row r="781" spans="3:61" x14ac:dyDescent="0.3">
      <c r="C781" t="s">
        <v>6</v>
      </c>
      <c r="F781" t="s">
        <v>236</v>
      </c>
      <c r="H781" t="e">
        <f>SUM(#REF!)</f>
        <v>#REF!</v>
      </c>
      <c r="L781" t="s">
        <v>236</v>
      </c>
      <c r="N781">
        <f>SUM(F777)</f>
        <v>1934</v>
      </c>
    </row>
    <row r="782" spans="3:61" x14ac:dyDescent="0.3">
      <c r="D782" s="134" t="s">
        <v>238</v>
      </c>
      <c r="E782" s="135" t="s">
        <v>239</v>
      </c>
      <c r="F782" s="136"/>
      <c r="G782" s="134" t="s">
        <v>240</v>
      </c>
      <c r="H782" s="135" t="s">
        <v>241</v>
      </c>
      <c r="I782" s="136"/>
      <c r="J782" s="134"/>
      <c r="K782" s="135" t="s">
        <v>242</v>
      </c>
      <c r="L782" s="137" t="s">
        <v>243</v>
      </c>
      <c r="M782" s="135"/>
      <c r="N782" s="135"/>
      <c r="O782" s="136"/>
    </row>
    <row r="783" spans="3:61" x14ac:dyDescent="0.3">
      <c r="D783" s="138" t="s">
        <v>233</v>
      </c>
      <c r="E783" s="28"/>
      <c r="F783" s="139" t="e">
        <f>SUM(#REF!)</f>
        <v>#REF!</v>
      </c>
      <c r="G783" s="138" t="s">
        <v>233</v>
      </c>
      <c r="H783" s="28"/>
      <c r="I783" s="139" t="e">
        <f>SUM(#REF!)</f>
        <v>#REF!</v>
      </c>
      <c r="J783" s="138" t="s">
        <v>233</v>
      </c>
      <c r="K783" s="28"/>
      <c r="L783" s="140" t="e">
        <f>SUM(N780+I783)</f>
        <v>#REF!</v>
      </c>
      <c r="M783" s="28" t="s">
        <v>245</v>
      </c>
      <c r="N783" s="28" t="e">
        <f>SUM(L783+F783)</f>
        <v>#REF!</v>
      </c>
      <c r="O783" s="141"/>
    </row>
    <row r="784" spans="3:61" x14ac:dyDescent="0.3">
      <c r="D784" s="142" t="s">
        <v>236</v>
      </c>
      <c r="E784" s="143"/>
      <c r="F784" s="144" t="e">
        <f>SUM(#REF!)</f>
        <v>#REF!</v>
      </c>
      <c r="G784" s="142" t="s">
        <v>236</v>
      </c>
      <c r="H784" s="143"/>
      <c r="I784" s="144" t="e">
        <f>SUM(#REF!)</f>
        <v>#REF!</v>
      </c>
      <c r="J784" s="142" t="s">
        <v>236</v>
      </c>
      <c r="K784" s="143"/>
      <c r="L784" s="145" t="e">
        <f>SUM(N781+I784)</f>
        <v>#REF!</v>
      </c>
      <c r="M784" s="143"/>
      <c r="N784" s="143" t="e">
        <f>SUM(L784+F784)</f>
        <v>#REF!</v>
      </c>
      <c r="O784" s="146"/>
    </row>
    <row r="788" spans="50:61" x14ac:dyDescent="0.3">
      <c r="BB788" t="s">
        <v>5</v>
      </c>
      <c r="BE788" s="28"/>
      <c r="BF788" s="28"/>
      <c r="BG788" s="28"/>
      <c r="BH788" s="28"/>
      <c r="BI788" s="28"/>
    </row>
    <row r="789" spans="50:61" x14ac:dyDescent="0.3">
      <c r="BC789" t="s">
        <v>2</v>
      </c>
      <c r="BE789" s="28"/>
      <c r="BF789" s="28"/>
      <c r="BG789" s="28"/>
      <c r="BH789" s="28"/>
      <c r="BI789" s="28"/>
    </row>
    <row r="790" spans="50:61" x14ac:dyDescent="0.3">
      <c r="BA790" t="s">
        <v>13</v>
      </c>
      <c r="BE790" s="28"/>
      <c r="BF790" s="28"/>
      <c r="BG790" s="28"/>
      <c r="BH790" s="28"/>
      <c r="BI790" s="28"/>
    </row>
    <row r="791" spans="50:61" x14ac:dyDescent="0.3">
      <c r="BB791" s="409" t="s">
        <v>1807</v>
      </c>
      <c r="BC791" s="409"/>
      <c r="BD791" s="409"/>
      <c r="BE791" s="28"/>
      <c r="BF791" s="28"/>
      <c r="BG791" s="238" t="s">
        <v>950</v>
      </c>
      <c r="BH791" s="28"/>
      <c r="BI791" s="28"/>
    </row>
    <row r="792" spans="50:61" x14ac:dyDescent="0.3">
      <c r="AX792" s="195" t="s">
        <v>17</v>
      </c>
      <c r="AY792" s="134" t="s">
        <v>27</v>
      </c>
      <c r="AZ792" s="135"/>
      <c r="BA792" s="134" t="s">
        <v>28</v>
      </c>
      <c r="BB792" s="135"/>
      <c r="BC792" s="136"/>
      <c r="BD792" s="134" t="s">
        <v>1289</v>
      </c>
      <c r="BE792" s="136"/>
      <c r="BF792" s="135" t="s">
        <v>31</v>
      </c>
      <c r="BG792" s="135"/>
      <c r="BH792" s="136"/>
      <c r="BI792" s="28"/>
    </row>
    <row r="793" spans="50:61" x14ac:dyDescent="0.3">
      <c r="AX793" s="196"/>
      <c r="AY793" s="138"/>
      <c r="AZ793" s="28"/>
      <c r="BA793" s="138"/>
      <c r="BB793" s="28"/>
      <c r="BC793" s="141"/>
      <c r="BD793" s="138"/>
      <c r="BE793" s="141"/>
      <c r="BF793" s="28" t="s">
        <v>41</v>
      </c>
      <c r="BG793" s="28"/>
      <c r="BH793" s="141"/>
      <c r="BI793" s="28"/>
    </row>
    <row r="794" spans="50:61" x14ac:dyDescent="0.3">
      <c r="AX794" s="199" t="s">
        <v>42</v>
      </c>
      <c r="AY794" s="142" t="s">
        <v>43</v>
      </c>
      <c r="AZ794" s="143" t="s">
        <v>44</v>
      </c>
      <c r="BA794" s="142" t="s">
        <v>45</v>
      </c>
      <c r="BB794" s="143" t="s">
        <v>46</v>
      </c>
      <c r="BC794" s="146" t="s">
        <v>52</v>
      </c>
      <c r="BD794" s="142" t="s">
        <v>43</v>
      </c>
      <c r="BE794" s="146"/>
      <c r="BF794" s="143" t="s">
        <v>54</v>
      </c>
      <c r="BG794" s="143"/>
      <c r="BH794" s="146"/>
      <c r="BI794" s="28"/>
    </row>
    <row r="795" spans="50:61" x14ac:dyDescent="0.3">
      <c r="AX795" s="195" t="s">
        <v>64</v>
      </c>
      <c r="AY795" s="134">
        <v>192</v>
      </c>
      <c r="AZ795" s="136">
        <v>131</v>
      </c>
      <c r="BA795" s="134">
        <v>0</v>
      </c>
      <c r="BB795" s="135">
        <v>0</v>
      </c>
      <c r="BC795" s="136">
        <v>0</v>
      </c>
      <c r="BD795" s="134">
        <v>0</v>
      </c>
      <c r="BE795" s="136">
        <v>0</v>
      </c>
      <c r="BF795" s="134" t="s">
        <v>58</v>
      </c>
      <c r="BG795" s="135"/>
      <c r="BH795" s="136"/>
    </row>
    <row r="796" spans="50:61" x14ac:dyDescent="0.3">
      <c r="AX796" s="196" t="s">
        <v>56</v>
      </c>
      <c r="AY796" s="138">
        <v>26</v>
      </c>
      <c r="AZ796" s="141">
        <v>0</v>
      </c>
      <c r="BA796" s="138">
        <v>0</v>
      </c>
      <c r="BB796" s="43">
        <v>0</v>
      </c>
      <c r="BC796" s="209">
        <v>0</v>
      </c>
      <c r="BD796" s="138">
        <v>0</v>
      </c>
      <c r="BE796" s="141">
        <v>0</v>
      </c>
      <c r="BF796" s="212">
        <v>12</v>
      </c>
      <c r="BG796" s="28" t="s">
        <v>474</v>
      </c>
      <c r="BH796" s="141" t="s">
        <v>1809</v>
      </c>
    </row>
    <row r="797" spans="50:61" x14ac:dyDescent="0.3">
      <c r="AX797" s="196" t="s">
        <v>817</v>
      </c>
      <c r="AY797" s="138">
        <v>0</v>
      </c>
      <c r="AZ797" s="141">
        <v>16</v>
      </c>
      <c r="BA797" s="138">
        <v>0</v>
      </c>
      <c r="BB797" s="43">
        <v>0</v>
      </c>
      <c r="BC797" s="209">
        <v>0</v>
      </c>
      <c r="BD797" s="138">
        <v>0</v>
      </c>
      <c r="BE797" s="141">
        <v>0</v>
      </c>
      <c r="BF797" s="138">
        <v>2</v>
      </c>
      <c r="BG797" s="28" t="s">
        <v>69</v>
      </c>
      <c r="BH797" s="141"/>
    </row>
    <row r="798" spans="50:61" x14ac:dyDescent="0.3">
      <c r="AX798" s="239" t="s">
        <v>84</v>
      </c>
      <c r="AY798" s="142">
        <f>SUM(AY795:AY797)</f>
        <v>218</v>
      </c>
      <c r="AZ798" s="146">
        <f>SUM(AZ795:AZ797)</f>
        <v>147</v>
      </c>
      <c r="BA798" s="142">
        <v>0</v>
      </c>
      <c r="BB798" s="143">
        <v>0</v>
      </c>
      <c r="BC798" s="146">
        <v>0</v>
      </c>
      <c r="BD798" s="142">
        <v>0</v>
      </c>
      <c r="BE798" s="146">
        <v>0</v>
      </c>
      <c r="BF798" s="142"/>
      <c r="BG798" s="143"/>
      <c r="BH798" s="146">
        <v>14</v>
      </c>
      <c r="BI798" s="28"/>
    </row>
    <row r="799" spans="50:61" x14ac:dyDescent="0.3">
      <c r="AX799" s="195" t="s">
        <v>56</v>
      </c>
      <c r="AY799" s="134">
        <v>0</v>
      </c>
      <c r="AZ799" s="136">
        <v>0</v>
      </c>
      <c r="BA799" s="240">
        <v>0</v>
      </c>
      <c r="BB799" s="241">
        <v>0</v>
      </c>
      <c r="BC799" s="242">
        <v>0</v>
      </c>
      <c r="BD799" s="134">
        <v>3020</v>
      </c>
      <c r="BE799" s="136">
        <v>0</v>
      </c>
      <c r="BF799" s="135"/>
      <c r="BG799" s="135" t="s">
        <v>92</v>
      </c>
      <c r="BH799" s="136"/>
    </row>
    <row r="800" spans="50:61" x14ac:dyDescent="0.3">
      <c r="AX800" s="196" t="s">
        <v>1247</v>
      </c>
      <c r="AY800" s="138">
        <v>0</v>
      </c>
      <c r="AZ800" s="141">
        <v>0</v>
      </c>
      <c r="BA800" s="138">
        <v>0</v>
      </c>
      <c r="BB800" s="43">
        <v>0</v>
      </c>
      <c r="BC800" s="141">
        <v>0</v>
      </c>
      <c r="BD800" s="138">
        <v>6810</v>
      </c>
      <c r="BE800" s="141">
        <v>909</v>
      </c>
      <c r="BF800" s="43">
        <v>33</v>
      </c>
      <c r="BG800" s="28" t="s">
        <v>1297</v>
      </c>
      <c r="BH800" s="141"/>
    </row>
    <row r="801" spans="47:61" x14ac:dyDescent="0.3">
      <c r="AX801" s="211" t="s">
        <v>64</v>
      </c>
      <c r="AY801" s="138">
        <v>0</v>
      </c>
      <c r="AZ801" s="141">
        <v>0</v>
      </c>
      <c r="BA801" s="212">
        <v>0</v>
      </c>
      <c r="BB801" s="43">
        <v>0</v>
      </c>
      <c r="BC801" s="209">
        <v>0</v>
      </c>
      <c r="BD801" s="138">
        <v>3405</v>
      </c>
      <c r="BE801" s="141">
        <v>0</v>
      </c>
      <c r="BF801" s="43"/>
      <c r="BG801" s="28"/>
      <c r="BH801" s="141"/>
      <c r="BI801" s="28"/>
    </row>
    <row r="802" spans="47:61" x14ac:dyDescent="0.3">
      <c r="AX802" s="196" t="s">
        <v>107</v>
      </c>
      <c r="AY802" s="138">
        <v>0</v>
      </c>
      <c r="AZ802" s="141">
        <v>0</v>
      </c>
      <c r="BA802" s="138">
        <v>0</v>
      </c>
      <c r="BB802" s="43">
        <v>0</v>
      </c>
      <c r="BC802" s="141">
        <v>0</v>
      </c>
      <c r="BD802" s="138">
        <v>0</v>
      </c>
      <c r="BE802" s="141">
        <v>1818</v>
      </c>
      <c r="BF802" s="43"/>
      <c r="BG802" s="28"/>
      <c r="BH802" s="141"/>
    </row>
    <row r="803" spans="47:61" x14ac:dyDescent="0.3">
      <c r="AX803" s="211" t="s">
        <v>99</v>
      </c>
      <c r="AY803" s="138">
        <v>0</v>
      </c>
      <c r="AZ803" s="141">
        <v>0</v>
      </c>
      <c r="BA803" s="138">
        <v>0</v>
      </c>
      <c r="BB803" s="43">
        <v>0</v>
      </c>
      <c r="BC803" s="141">
        <v>0</v>
      </c>
      <c r="BD803" s="138">
        <v>87113</v>
      </c>
      <c r="BE803" s="141">
        <v>14535</v>
      </c>
      <c r="BF803" s="28"/>
      <c r="BG803" s="28"/>
      <c r="BH803" s="141"/>
      <c r="BI803" s="28"/>
    </row>
    <row r="804" spans="47:61" x14ac:dyDescent="0.3">
      <c r="AX804" s="211" t="s">
        <v>108</v>
      </c>
      <c r="AY804" s="138">
        <v>0</v>
      </c>
      <c r="AZ804" s="141">
        <v>0</v>
      </c>
      <c r="BA804" s="138">
        <v>0</v>
      </c>
      <c r="BB804" s="43">
        <v>0</v>
      </c>
      <c r="BC804" s="141">
        <v>0</v>
      </c>
      <c r="BD804" s="138">
        <v>3400</v>
      </c>
      <c r="BE804" s="209">
        <v>0</v>
      </c>
      <c r="BF804" s="43"/>
      <c r="BG804" s="43"/>
      <c r="BH804" s="141"/>
      <c r="BI804" s="28"/>
    </row>
    <row r="805" spans="47:61" x14ac:dyDescent="0.3">
      <c r="AX805" s="211" t="s">
        <v>84</v>
      </c>
      <c r="AY805" s="212">
        <v>0</v>
      </c>
      <c r="AZ805" s="209">
        <v>0</v>
      </c>
      <c r="BA805" s="138">
        <v>0</v>
      </c>
      <c r="BB805" s="43">
        <v>0</v>
      </c>
      <c r="BC805" s="141">
        <v>0</v>
      </c>
      <c r="BD805" s="138">
        <f>SUM(BD795:BD804)</f>
        <v>103748</v>
      </c>
      <c r="BE805" s="209">
        <f>SUM(BE795:BE804)</f>
        <v>17262</v>
      </c>
      <c r="BF805" s="28"/>
      <c r="BG805" s="43"/>
      <c r="BH805" s="141">
        <v>33</v>
      </c>
      <c r="BI805" s="28"/>
    </row>
    <row r="806" spans="47:61" x14ac:dyDescent="0.3">
      <c r="AX806" s="134"/>
      <c r="AY806" s="134"/>
      <c r="AZ806" s="136"/>
      <c r="BA806" s="134">
        <v>0</v>
      </c>
      <c r="BB806" s="135">
        <v>0</v>
      </c>
      <c r="BC806" s="136">
        <v>0</v>
      </c>
      <c r="BD806" s="134">
        <v>0</v>
      </c>
      <c r="BE806" s="136">
        <v>0</v>
      </c>
      <c r="BF806" s="134"/>
      <c r="BG806" s="135" t="s">
        <v>91</v>
      </c>
      <c r="BH806" s="136"/>
      <c r="BI806" s="28"/>
    </row>
    <row r="807" spans="47:61" x14ac:dyDescent="0.3">
      <c r="AU807" s="135" t="s">
        <v>91</v>
      </c>
      <c r="AV807" s="28">
        <v>2017</v>
      </c>
      <c r="AW807">
        <v>12</v>
      </c>
      <c r="AX807" s="138" t="s">
        <v>137</v>
      </c>
      <c r="AY807" s="138">
        <v>850</v>
      </c>
      <c r="AZ807" s="141">
        <v>1195</v>
      </c>
      <c r="BA807" s="138">
        <v>0</v>
      </c>
      <c r="BB807" s="43">
        <v>0</v>
      </c>
      <c r="BC807" s="141">
        <v>0</v>
      </c>
      <c r="BD807" s="138">
        <v>0</v>
      </c>
      <c r="BE807" s="209">
        <v>0</v>
      </c>
      <c r="BF807" s="212"/>
      <c r="BG807" s="43"/>
      <c r="BH807" s="141"/>
      <c r="BI807" s="28"/>
    </row>
    <row r="808" spans="47:61" x14ac:dyDescent="0.3">
      <c r="AU808" s="135" t="s">
        <v>91</v>
      </c>
      <c r="AV808" s="28">
        <v>2017</v>
      </c>
      <c r="AW808">
        <v>12</v>
      </c>
      <c r="AX808" s="212" t="s">
        <v>88</v>
      </c>
      <c r="AY808" s="212">
        <v>352</v>
      </c>
      <c r="AZ808" s="209">
        <v>141</v>
      </c>
      <c r="BA808" s="138">
        <v>0</v>
      </c>
      <c r="BB808" s="43">
        <v>0</v>
      </c>
      <c r="BC808" s="141">
        <v>0</v>
      </c>
      <c r="BD808" s="138">
        <v>0</v>
      </c>
      <c r="BE808" s="209">
        <v>0</v>
      </c>
      <c r="BF808" s="138">
        <v>35</v>
      </c>
      <c r="BG808" s="43" t="s">
        <v>1301</v>
      </c>
      <c r="BH808" s="141"/>
      <c r="BI808" s="28"/>
    </row>
    <row r="809" spans="47:61" x14ac:dyDescent="0.3">
      <c r="AU809" s="135" t="s">
        <v>91</v>
      </c>
      <c r="AV809" s="28">
        <v>2017</v>
      </c>
      <c r="AW809">
        <v>12</v>
      </c>
      <c r="AX809" s="138" t="s">
        <v>1810</v>
      </c>
      <c r="AY809" s="138">
        <v>0</v>
      </c>
      <c r="AZ809" s="141">
        <v>0</v>
      </c>
      <c r="BA809" s="138">
        <v>0</v>
      </c>
      <c r="BB809" s="43">
        <v>0</v>
      </c>
      <c r="BC809" s="141">
        <v>0</v>
      </c>
      <c r="BD809" s="138">
        <v>0</v>
      </c>
      <c r="BE809" s="209">
        <v>0</v>
      </c>
      <c r="BF809" s="212">
        <v>57</v>
      </c>
      <c r="BG809" s="28" t="s">
        <v>1303</v>
      </c>
      <c r="BH809" s="141"/>
      <c r="BI809" s="28"/>
    </row>
    <row r="810" spans="47:61" x14ac:dyDescent="0.3">
      <c r="AU810" s="135" t="s">
        <v>91</v>
      </c>
      <c r="AV810" s="28">
        <v>2017</v>
      </c>
      <c r="AW810">
        <v>12</v>
      </c>
      <c r="AX810" s="212" t="s">
        <v>97</v>
      </c>
      <c r="AY810" s="212">
        <v>1912</v>
      </c>
      <c r="AZ810" s="209">
        <v>2290</v>
      </c>
      <c r="BA810" s="138">
        <v>0</v>
      </c>
      <c r="BB810" s="43">
        <v>0</v>
      </c>
      <c r="BC810" s="141">
        <v>0</v>
      </c>
      <c r="BD810" s="138">
        <v>0</v>
      </c>
      <c r="BE810" s="209">
        <v>0</v>
      </c>
      <c r="BF810" s="138">
        <v>1</v>
      </c>
      <c r="BG810" s="43" t="s">
        <v>1304</v>
      </c>
      <c r="BH810" s="141"/>
      <c r="BI810" s="28"/>
    </row>
    <row r="811" spans="47:61" x14ac:dyDescent="0.3">
      <c r="AU811" s="135" t="s">
        <v>91</v>
      </c>
      <c r="AV811" s="28">
        <v>2017</v>
      </c>
      <c r="AW811">
        <v>12</v>
      </c>
      <c r="AX811" s="212" t="s">
        <v>113</v>
      </c>
      <c r="AY811" s="212">
        <v>496</v>
      </c>
      <c r="AZ811" s="209">
        <v>580</v>
      </c>
      <c r="BA811" s="138">
        <v>0</v>
      </c>
      <c r="BB811" s="43">
        <v>0</v>
      </c>
      <c r="BC811" s="141">
        <v>0</v>
      </c>
      <c r="BD811" s="138">
        <v>0</v>
      </c>
      <c r="BE811" s="209">
        <v>0</v>
      </c>
      <c r="BF811" s="138">
        <v>83</v>
      </c>
      <c r="BG811" s="43" t="s">
        <v>1305</v>
      </c>
      <c r="BH811" s="141"/>
      <c r="BI811" s="28"/>
    </row>
    <row r="812" spans="47:61" x14ac:dyDescent="0.3">
      <c r="AU812" s="135" t="s">
        <v>91</v>
      </c>
      <c r="AV812" s="28">
        <v>2017</v>
      </c>
      <c r="AW812">
        <v>12</v>
      </c>
      <c r="AX812" s="212" t="s">
        <v>817</v>
      </c>
      <c r="AY812" s="212">
        <v>20</v>
      </c>
      <c r="AZ812" s="209">
        <v>2062</v>
      </c>
      <c r="BA812" s="138">
        <v>0</v>
      </c>
      <c r="BB812" s="43">
        <v>0</v>
      </c>
      <c r="BC812" s="141">
        <v>0</v>
      </c>
      <c r="BD812" s="138">
        <v>0</v>
      </c>
      <c r="BE812" s="209">
        <v>0</v>
      </c>
      <c r="BF812" s="138"/>
      <c r="BG812" s="28"/>
      <c r="BH812" s="141"/>
      <c r="BI812" s="28"/>
    </row>
    <row r="813" spans="47:61" x14ac:dyDescent="0.3">
      <c r="AU813" s="135" t="s">
        <v>91</v>
      </c>
      <c r="AV813" s="28">
        <v>2017</v>
      </c>
      <c r="AW813">
        <v>12</v>
      </c>
      <c r="AX813" s="212" t="s">
        <v>429</v>
      </c>
      <c r="AY813" s="212">
        <v>1065</v>
      </c>
      <c r="AZ813" s="209">
        <v>553</v>
      </c>
      <c r="BA813" s="212">
        <v>0</v>
      </c>
      <c r="BB813" s="43">
        <v>0</v>
      </c>
      <c r="BC813" s="209">
        <v>0</v>
      </c>
      <c r="BD813" s="212">
        <v>0</v>
      </c>
      <c r="BE813" s="209">
        <v>0</v>
      </c>
      <c r="BF813" s="138"/>
      <c r="BG813" s="28"/>
      <c r="BH813" s="141"/>
      <c r="BI813" s="28"/>
    </row>
    <row r="814" spans="47:61" x14ac:dyDescent="0.3">
      <c r="AU814" s="135" t="s">
        <v>91</v>
      </c>
      <c r="AV814" s="28">
        <v>2017</v>
      </c>
      <c r="AW814">
        <v>12</v>
      </c>
      <c r="AX814" s="212" t="s">
        <v>1696</v>
      </c>
      <c r="AY814" s="212">
        <v>0</v>
      </c>
      <c r="AZ814" s="209">
        <v>17</v>
      </c>
      <c r="BA814" s="138">
        <v>0</v>
      </c>
      <c r="BB814" s="43">
        <v>0</v>
      </c>
      <c r="BC814" s="141">
        <v>0</v>
      </c>
      <c r="BD814" s="138">
        <v>0</v>
      </c>
      <c r="BE814" s="141">
        <v>0</v>
      </c>
      <c r="BF814" s="138"/>
      <c r="BG814" s="28"/>
      <c r="BH814" s="141"/>
      <c r="BI814" s="28"/>
    </row>
    <row r="815" spans="47:61" x14ac:dyDescent="0.3">
      <c r="AU815" s="135" t="s">
        <v>91</v>
      </c>
      <c r="AV815" s="28">
        <v>2017</v>
      </c>
      <c r="AW815">
        <v>12</v>
      </c>
      <c r="AX815" s="212" t="s">
        <v>1120</v>
      </c>
      <c r="AY815" s="138">
        <v>165</v>
      </c>
      <c r="AZ815" s="141">
        <v>3399</v>
      </c>
      <c r="BA815" s="138">
        <v>0</v>
      </c>
      <c r="BB815" s="43">
        <v>0</v>
      </c>
      <c r="BC815" s="141">
        <v>0</v>
      </c>
      <c r="BD815" s="138">
        <v>0</v>
      </c>
      <c r="BE815" s="141">
        <v>0</v>
      </c>
      <c r="BF815" s="138"/>
      <c r="BG815" s="28"/>
      <c r="BH815" s="141"/>
      <c r="BI815" s="28"/>
    </row>
    <row r="816" spans="47:61" x14ac:dyDescent="0.3">
      <c r="AU816" s="135" t="s">
        <v>91</v>
      </c>
      <c r="AV816" s="28">
        <v>2017</v>
      </c>
      <c r="AW816">
        <v>12</v>
      </c>
      <c r="AX816" s="212" t="s">
        <v>89</v>
      </c>
      <c r="AY816" s="138">
        <v>1246</v>
      </c>
      <c r="AZ816" s="141">
        <v>1365</v>
      </c>
      <c r="BA816" s="138">
        <v>0</v>
      </c>
      <c r="BB816" s="43">
        <v>0</v>
      </c>
      <c r="BC816" s="141">
        <v>0</v>
      </c>
      <c r="BD816" s="138">
        <v>0</v>
      </c>
      <c r="BE816" s="141">
        <v>0</v>
      </c>
      <c r="BF816" s="138"/>
      <c r="BG816" s="28"/>
      <c r="BH816" s="141"/>
      <c r="BI816" s="28"/>
    </row>
    <row r="817" spans="47:61" x14ac:dyDescent="0.3">
      <c r="AX817" s="212" t="s">
        <v>108</v>
      </c>
      <c r="AY817" s="142">
        <v>2</v>
      </c>
      <c r="AZ817" s="146">
        <v>0</v>
      </c>
      <c r="BA817" s="142">
        <v>0</v>
      </c>
      <c r="BB817" s="143">
        <v>0</v>
      </c>
      <c r="BC817" s="146">
        <v>0</v>
      </c>
      <c r="BD817" s="142">
        <v>0</v>
      </c>
      <c r="BE817" s="146">
        <v>0</v>
      </c>
      <c r="BF817" s="142"/>
      <c r="BG817" s="143"/>
      <c r="BH817" s="146">
        <v>176</v>
      </c>
      <c r="BI817" s="28"/>
    </row>
    <row r="818" spans="47:61" x14ac:dyDescent="0.3">
      <c r="AX818" s="247" t="s">
        <v>84</v>
      </c>
      <c r="AY818" s="247">
        <f>SUM(AY799:AY817)</f>
        <v>6108</v>
      </c>
      <c r="AZ818" s="248">
        <f>SUM(AZ799:AZ817)</f>
        <v>11602</v>
      </c>
      <c r="BA818" s="197">
        <v>0</v>
      </c>
      <c r="BB818" s="198">
        <v>0</v>
      </c>
      <c r="BC818" s="249">
        <v>0</v>
      </c>
      <c r="BD818" s="197">
        <v>0</v>
      </c>
      <c r="BE818" s="249">
        <v>0</v>
      </c>
      <c r="BF818" s="197"/>
      <c r="BG818" s="198"/>
      <c r="BH818" s="249"/>
      <c r="BI818" s="28"/>
    </row>
    <row r="819" spans="47:61" x14ac:dyDescent="0.3">
      <c r="AX819" s="134"/>
      <c r="AY819" s="134"/>
      <c r="AZ819" s="136"/>
      <c r="BA819" s="135"/>
      <c r="BB819" s="135"/>
      <c r="BC819" s="135"/>
      <c r="BD819" s="138"/>
      <c r="BE819" s="141"/>
      <c r="BF819" s="28" t="s">
        <v>1025</v>
      </c>
      <c r="BG819" s="28"/>
      <c r="BH819" s="141"/>
      <c r="BI819" s="28"/>
    </row>
    <row r="820" spans="47:61" x14ac:dyDescent="0.3">
      <c r="AX820" s="142" t="s">
        <v>64</v>
      </c>
      <c r="AY820" s="142">
        <v>105</v>
      </c>
      <c r="AZ820" s="146">
        <v>76</v>
      </c>
      <c r="BA820" s="28">
        <v>0</v>
      </c>
      <c r="BB820" s="28">
        <v>0</v>
      </c>
      <c r="BC820" s="28">
        <v>0</v>
      </c>
      <c r="BD820" s="142">
        <v>0</v>
      </c>
      <c r="BE820" s="146">
        <v>0</v>
      </c>
      <c r="BF820" s="143">
        <v>9</v>
      </c>
      <c r="BG820" s="143" t="s">
        <v>1026</v>
      </c>
      <c r="BH820" s="146">
        <v>9</v>
      </c>
      <c r="BI820" s="28"/>
    </row>
    <row r="821" spans="47:61" x14ac:dyDescent="0.3">
      <c r="AX821" s="138"/>
      <c r="AY821" s="134"/>
      <c r="AZ821" s="136"/>
      <c r="BA821" s="134"/>
      <c r="BB821" s="135"/>
      <c r="BC821" s="136"/>
      <c r="BD821" s="138"/>
      <c r="BE821" s="141"/>
      <c r="BF821" s="28" t="s">
        <v>994</v>
      </c>
      <c r="BG821" s="28"/>
      <c r="BH821" s="141"/>
      <c r="BI821" s="28"/>
    </row>
    <row r="822" spans="47:61" x14ac:dyDescent="0.3">
      <c r="AU822" s="28" t="s">
        <v>994</v>
      </c>
      <c r="AV822" s="28">
        <v>2017</v>
      </c>
      <c r="AW822">
        <v>12</v>
      </c>
      <c r="AX822" s="138" t="s">
        <v>113</v>
      </c>
      <c r="AY822" s="138">
        <v>456</v>
      </c>
      <c r="AZ822" s="141">
        <v>544</v>
      </c>
      <c r="BA822" s="138">
        <v>0</v>
      </c>
      <c r="BB822" s="43">
        <v>0</v>
      </c>
      <c r="BC822" s="209">
        <v>0</v>
      </c>
      <c r="BD822" s="138">
        <v>0</v>
      </c>
      <c r="BE822" s="141">
        <v>0</v>
      </c>
      <c r="BF822" s="43">
        <v>29</v>
      </c>
      <c r="BG822" s="28" t="s">
        <v>100</v>
      </c>
      <c r="BH822" s="141"/>
      <c r="BI822" s="28"/>
    </row>
    <row r="823" spans="47:61" x14ac:dyDescent="0.3">
      <c r="AX823" s="142" t="s">
        <v>84</v>
      </c>
      <c r="AY823" s="142">
        <v>456</v>
      </c>
      <c r="AZ823" s="146">
        <v>544</v>
      </c>
      <c r="BA823" s="142">
        <v>0</v>
      </c>
      <c r="BB823" s="224">
        <v>0</v>
      </c>
      <c r="BC823" s="251">
        <v>0</v>
      </c>
      <c r="BD823" s="142">
        <v>0</v>
      </c>
      <c r="BE823" s="146">
        <v>0</v>
      </c>
      <c r="BF823" s="43">
        <v>14</v>
      </c>
      <c r="BG823" s="43" t="s">
        <v>1292</v>
      </c>
      <c r="BH823" s="146">
        <v>43</v>
      </c>
      <c r="BI823" s="28"/>
    </row>
    <row r="824" spans="47:61" x14ac:dyDescent="0.3">
      <c r="AX824" s="195" t="s">
        <v>652</v>
      </c>
      <c r="AY824" s="134">
        <v>2</v>
      </c>
      <c r="AZ824" s="136">
        <v>4</v>
      </c>
      <c r="BA824" s="196">
        <v>0</v>
      </c>
      <c r="BB824" s="134">
        <v>0</v>
      </c>
      <c r="BC824" s="136">
        <v>0</v>
      </c>
      <c r="BD824" s="135">
        <v>0</v>
      </c>
      <c r="BE824" s="136">
        <v>0</v>
      </c>
      <c r="BF824" s="134" t="s">
        <v>140</v>
      </c>
      <c r="BG824" s="135"/>
      <c r="BH824" s="136"/>
      <c r="BI824" s="28"/>
    </row>
    <row r="825" spans="47:61" x14ac:dyDescent="0.3">
      <c r="AX825" s="196" t="s">
        <v>564</v>
      </c>
      <c r="AY825" s="138">
        <v>6</v>
      </c>
      <c r="AZ825" s="209">
        <v>0</v>
      </c>
      <c r="BA825" s="196">
        <v>0</v>
      </c>
      <c r="BB825" s="138">
        <v>0</v>
      </c>
      <c r="BC825" s="141">
        <v>0</v>
      </c>
      <c r="BD825" s="43">
        <v>0</v>
      </c>
      <c r="BE825" s="141">
        <v>0</v>
      </c>
      <c r="BF825" s="138"/>
      <c r="BG825" s="28"/>
      <c r="BH825" s="141"/>
      <c r="BI825" s="28"/>
    </row>
    <row r="826" spans="47:61" x14ac:dyDescent="0.3">
      <c r="AX826" s="196" t="s">
        <v>93</v>
      </c>
      <c r="AY826" s="138">
        <v>2</v>
      </c>
      <c r="AZ826" s="209">
        <v>3</v>
      </c>
      <c r="BA826" s="196">
        <v>0</v>
      </c>
      <c r="BB826" s="138">
        <v>0</v>
      </c>
      <c r="BC826" s="141">
        <v>0</v>
      </c>
      <c r="BD826" s="43">
        <v>0</v>
      </c>
      <c r="BE826" s="141">
        <v>0</v>
      </c>
      <c r="BF826" s="138"/>
      <c r="BG826" s="28"/>
      <c r="BH826" s="141"/>
      <c r="BI826" s="28"/>
    </row>
    <row r="827" spans="47:61" x14ac:dyDescent="0.3">
      <c r="AX827" s="196" t="s">
        <v>596</v>
      </c>
      <c r="AY827" s="138">
        <v>1</v>
      </c>
      <c r="AZ827" s="141">
        <v>1</v>
      </c>
      <c r="BA827" s="326">
        <v>0</v>
      </c>
      <c r="BB827" s="212">
        <v>0</v>
      </c>
      <c r="BC827" s="141">
        <v>0</v>
      </c>
      <c r="BD827" s="43">
        <v>0</v>
      </c>
      <c r="BE827" s="141">
        <v>0</v>
      </c>
      <c r="BF827" s="138" t="s">
        <v>142</v>
      </c>
      <c r="BG827" s="43">
        <v>5</v>
      </c>
      <c r="BH827" s="141" t="s">
        <v>682</v>
      </c>
      <c r="BI827" s="28"/>
    </row>
    <row r="828" spans="47:61" x14ac:dyDescent="0.3">
      <c r="AX828" s="196" t="s">
        <v>169</v>
      </c>
      <c r="AY828" s="138">
        <v>2</v>
      </c>
      <c r="AZ828" s="141">
        <v>4</v>
      </c>
      <c r="BA828" s="326">
        <v>0</v>
      </c>
      <c r="BB828" s="252">
        <v>0</v>
      </c>
      <c r="BC828" s="141">
        <v>0</v>
      </c>
      <c r="BD828" s="43">
        <v>0</v>
      </c>
      <c r="BE828" s="141">
        <v>0</v>
      </c>
      <c r="BF828" s="138" t="s">
        <v>146</v>
      </c>
      <c r="BG828" s="28"/>
      <c r="BH828" s="256" t="s">
        <v>1476</v>
      </c>
      <c r="BI828" s="28"/>
    </row>
    <row r="829" spans="47:61" x14ac:dyDescent="0.3">
      <c r="AX829" s="196" t="s">
        <v>1814</v>
      </c>
      <c r="AY829" s="138">
        <v>0</v>
      </c>
      <c r="AZ829" s="141">
        <v>0</v>
      </c>
      <c r="BA829" s="326">
        <v>0</v>
      </c>
      <c r="BB829" s="212">
        <v>0</v>
      </c>
      <c r="BC829" s="141">
        <v>0</v>
      </c>
      <c r="BD829" s="43">
        <v>0</v>
      </c>
      <c r="BE829" s="141">
        <v>0</v>
      </c>
      <c r="BF829" s="138"/>
      <c r="BG829" s="28"/>
      <c r="BH829" s="141" t="s">
        <v>1766</v>
      </c>
      <c r="BI829" s="28"/>
    </row>
    <row r="830" spans="47:61" x14ac:dyDescent="0.3">
      <c r="AX830" s="196" t="s">
        <v>113</v>
      </c>
      <c r="AY830" s="138">
        <v>118</v>
      </c>
      <c r="AZ830" s="141">
        <v>145</v>
      </c>
      <c r="BA830" s="326">
        <v>0</v>
      </c>
      <c r="BB830" s="212">
        <v>0</v>
      </c>
      <c r="BC830" s="141">
        <v>0</v>
      </c>
      <c r="BD830" s="43">
        <v>0</v>
      </c>
      <c r="BE830" s="141">
        <v>0</v>
      </c>
      <c r="BF830" s="138" t="s">
        <v>151</v>
      </c>
      <c r="BG830" s="28"/>
      <c r="BH830" s="141"/>
      <c r="BI830" s="28"/>
    </row>
    <row r="831" spans="47:61" x14ac:dyDescent="0.3">
      <c r="AX831" s="196" t="s">
        <v>164</v>
      </c>
      <c r="AY831" s="138">
        <v>10</v>
      </c>
      <c r="AZ831" s="141">
        <v>0</v>
      </c>
      <c r="BA831" s="326">
        <v>0</v>
      </c>
      <c r="BB831" s="212">
        <v>0</v>
      </c>
      <c r="BC831" s="141">
        <v>0</v>
      </c>
      <c r="BD831" s="43">
        <v>0</v>
      </c>
      <c r="BE831" s="141">
        <v>0</v>
      </c>
      <c r="BF831" s="138" t="s">
        <v>943</v>
      </c>
      <c r="BG831" s="257" t="s">
        <v>466</v>
      </c>
      <c r="BH831" s="141" t="s">
        <v>1815</v>
      </c>
      <c r="BI831" s="28"/>
    </row>
    <row r="832" spans="47:61" x14ac:dyDescent="0.3">
      <c r="AX832" s="196" t="s">
        <v>200</v>
      </c>
      <c r="AY832" s="138">
        <v>5</v>
      </c>
      <c r="AZ832" s="141">
        <v>9</v>
      </c>
      <c r="BA832" s="326">
        <v>0</v>
      </c>
      <c r="BB832" s="212">
        <v>0</v>
      </c>
      <c r="BC832" s="141">
        <v>0</v>
      </c>
      <c r="BD832" s="43">
        <v>0</v>
      </c>
      <c r="BE832" s="141">
        <v>0</v>
      </c>
      <c r="BF832" s="212" t="s">
        <v>507</v>
      </c>
      <c r="BG832" s="28" t="s">
        <v>1816</v>
      </c>
      <c r="BH832" s="141"/>
      <c r="BI832" s="28"/>
    </row>
    <row r="833" spans="50:62" x14ac:dyDescent="0.3">
      <c r="AX833" s="196" t="s">
        <v>1118</v>
      </c>
      <c r="AY833" s="138">
        <v>0</v>
      </c>
      <c r="AZ833" s="141">
        <v>1</v>
      </c>
      <c r="BA833" s="326">
        <v>0</v>
      </c>
      <c r="BB833" s="212">
        <v>0</v>
      </c>
      <c r="BC833" s="141">
        <v>0</v>
      </c>
      <c r="BD833" s="43">
        <v>0</v>
      </c>
      <c r="BE833" s="141">
        <v>0</v>
      </c>
      <c r="BF833" s="212" t="s">
        <v>1383</v>
      </c>
      <c r="BG833" s="43" t="s">
        <v>1817</v>
      </c>
      <c r="BH833" s="141"/>
      <c r="BI833" s="28"/>
    </row>
    <row r="834" spans="50:62" x14ac:dyDescent="0.3">
      <c r="AX834" s="196" t="s">
        <v>1247</v>
      </c>
      <c r="AY834" s="138">
        <v>0</v>
      </c>
      <c r="AZ834" s="141">
        <v>0</v>
      </c>
      <c r="BA834" s="326">
        <v>0</v>
      </c>
      <c r="BB834" s="212">
        <v>0</v>
      </c>
      <c r="BC834" s="141">
        <v>0</v>
      </c>
      <c r="BD834" s="43">
        <v>0</v>
      </c>
      <c r="BE834" s="141">
        <v>0</v>
      </c>
      <c r="BF834" s="138" t="s">
        <v>1378</v>
      </c>
      <c r="BG834" s="43" t="s">
        <v>1818</v>
      </c>
      <c r="BH834" s="141"/>
      <c r="BI834" s="28"/>
    </row>
    <row r="835" spans="50:62" x14ac:dyDescent="0.3">
      <c r="AX835" s="196" t="s">
        <v>523</v>
      </c>
      <c r="AY835" s="138">
        <v>0</v>
      </c>
      <c r="AZ835" s="141">
        <v>5</v>
      </c>
      <c r="BA835" s="326">
        <v>0</v>
      </c>
      <c r="BB835" s="212">
        <v>0</v>
      </c>
      <c r="BC835" s="141">
        <v>0</v>
      </c>
      <c r="BD835" s="43">
        <v>0</v>
      </c>
      <c r="BE835" s="141">
        <v>0</v>
      </c>
      <c r="BF835" s="138" t="s">
        <v>1819</v>
      </c>
      <c r="BG835" s="43" t="s">
        <v>1820</v>
      </c>
      <c r="BH835" s="141"/>
      <c r="BI835" s="28"/>
    </row>
    <row r="836" spans="50:62" x14ac:dyDescent="0.3">
      <c r="AX836" s="196" t="s">
        <v>64</v>
      </c>
      <c r="AY836" s="138">
        <v>0</v>
      </c>
      <c r="AZ836" s="141">
        <v>0</v>
      </c>
      <c r="BA836" s="326">
        <v>0</v>
      </c>
      <c r="BB836" s="212">
        <v>0</v>
      </c>
      <c r="BC836" s="141">
        <v>0</v>
      </c>
      <c r="BD836" s="43">
        <v>0</v>
      </c>
      <c r="BE836" s="141">
        <v>0</v>
      </c>
      <c r="BF836" s="212" t="s">
        <v>1332</v>
      </c>
      <c r="BG836" s="43" t="s">
        <v>1821</v>
      </c>
      <c r="BH836" s="141"/>
      <c r="BI836" s="28"/>
    </row>
    <row r="837" spans="50:62" x14ac:dyDescent="0.3">
      <c r="AX837" s="196" t="s">
        <v>924</v>
      </c>
      <c r="AY837" s="138">
        <v>0</v>
      </c>
      <c r="AZ837" s="141">
        <v>3</v>
      </c>
      <c r="BA837" s="326">
        <v>0</v>
      </c>
      <c r="BB837" s="212">
        <v>0</v>
      </c>
      <c r="BC837" s="141">
        <v>0</v>
      </c>
      <c r="BD837" s="43">
        <v>0</v>
      </c>
      <c r="BE837" s="141">
        <v>0</v>
      </c>
      <c r="BF837" s="138" t="s">
        <v>276</v>
      </c>
      <c r="BG837" s="43" t="s">
        <v>634</v>
      </c>
      <c r="BH837" s="209"/>
      <c r="BI837" s="28"/>
      <c r="BJ837" s="28"/>
    </row>
    <row r="838" spans="50:62" ht="15.6" x14ac:dyDescent="0.3">
      <c r="AX838" s="196" t="s">
        <v>139</v>
      </c>
      <c r="AY838" s="138">
        <v>3</v>
      </c>
      <c r="AZ838" s="141">
        <v>0</v>
      </c>
      <c r="BA838" s="326">
        <v>0</v>
      </c>
      <c r="BB838" s="212">
        <v>0</v>
      </c>
      <c r="BC838" s="141">
        <v>0</v>
      </c>
      <c r="BD838" s="43">
        <v>0</v>
      </c>
      <c r="BE838" s="141">
        <v>0</v>
      </c>
      <c r="BF838" s="138" t="s">
        <v>1384</v>
      </c>
      <c r="BG838" s="258" t="s">
        <v>714</v>
      </c>
      <c r="BH838" s="209"/>
      <c r="BI838" s="28"/>
      <c r="BJ838" s="28"/>
    </row>
    <row r="839" spans="50:62" x14ac:dyDescent="0.3">
      <c r="AX839" s="196" t="s">
        <v>1822</v>
      </c>
      <c r="AY839" s="138">
        <v>4</v>
      </c>
      <c r="AZ839" s="141">
        <v>0</v>
      </c>
      <c r="BA839" s="326">
        <v>0</v>
      </c>
      <c r="BB839" s="212">
        <v>0</v>
      </c>
      <c r="BC839" s="141">
        <v>0</v>
      </c>
      <c r="BD839" s="43">
        <v>0</v>
      </c>
      <c r="BE839" s="141">
        <v>0</v>
      </c>
      <c r="BF839" s="138" t="s">
        <v>651</v>
      </c>
      <c r="BG839" s="43" t="s">
        <v>325</v>
      </c>
      <c r="BH839" s="141"/>
      <c r="BI839" s="28"/>
      <c r="BJ839" s="28"/>
    </row>
    <row r="840" spans="50:62" ht="15.6" x14ac:dyDescent="0.3">
      <c r="AX840" s="259" t="s">
        <v>108</v>
      </c>
      <c r="AY840" s="138">
        <v>0</v>
      </c>
      <c r="AZ840" s="141">
        <v>18</v>
      </c>
      <c r="BA840" s="326">
        <v>0</v>
      </c>
      <c r="BB840" s="212">
        <v>0</v>
      </c>
      <c r="BC840" s="141">
        <v>0</v>
      </c>
      <c r="BD840" s="43">
        <v>0</v>
      </c>
      <c r="BE840" s="141">
        <v>0</v>
      </c>
      <c r="BF840" s="138" t="s">
        <v>582</v>
      </c>
      <c r="BG840" s="258" t="s">
        <v>1823</v>
      </c>
      <c r="BH840" s="260"/>
      <c r="BI840" s="28"/>
      <c r="BJ840" s="28"/>
    </row>
    <row r="841" spans="50:62" ht="15.6" x14ac:dyDescent="0.3">
      <c r="AX841" s="196" t="s">
        <v>133</v>
      </c>
      <c r="AY841" s="138">
        <v>10</v>
      </c>
      <c r="AZ841" s="141">
        <v>15</v>
      </c>
      <c r="BA841" s="326">
        <v>0</v>
      </c>
      <c r="BB841" s="212">
        <v>0</v>
      </c>
      <c r="BC841" s="141">
        <v>0</v>
      </c>
      <c r="BD841" s="43">
        <v>0</v>
      </c>
      <c r="BE841" s="141">
        <v>0</v>
      </c>
      <c r="BF841" s="138" t="s">
        <v>447</v>
      </c>
      <c r="BG841" s="258" t="s">
        <v>1824</v>
      </c>
      <c r="BH841" s="141"/>
      <c r="BI841" s="28"/>
      <c r="BJ841" s="28"/>
    </row>
    <row r="842" spans="50:62" ht="15.6" x14ac:dyDescent="0.3">
      <c r="AX842" s="196" t="s">
        <v>1825</v>
      </c>
      <c r="AY842" s="138">
        <v>0</v>
      </c>
      <c r="AZ842" s="141">
        <v>0</v>
      </c>
      <c r="BA842" s="326">
        <v>0</v>
      </c>
      <c r="BB842" s="212">
        <v>0</v>
      </c>
      <c r="BC842" s="141">
        <v>0</v>
      </c>
      <c r="BD842" s="43">
        <v>0</v>
      </c>
      <c r="BE842" s="141">
        <v>0</v>
      </c>
      <c r="BF842" s="138" t="s">
        <v>180</v>
      </c>
      <c r="BG842" s="258" t="s">
        <v>1826</v>
      </c>
      <c r="BH842" s="141"/>
      <c r="BI842" s="28"/>
      <c r="BJ842" s="28"/>
    </row>
    <row r="843" spans="50:62" ht="15.6" x14ac:dyDescent="0.3">
      <c r="AX843" s="196" t="s">
        <v>230</v>
      </c>
      <c r="AY843" s="138">
        <v>0</v>
      </c>
      <c r="AZ843" s="141">
        <v>2</v>
      </c>
      <c r="BA843" s="326">
        <v>0</v>
      </c>
      <c r="BB843" s="212">
        <v>0</v>
      </c>
      <c r="BC843" s="141">
        <v>0</v>
      </c>
      <c r="BD843" s="43">
        <v>0</v>
      </c>
      <c r="BE843" s="141">
        <v>0</v>
      </c>
      <c r="BF843" s="138" t="s">
        <v>448</v>
      </c>
      <c r="BG843" s="258"/>
      <c r="BH843" s="141"/>
      <c r="BI843" s="28"/>
      <c r="BJ843" s="28"/>
    </row>
    <row r="844" spans="50:62" ht="15.6" x14ac:dyDescent="0.3">
      <c r="AX844" s="196" t="s">
        <v>97</v>
      </c>
      <c r="AY844" s="138">
        <v>1</v>
      </c>
      <c r="AZ844" s="141">
        <v>0</v>
      </c>
      <c r="BA844" s="326">
        <v>0</v>
      </c>
      <c r="BB844" s="212">
        <v>0</v>
      </c>
      <c r="BC844" s="141">
        <v>0</v>
      </c>
      <c r="BD844" s="43">
        <v>0</v>
      </c>
      <c r="BE844" s="141">
        <v>0</v>
      </c>
      <c r="BF844" s="138" t="s">
        <v>1827</v>
      </c>
      <c r="BG844" s="258"/>
      <c r="BH844" s="141"/>
      <c r="BI844" s="28"/>
      <c r="BJ844" s="28"/>
    </row>
    <row r="845" spans="50:62" ht="15.6" x14ac:dyDescent="0.3">
      <c r="AX845" s="196" t="s">
        <v>1547</v>
      </c>
      <c r="AY845" s="138">
        <v>0</v>
      </c>
      <c r="AZ845" s="141">
        <v>3</v>
      </c>
      <c r="BA845" s="196">
        <v>0</v>
      </c>
      <c r="BB845" s="212">
        <v>0</v>
      </c>
      <c r="BC845" s="141">
        <v>0</v>
      </c>
      <c r="BD845" s="43">
        <v>0</v>
      </c>
      <c r="BE845" s="141">
        <v>0</v>
      </c>
      <c r="BF845" s="138" t="s">
        <v>347</v>
      </c>
      <c r="BG845" s="258"/>
      <c r="BH845" s="141"/>
      <c r="BI845" s="28"/>
      <c r="BJ845" s="28"/>
    </row>
    <row r="846" spans="50:62" ht="15.6" x14ac:dyDescent="0.3">
      <c r="AX846" s="196" t="s">
        <v>1437</v>
      </c>
      <c r="AY846" s="138">
        <v>0</v>
      </c>
      <c r="AZ846" s="141">
        <v>0</v>
      </c>
      <c r="BA846" s="196">
        <v>0</v>
      </c>
      <c r="BB846" s="212">
        <v>0</v>
      </c>
      <c r="BC846" s="141">
        <v>0</v>
      </c>
      <c r="BD846" s="43">
        <v>0</v>
      </c>
      <c r="BE846" s="141">
        <v>0</v>
      </c>
      <c r="BF846" s="138" t="s">
        <v>1828</v>
      </c>
      <c r="BG846" s="258"/>
      <c r="BH846" s="141">
        <v>90</v>
      </c>
      <c r="BI846" s="28"/>
      <c r="BJ846" s="28"/>
    </row>
    <row r="847" spans="50:62" x14ac:dyDescent="0.3">
      <c r="AX847" s="265" t="s">
        <v>84</v>
      </c>
      <c r="AY847" s="247">
        <v>164</v>
      </c>
      <c r="AZ847" s="266">
        <v>213</v>
      </c>
      <c r="BA847" s="325">
        <v>0</v>
      </c>
      <c r="BB847" s="198">
        <v>0</v>
      </c>
      <c r="BC847" s="249">
        <v>0</v>
      </c>
      <c r="BD847" s="197">
        <v>103748</v>
      </c>
      <c r="BE847" s="249">
        <v>17262</v>
      </c>
      <c r="BF847" s="198" t="s">
        <v>939</v>
      </c>
      <c r="BG847" s="198"/>
      <c r="BH847" s="249">
        <v>365</v>
      </c>
      <c r="BI847" s="28"/>
      <c r="BJ847" s="28"/>
    </row>
    <row r="848" spans="50:62" x14ac:dyDescent="0.3">
      <c r="AX848" s="28" t="s">
        <v>223</v>
      </c>
      <c r="AY848" s="212">
        <v>7051</v>
      </c>
      <c r="AZ848" s="261">
        <v>12582</v>
      </c>
      <c r="BA848" s="184"/>
      <c r="BI848" s="28"/>
      <c r="BJ848" s="28"/>
    </row>
    <row r="849" spans="50:62" x14ac:dyDescent="0.3">
      <c r="AX849" s="28" t="s">
        <v>1340</v>
      </c>
      <c r="AY849" s="28"/>
      <c r="AZ849" s="186">
        <v>365</v>
      </c>
      <c r="BI849" s="28"/>
      <c r="BJ849" s="28"/>
    </row>
    <row r="850" spans="50:62" x14ac:dyDescent="0.3">
      <c r="AX850" s="28" t="s">
        <v>229</v>
      </c>
      <c r="AY850" s="28"/>
      <c r="AZ850" s="186">
        <v>2</v>
      </c>
      <c r="BI850" s="28"/>
      <c r="BJ850" s="28"/>
    </row>
    <row r="851" spans="50:62" x14ac:dyDescent="0.3">
      <c r="AX851" t="s">
        <v>232</v>
      </c>
      <c r="AZ851" s="178" t="s">
        <v>233</v>
      </c>
      <c r="BB851">
        <v>1656</v>
      </c>
      <c r="BD851" t="s">
        <v>234</v>
      </c>
      <c r="BF851" t="s">
        <v>233</v>
      </c>
      <c r="BH851">
        <v>7051</v>
      </c>
      <c r="BI851" s="28"/>
      <c r="BJ851" s="28"/>
    </row>
    <row r="852" spans="50:62" x14ac:dyDescent="0.3">
      <c r="AZ852" t="s">
        <v>236</v>
      </c>
      <c r="BB852">
        <v>1744</v>
      </c>
      <c r="BF852" t="s">
        <v>236</v>
      </c>
      <c r="BH852">
        <v>12582</v>
      </c>
      <c r="BI852" s="28"/>
      <c r="BJ852" s="28"/>
    </row>
    <row r="853" spans="50:62" x14ac:dyDescent="0.3">
      <c r="AX853" t="s">
        <v>238</v>
      </c>
      <c r="AY853" t="s">
        <v>239</v>
      </c>
      <c r="BA853" t="s">
        <v>240</v>
      </c>
      <c r="BB853" t="s">
        <v>241</v>
      </c>
      <c r="BE853" t="s">
        <v>242</v>
      </c>
      <c r="BF853" s="131" t="s">
        <v>243</v>
      </c>
      <c r="BI853" s="28"/>
      <c r="BJ853" s="28"/>
    </row>
    <row r="854" spans="50:62" x14ac:dyDescent="0.3">
      <c r="AX854" t="s">
        <v>233</v>
      </c>
      <c r="AZ854">
        <v>61579</v>
      </c>
      <c r="BA854" s="236" t="s">
        <v>233</v>
      </c>
      <c r="BC854">
        <v>4867</v>
      </c>
      <c r="BD854" t="s">
        <v>233</v>
      </c>
      <c r="BF854">
        <v>11846</v>
      </c>
      <c r="BG854" t="s">
        <v>245</v>
      </c>
      <c r="BH854">
        <v>108727</v>
      </c>
      <c r="BI854" s="28"/>
      <c r="BJ854" s="28"/>
    </row>
    <row r="855" spans="50:62" x14ac:dyDescent="0.3">
      <c r="AX855" t="s">
        <v>236</v>
      </c>
      <c r="AZ855">
        <v>47148</v>
      </c>
      <c r="BA855" s="236" t="s">
        <v>236</v>
      </c>
      <c r="BC855">
        <v>6979</v>
      </c>
      <c r="BD855" t="s">
        <v>236</v>
      </c>
      <c r="BF855">
        <v>19633</v>
      </c>
      <c r="BH855">
        <v>34479</v>
      </c>
      <c r="BI855">
        <v>140206</v>
      </c>
      <c r="BJ855" s="28"/>
    </row>
    <row r="856" spans="50:62" x14ac:dyDescent="0.3">
      <c r="AX856" s="28"/>
      <c r="AY856" s="28"/>
      <c r="AZ856" s="28"/>
      <c r="BA856" s="28"/>
      <c r="BB856" s="28"/>
      <c r="BC856" s="28"/>
      <c r="BD856" s="28"/>
      <c r="BE856" s="28"/>
      <c r="BF856" s="257"/>
      <c r="BG856" s="28"/>
      <c r="BH856" s="28"/>
      <c r="BI856" s="28"/>
      <c r="BJ856" s="28"/>
    </row>
    <row r="857" spans="50:62" x14ac:dyDescent="0.3">
      <c r="AX857" s="28"/>
      <c r="AY857" s="28"/>
      <c r="AZ857" s="28"/>
      <c r="BA857" s="218"/>
      <c r="BB857" s="28"/>
      <c r="BC857" s="28"/>
      <c r="BD857" s="28"/>
      <c r="BE857" s="28"/>
      <c r="BF857" s="28"/>
      <c r="BG857" s="28"/>
      <c r="BH857" s="28"/>
      <c r="BI857" s="28"/>
      <c r="BJ857" s="28"/>
    </row>
    <row r="858" spans="50:62" x14ac:dyDescent="0.3">
      <c r="AX858" s="28"/>
      <c r="AY858" s="28"/>
      <c r="AZ858" s="28"/>
      <c r="BA858" s="218"/>
      <c r="BB858" s="28"/>
      <c r="BC858" s="28"/>
      <c r="BD858" s="28"/>
      <c r="BE858" s="28"/>
      <c r="BF858" s="28"/>
      <c r="BG858" s="28"/>
      <c r="BH858" s="28"/>
      <c r="BI858" s="28"/>
      <c r="BJ858" s="28"/>
    </row>
    <row r="859" spans="50:62" x14ac:dyDescent="0.3">
      <c r="AX859" s="28"/>
      <c r="AY859" s="28"/>
      <c r="AZ859" s="28"/>
      <c r="BA859" s="218"/>
      <c r="BB859" s="28"/>
      <c r="BC859" s="28"/>
      <c r="BD859" s="28"/>
      <c r="BE859" s="28"/>
      <c r="BF859" s="28"/>
      <c r="BG859" s="28"/>
      <c r="BH859" s="28"/>
      <c r="BJ859" s="28"/>
    </row>
    <row r="860" spans="50:62" x14ac:dyDescent="0.3"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18"/>
    </row>
  </sheetData>
  <mergeCells count="6">
    <mergeCell ref="BB791:BD791"/>
    <mergeCell ref="BR5:BT5"/>
    <mergeCell ref="BR93:BT93"/>
    <mergeCell ref="BR129:BS129"/>
    <mergeCell ref="BR166:BT166"/>
    <mergeCell ref="BR202:BS20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3330"/>
  <sheetViews>
    <sheetView workbookViewId="0">
      <selection activeCell="G428" sqref="G428:G479"/>
    </sheetView>
  </sheetViews>
  <sheetFormatPr defaultColWidth="9.109375" defaultRowHeight="14.4" x14ac:dyDescent="0.3"/>
  <cols>
    <col min="1" max="1" width="17.33203125" style="28" bestFit="1" customWidth="1"/>
    <col min="2" max="2" width="7.109375" style="28" bestFit="1" customWidth="1"/>
    <col min="3" max="3" width="9.109375" style="28" bestFit="1" customWidth="1"/>
    <col min="4" max="4" width="7.5546875" style="28" customWidth="1"/>
    <col min="5" max="5" width="9.109375" style="28" customWidth="1"/>
    <col min="6" max="6" width="13.5546875" style="28" customWidth="1"/>
    <col min="7" max="16384" width="9.109375" style="28"/>
  </cols>
  <sheetData>
    <row r="1" spans="1:21" x14ac:dyDescent="0.3">
      <c r="A1" s="28" t="s">
        <v>1927</v>
      </c>
      <c r="B1" s="28" t="s">
        <v>1928</v>
      </c>
      <c r="C1" s="28" t="s">
        <v>1926</v>
      </c>
      <c r="D1" s="28" t="s">
        <v>1932</v>
      </c>
      <c r="E1" s="28" t="s">
        <v>1930</v>
      </c>
      <c r="F1" s="28" t="s">
        <v>1931</v>
      </c>
      <c r="G1" s="43" t="s">
        <v>84</v>
      </c>
      <c r="H1" s="43" t="s">
        <v>1936</v>
      </c>
      <c r="J1"/>
      <c r="K1"/>
      <c r="L1"/>
      <c r="M1"/>
      <c r="N1"/>
      <c r="O1"/>
      <c r="P1"/>
      <c r="Q1"/>
      <c r="R1"/>
      <c r="S1"/>
      <c r="T1"/>
      <c r="U1"/>
    </row>
    <row r="2" spans="1:21" hidden="1" x14ac:dyDescent="0.3">
      <c r="A2" s="28" t="s">
        <v>1929</v>
      </c>
      <c r="B2" s="28">
        <v>2014</v>
      </c>
      <c r="C2" s="28">
        <v>1</v>
      </c>
      <c r="D2" s="28" t="s">
        <v>122</v>
      </c>
      <c r="E2" s="28">
        <v>108</v>
      </c>
      <c r="F2" s="28">
        <v>61</v>
      </c>
      <c r="G2" s="28">
        <f t="shared" ref="G2:G65" si="0">SUM(E2+F2)</f>
        <v>169</v>
      </c>
      <c r="H2" s="28" t="s">
        <v>1937</v>
      </c>
      <c r="J2"/>
      <c r="K2"/>
      <c r="L2"/>
      <c r="M2"/>
      <c r="N2"/>
      <c r="O2"/>
      <c r="P2"/>
      <c r="Q2"/>
      <c r="R2"/>
      <c r="S2"/>
      <c r="T2"/>
      <c r="U2"/>
    </row>
    <row r="3" spans="1:21" hidden="1" x14ac:dyDescent="0.3">
      <c r="A3" s="28" t="s">
        <v>1929</v>
      </c>
      <c r="B3" s="28">
        <v>2014</v>
      </c>
      <c r="C3" s="28">
        <v>1</v>
      </c>
      <c r="D3" s="28" t="s">
        <v>115</v>
      </c>
      <c r="E3" s="28">
        <v>90</v>
      </c>
      <c r="F3" s="28">
        <v>71</v>
      </c>
      <c r="G3" s="28">
        <f t="shared" si="0"/>
        <v>161</v>
      </c>
      <c r="H3" s="28" t="s">
        <v>1937</v>
      </c>
      <c r="J3"/>
      <c r="K3"/>
      <c r="L3"/>
      <c r="M3"/>
      <c r="N3"/>
      <c r="O3"/>
      <c r="P3"/>
      <c r="Q3"/>
      <c r="R3"/>
      <c r="S3"/>
      <c r="T3"/>
      <c r="U3"/>
    </row>
    <row r="4" spans="1:21" hidden="1" x14ac:dyDescent="0.3">
      <c r="A4" s="28" t="s">
        <v>1929</v>
      </c>
      <c r="B4" s="28">
        <v>2014</v>
      </c>
      <c r="C4" s="28">
        <v>1</v>
      </c>
      <c r="D4" s="28" t="s">
        <v>63</v>
      </c>
      <c r="E4" s="28">
        <v>74</v>
      </c>
      <c r="F4" s="28">
        <v>40</v>
      </c>
      <c r="G4" s="28">
        <f t="shared" si="0"/>
        <v>114</v>
      </c>
      <c r="H4" s="28" t="s">
        <v>1937</v>
      </c>
      <c r="J4"/>
      <c r="K4"/>
      <c r="L4"/>
      <c r="M4"/>
      <c r="N4"/>
      <c r="O4"/>
      <c r="P4"/>
      <c r="Q4"/>
      <c r="R4"/>
      <c r="S4"/>
      <c r="T4"/>
      <c r="U4"/>
    </row>
    <row r="5" spans="1:21" hidden="1" x14ac:dyDescent="0.3">
      <c r="A5" s="28" t="s">
        <v>1929</v>
      </c>
      <c r="B5" s="28">
        <v>2014</v>
      </c>
      <c r="C5" s="28">
        <v>1</v>
      </c>
      <c r="D5" s="28" t="s">
        <v>67</v>
      </c>
      <c r="E5" s="28">
        <v>8</v>
      </c>
      <c r="F5" s="28">
        <v>46</v>
      </c>
      <c r="G5" s="28">
        <f t="shared" si="0"/>
        <v>54</v>
      </c>
      <c r="H5" s="28" t="s">
        <v>1937</v>
      </c>
      <c r="J5"/>
      <c r="K5"/>
      <c r="L5"/>
      <c r="M5"/>
      <c r="N5"/>
      <c r="O5"/>
      <c r="P5"/>
      <c r="Q5"/>
      <c r="R5"/>
      <c r="S5"/>
      <c r="T5"/>
      <c r="U5"/>
    </row>
    <row r="6" spans="1:21" hidden="1" x14ac:dyDescent="0.3">
      <c r="A6" s="28" t="s">
        <v>1929</v>
      </c>
      <c r="B6" s="28">
        <v>2014</v>
      </c>
      <c r="C6" s="28">
        <v>1</v>
      </c>
      <c r="D6" s="28" t="s">
        <v>81</v>
      </c>
      <c r="E6" s="28">
        <v>35</v>
      </c>
      <c r="F6" s="28">
        <v>18</v>
      </c>
      <c r="G6" s="28">
        <f t="shared" si="0"/>
        <v>53</v>
      </c>
      <c r="H6" s="28" t="s">
        <v>1937</v>
      </c>
      <c r="J6"/>
      <c r="K6"/>
      <c r="L6"/>
      <c r="M6"/>
      <c r="N6"/>
      <c r="O6"/>
      <c r="P6"/>
      <c r="Q6"/>
      <c r="R6"/>
      <c r="S6"/>
      <c r="T6"/>
      <c r="U6"/>
    </row>
    <row r="7" spans="1:21" hidden="1" x14ac:dyDescent="0.3">
      <c r="A7" s="28" t="s">
        <v>1929</v>
      </c>
      <c r="B7" s="28">
        <v>2014</v>
      </c>
      <c r="C7" s="28">
        <v>1</v>
      </c>
      <c r="D7" s="28" t="s">
        <v>78</v>
      </c>
      <c r="E7" s="28">
        <v>30</v>
      </c>
      <c r="F7" s="28">
        <v>8</v>
      </c>
      <c r="G7" s="28">
        <f t="shared" si="0"/>
        <v>38</v>
      </c>
      <c r="H7" s="28" t="s">
        <v>1937</v>
      </c>
      <c r="J7"/>
      <c r="K7"/>
      <c r="L7"/>
      <c r="M7"/>
      <c r="N7"/>
      <c r="O7"/>
      <c r="P7"/>
      <c r="Q7"/>
      <c r="R7"/>
      <c r="S7"/>
      <c r="T7"/>
      <c r="U7"/>
    </row>
    <row r="8" spans="1:21" hidden="1" x14ac:dyDescent="0.3">
      <c r="A8" s="28" t="s">
        <v>1929</v>
      </c>
      <c r="B8" s="28">
        <v>2014</v>
      </c>
      <c r="C8" s="28">
        <v>1</v>
      </c>
      <c r="D8" s="28" t="s">
        <v>56</v>
      </c>
      <c r="E8" s="28">
        <v>16</v>
      </c>
      <c r="F8" s="28">
        <v>6</v>
      </c>
      <c r="G8" s="28">
        <f t="shared" si="0"/>
        <v>22</v>
      </c>
      <c r="H8" s="28" t="s">
        <v>1937</v>
      </c>
      <c r="J8"/>
      <c r="K8"/>
      <c r="L8"/>
      <c r="M8"/>
      <c r="N8"/>
      <c r="O8"/>
      <c r="P8"/>
      <c r="Q8"/>
      <c r="R8"/>
      <c r="S8"/>
      <c r="T8"/>
      <c r="U8"/>
    </row>
    <row r="9" spans="1:21" hidden="1" x14ac:dyDescent="0.3">
      <c r="A9" s="28" t="s">
        <v>1929</v>
      </c>
      <c r="B9" s="28">
        <v>2014</v>
      </c>
      <c r="C9" s="28">
        <v>1</v>
      </c>
      <c r="D9" s="28" t="s">
        <v>128</v>
      </c>
      <c r="E9" s="28">
        <v>4</v>
      </c>
      <c r="F9" s="28">
        <v>4</v>
      </c>
      <c r="G9" s="28">
        <f t="shared" si="0"/>
        <v>8</v>
      </c>
      <c r="H9" s="28" t="s">
        <v>1937</v>
      </c>
      <c r="J9"/>
      <c r="K9"/>
      <c r="L9"/>
      <c r="M9"/>
      <c r="N9"/>
      <c r="O9"/>
      <c r="P9"/>
      <c r="Q9"/>
      <c r="R9"/>
      <c r="S9"/>
      <c r="T9"/>
      <c r="U9"/>
    </row>
    <row r="10" spans="1:21" hidden="1" x14ac:dyDescent="0.3">
      <c r="A10" s="28" t="s">
        <v>1929</v>
      </c>
      <c r="B10" s="28">
        <v>2014</v>
      </c>
      <c r="C10" s="28">
        <v>1</v>
      </c>
      <c r="D10" s="28" t="s">
        <v>72</v>
      </c>
      <c r="E10" s="28">
        <v>3</v>
      </c>
      <c r="F10" s="28">
        <v>0</v>
      </c>
      <c r="G10" s="28">
        <f t="shared" si="0"/>
        <v>3</v>
      </c>
      <c r="H10" s="28" t="s">
        <v>1937</v>
      </c>
      <c r="J10"/>
      <c r="K10"/>
      <c r="L10"/>
      <c r="M10"/>
      <c r="N10"/>
      <c r="O10"/>
      <c r="P10"/>
      <c r="Q10"/>
      <c r="R10"/>
      <c r="S10"/>
      <c r="T10"/>
      <c r="U10"/>
    </row>
    <row r="11" spans="1:21" hidden="1" x14ac:dyDescent="0.3">
      <c r="A11" s="28" t="s">
        <v>1929</v>
      </c>
      <c r="B11" s="28">
        <v>2014</v>
      </c>
      <c r="C11" s="28">
        <v>1</v>
      </c>
      <c r="D11" s="28" t="s">
        <v>138</v>
      </c>
      <c r="E11" s="28">
        <v>3</v>
      </c>
      <c r="F11" s="28">
        <v>0</v>
      </c>
      <c r="G11" s="28">
        <f t="shared" si="0"/>
        <v>3</v>
      </c>
      <c r="H11" s="28" t="s">
        <v>1937</v>
      </c>
      <c r="J11"/>
      <c r="K11"/>
      <c r="L11"/>
      <c r="M11"/>
      <c r="N11"/>
      <c r="O11"/>
      <c r="P11"/>
      <c r="Q11"/>
      <c r="R11"/>
      <c r="S11"/>
      <c r="T11"/>
      <c r="U11"/>
    </row>
    <row r="12" spans="1:21" hidden="1" x14ac:dyDescent="0.3">
      <c r="A12" s="28" t="s">
        <v>91</v>
      </c>
      <c r="B12" s="28">
        <v>2014</v>
      </c>
      <c r="C12" s="28">
        <v>1</v>
      </c>
      <c r="D12" s="28" t="s">
        <v>56</v>
      </c>
      <c r="E12" s="28">
        <v>760</v>
      </c>
      <c r="F12" s="28">
        <v>812</v>
      </c>
      <c r="G12" s="28">
        <f t="shared" si="0"/>
        <v>1572</v>
      </c>
      <c r="H12" s="28" t="s">
        <v>1937</v>
      </c>
      <c r="J12"/>
      <c r="K12"/>
      <c r="L12"/>
      <c r="M12"/>
      <c r="N12"/>
      <c r="O12"/>
      <c r="P12"/>
      <c r="Q12"/>
      <c r="R12"/>
      <c r="S12"/>
      <c r="T12"/>
      <c r="U12"/>
    </row>
    <row r="13" spans="1:21" hidden="1" x14ac:dyDescent="0.3">
      <c r="A13" s="28" t="s">
        <v>57</v>
      </c>
      <c r="B13" s="28">
        <v>2014</v>
      </c>
      <c r="C13" s="28">
        <v>1</v>
      </c>
      <c r="D13" s="28" t="s">
        <v>56</v>
      </c>
      <c r="E13" s="28">
        <v>1311</v>
      </c>
      <c r="F13" s="28">
        <v>1201</v>
      </c>
      <c r="G13" s="28">
        <f t="shared" si="0"/>
        <v>2512</v>
      </c>
      <c r="H13" s="28" t="s">
        <v>1937</v>
      </c>
      <c r="J13"/>
      <c r="K13"/>
      <c r="L13"/>
      <c r="M13"/>
      <c r="N13"/>
      <c r="O13"/>
      <c r="P13"/>
      <c r="Q13"/>
      <c r="R13"/>
      <c r="S13"/>
      <c r="T13"/>
      <c r="U13"/>
    </row>
    <row r="14" spans="1:21" hidden="1" x14ac:dyDescent="0.3">
      <c r="A14" s="28" t="s">
        <v>57</v>
      </c>
      <c r="B14" s="28">
        <v>2014</v>
      </c>
      <c r="C14" s="28">
        <v>1</v>
      </c>
      <c r="D14" s="28" t="s">
        <v>67</v>
      </c>
      <c r="E14" s="28">
        <v>380</v>
      </c>
      <c r="F14" s="28">
        <v>360</v>
      </c>
      <c r="G14" s="28">
        <f t="shared" si="0"/>
        <v>740</v>
      </c>
      <c r="H14" s="28" t="s">
        <v>1937</v>
      </c>
      <c r="J14"/>
      <c r="K14"/>
      <c r="L14"/>
      <c r="M14"/>
      <c r="N14"/>
      <c r="O14"/>
      <c r="P14"/>
      <c r="Q14"/>
      <c r="R14"/>
      <c r="S14"/>
      <c r="T14"/>
      <c r="U14"/>
    </row>
    <row r="15" spans="1:21" hidden="1" x14ac:dyDescent="0.3">
      <c r="A15" s="28" t="s">
        <v>57</v>
      </c>
      <c r="B15" s="28">
        <v>2014</v>
      </c>
      <c r="C15" s="28">
        <v>1</v>
      </c>
      <c r="D15" s="28" t="s">
        <v>63</v>
      </c>
      <c r="E15" s="28">
        <v>43</v>
      </c>
      <c r="F15" s="28">
        <v>98</v>
      </c>
      <c r="G15" s="28">
        <f t="shared" si="0"/>
        <v>141</v>
      </c>
      <c r="H15" s="28" t="s">
        <v>1937</v>
      </c>
      <c r="J15"/>
      <c r="K15"/>
      <c r="L15"/>
      <c r="M15"/>
      <c r="N15"/>
      <c r="O15"/>
      <c r="P15"/>
      <c r="Q15"/>
      <c r="R15"/>
      <c r="S15"/>
      <c r="T15"/>
      <c r="U15"/>
    </row>
    <row r="16" spans="1:21" hidden="1" x14ac:dyDescent="0.3">
      <c r="A16" s="28" t="s">
        <v>57</v>
      </c>
      <c r="B16" s="28">
        <v>2014</v>
      </c>
      <c r="C16" s="28">
        <v>1</v>
      </c>
      <c r="D16" s="28" t="s">
        <v>72</v>
      </c>
      <c r="E16" s="28">
        <v>0</v>
      </c>
      <c r="F16" s="28">
        <v>9</v>
      </c>
      <c r="G16" s="28">
        <f t="shared" si="0"/>
        <v>9</v>
      </c>
      <c r="H16" s="28" t="s">
        <v>1937</v>
      </c>
      <c r="J16"/>
      <c r="K16"/>
      <c r="L16"/>
      <c r="M16"/>
      <c r="N16"/>
      <c r="O16"/>
      <c r="P16"/>
      <c r="Q16"/>
      <c r="R16"/>
      <c r="S16"/>
      <c r="T16"/>
      <c r="U16"/>
    </row>
    <row r="17" spans="1:21" hidden="1" x14ac:dyDescent="0.3">
      <c r="A17" s="28" t="s">
        <v>1929</v>
      </c>
      <c r="B17" s="28">
        <v>2014</v>
      </c>
      <c r="C17" s="28">
        <v>2</v>
      </c>
      <c r="D17" s="28" t="s">
        <v>63</v>
      </c>
      <c r="E17" s="28">
        <v>48</v>
      </c>
      <c r="F17" s="28">
        <v>102</v>
      </c>
      <c r="G17" s="28">
        <f t="shared" si="0"/>
        <v>150</v>
      </c>
      <c r="H17" s="28" t="s">
        <v>1937</v>
      </c>
      <c r="J17"/>
      <c r="K17"/>
      <c r="L17"/>
      <c r="M17"/>
      <c r="N17"/>
      <c r="O17"/>
      <c r="P17"/>
      <c r="Q17"/>
      <c r="R17"/>
      <c r="S17"/>
      <c r="T17"/>
      <c r="U17"/>
    </row>
    <row r="18" spans="1:21" hidden="1" x14ac:dyDescent="0.3">
      <c r="A18" s="28" t="s">
        <v>1929</v>
      </c>
      <c r="B18" s="28">
        <v>2014</v>
      </c>
      <c r="C18" s="28">
        <v>2</v>
      </c>
      <c r="D18" s="28" t="s">
        <v>78</v>
      </c>
      <c r="E18" s="28">
        <v>69</v>
      </c>
      <c r="F18" s="28">
        <v>67</v>
      </c>
      <c r="G18" s="28">
        <f t="shared" si="0"/>
        <v>136</v>
      </c>
      <c r="H18" s="28" t="s">
        <v>1937</v>
      </c>
      <c r="J18"/>
      <c r="K18"/>
      <c r="L18"/>
      <c r="M18"/>
      <c r="N18"/>
      <c r="O18"/>
      <c r="P18"/>
      <c r="Q18"/>
      <c r="R18"/>
      <c r="S18"/>
      <c r="T18"/>
      <c r="U18"/>
    </row>
    <row r="19" spans="1:21" hidden="1" x14ac:dyDescent="0.3">
      <c r="A19" s="28" t="s">
        <v>1929</v>
      </c>
      <c r="B19" s="28">
        <v>2014</v>
      </c>
      <c r="C19" s="28">
        <v>2</v>
      </c>
      <c r="D19" s="28" t="s">
        <v>122</v>
      </c>
      <c r="E19" s="28">
        <v>53</v>
      </c>
      <c r="F19" s="28">
        <v>39</v>
      </c>
      <c r="G19" s="28">
        <f t="shared" si="0"/>
        <v>92</v>
      </c>
      <c r="H19" s="28" t="s">
        <v>1937</v>
      </c>
      <c r="J19"/>
      <c r="K19"/>
      <c r="L19"/>
      <c r="M19"/>
      <c r="N19"/>
      <c r="O19"/>
      <c r="P19"/>
      <c r="Q19"/>
      <c r="R19"/>
      <c r="S19"/>
      <c r="T19"/>
      <c r="U19"/>
    </row>
    <row r="20" spans="1:21" hidden="1" x14ac:dyDescent="0.3">
      <c r="A20" s="28" t="s">
        <v>1929</v>
      </c>
      <c r="B20" s="28">
        <v>2014</v>
      </c>
      <c r="C20" s="28">
        <v>2</v>
      </c>
      <c r="D20" s="28" t="s">
        <v>67</v>
      </c>
      <c r="E20" s="28">
        <v>51</v>
      </c>
      <c r="F20" s="28">
        <v>26</v>
      </c>
      <c r="G20" s="28">
        <f t="shared" si="0"/>
        <v>77</v>
      </c>
      <c r="H20" s="28" t="s">
        <v>1937</v>
      </c>
      <c r="J20"/>
      <c r="K20"/>
      <c r="L20"/>
      <c r="M20"/>
      <c r="N20"/>
      <c r="O20"/>
      <c r="P20"/>
      <c r="Q20"/>
      <c r="R20"/>
      <c r="S20"/>
      <c r="T20"/>
      <c r="U20"/>
    </row>
    <row r="21" spans="1:21" hidden="1" x14ac:dyDescent="0.3">
      <c r="A21" s="28" t="s">
        <v>1929</v>
      </c>
      <c r="B21" s="28">
        <v>2014</v>
      </c>
      <c r="C21" s="28">
        <v>2</v>
      </c>
      <c r="D21" s="28" t="s">
        <v>115</v>
      </c>
      <c r="E21" s="28">
        <v>37</v>
      </c>
      <c r="F21" s="28">
        <v>25</v>
      </c>
      <c r="G21" s="28">
        <f t="shared" si="0"/>
        <v>62</v>
      </c>
      <c r="H21" s="28" t="s">
        <v>1937</v>
      </c>
      <c r="J21"/>
      <c r="K21"/>
      <c r="L21"/>
      <c r="M21"/>
      <c r="N21"/>
      <c r="O21"/>
      <c r="P21"/>
      <c r="Q21"/>
      <c r="R21"/>
      <c r="S21"/>
      <c r="T21"/>
      <c r="U21"/>
    </row>
    <row r="22" spans="1:21" hidden="1" x14ac:dyDescent="0.3">
      <c r="A22" s="28" t="s">
        <v>1929</v>
      </c>
      <c r="B22" s="28">
        <v>2014</v>
      </c>
      <c r="C22" s="28">
        <v>2</v>
      </c>
      <c r="D22" s="28" t="s">
        <v>125</v>
      </c>
      <c r="E22" s="28">
        <v>16</v>
      </c>
      <c r="F22" s="28">
        <v>25</v>
      </c>
      <c r="G22" s="28">
        <f t="shared" si="0"/>
        <v>41</v>
      </c>
      <c r="H22" s="28" t="s">
        <v>1937</v>
      </c>
      <c r="J22"/>
      <c r="K22"/>
      <c r="L22"/>
      <c r="M22"/>
      <c r="N22"/>
      <c r="O22"/>
      <c r="P22"/>
      <c r="Q22"/>
      <c r="R22"/>
      <c r="S22"/>
      <c r="T22"/>
      <c r="U22"/>
    </row>
    <row r="23" spans="1:21" hidden="1" x14ac:dyDescent="0.3">
      <c r="A23" s="28" t="s">
        <v>1929</v>
      </c>
      <c r="B23" s="28">
        <v>2014</v>
      </c>
      <c r="C23" s="28">
        <v>2</v>
      </c>
      <c r="D23" s="28" t="s">
        <v>128</v>
      </c>
      <c r="E23" s="28">
        <v>17</v>
      </c>
      <c r="F23" s="28">
        <v>13</v>
      </c>
      <c r="G23" s="28">
        <f t="shared" si="0"/>
        <v>30</v>
      </c>
      <c r="H23" s="28" t="s">
        <v>1937</v>
      </c>
      <c r="J23"/>
      <c r="K23"/>
      <c r="L23"/>
      <c r="M23"/>
      <c r="N23"/>
      <c r="O23"/>
      <c r="P23"/>
      <c r="Q23"/>
      <c r="R23"/>
      <c r="S23"/>
      <c r="T23"/>
      <c r="U23"/>
    </row>
    <row r="24" spans="1:21" hidden="1" x14ac:dyDescent="0.3">
      <c r="A24" s="28" t="s">
        <v>1929</v>
      </c>
      <c r="B24" s="28">
        <v>2014</v>
      </c>
      <c r="C24" s="28">
        <v>2</v>
      </c>
      <c r="D24" s="28" t="s">
        <v>81</v>
      </c>
      <c r="E24" s="28">
        <v>10</v>
      </c>
      <c r="F24" s="28">
        <v>6</v>
      </c>
      <c r="G24" s="28">
        <f t="shared" si="0"/>
        <v>16</v>
      </c>
      <c r="H24" s="28" t="s">
        <v>1937</v>
      </c>
      <c r="J24"/>
      <c r="K24"/>
      <c r="L24"/>
      <c r="M24"/>
      <c r="N24"/>
      <c r="O24"/>
      <c r="P24"/>
      <c r="Q24"/>
      <c r="R24"/>
      <c r="S24"/>
      <c r="T24"/>
      <c r="U24"/>
    </row>
    <row r="25" spans="1:21" hidden="1" x14ac:dyDescent="0.3">
      <c r="A25" s="28" t="s">
        <v>1929</v>
      </c>
      <c r="B25" s="28">
        <v>2014</v>
      </c>
      <c r="C25" s="28">
        <v>2</v>
      </c>
      <c r="D25" s="28" t="s">
        <v>56</v>
      </c>
      <c r="E25" s="28">
        <v>7</v>
      </c>
      <c r="F25" s="28">
        <v>4</v>
      </c>
      <c r="G25" s="28">
        <f t="shared" si="0"/>
        <v>11</v>
      </c>
      <c r="H25" s="28" t="s">
        <v>1937</v>
      </c>
      <c r="J25"/>
      <c r="K25"/>
      <c r="L25"/>
      <c r="M25"/>
      <c r="N25"/>
      <c r="O25"/>
      <c r="P25"/>
      <c r="Q25"/>
      <c r="R25"/>
      <c r="S25"/>
      <c r="T25"/>
      <c r="U25"/>
    </row>
    <row r="26" spans="1:21" hidden="1" x14ac:dyDescent="0.3">
      <c r="A26" s="28" t="s">
        <v>1929</v>
      </c>
      <c r="B26" s="28">
        <v>2014</v>
      </c>
      <c r="C26" s="28">
        <v>2</v>
      </c>
      <c r="D26" s="28" t="s">
        <v>72</v>
      </c>
      <c r="E26" s="28">
        <v>0</v>
      </c>
      <c r="F26" s="28">
        <v>3</v>
      </c>
      <c r="G26" s="28">
        <f t="shared" si="0"/>
        <v>3</v>
      </c>
      <c r="H26" s="28" t="s">
        <v>1937</v>
      </c>
      <c r="J26"/>
      <c r="K26"/>
      <c r="L26"/>
      <c r="M26"/>
      <c r="N26"/>
      <c r="O26"/>
      <c r="P26"/>
      <c r="Q26"/>
      <c r="R26"/>
      <c r="S26"/>
      <c r="T26"/>
      <c r="U26"/>
    </row>
    <row r="27" spans="1:21" hidden="1" x14ac:dyDescent="0.3">
      <c r="A27" s="28" t="s">
        <v>91</v>
      </c>
      <c r="B27" s="28">
        <v>2014</v>
      </c>
      <c r="C27" s="28">
        <v>2</v>
      </c>
      <c r="D27" s="28" t="s">
        <v>56</v>
      </c>
      <c r="E27" s="28">
        <v>821</v>
      </c>
      <c r="F27" s="28">
        <v>766</v>
      </c>
      <c r="G27" s="28">
        <f t="shared" si="0"/>
        <v>1587</v>
      </c>
      <c r="H27" s="28" t="s">
        <v>1937</v>
      </c>
      <c r="J27"/>
      <c r="K27"/>
      <c r="L27"/>
      <c r="M27"/>
      <c r="N27"/>
      <c r="O27"/>
      <c r="P27"/>
      <c r="Q27"/>
      <c r="R27"/>
      <c r="S27"/>
      <c r="T27"/>
      <c r="U27"/>
    </row>
    <row r="28" spans="1:21" hidden="1" x14ac:dyDescent="0.3">
      <c r="A28" s="28" t="s">
        <v>57</v>
      </c>
      <c r="B28" s="28">
        <v>2014</v>
      </c>
      <c r="C28" s="28">
        <v>2</v>
      </c>
      <c r="D28" s="28" t="s">
        <v>56</v>
      </c>
      <c r="E28" s="28">
        <v>1014</v>
      </c>
      <c r="F28" s="28">
        <v>1061</v>
      </c>
      <c r="G28" s="28">
        <f t="shared" si="0"/>
        <v>2075</v>
      </c>
      <c r="H28" s="28" t="s">
        <v>1937</v>
      </c>
      <c r="J28"/>
      <c r="K28"/>
      <c r="L28"/>
      <c r="M28"/>
      <c r="N28"/>
      <c r="O28"/>
      <c r="P28"/>
      <c r="Q28"/>
      <c r="R28"/>
      <c r="S28"/>
      <c r="T28"/>
      <c r="U28"/>
    </row>
    <row r="29" spans="1:21" hidden="1" x14ac:dyDescent="0.3">
      <c r="A29" s="28" t="s">
        <v>57</v>
      </c>
      <c r="B29" s="28">
        <v>2014</v>
      </c>
      <c r="C29" s="28">
        <v>2</v>
      </c>
      <c r="D29" s="28" t="s">
        <v>67</v>
      </c>
      <c r="E29" s="28">
        <v>433</v>
      </c>
      <c r="F29" s="28">
        <v>457</v>
      </c>
      <c r="G29" s="28">
        <f t="shared" si="0"/>
        <v>890</v>
      </c>
      <c r="H29" s="28" t="s">
        <v>1937</v>
      </c>
      <c r="J29"/>
      <c r="K29"/>
      <c r="L29"/>
      <c r="M29"/>
      <c r="N29"/>
      <c r="O29"/>
      <c r="P29"/>
      <c r="Q29"/>
      <c r="R29"/>
      <c r="S29"/>
      <c r="T29"/>
      <c r="U29"/>
    </row>
    <row r="30" spans="1:21" hidden="1" x14ac:dyDescent="0.3">
      <c r="A30" s="28" t="s">
        <v>57</v>
      </c>
      <c r="B30" s="28">
        <v>2014</v>
      </c>
      <c r="C30" s="28">
        <v>2</v>
      </c>
      <c r="D30" s="28" t="s">
        <v>63</v>
      </c>
      <c r="E30" s="28">
        <v>109</v>
      </c>
      <c r="F30" s="28">
        <v>30</v>
      </c>
      <c r="G30" s="28">
        <f t="shared" si="0"/>
        <v>139</v>
      </c>
      <c r="H30" s="28" t="s">
        <v>1937</v>
      </c>
      <c r="J30"/>
      <c r="K30"/>
      <c r="L30"/>
      <c r="M30"/>
      <c r="N30"/>
      <c r="O30"/>
      <c r="P30"/>
      <c r="Q30"/>
      <c r="R30"/>
      <c r="S30"/>
      <c r="T30"/>
      <c r="U30"/>
    </row>
    <row r="31" spans="1:21" hidden="1" x14ac:dyDescent="0.3">
      <c r="A31" s="28" t="s">
        <v>57</v>
      </c>
      <c r="B31" s="28">
        <v>2014</v>
      </c>
      <c r="C31" s="28">
        <v>2</v>
      </c>
      <c r="D31" s="28" t="s">
        <v>78</v>
      </c>
      <c r="E31" s="28">
        <v>13</v>
      </c>
      <c r="F31" s="28">
        <v>13</v>
      </c>
      <c r="G31" s="28">
        <f t="shared" si="0"/>
        <v>26</v>
      </c>
      <c r="H31" s="28" t="s">
        <v>1937</v>
      </c>
      <c r="J31"/>
      <c r="K31"/>
      <c r="L31"/>
      <c r="M31"/>
      <c r="N31"/>
      <c r="O31"/>
      <c r="P31"/>
      <c r="Q31"/>
      <c r="R31"/>
      <c r="S31"/>
      <c r="T31"/>
      <c r="U31"/>
    </row>
    <row r="32" spans="1:21" hidden="1" x14ac:dyDescent="0.3">
      <c r="A32" s="28" t="s">
        <v>57</v>
      </c>
      <c r="B32" s="28">
        <v>2014</v>
      </c>
      <c r="C32" s="28">
        <v>2</v>
      </c>
      <c r="D32" s="28" t="s">
        <v>72</v>
      </c>
      <c r="E32" s="28">
        <v>7</v>
      </c>
      <c r="F32" s="28">
        <v>7</v>
      </c>
      <c r="G32" s="28">
        <f t="shared" si="0"/>
        <v>14</v>
      </c>
      <c r="H32" s="28" t="s">
        <v>1937</v>
      </c>
      <c r="J32"/>
      <c r="K32"/>
      <c r="L32"/>
      <c r="M32"/>
      <c r="N32"/>
      <c r="O32"/>
      <c r="P32"/>
      <c r="Q32"/>
      <c r="R32"/>
      <c r="S32"/>
      <c r="T32"/>
      <c r="U32"/>
    </row>
    <row r="33" spans="1:21" hidden="1" x14ac:dyDescent="0.3">
      <c r="A33" s="28" t="s">
        <v>1929</v>
      </c>
      <c r="B33" s="28">
        <v>2014</v>
      </c>
      <c r="C33" s="28">
        <v>3</v>
      </c>
      <c r="D33" s="28" t="s">
        <v>122</v>
      </c>
      <c r="E33" s="28">
        <v>108</v>
      </c>
      <c r="F33" s="28">
        <v>88</v>
      </c>
      <c r="G33" s="28">
        <f t="shared" si="0"/>
        <v>196</v>
      </c>
      <c r="H33" s="28" t="s">
        <v>1937</v>
      </c>
      <c r="J33"/>
      <c r="K33"/>
      <c r="L33"/>
      <c r="M33"/>
      <c r="N33"/>
      <c r="O33"/>
      <c r="P33"/>
      <c r="Q33"/>
      <c r="R33"/>
      <c r="S33"/>
      <c r="T33"/>
      <c r="U33"/>
    </row>
    <row r="34" spans="1:21" hidden="1" x14ac:dyDescent="0.3">
      <c r="A34" s="28" t="s">
        <v>1929</v>
      </c>
      <c r="B34" s="28">
        <v>2014</v>
      </c>
      <c r="C34" s="28">
        <v>3</v>
      </c>
      <c r="D34" s="28" t="s">
        <v>78</v>
      </c>
      <c r="E34" s="28">
        <v>69</v>
      </c>
      <c r="F34" s="28">
        <v>39</v>
      </c>
      <c r="G34" s="28">
        <f t="shared" si="0"/>
        <v>108</v>
      </c>
      <c r="H34" s="28" t="s">
        <v>1937</v>
      </c>
      <c r="J34"/>
      <c r="K34"/>
      <c r="L34"/>
      <c r="M34"/>
      <c r="N34"/>
      <c r="O34"/>
      <c r="P34"/>
      <c r="Q34"/>
      <c r="R34"/>
      <c r="S34"/>
      <c r="T34"/>
      <c r="U34"/>
    </row>
    <row r="35" spans="1:21" hidden="1" x14ac:dyDescent="0.3">
      <c r="A35" s="28" t="s">
        <v>1929</v>
      </c>
      <c r="B35" s="28">
        <v>2014</v>
      </c>
      <c r="C35" s="28">
        <v>3</v>
      </c>
      <c r="D35" s="28" t="s">
        <v>81</v>
      </c>
      <c r="E35" s="28">
        <v>72</v>
      </c>
      <c r="F35" s="28">
        <v>24</v>
      </c>
      <c r="G35" s="28">
        <f t="shared" si="0"/>
        <v>96</v>
      </c>
      <c r="H35" s="28" t="s">
        <v>1937</v>
      </c>
      <c r="J35"/>
      <c r="K35"/>
      <c r="L35"/>
      <c r="M35"/>
      <c r="N35"/>
      <c r="O35"/>
      <c r="P35"/>
      <c r="Q35"/>
      <c r="R35"/>
      <c r="S35"/>
      <c r="T35"/>
      <c r="U35"/>
    </row>
    <row r="36" spans="1:21" hidden="1" x14ac:dyDescent="0.3">
      <c r="A36" s="28" t="s">
        <v>1929</v>
      </c>
      <c r="B36" s="28">
        <v>2014</v>
      </c>
      <c r="C36" s="28">
        <v>3</v>
      </c>
      <c r="D36" s="28" t="s">
        <v>115</v>
      </c>
      <c r="E36" s="28">
        <v>49</v>
      </c>
      <c r="F36" s="28">
        <v>20</v>
      </c>
      <c r="G36" s="28">
        <f t="shared" si="0"/>
        <v>69</v>
      </c>
      <c r="H36" s="28" t="s">
        <v>1937</v>
      </c>
      <c r="J36"/>
      <c r="K36"/>
      <c r="L36"/>
      <c r="M36"/>
      <c r="N36"/>
      <c r="O36"/>
      <c r="P36"/>
      <c r="Q36"/>
      <c r="R36"/>
      <c r="S36"/>
      <c r="T36"/>
      <c r="U36"/>
    </row>
    <row r="37" spans="1:21" hidden="1" x14ac:dyDescent="0.3">
      <c r="A37" s="28" t="s">
        <v>1929</v>
      </c>
      <c r="B37" s="28">
        <v>2014</v>
      </c>
      <c r="C37" s="28">
        <v>3</v>
      </c>
      <c r="D37" s="28" t="s">
        <v>63</v>
      </c>
      <c r="E37" s="28">
        <v>25</v>
      </c>
      <c r="F37" s="28">
        <v>38</v>
      </c>
      <c r="G37" s="28">
        <f t="shared" si="0"/>
        <v>63</v>
      </c>
      <c r="H37" s="28" t="s">
        <v>1937</v>
      </c>
      <c r="J37"/>
      <c r="K37"/>
      <c r="L37"/>
      <c r="M37"/>
      <c r="N37"/>
      <c r="O37"/>
      <c r="P37"/>
      <c r="Q37"/>
      <c r="R37"/>
      <c r="S37"/>
      <c r="T37"/>
      <c r="U37"/>
    </row>
    <row r="38" spans="1:21" hidden="1" x14ac:dyDescent="0.3">
      <c r="A38" s="28" t="s">
        <v>1929</v>
      </c>
      <c r="B38" s="28">
        <v>2014</v>
      </c>
      <c r="C38" s="28">
        <v>3</v>
      </c>
      <c r="D38" s="28" t="s">
        <v>67</v>
      </c>
      <c r="E38" s="28">
        <v>25</v>
      </c>
      <c r="F38" s="28">
        <v>32</v>
      </c>
      <c r="G38" s="28">
        <f t="shared" si="0"/>
        <v>57</v>
      </c>
      <c r="H38" s="28" t="s">
        <v>1937</v>
      </c>
      <c r="J38"/>
      <c r="K38"/>
      <c r="L38"/>
      <c r="M38"/>
      <c r="N38"/>
      <c r="O38"/>
      <c r="P38"/>
      <c r="Q38"/>
      <c r="R38"/>
      <c r="S38"/>
      <c r="T38"/>
      <c r="U38"/>
    </row>
    <row r="39" spans="1:21" hidden="1" x14ac:dyDescent="0.3">
      <c r="A39" s="28" t="s">
        <v>1929</v>
      </c>
      <c r="B39" s="28">
        <v>2014</v>
      </c>
      <c r="C39" s="28">
        <v>3</v>
      </c>
      <c r="D39" s="28" t="s">
        <v>72</v>
      </c>
      <c r="E39" s="28">
        <v>14</v>
      </c>
      <c r="F39" s="28">
        <v>12</v>
      </c>
      <c r="G39" s="28">
        <f t="shared" si="0"/>
        <v>26</v>
      </c>
      <c r="H39" s="28" t="s">
        <v>1937</v>
      </c>
      <c r="J39"/>
      <c r="K39"/>
      <c r="L39"/>
      <c r="M39"/>
      <c r="N39"/>
      <c r="O39"/>
      <c r="P39"/>
      <c r="Q39"/>
      <c r="R39"/>
      <c r="S39"/>
      <c r="T39"/>
      <c r="U39"/>
    </row>
    <row r="40" spans="1:21" hidden="1" x14ac:dyDescent="0.3">
      <c r="A40" s="28" t="s">
        <v>1929</v>
      </c>
      <c r="B40" s="28">
        <v>2014</v>
      </c>
      <c r="C40" s="28">
        <v>3</v>
      </c>
      <c r="D40" s="28" t="s">
        <v>138</v>
      </c>
      <c r="E40" s="28">
        <v>11</v>
      </c>
      <c r="F40" s="28">
        <v>0</v>
      </c>
      <c r="G40" s="28">
        <f t="shared" si="0"/>
        <v>11</v>
      </c>
      <c r="H40" s="28" t="s">
        <v>1937</v>
      </c>
      <c r="J40"/>
      <c r="K40"/>
      <c r="L40"/>
      <c r="M40"/>
      <c r="N40"/>
      <c r="O40"/>
      <c r="P40"/>
      <c r="Q40"/>
      <c r="R40"/>
      <c r="S40"/>
      <c r="T40"/>
      <c r="U40"/>
    </row>
    <row r="41" spans="1:21" hidden="1" x14ac:dyDescent="0.3">
      <c r="A41" s="28" t="s">
        <v>1929</v>
      </c>
      <c r="B41" s="28">
        <v>2014</v>
      </c>
      <c r="C41" s="28">
        <v>3</v>
      </c>
      <c r="D41" s="28" t="s">
        <v>56</v>
      </c>
      <c r="E41" s="28">
        <v>5</v>
      </c>
      <c r="F41" s="28">
        <v>0</v>
      </c>
      <c r="G41" s="28">
        <f t="shared" si="0"/>
        <v>5</v>
      </c>
      <c r="H41" s="28" t="s">
        <v>1937</v>
      </c>
      <c r="J41"/>
      <c r="K41"/>
      <c r="L41"/>
      <c r="M41"/>
      <c r="N41"/>
      <c r="O41"/>
      <c r="P41"/>
      <c r="Q41"/>
      <c r="R41"/>
      <c r="S41"/>
      <c r="T41"/>
      <c r="U41"/>
    </row>
    <row r="42" spans="1:21" hidden="1" x14ac:dyDescent="0.3">
      <c r="A42" s="28" t="s">
        <v>1929</v>
      </c>
      <c r="B42" s="28">
        <v>2014</v>
      </c>
      <c r="C42" s="28">
        <v>3</v>
      </c>
      <c r="D42" s="28" t="s">
        <v>125</v>
      </c>
      <c r="E42" s="28">
        <v>0</v>
      </c>
      <c r="F42" s="28">
        <v>1</v>
      </c>
      <c r="G42" s="28">
        <f t="shared" si="0"/>
        <v>1</v>
      </c>
      <c r="H42" s="28" t="s">
        <v>1937</v>
      </c>
      <c r="J42"/>
      <c r="K42"/>
      <c r="L42"/>
      <c r="M42"/>
      <c r="N42"/>
      <c r="O42"/>
      <c r="P42"/>
      <c r="Q42"/>
      <c r="R42"/>
      <c r="S42"/>
      <c r="T42"/>
      <c r="U42"/>
    </row>
    <row r="43" spans="1:21" hidden="1" x14ac:dyDescent="0.3">
      <c r="A43" s="28" t="s">
        <v>1929</v>
      </c>
      <c r="B43" s="28">
        <v>2014</v>
      </c>
      <c r="C43" s="28">
        <v>3</v>
      </c>
      <c r="D43" s="28" t="s">
        <v>128</v>
      </c>
      <c r="E43" s="28">
        <v>0</v>
      </c>
      <c r="F43" s="28">
        <v>1</v>
      </c>
      <c r="G43" s="28">
        <f t="shared" si="0"/>
        <v>1</v>
      </c>
      <c r="H43" s="28" t="s">
        <v>1937</v>
      </c>
      <c r="J43"/>
      <c r="K43"/>
      <c r="L43"/>
      <c r="M43"/>
      <c r="N43"/>
      <c r="O43"/>
      <c r="P43"/>
      <c r="Q43"/>
      <c r="R43"/>
      <c r="S43"/>
      <c r="T43"/>
      <c r="U43"/>
    </row>
    <row r="44" spans="1:21" hidden="1" x14ac:dyDescent="0.3">
      <c r="A44" s="28" t="s">
        <v>91</v>
      </c>
      <c r="B44" s="28">
        <v>2014</v>
      </c>
      <c r="C44" s="28">
        <v>3</v>
      </c>
      <c r="D44" s="28" t="s">
        <v>56</v>
      </c>
      <c r="E44" s="28">
        <v>921</v>
      </c>
      <c r="F44" s="28">
        <v>937</v>
      </c>
      <c r="G44" s="28">
        <f t="shared" si="0"/>
        <v>1858</v>
      </c>
      <c r="H44" s="28" t="s">
        <v>1937</v>
      </c>
      <c r="J44"/>
      <c r="K44"/>
      <c r="L44"/>
      <c r="M44"/>
      <c r="N44"/>
      <c r="O44"/>
      <c r="P44"/>
      <c r="Q44"/>
      <c r="R44"/>
      <c r="S44"/>
      <c r="T44"/>
      <c r="U44"/>
    </row>
    <row r="45" spans="1:21" hidden="1" x14ac:dyDescent="0.3">
      <c r="A45" s="28" t="s">
        <v>57</v>
      </c>
      <c r="B45" s="28">
        <v>2014</v>
      </c>
      <c r="C45" s="28">
        <v>3</v>
      </c>
      <c r="D45" s="28" t="s">
        <v>56</v>
      </c>
      <c r="E45" s="28">
        <v>1101</v>
      </c>
      <c r="F45" s="28">
        <v>1142</v>
      </c>
      <c r="G45" s="28">
        <f t="shared" si="0"/>
        <v>2243</v>
      </c>
      <c r="H45" s="28" t="s">
        <v>1937</v>
      </c>
      <c r="J45"/>
      <c r="K45"/>
      <c r="L45"/>
      <c r="M45"/>
      <c r="N45"/>
      <c r="O45"/>
      <c r="P45"/>
      <c r="Q45"/>
      <c r="R45"/>
      <c r="S45"/>
      <c r="T45"/>
      <c r="U45"/>
    </row>
    <row r="46" spans="1:21" hidden="1" x14ac:dyDescent="0.3">
      <c r="A46" s="28" t="s">
        <v>57</v>
      </c>
      <c r="B46" s="28">
        <v>2014</v>
      </c>
      <c r="C46" s="28">
        <v>3</v>
      </c>
      <c r="D46" s="28" t="s">
        <v>67</v>
      </c>
      <c r="E46" s="28">
        <v>468</v>
      </c>
      <c r="F46" s="28">
        <v>424</v>
      </c>
      <c r="G46" s="28">
        <f t="shared" si="0"/>
        <v>892</v>
      </c>
      <c r="H46" s="28" t="s">
        <v>1937</v>
      </c>
      <c r="J46"/>
      <c r="K46"/>
      <c r="L46"/>
      <c r="M46"/>
      <c r="N46"/>
      <c r="O46"/>
      <c r="P46"/>
      <c r="Q46"/>
      <c r="R46"/>
      <c r="S46"/>
      <c r="T46"/>
      <c r="U46"/>
    </row>
    <row r="47" spans="1:21" hidden="1" x14ac:dyDescent="0.3">
      <c r="A47" s="28" t="s">
        <v>57</v>
      </c>
      <c r="B47" s="28">
        <v>2014</v>
      </c>
      <c r="C47" s="28">
        <v>3</v>
      </c>
      <c r="D47" s="28" t="s">
        <v>63</v>
      </c>
      <c r="E47" s="28">
        <v>18</v>
      </c>
      <c r="F47" s="28">
        <v>36</v>
      </c>
      <c r="G47" s="28">
        <f t="shared" si="0"/>
        <v>54</v>
      </c>
      <c r="H47" s="28" t="s">
        <v>1937</v>
      </c>
      <c r="J47"/>
      <c r="K47"/>
      <c r="L47"/>
      <c r="M47"/>
      <c r="N47"/>
      <c r="O47"/>
      <c r="P47"/>
      <c r="Q47"/>
      <c r="R47"/>
      <c r="S47"/>
      <c r="T47"/>
      <c r="U47"/>
    </row>
    <row r="48" spans="1:21" hidden="1" x14ac:dyDescent="0.3">
      <c r="A48" s="28" t="s">
        <v>57</v>
      </c>
      <c r="B48" s="28">
        <v>2014</v>
      </c>
      <c r="C48" s="28">
        <v>3</v>
      </c>
      <c r="D48" s="28" t="s">
        <v>78</v>
      </c>
      <c r="E48" s="28">
        <v>28</v>
      </c>
      <c r="F48" s="28">
        <v>1</v>
      </c>
      <c r="G48" s="28">
        <f t="shared" si="0"/>
        <v>29</v>
      </c>
      <c r="H48" s="28" t="s">
        <v>1937</v>
      </c>
      <c r="J48"/>
      <c r="K48"/>
      <c r="L48"/>
      <c r="M48"/>
      <c r="N48"/>
      <c r="O48"/>
      <c r="P48"/>
      <c r="Q48"/>
      <c r="R48"/>
      <c r="S48"/>
      <c r="T48"/>
      <c r="U48"/>
    </row>
    <row r="49" spans="1:21" hidden="1" x14ac:dyDescent="0.3">
      <c r="A49" s="28" t="s">
        <v>57</v>
      </c>
      <c r="B49" s="28">
        <v>2014</v>
      </c>
      <c r="C49" s="28">
        <v>3</v>
      </c>
      <c r="D49" s="28" t="s">
        <v>72</v>
      </c>
      <c r="E49" s="28">
        <v>11</v>
      </c>
      <c r="F49" s="28">
        <v>15</v>
      </c>
      <c r="G49" s="28">
        <f t="shared" si="0"/>
        <v>26</v>
      </c>
      <c r="H49" s="28" t="s">
        <v>1937</v>
      </c>
      <c r="J49"/>
      <c r="K49"/>
      <c r="L49"/>
      <c r="M49"/>
      <c r="N49"/>
      <c r="O49"/>
      <c r="P49"/>
      <c r="Q49"/>
      <c r="R49"/>
      <c r="S49"/>
      <c r="T49"/>
      <c r="U49"/>
    </row>
    <row r="50" spans="1:21" hidden="1" x14ac:dyDescent="0.3">
      <c r="A50" s="28" t="s">
        <v>1929</v>
      </c>
      <c r="B50" s="28">
        <v>2014</v>
      </c>
      <c r="C50" s="28">
        <v>4</v>
      </c>
      <c r="D50" s="28" t="s">
        <v>122</v>
      </c>
      <c r="E50" s="28">
        <v>83</v>
      </c>
      <c r="F50" s="28">
        <v>43</v>
      </c>
      <c r="G50" s="28">
        <f t="shared" si="0"/>
        <v>126</v>
      </c>
      <c r="H50" s="28" t="s">
        <v>1937</v>
      </c>
      <c r="J50"/>
      <c r="K50"/>
      <c r="L50"/>
      <c r="M50"/>
      <c r="N50"/>
      <c r="O50"/>
      <c r="P50"/>
      <c r="Q50"/>
      <c r="R50"/>
      <c r="S50"/>
      <c r="T50"/>
      <c r="U50"/>
    </row>
    <row r="51" spans="1:21" hidden="1" x14ac:dyDescent="0.3">
      <c r="A51" s="28" t="s">
        <v>1929</v>
      </c>
      <c r="B51" s="28">
        <v>2014</v>
      </c>
      <c r="C51" s="28">
        <v>4</v>
      </c>
      <c r="D51" s="28" t="s">
        <v>67</v>
      </c>
      <c r="E51" s="28">
        <v>54</v>
      </c>
      <c r="F51" s="28">
        <v>46</v>
      </c>
      <c r="G51" s="28">
        <f t="shared" si="0"/>
        <v>100</v>
      </c>
      <c r="H51" s="28" t="s">
        <v>1937</v>
      </c>
      <c r="J51"/>
      <c r="K51"/>
      <c r="L51"/>
      <c r="M51"/>
      <c r="N51"/>
      <c r="O51"/>
      <c r="P51"/>
      <c r="Q51"/>
      <c r="R51"/>
      <c r="S51"/>
      <c r="T51"/>
      <c r="U51"/>
    </row>
    <row r="52" spans="1:21" hidden="1" x14ac:dyDescent="0.3">
      <c r="A52" s="28" t="s">
        <v>1929</v>
      </c>
      <c r="B52" s="28">
        <v>2014</v>
      </c>
      <c r="C52" s="28">
        <v>4</v>
      </c>
      <c r="D52" s="28" t="s">
        <v>115</v>
      </c>
      <c r="E52" s="28">
        <v>41</v>
      </c>
      <c r="F52" s="28">
        <v>28</v>
      </c>
      <c r="G52" s="28">
        <f t="shared" si="0"/>
        <v>69</v>
      </c>
      <c r="H52" s="28" t="s">
        <v>1937</v>
      </c>
      <c r="J52"/>
      <c r="K52"/>
      <c r="L52"/>
      <c r="M52"/>
      <c r="N52"/>
      <c r="O52"/>
      <c r="P52"/>
      <c r="Q52"/>
      <c r="R52"/>
      <c r="S52"/>
      <c r="T52"/>
      <c r="U52"/>
    </row>
    <row r="53" spans="1:21" hidden="1" x14ac:dyDescent="0.3">
      <c r="A53" s="28" t="s">
        <v>1929</v>
      </c>
      <c r="B53" s="28">
        <v>2014</v>
      </c>
      <c r="C53" s="28">
        <v>4</v>
      </c>
      <c r="D53" s="28" t="s">
        <v>63</v>
      </c>
      <c r="E53" s="28">
        <v>45</v>
      </c>
      <c r="F53" s="28">
        <v>23</v>
      </c>
      <c r="G53" s="28">
        <f t="shared" si="0"/>
        <v>68</v>
      </c>
      <c r="H53" s="28" t="s">
        <v>1937</v>
      </c>
      <c r="J53"/>
      <c r="K53"/>
      <c r="L53"/>
      <c r="M53"/>
      <c r="N53"/>
      <c r="O53"/>
      <c r="P53"/>
      <c r="Q53"/>
      <c r="R53"/>
      <c r="S53"/>
      <c r="T53"/>
      <c r="U53"/>
    </row>
    <row r="54" spans="1:21" hidden="1" x14ac:dyDescent="0.3">
      <c r="A54" s="28" t="s">
        <v>1929</v>
      </c>
      <c r="B54" s="28">
        <v>2014</v>
      </c>
      <c r="C54" s="28">
        <v>4</v>
      </c>
      <c r="D54" s="28" t="s">
        <v>81</v>
      </c>
      <c r="E54" s="28">
        <v>12</v>
      </c>
      <c r="F54" s="28">
        <v>27</v>
      </c>
      <c r="G54" s="28">
        <f t="shared" si="0"/>
        <v>39</v>
      </c>
      <c r="H54" s="28" t="s">
        <v>1937</v>
      </c>
      <c r="J54"/>
      <c r="K54"/>
      <c r="L54"/>
      <c r="M54"/>
      <c r="N54"/>
      <c r="O54"/>
      <c r="P54"/>
      <c r="Q54"/>
      <c r="R54"/>
      <c r="S54"/>
      <c r="T54"/>
      <c r="U54"/>
    </row>
    <row r="55" spans="1:21" hidden="1" x14ac:dyDescent="0.3">
      <c r="A55" s="28" t="s">
        <v>1929</v>
      </c>
      <c r="B55" s="28">
        <v>2014</v>
      </c>
      <c r="C55" s="28">
        <v>4</v>
      </c>
      <c r="D55" s="28" t="s">
        <v>125</v>
      </c>
      <c r="E55" s="28">
        <v>14</v>
      </c>
      <c r="F55" s="28">
        <v>15</v>
      </c>
      <c r="G55" s="28">
        <f t="shared" si="0"/>
        <v>29</v>
      </c>
      <c r="H55" s="28" t="s">
        <v>1937</v>
      </c>
      <c r="J55"/>
      <c r="K55"/>
      <c r="L55"/>
      <c r="M55"/>
      <c r="N55"/>
      <c r="O55"/>
      <c r="P55"/>
      <c r="Q55"/>
      <c r="R55"/>
      <c r="S55"/>
      <c r="T55"/>
      <c r="U55"/>
    </row>
    <row r="56" spans="1:21" hidden="1" x14ac:dyDescent="0.3">
      <c r="A56" s="28" t="s">
        <v>1929</v>
      </c>
      <c r="B56" s="28">
        <v>2014</v>
      </c>
      <c r="C56" s="28">
        <v>4</v>
      </c>
      <c r="D56" s="28" t="s">
        <v>138</v>
      </c>
      <c r="E56" s="28">
        <v>5</v>
      </c>
      <c r="F56" s="28">
        <v>4</v>
      </c>
      <c r="G56" s="28">
        <f t="shared" si="0"/>
        <v>9</v>
      </c>
      <c r="H56" s="28" t="s">
        <v>1937</v>
      </c>
      <c r="J56"/>
      <c r="K56"/>
      <c r="L56"/>
      <c r="M56"/>
      <c r="N56"/>
      <c r="O56"/>
      <c r="P56"/>
      <c r="Q56"/>
      <c r="R56"/>
      <c r="S56"/>
      <c r="T56"/>
      <c r="U56"/>
    </row>
    <row r="57" spans="1:21" hidden="1" x14ac:dyDescent="0.3">
      <c r="A57" s="28" t="s">
        <v>1929</v>
      </c>
      <c r="B57" s="28">
        <v>2014</v>
      </c>
      <c r="C57" s="28">
        <v>4</v>
      </c>
      <c r="D57" s="28" t="s">
        <v>357</v>
      </c>
      <c r="E57" s="28">
        <v>3</v>
      </c>
      <c r="F57" s="28">
        <v>4</v>
      </c>
      <c r="G57" s="28">
        <f t="shared" si="0"/>
        <v>7</v>
      </c>
      <c r="H57" s="28" t="s">
        <v>1937</v>
      </c>
      <c r="J57"/>
      <c r="K57"/>
      <c r="L57"/>
      <c r="M57"/>
      <c r="N57"/>
      <c r="O57"/>
      <c r="P57"/>
      <c r="Q57"/>
      <c r="R57"/>
      <c r="S57"/>
      <c r="T57"/>
      <c r="U57"/>
    </row>
    <row r="58" spans="1:21" hidden="1" x14ac:dyDescent="0.3">
      <c r="A58" s="28" t="s">
        <v>1929</v>
      </c>
      <c r="B58" s="28">
        <v>2014</v>
      </c>
      <c r="C58" s="28">
        <v>4</v>
      </c>
      <c r="D58" s="28" t="s">
        <v>56</v>
      </c>
      <c r="E58" s="28">
        <v>3</v>
      </c>
      <c r="F58" s="28">
        <v>0</v>
      </c>
      <c r="G58" s="28">
        <f t="shared" si="0"/>
        <v>3</v>
      </c>
      <c r="H58" s="28" t="s">
        <v>1937</v>
      </c>
      <c r="J58"/>
      <c r="K58"/>
      <c r="L58"/>
      <c r="M58"/>
      <c r="N58"/>
      <c r="O58"/>
      <c r="P58"/>
      <c r="Q58"/>
      <c r="R58"/>
      <c r="S58"/>
      <c r="T58"/>
      <c r="U58"/>
    </row>
    <row r="59" spans="1:21" hidden="1" x14ac:dyDescent="0.3">
      <c r="A59" s="28" t="s">
        <v>1929</v>
      </c>
      <c r="B59" s="28">
        <v>2014</v>
      </c>
      <c r="C59" s="28">
        <v>4</v>
      </c>
      <c r="D59" s="28" t="s">
        <v>72</v>
      </c>
      <c r="E59" s="28">
        <v>2</v>
      </c>
      <c r="F59" s="28">
        <v>0</v>
      </c>
      <c r="G59" s="28">
        <f t="shared" si="0"/>
        <v>2</v>
      </c>
      <c r="H59" s="28" t="s">
        <v>1937</v>
      </c>
      <c r="J59"/>
      <c r="K59"/>
      <c r="L59"/>
      <c r="M59"/>
      <c r="N59"/>
      <c r="O59"/>
      <c r="P59"/>
      <c r="Q59"/>
      <c r="R59"/>
      <c r="S59"/>
      <c r="T59"/>
      <c r="U59"/>
    </row>
    <row r="60" spans="1:21" hidden="1" x14ac:dyDescent="0.3">
      <c r="A60" s="28" t="s">
        <v>91</v>
      </c>
      <c r="B60" s="28">
        <v>2014</v>
      </c>
      <c r="C60" s="28">
        <v>4</v>
      </c>
      <c r="D60" s="28" t="s">
        <v>56</v>
      </c>
      <c r="E60" s="28">
        <v>756</v>
      </c>
      <c r="F60" s="28">
        <v>740</v>
      </c>
      <c r="G60" s="28">
        <f t="shared" si="0"/>
        <v>1496</v>
      </c>
      <c r="H60" s="28" t="s">
        <v>1937</v>
      </c>
      <c r="J60"/>
      <c r="K60"/>
      <c r="L60"/>
      <c r="M60"/>
      <c r="N60"/>
      <c r="O60"/>
      <c r="P60"/>
      <c r="Q60"/>
      <c r="R60"/>
      <c r="S60"/>
      <c r="T60"/>
      <c r="U60"/>
    </row>
    <row r="61" spans="1:21" hidden="1" x14ac:dyDescent="0.3">
      <c r="A61" s="28" t="s">
        <v>57</v>
      </c>
      <c r="B61" s="28">
        <v>2014</v>
      </c>
      <c r="C61" s="28">
        <v>4</v>
      </c>
      <c r="D61" s="28" t="s">
        <v>56</v>
      </c>
      <c r="E61" s="28">
        <v>1015</v>
      </c>
      <c r="F61" s="28">
        <v>983</v>
      </c>
      <c r="G61" s="28">
        <f t="shared" si="0"/>
        <v>1998</v>
      </c>
      <c r="H61" s="28" t="s">
        <v>1937</v>
      </c>
      <c r="J61"/>
      <c r="K61"/>
      <c r="L61"/>
      <c r="M61"/>
      <c r="N61"/>
      <c r="O61"/>
      <c r="P61"/>
      <c r="Q61"/>
      <c r="R61"/>
      <c r="S61"/>
      <c r="T61"/>
      <c r="U61"/>
    </row>
    <row r="62" spans="1:21" hidden="1" x14ac:dyDescent="0.3">
      <c r="A62" s="28" t="s">
        <v>57</v>
      </c>
      <c r="B62" s="28">
        <v>2014</v>
      </c>
      <c r="C62" s="28">
        <v>4</v>
      </c>
      <c r="D62" s="28" t="s">
        <v>67</v>
      </c>
      <c r="E62" s="28">
        <v>348</v>
      </c>
      <c r="F62" s="28">
        <v>348</v>
      </c>
      <c r="G62" s="28">
        <f t="shared" si="0"/>
        <v>696</v>
      </c>
      <c r="H62" s="28" t="s">
        <v>1937</v>
      </c>
      <c r="J62"/>
      <c r="K62"/>
      <c r="L62"/>
      <c r="M62"/>
      <c r="N62"/>
      <c r="O62"/>
      <c r="P62"/>
      <c r="Q62"/>
      <c r="R62"/>
      <c r="S62"/>
      <c r="T62"/>
      <c r="U62"/>
    </row>
    <row r="63" spans="1:21" hidden="1" x14ac:dyDescent="0.3">
      <c r="A63" s="28" t="s">
        <v>57</v>
      </c>
      <c r="B63" s="28">
        <v>2014</v>
      </c>
      <c r="C63" s="28">
        <v>4</v>
      </c>
      <c r="D63" s="28" t="s">
        <v>63</v>
      </c>
      <c r="E63" s="28">
        <v>33</v>
      </c>
      <c r="F63" s="28">
        <v>32</v>
      </c>
      <c r="G63" s="28">
        <f t="shared" si="0"/>
        <v>65</v>
      </c>
      <c r="H63" s="28" t="s">
        <v>1937</v>
      </c>
      <c r="J63"/>
      <c r="K63"/>
      <c r="L63"/>
      <c r="M63"/>
      <c r="N63"/>
      <c r="O63"/>
      <c r="P63"/>
      <c r="Q63"/>
      <c r="R63"/>
      <c r="S63"/>
      <c r="T63"/>
      <c r="U63"/>
    </row>
    <row r="64" spans="1:21" hidden="1" x14ac:dyDescent="0.3">
      <c r="A64" s="28" t="s">
        <v>57</v>
      </c>
      <c r="B64" s="28">
        <v>2014</v>
      </c>
      <c r="C64" s="28">
        <v>4</v>
      </c>
      <c r="D64" s="28" t="s">
        <v>72</v>
      </c>
      <c r="E64" s="28">
        <v>9</v>
      </c>
      <c r="F64" s="28">
        <v>9</v>
      </c>
      <c r="G64" s="28">
        <f t="shared" si="0"/>
        <v>18</v>
      </c>
      <c r="H64" s="28" t="s">
        <v>1937</v>
      </c>
      <c r="J64"/>
      <c r="K64"/>
      <c r="L64"/>
      <c r="M64"/>
      <c r="N64"/>
      <c r="O64"/>
      <c r="P64"/>
      <c r="Q64"/>
      <c r="R64"/>
      <c r="S64"/>
      <c r="T64"/>
      <c r="U64"/>
    </row>
    <row r="65" spans="1:21" hidden="1" x14ac:dyDescent="0.3">
      <c r="A65" s="28" t="s">
        <v>1929</v>
      </c>
      <c r="B65" s="28">
        <v>2014</v>
      </c>
      <c r="C65" s="28">
        <v>5</v>
      </c>
      <c r="D65" s="28" t="s">
        <v>63</v>
      </c>
      <c r="E65" s="28">
        <v>133</v>
      </c>
      <c r="F65" s="28">
        <v>105</v>
      </c>
      <c r="G65" s="28">
        <f t="shared" si="0"/>
        <v>238</v>
      </c>
      <c r="H65" s="28" t="s">
        <v>1937</v>
      </c>
      <c r="J65"/>
      <c r="K65"/>
      <c r="L65"/>
      <c r="M65"/>
      <c r="N65"/>
      <c r="O65"/>
      <c r="P65"/>
      <c r="Q65"/>
      <c r="R65"/>
      <c r="S65"/>
      <c r="T65"/>
      <c r="U65"/>
    </row>
    <row r="66" spans="1:21" hidden="1" x14ac:dyDescent="0.3">
      <c r="A66" s="28" t="s">
        <v>1929</v>
      </c>
      <c r="B66" s="28">
        <v>2014</v>
      </c>
      <c r="C66" s="28">
        <v>5</v>
      </c>
      <c r="D66" s="28" t="s">
        <v>78</v>
      </c>
      <c r="E66" s="28">
        <v>60</v>
      </c>
      <c r="F66" s="28">
        <v>34</v>
      </c>
      <c r="G66" s="28">
        <f t="shared" ref="G66:G129" si="1">SUM(E66+F66)</f>
        <v>94</v>
      </c>
      <c r="H66" s="28" t="s">
        <v>1937</v>
      </c>
      <c r="J66"/>
      <c r="K66"/>
      <c r="L66"/>
      <c r="M66"/>
      <c r="N66"/>
      <c r="O66"/>
      <c r="P66"/>
      <c r="Q66"/>
      <c r="R66"/>
      <c r="S66"/>
      <c r="T66"/>
      <c r="U66"/>
    </row>
    <row r="67" spans="1:21" hidden="1" x14ac:dyDescent="0.3">
      <c r="A67" s="28" t="s">
        <v>1929</v>
      </c>
      <c r="B67" s="28">
        <v>2014</v>
      </c>
      <c r="C67" s="28">
        <v>5</v>
      </c>
      <c r="D67" s="28" t="s">
        <v>67</v>
      </c>
      <c r="E67" s="28">
        <v>21</v>
      </c>
      <c r="F67" s="28">
        <v>29</v>
      </c>
      <c r="G67" s="28">
        <f t="shared" si="1"/>
        <v>50</v>
      </c>
      <c r="H67" s="28" t="s">
        <v>1937</v>
      </c>
      <c r="J67"/>
      <c r="K67"/>
      <c r="L67"/>
      <c r="M67"/>
      <c r="N67"/>
      <c r="O67"/>
      <c r="P67"/>
      <c r="Q67"/>
      <c r="R67"/>
      <c r="S67"/>
      <c r="T67"/>
      <c r="U67"/>
    </row>
    <row r="68" spans="1:21" hidden="1" x14ac:dyDescent="0.3">
      <c r="A68" s="28" t="s">
        <v>1929</v>
      </c>
      <c r="B68" s="28">
        <v>2014</v>
      </c>
      <c r="C68" s="28">
        <v>5</v>
      </c>
      <c r="D68" s="28" t="s">
        <v>115</v>
      </c>
      <c r="E68" s="28">
        <v>16</v>
      </c>
      <c r="F68" s="28">
        <v>20</v>
      </c>
      <c r="G68" s="28">
        <f t="shared" si="1"/>
        <v>36</v>
      </c>
      <c r="H68" s="28" t="s">
        <v>1937</v>
      </c>
      <c r="J68"/>
      <c r="K68"/>
      <c r="L68"/>
      <c r="M68"/>
      <c r="N68"/>
      <c r="O68"/>
      <c r="P68"/>
      <c r="Q68"/>
      <c r="R68"/>
      <c r="S68"/>
      <c r="T68"/>
      <c r="U68"/>
    </row>
    <row r="69" spans="1:21" hidden="1" x14ac:dyDescent="0.3">
      <c r="A69" s="28" t="s">
        <v>1929</v>
      </c>
      <c r="B69" s="28">
        <v>2014</v>
      </c>
      <c r="C69" s="28">
        <v>5</v>
      </c>
      <c r="D69" s="28" t="s">
        <v>122</v>
      </c>
      <c r="E69" s="28">
        <v>7</v>
      </c>
      <c r="F69" s="28">
        <v>14</v>
      </c>
      <c r="G69" s="28">
        <f t="shared" si="1"/>
        <v>21</v>
      </c>
      <c r="H69" s="28" t="s">
        <v>1937</v>
      </c>
      <c r="J69"/>
      <c r="K69"/>
      <c r="L69"/>
      <c r="M69"/>
      <c r="N69"/>
      <c r="O69"/>
      <c r="P69"/>
      <c r="Q69"/>
      <c r="R69"/>
      <c r="S69"/>
      <c r="T69"/>
      <c r="U69"/>
    </row>
    <row r="70" spans="1:21" hidden="1" x14ac:dyDescent="0.3">
      <c r="A70" s="28" t="s">
        <v>1929</v>
      </c>
      <c r="B70" s="28">
        <v>2014</v>
      </c>
      <c r="C70" s="28">
        <v>5</v>
      </c>
      <c r="D70" s="28" t="s">
        <v>81</v>
      </c>
      <c r="E70" s="28">
        <v>5</v>
      </c>
      <c r="F70" s="28">
        <v>15</v>
      </c>
      <c r="G70" s="28">
        <f t="shared" si="1"/>
        <v>20</v>
      </c>
      <c r="H70" s="28" t="s">
        <v>1937</v>
      </c>
      <c r="J70"/>
      <c r="K70"/>
      <c r="L70"/>
      <c r="M70"/>
      <c r="N70"/>
      <c r="O70"/>
      <c r="P70"/>
      <c r="Q70"/>
      <c r="R70"/>
      <c r="S70"/>
      <c r="T70"/>
      <c r="U70"/>
    </row>
    <row r="71" spans="1:21" hidden="1" x14ac:dyDescent="0.3">
      <c r="A71" s="28" t="s">
        <v>1929</v>
      </c>
      <c r="B71" s="28">
        <v>2014</v>
      </c>
      <c r="C71" s="28">
        <v>5</v>
      </c>
      <c r="D71" s="28" t="s">
        <v>125</v>
      </c>
      <c r="E71" s="28">
        <v>16</v>
      </c>
      <c r="F71" s="28">
        <v>0</v>
      </c>
      <c r="G71" s="28">
        <f t="shared" si="1"/>
        <v>16</v>
      </c>
      <c r="H71" s="28" t="s">
        <v>1937</v>
      </c>
      <c r="J71"/>
      <c r="K71"/>
      <c r="L71"/>
      <c r="M71"/>
      <c r="N71"/>
      <c r="O71"/>
      <c r="P71"/>
      <c r="Q71"/>
      <c r="R71"/>
      <c r="S71"/>
      <c r="T71"/>
      <c r="U71"/>
    </row>
    <row r="72" spans="1:21" hidden="1" x14ac:dyDescent="0.3">
      <c r="A72" s="28" t="s">
        <v>1929</v>
      </c>
      <c r="B72" s="28">
        <v>2014</v>
      </c>
      <c r="C72" s="28">
        <v>5</v>
      </c>
      <c r="D72" s="28" t="s">
        <v>56</v>
      </c>
      <c r="E72" s="28">
        <v>9</v>
      </c>
      <c r="F72" s="28">
        <v>7</v>
      </c>
      <c r="G72" s="28">
        <f t="shared" si="1"/>
        <v>16</v>
      </c>
      <c r="H72" s="28" t="s">
        <v>1937</v>
      </c>
      <c r="J72"/>
      <c r="K72"/>
      <c r="L72"/>
      <c r="M72"/>
      <c r="N72"/>
      <c r="O72"/>
      <c r="P72"/>
      <c r="Q72"/>
      <c r="R72"/>
      <c r="S72"/>
      <c r="T72"/>
      <c r="U72"/>
    </row>
    <row r="73" spans="1:21" hidden="1" x14ac:dyDescent="0.3">
      <c r="A73" s="28" t="s">
        <v>1929</v>
      </c>
      <c r="B73" s="28">
        <v>2014</v>
      </c>
      <c r="C73" s="28">
        <v>5</v>
      </c>
      <c r="D73" s="28" t="s">
        <v>138</v>
      </c>
      <c r="E73" s="28">
        <v>7</v>
      </c>
      <c r="F73" s="28">
        <v>2</v>
      </c>
      <c r="G73" s="28">
        <f t="shared" si="1"/>
        <v>9</v>
      </c>
      <c r="H73" s="28" t="s">
        <v>1937</v>
      </c>
      <c r="J73"/>
      <c r="K73"/>
      <c r="L73"/>
      <c r="M73"/>
      <c r="N73"/>
      <c r="O73"/>
      <c r="P73"/>
      <c r="Q73"/>
      <c r="R73"/>
      <c r="S73"/>
      <c r="T73"/>
      <c r="U73"/>
    </row>
    <row r="74" spans="1:21" hidden="1" x14ac:dyDescent="0.3">
      <c r="A74" s="28" t="s">
        <v>1929</v>
      </c>
      <c r="B74" s="28">
        <v>2014</v>
      </c>
      <c r="C74" s="28">
        <v>5</v>
      </c>
      <c r="D74" s="28" t="s">
        <v>72</v>
      </c>
      <c r="E74" s="28">
        <v>2</v>
      </c>
      <c r="F74" s="28">
        <v>0</v>
      </c>
      <c r="G74" s="28">
        <f t="shared" si="1"/>
        <v>2</v>
      </c>
      <c r="H74" s="28" t="s">
        <v>1937</v>
      </c>
      <c r="J74"/>
      <c r="K74"/>
      <c r="L74"/>
      <c r="M74"/>
      <c r="N74"/>
      <c r="O74"/>
      <c r="P74"/>
      <c r="Q74"/>
      <c r="R74"/>
      <c r="S74"/>
      <c r="T74"/>
      <c r="U74"/>
    </row>
    <row r="75" spans="1:21" hidden="1" x14ac:dyDescent="0.3">
      <c r="A75" s="28" t="s">
        <v>1929</v>
      </c>
      <c r="B75" s="28">
        <v>2014</v>
      </c>
      <c r="C75" s="28">
        <v>5</v>
      </c>
      <c r="D75" s="28" t="s">
        <v>230</v>
      </c>
      <c r="E75" s="28">
        <v>1</v>
      </c>
      <c r="F75" s="28">
        <v>1</v>
      </c>
      <c r="G75" s="28">
        <f t="shared" si="1"/>
        <v>2</v>
      </c>
      <c r="H75" s="28" t="s">
        <v>1937</v>
      </c>
      <c r="J75"/>
      <c r="K75"/>
      <c r="L75"/>
      <c r="M75"/>
      <c r="N75"/>
      <c r="O75"/>
      <c r="P75"/>
      <c r="Q75"/>
      <c r="R75"/>
      <c r="S75"/>
      <c r="T75"/>
      <c r="U75"/>
    </row>
    <row r="76" spans="1:21" hidden="1" x14ac:dyDescent="0.3">
      <c r="A76" s="28" t="s">
        <v>91</v>
      </c>
      <c r="B76" s="28">
        <v>2014</v>
      </c>
      <c r="C76" s="28">
        <v>5</v>
      </c>
      <c r="D76" s="28" t="s">
        <v>56</v>
      </c>
      <c r="E76" s="28">
        <v>818</v>
      </c>
      <c r="F76" s="28">
        <v>866</v>
      </c>
      <c r="G76" s="28">
        <f t="shared" si="1"/>
        <v>1684</v>
      </c>
      <c r="H76" s="28" t="s">
        <v>1937</v>
      </c>
      <c r="J76"/>
      <c r="K76"/>
      <c r="L76"/>
      <c r="M76"/>
      <c r="N76"/>
      <c r="O76"/>
      <c r="P76"/>
      <c r="Q76"/>
      <c r="R76"/>
      <c r="S76"/>
      <c r="T76"/>
      <c r="U76"/>
    </row>
    <row r="77" spans="1:21" hidden="1" x14ac:dyDescent="0.3">
      <c r="A77" s="28" t="s">
        <v>57</v>
      </c>
      <c r="B77" s="28">
        <v>2014</v>
      </c>
      <c r="C77" s="28">
        <v>5</v>
      </c>
      <c r="D77" s="28" t="s">
        <v>56</v>
      </c>
      <c r="E77" s="28">
        <v>1071</v>
      </c>
      <c r="F77" s="28">
        <v>1048</v>
      </c>
      <c r="G77" s="28">
        <f t="shared" si="1"/>
        <v>2119</v>
      </c>
      <c r="H77" s="28" t="s">
        <v>1937</v>
      </c>
      <c r="J77"/>
      <c r="K77"/>
      <c r="L77"/>
      <c r="M77"/>
      <c r="N77"/>
      <c r="O77"/>
      <c r="P77"/>
      <c r="Q77"/>
      <c r="R77"/>
      <c r="S77"/>
      <c r="T77"/>
      <c r="U77"/>
    </row>
    <row r="78" spans="1:21" hidden="1" x14ac:dyDescent="0.3">
      <c r="A78" s="28" t="s">
        <v>57</v>
      </c>
      <c r="B78" s="28">
        <v>2014</v>
      </c>
      <c r="C78" s="28">
        <v>5</v>
      </c>
      <c r="D78" s="28" t="s">
        <v>67</v>
      </c>
      <c r="E78" s="28">
        <v>400</v>
      </c>
      <c r="F78" s="28">
        <v>391</v>
      </c>
      <c r="G78" s="28">
        <f t="shared" si="1"/>
        <v>791</v>
      </c>
      <c r="H78" s="28" t="s">
        <v>1937</v>
      </c>
      <c r="J78"/>
      <c r="K78"/>
      <c r="L78"/>
      <c r="M78"/>
      <c r="N78"/>
      <c r="O78"/>
      <c r="P78"/>
      <c r="Q78"/>
      <c r="R78"/>
      <c r="S78"/>
      <c r="T78"/>
      <c r="U78"/>
    </row>
    <row r="79" spans="1:21" hidden="1" x14ac:dyDescent="0.3">
      <c r="A79" s="28" t="s">
        <v>1929</v>
      </c>
      <c r="B79" s="28">
        <v>2014</v>
      </c>
      <c r="C79" s="28">
        <v>6</v>
      </c>
      <c r="D79" s="28" t="s">
        <v>67</v>
      </c>
      <c r="E79" s="28">
        <v>68</v>
      </c>
      <c r="F79" s="28">
        <v>77</v>
      </c>
      <c r="G79" s="28">
        <f t="shared" si="1"/>
        <v>145</v>
      </c>
      <c r="H79" s="28" t="s">
        <v>1937</v>
      </c>
      <c r="J79"/>
      <c r="K79"/>
      <c r="L79"/>
      <c r="M79"/>
      <c r="N79"/>
      <c r="O79"/>
      <c r="P79"/>
      <c r="Q79"/>
      <c r="R79"/>
      <c r="S79"/>
      <c r="T79"/>
      <c r="U79"/>
    </row>
    <row r="80" spans="1:21" hidden="1" x14ac:dyDescent="0.3">
      <c r="A80" s="28" t="s">
        <v>1929</v>
      </c>
      <c r="B80" s="28">
        <v>2014</v>
      </c>
      <c r="C80" s="28">
        <v>6</v>
      </c>
      <c r="D80" s="28" t="s">
        <v>81</v>
      </c>
      <c r="E80" s="28">
        <v>70</v>
      </c>
      <c r="F80" s="28">
        <v>51</v>
      </c>
      <c r="G80" s="28">
        <f t="shared" si="1"/>
        <v>121</v>
      </c>
      <c r="H80" s="28" t="s">
        <v>1937</v>
      </c>
      <c r="J80"/>
      <c r="K80"/>
      <c r="L80"/>
      <c r="M80"/>
      <c r="N80"/>
      <c r="O80"/>
      <c r="P80"/>
      <c r="Q80"/>
      <c r="R80"/>
      <c r="S80"/>
      <c r="T80"/>
      <c r="U80"/>
    </row>
    <row r="81" spans="1:21" hidden="1" x14ac:dyDescent="0.3">
      <c r="A81" s="28" t="s">
        <v>1929</v>
      </c>
      <c r="B81" s="28">
        <v>2014</v>
      </c>
      <c r="C81" s="28">
        <v>6</v>
      </c>
      <c r="D81" s="28" t="s">
        <v>115</v>
      </c>
      <c r="E81" s="28">
        <v>52</v>
      </c>
      <c r="F81" s="28">
        <v>60</v>
      </c>
      <c r="G81" s="28">
        <f t="shared" si="1"/>
        <v>112</v>
      </c>
      <c r="H81" s="28" t="s">
        <v>1937</v>
      </c>
      <c r="J81"/>
      <c r="K81"/>
      <c r="L81"/>
      <c r="M81"/>
      <c r="N81"/>
      <c r="O81"/>
      <c r="P81"/>
      <c r="Q81"/>
      <c r="R81"/>
      <c r="S81"/>
      <c r="T81"/>
      <c r="U81"/>
    </row>
    <row r="82" spans="1:21" hidden="1" x14ac:dyDescent="0.3">
      <c r="A82" s="28" t="s">
        <v>1929</v>
      </c>
      <c r="B82" s="28">
        <v>2014</v>
      </c>
      <c r="C82" s="28">
        <v>6</v>
      </c>
      <c r="D82" s="28" t="s">
        <v>78</v>
      </c>
      <c r="E82" s="28">
        <v>49</v>
      </c>
      <c r="F82" s="28">
        <v>59</v>
      </c>
      <c r="G82" s="28">
        <f t="shared" si="1"/>
        <v>108</v>
      </c>
      <c r="H82" s="28" t="s">
        <v>1937</v>
      </c>
      <c r="J82"/>
      <c r="K82"/>
      <c r="L82"/>
      <c r="M82"/>
      <c r="N82"/>
      <c r="O82"/>
      <c r="P82"/>
      <c r="Q82"/>
      <c r="R82"/>
      <c r="S82"/>
      <c r="T82"/>
      <c r="U82"/>
    </row>
    <row r="83" spans="1:21" hidden="1" x14ac:dyDescent="0.3">
      <c r="A83" s="28" t="s">
        <v>1929</v>
      </c>
      <c r="B83" s="28">
        <v>2014</v>
      </c>
      <c r="C83" s="28">
        <v>6</v>
      </c>
      <c r="D83" s="28" t="s">
        <v>63</v>
      </c>
      <c r="E83" s="28">
        <v>40</v>
      </c>
      <c r="F83" s="28">
        <v>17</v>
      </c>
      <c r="G83" s="28">
        <f t="shared" si="1"/>
        <v>57</v>
      </c>
      <c r="H83" s="28" t="s">
        <v>1937</v>
      </c>
      <c r="J83"/>
      <c r="K83"/>
      <c r="L83"/>
      <c r="M83"/>
      <c r="N83"/>
      <c r="O83"/>
      <c r="P83"/>
      <c r="Q83"/>
      <c r="R83"/>
      <c r="S83"/>
      <c r="T83"/>
      <c r="U83"/>
    </row>
    <row r="84" spans="1:21" hidden="1" x14ac:dyDescent="0.3">
      <c r="A84" s="28" t="s">
        <v>1929</v>
      </c>
      <c r="B84" s="28">
        <v>2014</v>
      </c>
      <c r="C84" s="28">
        <v>6</v>
      </c>
      <c r="D84" s="28" t="s">
        <v>122</v>
      </c>
      <c r="E84" s="28">
        <v>8</v>
      </c>
      <c r="F84" s="28">
        <v>21</v>
      </c>
      <c r="G84" s="28">
        <f t="shared" si="1"/>
        <v>29</v>
      </c>
      <c r="H84" s="28" t="s">
        <v>1937</v>
      </c>
      <c r="J84"/>
      <c r="K84"/>
      <c r="L84"/>
      <c r="M84"/>
      <c r="N84"/>
      <c r="O84"/>
      <c r="P84"/>
      <c r="Q84"/>
      <c r="R84"/>
      <c r="S84"/>
      <c r="T84"/>
      <c r="U84"/>
    </row>
    <row r="85" spans="1:21" hidden="1" x14ac:dyDescent="0.3">
      <c r="A85" s="28" t="s">
        <v>1929</v>
      </c>
      <c r="B85" s="28">
        <v>2014</v>
      </c>
      <c r="C85" s="28">
        <v>6</v>
      </c>
      <c r="D85" s="28" t="s">
        <v>56</v>
      </c>
      <c r="E85" s="28">
        <v>9</v>
      </c>
      <c r="F85" s="28">
        <v>10</v>
      </c>
      <c r="G85" s="28">
        <f t="shared" si="1"/>
        <v>19</v>
      </c>
      <c r="H85" s="28" t="s">
        <v>1937</v>
      </c>
      <c r="J85"/>
      <c r="K85"/>
      <c r="L85"/>
      <c r="M85"/>
      <c r="N85"/>
      <c r="O85"/>
      <c r="P85"/>
      <c r="Q85"/>
      <c r="R85"/>
      <c r="S85"/>
      <c r="T85"/>
      <c r="U85"/>
    </row>
    <row r="86" spans="1:21" hidden="1" x14ac:dyDescent="0.3">
      <c r="A86" s="28" t="s">
        <v>1929</v>
      </c>
      <c r="B86" s="28">
        <v>2014</v>
      </c>
      <c r="C86" s="28">
        <v>6</v>
      </c>
      <c r="D86" s="28" t="s">
        <v>125</v>
      </c>
      <c r="E86" s="28">
        <v>4</v>
      </c>
      <c r="F86" s="28">
        <v>4</v>
      </c>
      <c r="G86" s="28">
        <f t="shared" si="1"/>
        <v>8</v>
      </c>
      <c r="H86" s="28" t="s">
        <v>1937</v>
      </c>
      <c r="J86"/>
      <c r="K86"/>
      <c r="L86"/>
      <c r="M86"/>
      <c r="N86"/>
      <c r="O86"/>
      <c r="P86"/>
      <c r="Q86"/>
      <c r="R86"/>
      <c r="S86"/>
      <c r="T86"/>
      <c r="U86"/>
    </row>
    <row r="87" spans="1:21" hidden="1" x14ac:dyDescent="0.3">
      <c r="A87" s="28" t="s">
        <v>1929</v>
      </c>
      <c r="B87" s="28">
        <v>2014</v>
      </c>
      <c r="C87" s="28">
        <v>6</v>
      </c>
      <c r="D87" s="28" t="s">
        <v>138</v>
      </c>
      <c r="E87" s="28">
        <v>0</v>
      </c>
      <c r="F87" s="28">
        <v>3</v>
      </c>
      <c r="G87" s="28">
        <f t="shared" si="1"/>
        <v>3</v>
      </c>
      <c r="H87" s="28" t="s">
        <v>1937</v>
      </c>
      <c r="J87"/>
      <c r="K87"/>
      <c r="L87"/>
      <c r="M87"/>
      <c r="N87"/>
      <c r="O87"/>
      <c r="P87"/>
      <c r="Q87"/>
      <c r="R87"/>
      <c r="S87"/>
      <c r="T87"/>
      <c r="U87"/>
    </row>
    <row r="88" spans="1:21" hidden="1" x14ac:dyDescent="0.3">
      <c r="A88" s="28" t="s">
        <v>91</v>
      </c>
      <c r="B88" s="28">
        <v>2014</v>
      </c>
      <c r="C88" s="28">
        <v>6</v>
      </c>
      <c r="D88" s="28" t="s">
        <v>56</v>
      </c>
      <c r="E88" s="28">
        <v>882</v>
      </c>
      <c r="F88" s="28">
        <v>844</v>
      </c>
      <c r="G88" s="28">
        <f t="shared" si="1"/>
        <v>1726</v>
      </c>
      <c r="H88" s="28" t="s">
        <v>1937</v>
      </c>
      <c r="J88"/>
      <c r="K88"/>
      <c r="L88"/>
      <c r="M88"/>
      <c r="N88"/>
      <c r="O88"/>
      <c r="P88"/>
      <c r="Q88"/>
      <c r="R88"/>
      <c r="S88"/>
      <c r="T88"/>
      <c r="U88"/>
    </row>
    <row r="89" spans="1:21" hidden="1" x14ac:dyDescent="0.3">
      <c r="A89" s="28" t="s">
        <v>57</v>
      </c>
      <c r="B89" s="28">
        <v>2014</v>
      </c>
      <c r="C89" s="28">
        <v>6</v>
      </c>
      <c r="D89" s="28" t="s">
        <v>56</v>
      </c>
      <c r="E89" s="28">
        <v>1035</v>
      </c>
      <c r="F89" s="28">
        <v>1076</v>
      </c>
      <c r="G89" s="28">
        <f t="shared" si="1"/>
        <v>2111</v>
      </c>
      <c r="H89" s="28" t="s">
        <v>1937</v>
      </c>
      <c r="J89"/>
      <c r="K89"/>
      <c r="L89"/>
      <c r="M89"/>
      <c r="N89"/>
      <c r="O89"/>
      <c r="P89"/>
      <c r="Q89"/>
      <c r="R89"/>
      <c r="S89"/>
      <c r="T89"/>
      <c r="U89"/>
    </row>
    <row r="90" spans="1:21" hidden="1" x14ac:dyDescent="0.3">
      <c r="A90" s="28" t="s">
        <v>57</v>
      </c>
      <c r="B90" s="28">
        <v>2014</v>
      </c>
      <c r="C90" s="28">
        <v>6</v>
      </c>
      <c r="D90" s="28" t="s">
        <v>67</v>
      </c>
      <c r="E90" s="28">
        <v>338</v>
      </c>
      <c r="F90" s="28">
        <v>336</v>
      </c>
      <c r="G90" s="28">
        <f t="shared" si="1"/>
        <v>674</v>
      </c>
      <c r="H90" s="28" t="s">
        <v>1937</v>
      </c>
      <c r="J90"/>
      <c r="K90"/>
      <c r="L90"/>
      <c r="M90"/>
      <c r="N90"/>
      <c r="O90"/>
      <c r="P90"/>
      <c r="Q90"/>
      <c r="R90"/>
      <c r="S90"/>
      <c r="T90"/>
      <c r="U90"/>
    </row>
    <row r="91" spans="1:21" hidden="1" x14ac:dyDescent="0.3">
      <c r="A91" s="28" t="s">
        <v>57</v>
      </c>
      <c r="B91" s="28">
        <v>2014</v>
      </c>
      <c r="C91" s="28">
        <v>6</v>
      </c>
      <c r="D91" s="28" t="s">
        <v>78</v>
      </c>
      <c r="E91" s="28">
        <v>28</v>
      </c>
      <c r="F91" s="28">
        <v>0</v>
      </c>
      <c r="G91" s="28">
        <f t="shared" si="1"/>
        <v>28</v>
      </c>
      <c r="H91" s="28" t="s">
        <v>1937</v>
      </c>
      <c r="J91"/>
      <c r="K91"/>
      <c r="L91"/>
      <c r="M91"/>
      <c r="N91"/>
      <c r="O91"/>
      <c r="P91"/>
      <c r="Q91"/>
      <c r="R91"/>
      <c r="S91"/>
      <c r="T91"/>
      <c r="U91"/>
    </row>
    <row r="92" spans="1:21" hidden="1" x14ac:dyDescent="0.3">
      <c r="A92" s="28" t="s">
        <v>57</v>
      </c>
      <c r="B92" s="28">
        <v>2014</v>
      </c>
      <c r="C92" s="28">
        <v>6</v>
      </c>
      <c r="D92" s="28" t="s">
        <v>63</v>
      </c>
      <c r="E92" s="28">
        <v>19</v>
      </c>
      <c r="F92" s="28">
        <v>0</v>
      </c>
      <c r="G92" s="28">
        <f t="shared" si="1"/>
        <v>19</v>
      </c>
      <c r="H92" s="28" t="s">
        <v>1937</v>
      </c>
      <c r="J92"/>
      <c r="K92"/>
      <c r="L92"/>
      <c r="M92"/>
      <c r="N92"/>
      <c r="O92"/>
      <c r="P92"/>
      <c r="Q92"/>
      <c r="R92"/>
      <c r="S92"/>
      <c r="T92"/>
      <c r="U92"/>
    </row>
    <row r="93" spans="1:21" hidden="1" x14ac:dyDescent="0.3">
      <c r="A93" s="28" t="s">
        <v>57</v>
      </c>
      <c r="B93" s="28">
        <v>2014</v>
      </c>
      <c r="C93" s="28">
        <v>6</v>
      </c>
      <c r="D93" s="28" t="s">
        <v>72</v>
      </c>
      <c r="F93" s="28">
        <v>11</v>
      </c>
      <c r="G93" s="28">
        <f t="shared" si="1"/>
        <v>11</v>
      </c>
      <c r="H93" s="28" t="s">
        <v>1937</v>
      </c>
      <c r="J93"/>
      <c r="K93"/>
      <c r="L93"/>
      <c r="M93"/>
      <c r="N93"/>
      <c r="O93"/>
      <c r="P93"/>
      <c r="Q93"/>
      <c r="R93"/>
      <c r="S93"/>
      <c r="T93"/>
      <c r="U93"/>
    </row>
    <row r="94" spans="1:21" hidden="1" x14ac:dyDescent="0.3">
      <c r="A94" s="28" t="s">
        <v>1929</v>
      </c>
      <c r="B94" s="28">
        <v>2014</v>
      </c>
      <c r="C94" s="28">
        <v>7</v>
      </c>
      <c r="D94" s="28" t="s">
        <v>122</v>
      </c>
      <c r="E94" s="28">
        <v>77</v>
      </c>
      <c r="F94" s="28">
        <v>66</v>
      </c>
      <c r="G94" s="28">
        <f t="shared" si="1"/>
        <v>143</v>
      </c>
      <c r="H94" s="28" t="s">
        <v>1937</v>
      </c>
      <c r="J94"/>
      <c r="K94"/>
      <c r="L94"/>
      <c r="M94"/>
      <c r="N94"/>
      <c r="O94"/>
      <c r="P94"/>
      <c r="Q94"/>
      <c r="R94"/>
      <c r="S94"/>
      <c r="T94"/>
      <c r="U94"/>
    </row>
    <row r="95" spans="1:21" hidden="1" x14ac:dyDescent="0.3">
      <c r="A95" s="28" t="s">
        <v>1929</v>
      </c>
      <c r="B95" s="28">
        <v>2014</v>
      </c>
      <c r="C95" s="28">
        <v>7</v>
      </c>
      <c r="D95" s="28" t="s">
        <v>67</v>
      </c>
      <c r="E95" s="28">
        <v>56</v>
      </c>
      <c r="F95" s="28">
        <v>50</v>
      </c>
      <c r="G95" s="28">
        <f t="shared" si="1"/>
        <v>106</v>
      </c>
      <c r="H95" s="28" t="s">
        <v>1937</v>
      </c>
      <c r="J95"/>
      <c r="K95"/>
      <c r="L95"/>
      <c r="M95"/>
      <c r="N95"/>
      <c r="O95"/>
      <c r="P95"/>
      <c r="Q95"/>
      <c r="R95"/>
      <c r="S95"/>
      <c r="T95"/>
      <c r="U95"/>
    </row>
    <row r="96" spans="1:21" hidden="1" x14ac:dyDescent="0.3">
      <c r="A96" s="28" t="s">
        <v>1929</v>
      </c>
      <c r="B96" s="28">
        <v>2014</v>
      </c>
      <c r="C96" s="28">
        <v>7</v>
      </c>
      <c r="D96" s="28" t="s">
        <v>81</v>
      </c>
      <c r="E96" s="28">
        <v>69</v>
      </c>
      <c r="F96" s="28">
        <v>36</v>
      </c>
      <c r="G96" s="28">
        <f t="shared" si="1"/>
        <v>105</v>
      </c>
      <c r="H96" s="28" t="s">
        <v>1937</v>
      </c>
      <c r="J96"/>
      <c r="K96"/>
      <c r="L96"/>
      <c r="M96"/>
      <c r="N96"/>
      <c r="O96"/>
      <c r="P96"/>
      <c r="Q96"/>
      <c r="R96"/>
      <c r="S96"/>
      <c r="T96"/>
      <c r="U96"/>
    </row>
    <row r="97" spans="1:21" hidden="1" x14ac:dyDescent="0.3">
      <c r="A97" s="28" t="s">
        <v>1929</v>
      </c>
      <c r="B97" s="28">
        <v>2014</v>
      </c>
      <c r="C97" s="28">
        <v>7</v>
      </c>
      <c r="D97" s="28" t="s">
        <v>115</v>
      </c>
      <c r="E97" s="28">
        <v>52</v>
      </c>
      <c r="F97" s="28">
        <v>45</v>
      </c>
      <c r="G97" s="28">
        <f t="shared" si="1"/>
        <v>97</v>
      </c>
      <c r="H97" s="28" t="s">
        <v>1937</v>
      </c>
      <c r="J97"/>
      <c r="K97"/>
      <c r="L97"/>
      <c r="M97"/>
      <c r="N97"/>
      <c r="O97"/>
      <c r="P97"/>
      <c r="Q97"/>
      <c r="R97"/>
      <c r="S97"/>
      <c r="T97"/>
      <c r="U97"/>
    </row>
    <row r="98" spans="1:21" hidden="1" x14ac:dyDescent="0.3">
      <c r="A98" s="28" t="s">
        <v>1929</v>
      </c>
      <c r="B98" s="28">
        <v>2014</v>
      </c>
      <c r="C98" s="28">
        <v>7</v>
      </c>
      <c r="D98" s="28" t="s">
        <v>63</v>
      </c>
      <c r="E98" s="28">
        <v>43</v>
      </c>
      <c r="F98" s="28">
        <v>31</v>
      </c>
      <c r="G98" s="28">
        <f t="shared" si="1"/>
        <v>74</v>
      </c>
      <c r="H98" s="28" t="s">
        <v>1937</v>
      </c>
      <c r="J98"/>
      <c r="K98"/>
      <c r="L98"/>
      <c r="M98"/>
      <c r="N98"/>
      <c r="O98"/>
      <c r="P98"/>
      <c r="Q98"/>
      <c r="R98"/>
      <c r="S98"/>
      <c r="T98"/>
      <c r="U98"/>
    </row>
    <row r="99" spans="1:21" hidden="1" x14ac:dyDescent="0.3">
      <c r="A99" s="28" t="s">
        <v>1929</v>
      </c>
      <c r="B99" s="28">
        <v>2014</v>
      </c>
      <c r="C99" s="28">
        <v>7</v>
      </c>
      <c r="D99" s="28" t="s">
        <v>78</v>
      </c>
      <c r="E99" s="28">
        <v>56</v>
      </c>
      <c r="F99" s="28">
        <v>18</v>
      </c>
      <c r="G99" s="28">
        <f t="shared" si="1"/>
        <v>74</v>
      </c>
      <c r="H99" s="28" t="s">
        <v>1937</v>
      </c>
      <c r="J99"/>
      <c r="K99"/>
      <c r="L99"/>
      <c r="M99"/>
      <c r="N99"/>
      <c r="O99"/>
      <c r="P99"/>
      <c r="Q99"/>
      <c r="R99"/>
      <c r="S99"/>
      <c r="T99"/>
      <c r="U99"/>
    </row>
    <row r="100" spans="1:21" hidden="1" x14ac:dyDescent="0.3">
      <c r="A100" s="28" t="s">
        <v>1929</v>
      </c>
      <c r="B100" s="28">
        <v>2014</v>
      </c>
      <c r="C100" s="28">
        <v>7</v>
      </c>
      <c r="D100" s="28" t="s">
        <v>138</v>
      </c>
      <c r="E100" s="28">
        <v>16</v>
      </c>
      <c r="F100" s="28">
        <v>6</v>
      </c>
      <c r="G100" s="28">
        <f t="shared" si="1"/>
        <v>22</v>
      </c>
      <c r="H100" s="28" t="s">
        <v>1937</v>
      </c>
      <c r="J100"/>
      <c r="K100"/>
      <c r="L100"/>
      <c r="M100"/>
      <c r="N100"/>
      <c r="O100"/>
      <c r="P100"/>
      <c r="Q100"/>
      <c r="R100"/>
      <c r="S100"/>
      <c r="T100"/>
      <c r="U100"/>
    </row>
    <row r="101" spans="1:21" hidden="1" x14ac:dyDescent="0.3">
      <c r="A101" s="28" t="s">
        <v>1929</v>
      </c>
      <c r="B101" s="28">
        <v>2014</v>
      </c>
      <c r="C101" s="28">
        <v>7</v>
      </c>
      <c r="D101" s="28" t="s">
        <v>128</v>
      </c>
      <c r="E101" s="28">
        <v>15</v>
      </c>
      <c r="F101" s="28">
        <v>2</v>
      </c>
      <c r="G101" s="28">
        <f t="shared" si="1"/>
        <v>17</v>
      </c>
      <c r="H101" s="28" t="s">
        <v>1937</v>
      </c>
      <c r="J101"/>
      <c r="K101"/>
      <c r="L101"/>
      <c r="M101"/>
      <c r="N101"/>
      <c r="O101"/>
      <c r="P101"/>
      <c r="Q101"/>
      <c r="R101"/>
      <c r="S101"/>
      <c r="T101"/>
      <c r="U101"/>
    </row>
    <row r="102" spans="1:21" hidden="1" x14ac:dyDescent="0.3">
      <c r="A102" s="28" t="s">
        <v>1929</v>
      </c>
      <c r="B102" s="28">
        <v>2014</v>
      </c>
      <c r="C102" s="28">
        <v>7</v>
      </c>
      <c r="D102" s="28" t="s">
        <v>72</v>
      </c>
      <c r="E102" s="28">
        <v>3</v>
      </c>
      <c r="F102" s="28">
        <v>4</v>
      </c>
      <c r="G102" s="28">
        <f t="shared" si="1"/>
        <v>7</v>
      </c>
      <c r="H102" s="28" t="s">
        <v>1937</v>
      </c>
      <c r="J102"/>
      <c r="K102"/>
      <c r="L102"/>
      <c r="M102"/>
      <c r="N102"/>
      <c r="O102"/>
      <c r="P102"/>
      <c r="Q102"/>
      <c r="R102"/>
      <c r="S102"/>
      <c r="T102"/>
      <c r="U102"/>
    </row>
    <row r="103" spans="1:21" hidden="1" x14ac:dyDescent="0.3">
      <c r="A103" s="28" t="s">
        <v>1929</v>
      </c>
      <c r="B103" s="28">
        <v>2014</v>
      </c>
      <c r="C103" s="28">
        <v>7</v>
      </c>
      <c r="D103" s="28" t="s">
        <v>56</v>
      </c>
      <c r="E103" s="28">
        <v>0</v>
      </c>
      <c r="F103" s="28">
        <v>2</v>
      </c>
      <c r="G103" s="28">
        <f t="shared" si="1"/>
        <v>2</v>
      </c>
      <c r="H103" s="28" t="s">
        <v>1937</v>
      </c>
      <c r="J103"/>
      <c r="K103"/>
      <c r="L103"/>
      <c r="M103"/>
      <c r="N103"/>
      <c r="O103"/>
      <c r="P103"/>
      <c r="Q103"/>
      <c r="R103"/>
      <c r="S103"/>
      <c r="T103"/>
      <c r="U103"/>
    </row>
    <row r="104" spans="1:21" hidden="1" x14ac:dyDescent="0.3">
      <c r="A104" s="28" t="s">
        <v>91</v>
      </c>
      <c r="B104" s="28">
        <v>2014</v>
      </c>
      <c r="C104" s="28">
        <v>7</v>
      </c>
      <c r="D104" s="28" t="s">
        <v>56</v>
      </c>
      <c r="E104" s="28">
        <v>941</v>
      </c>
      <c r="F104" s="28">
        <v>978</v>
      </c>
      <c r="G104" s="28">
        <f t="shared" si="1"/>
        <v>1919</v>
      </c>
      <c r="H104" s="28" t="s">
        <v>1937</v>
      </c>
      <c r="J104"/>
      <c r="K104"/>
      <c r="L104"/>
      <c r="M104"/>
      <c r="N104"/>
      <c r="O104"/>
      <c r="P104"/>
      <c r="Q104"/>
      <c r="R104"/>
      <c r="S104"/>
      <c r="T104"/>
      <c r="U104"/>
    </row>
    <row r="105" spans="1:21" hidden="1" x14ac:dyDescent="0.3">
      <c r="A105" s="28" t="s">
        <v>57</v>
      </c>
      <c r="B105" s="28">
        <v>2014</v>
      </c>
      <c r="C105" s="28">
        <v>7</v>
      </c>
      <c r="D105" s="28" t="s">
        <v>56</v>
      </c>
      <c r="E105" s="28">
        <v>898</v>
      </c>
      <c r="F105" s="28">
        <v>987</v>
      </c>
      <c r="G105" s="28">
        <f t="shared" si="1"/>
        <v>1885</v>
      </c>
      <c r="H105" s="28" t="s">
        <v>1937</v>
      </c>
      <c r="J105"/>
      <c r="K105"/>
      <c r="L105"/>
      <c r="M105"/>
      <c r="N105"/>
      <c r="O105"/>
      <c r="P105"/>
      <c r="Q105"/>
      <c r="R105"/>
      <c r="S105"/>
      <c r="T105"/>
      <c r="U105"/>
    </row>
    <row r="106" spans="1:21" hidden="1" x14ac:dyDescent="0.3">
      <c r="A106" s="28" t="s">
        <v>57</v>
      </c>
      <c r="B106" s="28">
        <v>2014</v>
      </c>
      <c r="C106" s="28">
        <v>7</v>
      </c>
      <c r="D106" s="28" t="s">
        <v>67</v>
      </c>
      <c r="E106" s="28">
        <v>48</v>
      </c>
      <c r="F106" s="28">
        <v>39</v>
      </c>
      <c r="G106" s="28">
        <f t="shared" si="1"/>
        <v>87</v>
      </c>
      <c r="H106" s="28" t="s">
        <v>1937</v>
      </c>
      <c r="J106"/>
      <c r="K106"/>
      <c r="L106"/>
      <c r="M106"/>
      <c r="N106"/>
      <c r="O106"/>
      <c r="P106"/>
      <c r="Q106"/>
      <c r="R106"/>
      <c r="S106"/>
      <c r="T106"/>
      <c r="U106"/>
    </row>
    <row r="107" spans="1:21" hidden="1" x14ac:dyDescent="0.3">
      <c r="A107" s="28" t="s">
        <v>57</v>
      </c>
      <c r="B107" s="28">
        <v>2014</v>
      </c>
      <c r="C107" s="28">
        <v>7</v>
      </c>
      <c r="D107" s="28" t="s">
        <v>132</v>
      </c>
      <c r="E107" s="28">
        <v>0</v>
      </c>
      <c r="F107" s="28">
        <v>10</v>
      </c>
      <c r="G107" s="28">
        <f t="shared" si="1"/>
        <v>10</v>
      </c>
      <c r="H107" s="28" t="s">
        <v>1937</v>
      </c>
      <c r="J107"/>
      <c r="K107"/>
      <c r="L107"/>
      <c r="M107"/>
      <c r="N107"/>
      <c r="O107"/>
      <c r="P107"/>
      <c r="Q107"/>
      <c r="R107"/>
      <c r="S107"/>
      <c r="T107"/>
      <c r="U107"/>
    </row>
    <row r="108" spans="1:21" hidden="1" x14ac:dyDescent="0.3">
      <c r="A108" s="28" t="s">
        <v>1929</v>
      </c>
      <c r="B108" s="28">
        <v>2014</v>
      </c>
      <c r="C108" s="28">
        <v>8</v>
      </c>
      <c r="D108" s="28" t="s">
        <v>63</v>
      </c>
      <c r="E108" s="28">
        <v>39</v>
      </c>
      <c r="F108" s="28">
        <v>70</v>
      </c>
      <c r="G108" s="28">
        <f t="shared" si="1"/>
        <v>109</v>
      </c>
      <c r="H108" s="28" t="s">
        <v>1937</v>
      </c>
      <c r="J108"/>
      <c r="K108"/>
      <c r="L108"/>
      <c r="M108"/>
      <c r="N108"/>
      <c r="O108"/>
      <c r="P108"/>
      <c r="Q108"/>
      <c r="R108"/>
      <c r="S108"/>
      <c r="T108"/>
      <c r="U108"/>
    </row>
    <row r="109" spans="1:21" hidden="1" x14ac:dyDescent="0.3">
      <c r="A109" s="28" t="s">
        <v>1929</v>
      </c>
      <c r="B109" s="28">
        <v>2014</v>
      </c>
      <c r="C109" s="28">
        <v>8</v>
      </c>
      <c r="D109" s="28" t="s">
        <v>78</v>
      </c>
      <c r="E109" s="28">
        <v>80</v>
      </c>
      <c r="F109" s="28">
        <v>16</v>
      </c>
      <c r="G109" s="28">
        <f t="shared" si="1"/>
        <v>96</v>
      </c>
      <c r="H109" s="28" t="s">
        <v>1937</v>
      </c>
      <c r="J109"/>
      <c r="K109"/>
      <c r="L109"/>
      <c r="M109"/>
      <c r="N109"/>
      <c r="O109"/>
      <c r="P109"/>
      <c r="Q109"/>
      <c r="R109"/>
      <c r="S109"/>
      <c r="T109"/>
      <c r="U109"/>
    </row>
    <row r="110" spans="1:21" hidden="1" x14ac:dyDescent="0.3">
      <c r="A110" s="28" t="s">
        <v>1929</v>
      </c>
      <c r="B110" s="28">
        <v>2014</v>
      </c>
      <c r="C110" s="28">
        <v>8</v>
      </c>
      <c r="D110" s="28" t="s">
        <v>115</v>
      </c>
      <c r="E110" s="28">
        <v>36</v>
      </c>
      <c r="F110" s="28">
        <v>34</v>
      </c>
      <c r="G110" s="28">
        <f t="shared" si="1"/>
        <v>70</v>
      </c>
      <c r="H110" s="28" t="s">
        <v>1937</v>
      </c>
      <c r="J110"/>
      <c r="K110"/>
      <c r="L110"/>
      <c r="M110"/>
      <c r="N110"/>
      <c r="O110"/>
      <c r="P110"/>
      <c r="Q110"/>
      <c r="R110"/>
      <c r="S110"/>
      <c r="T110"/>
      <c r="U110"/>
    </row>
    <row r="111" spans="1:21" hidden="1" x14ac:dyDescent="0.3">
      <c r="A111" s="28" t="s">
        <v>1929</v>
      </c>
      <c r="B111" s="28">
        <v>2014</v>
      </c>
      <c r="C111" s="28">
        <v>8</v>
      </c>
      <c r="D111" s="28" t="s">
        <v>81</v>
      </c>
      <c r="E111" s="28">
        <v>29</v>
      </c>
      <c r="F111" s="28">
        <v>26</v>
      </c>
      <c r="G111" s="28">
        <f t="shared" si="1"/>
        <v>55</v>
      </c>
      <c r="H111" s="28" t="s">
        <v>1937</v>
      </c>
      <c r="J111"/>
      <c r="K111"/>
      <c r="L111"/>
      <c r="M111"/>
      <c r="N111"/>
      <c r="O111"/>
      <c r="P111"/>
      <c r="Q111"/>
      <c r="R111"/>
      <c r="S111"/>
      <c r="T111"/>
      <c r="U111"/>
    </row>
    <row r="112" spans="1:21" hidden="1" x14ac:dyDescent="0.3">
      <c r="A112" s="28" t="s">
        <v>1929</v>
      </c>
      <c r="B112" s="28">
        <v>2014</v>
      </c>
      <c r="C112" s="28">
        <v>8</v>
      </c>
      <c r="D112" s="28" t="s">
        <v>67</v>
      </c>
      <c r="E112" s="28">
        <v>17</v>
      </c>
      <c r="F112" s="28">
        <v>15</v>
      </c>
      <c r="G112" s="28">
        <f t="shared" si="1"/>
        <v>32</v>
      </c>
      <c r="H112" s="28" t="s">
        <v>1937</v>
      </c>
      <c r="J112"/>
      <c r="K112"/>
      <c r="L112"/>
      <c r="M112"/>
      <c r="N112"/>
      <c r="O112"/>
      <c r="P112"/>
      <c r="Q112"/>
      <c r="R112"/>
      <c r="S112"/>
      <c r="T112"/>
      <c r="U112"/>
    </row>
    <row r="113" spans="1:21" hidden="1" x14ac:dyDescent="0.3">
      <c r="A113" s="28" t="s">
        <v>1929</v>
      </c>
      <c r="B113" s="28">
        <v>2014</v>
      </c>
      <c r="C113" s="28">
        <v>8</v>
      </c>
      <c r="D113" s="28" t="s">
        <v>125</v>
      </c>
      <c r="E113" s="28">
        <v>13</v>
      </c>
      <c r="F113" s="28">
        <v>14</v>
      </c>
      <c r="G113" s="28">
        <f t="shared" si="1"/>
        <v>27</v>
      </c>
      <c r="H113" s="28" t="s">
        <v>1937</v>
      </c>
      <c r="J113"/>
      <c r="K113"/>
      <c r="L113"/>
      <c r="M113"/>
      <c r="N113"/>
      <c r="O113"/>
      <c r="P113"/>
      <c r="Q113"/>
      <c r="R113"/>
      <c r="S113"/>
      <c r="T113"/>
      <c r="U113"/>
    </row>
    <row r="114" spans="1:21" hidden="1" x14ac:dyDescent="0.3">
      <c r="A114" s="28" t="s">
        <v>1929</v>
      </c>
      <c r="B114" s="28">
        <v>2014</v>
      </c>
      <c r="C114" s="28">
        <v>8</v>
      </c>
      <c r="D114" s="28" t="s">
        <v>122</v>
      </c>
      <c r="E114" s="28">
        <v>9</v>
      </c>
      <c r="F114" s="28">
        <v>7</v>
      </c>
      <c r="G114" s="28">
        <f t="shared" si="1"/>
        <v>16</v>
      </c>
      <c r="H114" s="28" t="s">
        <v>1937</v>
      </c>
      <c r="J114"/>
      <c r="K114"/>
      <c r="L114"/>
      <c r="M114"/>
      <c r="N114"/>
      <c r="O114"/>
      <c r="P114"/>
      <c r="Q114"/>
      <c r="R114"/>
      <c r="S114"/>
      <c r="T114"/>
      <c r="U114"/>
    </row>
    <row r="115" spans="1:21" hidden="1" x14ac:dyDescent="0.3">
      <c r="A115" s="28" t="s">
        <v>1929</v>
      </c>
      <c r="B115" s="28">
        <v>2014</v>
      </c>
      <c r="C115" s="28">
        <v>8</v>
      </c>
      <c r="D115" s="28" t="s">
        <v>128</v>
      </c>
      <c r="E115" s="28">
        <v>6</v>
      </c>
      <c r="F115" s="28">
        <v>5</v>
      </c>
      <c r="G115" s="28">
        <f t="shared" si="1"/>
        <v>11</v>
      </c>
      <c r="H115" s="28" t="s">
        <v>1937</v>
      </c>
      <c r="J115"/>
      <c r="K115"/>
      <c r="L115"/>
      <c r="M115"/>
      <c r="N115"/>
      <c r="O115"/>
      <c r="P115"/>
      <c r="Q115"/>
      <c r="R115"/>
      <c r="S115"/>
      <c r="T115"/>
      <c r="U115"/>
    </row>
    <row r="116" spans="1:21" hidden="1" x14ac:dyDescent="0.3">
      <c r="A116" s="28" t="s">
        <v>1929</v>
      </c>
      <c r="B116" s="28">
        <v>2014</v>
      </c>
      <c r="C116" s="28">
        <v>8</v>
      </c>
      <c r="D116" s="28" t="s">
        <v>138</v>
      </c>
      <c r="E116" s="28">
        <v>0</v>
      </c>
      <c r="F116" s="28">
        <v>4</v>
      </c>
      <c r="G116" s="28">
        <f t="shared" si="1"/>
        <v>4</v>
      </c>
      <c r="H116" s="28" t="s">
        <v>1937</v>
      </c>
      <c r="J116"/>
      <c r="K116"/>
      <c r="L116"/>
      <c r="M116"/>
      <c r="N116"/>
      <c r="O116"/>
      <c r="P116"/>
      <c r="Q116"/>
      <c r="R116"/>
      <c r="S116"/>
      <c r="T116"/>
      <c r="U116"/>
    </row>
    <row r="117" spans="1:21" hidden="1" x14ac:dyDescent="0.3">
      <c r="A117" s="28" t="s">
        <v>1929</v>
      </c>
      <c r="B117" s="28">
        <v>2014</v>
      </c>
      <c r="C117" s="28">
        <v>8</v>
      </c>
      <c r="D117" s="28" t="s">
        <v>56</v>
      </c>
      <c r="E117" s="28">
        <v>0</v>
      </c>
      <c r="F117" s="28">
        <v>3</v>
      </c>
      <c r="G117" s="28">
        <f t="shared" si="1"/>
        <v>3</v>
      </c>
      <c r="H117" s="28" t="s">
        <v>1937</v>
      </c>
      <c r="J117"/>
      <c r="K117"/>
      <c r="L117"/>
      <c r="M117"/>
      <c r="N117"/>
      <c r="O117"/>
      <c r="P117"/>
      <c r="Q117"/>
      <c r="R117"/>
      <c r="S117"/>
      <c r="T117"/>
      <c r="U117"/>
    </row>
    <row r="118" spans="1:21" hidden="1" x14ac:dyDescent="0.3">
      <c r="A118" s="28" t="s">
        <v>91</v>
      </c>
      <c r="B118" s="28">
        <v>2014</v>
      </c>
      <c r="C118" s="28">
        <v>8</v>
      </c>
      <c r="D118" s="28" t="s">
        <v>56</v>
      </c>
      <c r="E118" s="28">
        <v>902</v>
      </c>
      <c r="F118" s="28">
        <v>956</v>
      </c>
      <c r="G118" s="28">
        <f t="shared" si="1"/>
        <v>1858</v>
      </c>
      <c r="H118" s="28" t="s">
        <v>1937</v>
      </c>
      <c r="J118"/>
      <c r="K118"/>
      <c r="L118"/>
      <c r="M118"/>
      <c r="N118"/>
      <c r="O118"/>
      <c r="P118"/>
      <c r="Q118"/>
      <c r="R118"/>
      <c r="S118"/>
      <c r="T118"/>
      <c r="U118"/>
    </row>
    <row r="119" spans="1:21" hidden="1" x14ac:dyDescent="0.3">
      <c r="A119" s="28" t="s">
        <v>57</v>
      </c>
      <c r="B119" s="28">
        <v>2014</v>
      </c>
      <c r="C119" s="28">
        <v>8</v>
      </c>
      <c r="D119" s="28" t="s">
        <v>56</v>
      </c>
      <c r="E119" s="28">
        <v>922</v>
      </c>
      <c r="F119" s="28">
        <v>1065</v>
      </c>
      <c r="G119" s="28">
        <f t="shared" si="1"/>
        <v>1987</v>
      </c>
      <c r="H119" s="28" t="s">
        <v>1937</v>
      </c>
      <c r="J119"/>
      <c r="K119"/>
      <c r="L119"/>
      <c r="M119"/>
      <c r="N119"/>
      <c r="O119"/>
      <c r="P119"/>
      <c r="Q119"/>
      <c r="R119"/>
      <c r="S119"/>
      <c r="T119"/>
      <c r="U119"/>
    </row>
    <row r="120" spans="1:21" hidden="1" x14ac:dyDescent="0.3">
      <c r="A120" s="28" t="s">
        <v>57</v>
      </c>
      <c r="B120" s="28">
        <v>2014</v>
      </c>
      <c r="C120" s="28">
        <v>8</v>
      </c>
      <c r="D120" s="28" t="s">
        <v>67</v>
      </c>
      <c r="E120" s="28">
        <v>373</v>
      </c>
      <c r="F120" s="28">
        <v>321</v>
      </c>
      <c r="G120" s="28">
        <f t="shared" si="1"/>
        <v>694</v>
      </c>
      <c r="H120" s="28" t="s">
        <v>1937</v>
      </c>
      <c r="J120"/>
      <c r="K120"/>
      <c r="L120"/>
      <c r="M120"/>
      <c r="N120"/>
      <c r="O120"/>
      <c r="P120"/>
      <c r="Q120"/>
      <c r="R120"/>
      <c r="S120"/>
      <c r="T120"/>
      <c r="U120"/>
    </row>
    <row r="121" spans="1:21" hidden="1" x14ac:dyDescent="0.3">
      <c r="A121" s="28" t="s">
        <v>57</v>
      </c>
      <c r="B121" s="28">
        <v>2014</v>
      </c>
      <c r="C121" s="28">
        <v>8</v>
      </c>
      <c r="D121" s="28" t="s">
        <v>63</v>
      </c>
      <c r="E121" s="28">
        <v>17</v>
      </c>
      <c r="F121" s="28">
        <v>17</v>
      </c>
      <c r="G121" s="28">
        <f t="shared" si="1"/>
        <v>34</v>
      </c>
      <c r="H121" s="28" t="s">
        <v>1937</v>
      </c>
      <c r="J121"/>
      <c r="K121"/>
      <c r="L121"/>
      <c r="M121"/>
      <c r="N121"/>
      <c r="O121"/>
      <c r="P121"/>
      <c r="Q121"/>
      <c r="R121"/>
      <c r="S121"/>
      <c r="T121"/>
      <c r="U121"/>
    </row>
    <row r="122" spans="1:21" hidden="1" x14ac:dyDescent="0.3">
      <c r="A122" s="28" t="s">
        <v>1929</v>
      </c>
      <c r="B122" s="28">
        <v>2014</v>
      </c>
      <c r="C122" s="28">
        <v>9</v>
      </c>
      <c r="D122" s="28" t="s">
        <v>115</v>
      </c>
      <c r="E122" s="28">
        <v>38</v>
      </c>
      <c r="F122" s="28">
        <v>39</v>
      </c>
      <c r="G122" s="28">
        <f t="shared" si="1"/>
        <v>77</v>
      </c>
      <c r="H122" s="28" t="s">
        <v>1937</v>
      </c>
      <c r="J122"/>
      <c r="K122"/>
      <c r="L122"/>
      <c r="M122"/>
      <c r="N122"/>
      <c r="O122"/>
      <c r="P122"/>
      <c r="Q122"/>
      <c r="R122"/>
      <c r="S122"/>
      <c r="T122"/>
      <c r="U122"/>
    </row>
    <row r="123" spans="1:21" hidden="1" x14ac:dyDescent="0.3">
      <c r="A123" s="28" t="s">
        <v>1929</v>
      </c>
      <c r="B123" s="28">
        <v>2014</v>
      </c>
      <c r="C123" s="28">
        <v>9</v>
      </c>
      <c r="D123" s="28" t="s">
        <v>63</v>
      </c>
      <c r="E123" s="28">
        <v>21</v>
      </c>
      <c r="F123" s="28">
        <v>22</v>
      </c>
      <c r="G123" s="28">
        <f t="shared" si="1"/>
        <v>43</v>
      </c>
      <c r="H123" s="28" t="s">
        <v>1937</v>
      </c>
      <c r="J123"/>
      <c r="K123"/>
      <c r="L123"/>
      <c r="M123"/>
      <c r="N123"/>
      <c r="O123"/>
      <c r="P123"/>
      <c r="Q123"/>
      <c r="R123"/>
      <c r="S123"/>
      <c r="T123"/>
      <c r="U123"/>
    </row>
    <row r="124" spans="1:21" hidden="1" x14ac:dyDescent="0.3">
      <c r="A124" s="28" t="s">
        <v>1929</v>
      </c>
      <c r="B124" s="28">
        <v>2014</v>
      </c>
      <c r="C124" s="28">
        <v>9</v>
      </c>
      <c r="D124" s="28" t="s">
        <v>78</v>
      </c>
      <c r="E124" s="28">
        <v>18</v>
      </c>
      <c r="F124" s="28">
        <v>22</v>
      </c>
      <c r="G124" s="28">
        <f t="shared" si="1"/>
        <v>40</v>
      </c>
      <c r="H124" s="28" t="s">
        <v>1937</v>
      </c>
      <c r="J124"/>
      <c r="K124"/>
      <c r="L124"/>
      <c r="M124"/>
      <c r="N124"/>
      <c r="O124"/>
      <c r="P124"/>
      <c r="Q124"/>
      <c r="R124"/>
      <c r="S124"/>
      <c r="T124"/>
      <c r="U124"/>
    </row>
    <row r="125" spans="1:21" hidden="1" x14ac:dyDescent="0.3">
      <c r="A125" s="28" t="s">
        <v>1929</v>
      </c>
      <c r="B125" s="28">
        <v>2014</v>
      </c>
      <c r="C125" s="28">
        <v>9</v>
      </c>
      <c r="D125" s="28" t="s">
        <v>122</v>
      </c>
      <c r="E125" s="28">
        <v>15</v>
      </c>
      <c r="F125" s="28">
        <v>25</v>
      </c>
      <c r="G125" s="28">
        <f t="shared" si="1"/>
        <v>40</v>
      </c>
      <c r="H125" s="28" t="s">
        <v>1937</v>
      </c>
      <c r="J125"/>
      <c r="K125"/>
      <c r="L125"/>
      <c r="M125"/>
      <c r="N125"/>
      <c r="O125"/>
      <c r="P125"/>
      <c r="Q125"/>
      <c r="R125"/>
      <c r="S125"/>
      <c r="T125"/>
      <c r="U125"/>
    </row>
    <row r="126" spans="1:21" hidden="1" x14ac:dyDescent="0.3">
      <c r="A126" s="28" t="s">
        <v>1929</v>
      </c>
      <c r="B126" s="28">
        <v>2014</v>
      </c>
      <c r="C126" s="28">
        <v>9</v>
      </c>
      <c r="D126" s="28" t="s">
        <v>138</v>
      </c>
      <c r="E126" s="28">
        <v>10</v>
      </c>
      <c r="F126" s="28">
        <v>10</v>
      </c>
      <c r="G126" s="28">
        <f t="shared" si="1"/>
        <v>20</v>
      </c>
      <c r="H126" s="28" t="s">
        <v>1937</v>
      </c>
      <c r="J126"/>
      <c r="K126"/>
      <c r="L126"/>
      <c r="M126"/>
      <c r="N126"/>
      <c r="O126"/>
      <c r="P126"/>
      <c r="Q126"/>
      <c r="R126"/>
      <c r="S126"/>
      <c r="T126"/>
      <c r="U126"/>
    </row>
    <row r="127" spans="1:21" hidden="1" x14ac:dyDescent="0.3">
      <c r="A127" s="28" t="s">
        <v>1929</v>
      </c>
      <c r="B127" s="28">
        <v>2014</v>
      </c>
      <c r="C127" s="28">
        <v>9</v>
      </c>
      <c r="D127" s="28" t="s">
        <v>67</v>
      </c>
      <c r="E127" s="28">
        <v>8</v>
      </c>
      <c r="F127" s="28">
        <v>11</v>
      </c>
      <c r="G127" s="28">
        <f t="shared" si="1"/>
        <v>19</v>
      </c>
      <c r="H127" s="28" t="s">
        <v>1937</v>
      </c>
      <c r="J127"/>
      <c r="K127"/>
      <c r="L127"/>
      <c r="M127"/>
      <c r="N127"/>
      <c r="O127"/>
      <c r="P127"/>
      <c r="Q127"/>
      <c r="R127"/>
      <c r="S127"/>
      <c r="T127"/>
      <c r="U127"/>
    </row>
    <row r="128" spans="1:21" hidden="1" x14ac:dyDescent="0.3">
      <c r="A128" s="28" t="s">
        <v>1929</v>
      </c>
      <c r="B128" s="28">
        <v>2014</v>
      </c>
      <c r="C128" s="28">
        <v>9</v>
      </c>
      <c r="D128" s="28" t="s">
        <v>125</v>
      </c>
      <c r="E128" s="28">
        <v>9</v>
      </c>
      <c r="F128" s="28">
        <v>9</v>
      </c>
      <c r="G128" s="28">
        <f t="shared" si="1"/>
        <v>18</v>
      </c>
      <c r="H128" s="28" t="s">
        <v>1937</v>
      </c>
      <c r="J128"/>
      <c r="K128"/>
      <c r="L128"/>
      <c r="M128"/>
      <c r="N128"/>
      <c r="O128"/>
      <c r="P128"/>
      <c r="Q128"/>
      <c r="R128"/>
      <c r="S128"/>
      <c r="T128"/>
      <c r="U128"/>
    </row>
    <row r="129" spans="1:21" hidden="1" x14ac:dyDescent="0.3">
      <c r="A129" s="28" t="s">
        <v>1929</v>
      </c>
      <c r="B129" s="28">
        <v>2014</v>
      </c>
      <c r="C129" s="28">
        <v>9</v>
      </c>
      <c r="D129" s="28" t="s">
        <v>81</v>
      </c>
      <c r="E129" s="28">
        <v>8</v>
      </c>
      <c r="F129" s="28">
        <v>10</v>
      </c>
      <c r="G129" s="28">
        <f t="shared" si="1"/>
        <v>18</v>
      </c>
      <c r="H129" s="28" t="s">
        <v>1937</v>
      </c>
      <c r="J129"/>
      <c r="K129"/>
      <c r="L129"/>
      <c r="M129"/>
      <c r="N129"/>
      <c r="O129"/>
      <c r="P129"/>
      <c r="Q129"/>
      <c r="R129"/>
      <c r="S129"/>
      <c r="T129"/>
      <c r="U129"/>
    </row>
    <row r="130" spans="1:21" hidden="1" x14ac:dyDescent="0.3">
      <c r="A130" s="28" t="s">
        <v>1929</v>
      </c>
      <c r="B130" s="28">
        <v>2014</v>
      </c>
      <c r="C130" s="28">
        <v>9</v>
      </c>
      <c r="D130" s="28" t="s">
        <v>56</v>
      </c>
      <c r="E130" s="28">
        <v>4</v>
      </c>
      <c r="F130" s="28">
        <v>5</v>
      </c>
      <c r="G130" s="28">
        <f t="shared" ref="G130:G193" si="2">SUM(E130+F130)</f>
        <v>9</v>
      </c>
      <c r="H130" s="28" t="s">
        <v>1937</v>
      </c>
      <c r="J130"/>
      <c r="K130"/>
      <c r="L130"/>
      <c r="M130"/>
      <c r="N130"/>
      <c r="O130"/>
      <c r="P130"/>
      <c r="Q130"/>
      <c r="R130"/>
      <c r="S130"/>
      <c r="T130"/>
      <c r="U130"/>
    </row>
    <row r="131" spans="1:21" hidden="1" x14ac:dyDescent="0.3">
      <c r="A131" s="28" t="s">
        <v>91</v>
      </c>
      <c r="B131" s="28">
        <v>2014</v>
      </c>
      <c r="C131" s="28">
        <v>9</v>
      </c>
      <c r="D131" s="28" t="s">
        <v>56</v>
      </c>
      <c r="E131" s="28">
        <v>940</v>
      </c>
      <c r="F131" s="28">
        <v>956</v>
      </c>
      <c r="G131" s="28">
        <f t="shared" si="2"/>
        <v>1896</v>
      </c>
      <c r="H131" s="28" t="s">
        <v>1937</v>
      </c>
      <c r="J131"/>
      <c r="K131"/>
      <c r="L131"/>
      <c r="M131"/>
      <c r="N131"/>
      <c r="O131"/>
      <c r="P131"/>
      <c r="Q131"/>
      <c r="R131"/>
      <c r="S131"/>
      <c r="T131"/>
      <c r="U131"/>
    </row>
    <row r="132" spans="1:21" hidden="1" x14ac:dyDescent="0.3">
      <c r="A132" s="28" t="s">
        <v>57</v>
      </c>
      <c r="B132" s="28">
        <v>2014</v>
      </c>
      <c r="C132" s="28">
        <v>9</v>
      </c>
      <c r="D132" s="28" t="s">
        <v>56</v>
      </c>
      <c r="E132" s="28">
        <v>767</v>
      </c>
      <c r="F132" s="28">
        <v>703</v>
      </c>
      <c r="G132" s="28">
        <f t="shared" si="2"/>
        <v>1470</v>
      </c>
      <c r="H132" s="28" t="s">
        <v>1937</v>
      </c>
      <c r="J132"/>
      <c r="K132"/>
      <c r="L132"/>
      <c r="M132"/>
      <c r="N132"/>
      <c r="O132"/>
      <c r="P132"/>
      <c r="Q132"/>
      <c r="R132"/>
      <c r="S132"/>
      <c r="T132"/>
      <c r="U132"/>
    </row>
    <row r="133" spans="1:21" hidden="1" x14ac:dyDescent="0.3">
      <c r="A133" s="28" t="s">
        <v>57</v>
      </c>
      <c r="B133" s="28">
        <v>2014</v>
      </c>
      <c r="C133" s="28">
        <v>9</v>
      </c>
      <c r="D133" s="28" t="s">
        <v>67</v>
      </c>
      <c r="E133" s="28">
        <v>316</v>
      </c>
      <c r="F133" s="28">
        <v>305</v>
      </c>
      <c r="G133" s="28">
        <f t="shared" si="2"/>
        <v>621</v>
      </c>
      <c r="H133" s="28" t="s">
        <v>1937</v>
      </c>
      <c r="J133"/>
      <c r="K133"/>
      <c r="L133"/>
      <c r="M133"/>
      <c r="N133"/>
      <c r="O133"/>
      <c r="P133"/>
      <c r="Q133"/>
      <c r="R133"/>
      <c r="S133"/>
      <c r="T133"/>
      <c r="U133"/>
    </row>
    <row r="134" spans="1:21" hidden="1" x14ac:dyDescent="0.3">
      <c r="A134" s="28" t="s">
        <v>1929</v>
      </c>
      <c r="B134" s="28">
        <v>2014</v>
      </c>
      <c r="C134" s="28">
        <v>10</v>
      </c>
      <c r="D134" s="28" t="s">
        <v>122</v>
      </c>
      <c r="E134" s="28">
        <v>74</v>
      </c>
      <c r="F134" s="28">
        <v>65</v>
      </c>
      <c r="G134" s="28">
        <f t="shared" si="2"/>
        <v>139</v>
      </c>
      <c r="H134" s="28" t="s">
        <v>1937</v>
      </c>
      <c r="J134"/>
      <c r="K134"/>
      <c r="L134"/>
      <c r="M134"/>
      <c r="N134"/>
      <c r="O134"/>
      <c r="P134"/>
      <c r="Q134"/>
      <c r="R134"/>
      <c r="S134"/>
      <c r="T134"/>
      <c r="U134"/>
    </row>
    <row r="135" spans="1:21" hidden="1" x14ac:dyDescent="0.3">
      <c r="A135" s="28" t="s">
        <v>1929</v>
      </c>
      <c r="B135" s="28">
        <v>2014</v>
      </c>
      <c r="C135" s="28">
        <v>10</v>
      </c>
      <c r="D135" s="28" t="s">
        <v>63</v>
      </c>
      <c r="E135" s="28">
        <v>64</v>
      </c>
      <c r="F135" s="28">
        <v>72</v>
      </c>
      <c r="G135" s="28">
        <f t="shared" si="2"/>
        <v>136</v>
      </c>
      <c r="H135" s="28" t="s">
        <v>1937</v>
      </c>
      <c r="J135"/>
      <c r="K135"/>
      <c r="L135"/>
      <c r="M135"/>
      <c r="N135"/>
      <c r="O135"/>
      <c r="P135"/>
      <c r="Q135"/>
      <c r="R135"/>
      <c r="S135"/>
      <c r="T135"/>
      <c r="U135"/>
    </row>
    <row r="136" spans="1:21" hidden="1" x14ac:dyDescent="0.3">
      <c r="A136" s="28" t="s">
        <v>1929</v>
      </c>
      <c r="B136" s="28">
        <v>2014</v>
      </c>
      <c r="C136" s="28">
        <v>10</v>
      </c>
      <c r="D136" s="28" t="s">
        <v>78</v>
      </c>
      <c r="E136" s="28">
        <v>54</v>
      </c>
      <c r="F136" s="28">
        <v>63</v>
      </c>
      <c r="G136" s="28">
        <f t="shared" si="2"/>
        <v>117</v>
      </c>
      <c r="H136" s="28" t="s">
        <v>1937</v>
      </c>
      <c r="J136"/>
      <c r="K136"/>
      <c r="L136"/>
      <c r="M136"/>
      <c r="N136"/>
      <c r="O136"/>
      <c r="P136"/>
      <c r="Q136"/>
      <c r="R136"/>
      <c r="S136"/>
      <c r="T136"/>
      <c r="U136"/>
    </row>
    <row r="137" spans="1:21" hidden="1" x14ac:dyDescent="0.3">
      <c r="A137" s="28" t="s">
        <v>1929</v>
      </c>
      <c r="B137" s="28">
        <v>2014</v>
      </c>
      <c r="C137" s="28">
        <v>10</v>
      </c>
      <c r="D137" s="28" t="s">
        <v>67</v>
      </c>
      <c r="E137" s="28">
        <v>31</v>
      </c>
      <c r="F137" s="28">
        <v>51</v>
      </c>
      <c r="G137" s="28">
        <f t="shared" si="2"/>
        <v>82</v>
      </c>
      <c r="H137" s="28" t="s">
        <v>1937</v>
      </c>
      <c r="J137"/>
      <c r="K137"/>
      <c r="L137"/>
      <c r="M137"/>
      <c r="N137"/>
      <c r="O137"/>
      <c r="P137"/>
      <c r="Q137"/>
      <c r="R137"/>
      <c r="S137"/>
      <c r="T137"/>
      <c r="U137"/>
    </row>
    <row r="138" spans="1:21" hidden="1" x14ac:dyDescent="0.3">
      <c r="A138" s="28" t="s">
        <v>1929</v>
      </c>
      <c r="B138" s="28">
        <v>2014</v>
      </c>
      <c r="C138" s="28">
        <v>10</v>
      </c>
      <c r="D138" s="28" t="s">
        <v>115</v>
      </c>
      <c r="E138" s="28">
        <v>51</v>
      </c>
      <c r="F138" s="28">
        <v>28</v>
      </c>
      <c r="G138" s="28">
        <f t="shared" si="2"/>
        <v>79</v>
      </c>
      <c r="H138" s="28" t="s">
        <v>1937</v>
      </c>
      <c r="J138"/>
      <c r="K138"/>
      <c r="L138"/>
      <c r="M138"/>
      <c r="N138"/>
      <c r="O138"/>
      <c r="P138"/>
      <c r="Q138"/>
      <c r="R138"/>
      <c r="S138"/>
      <c r="T138"/>
      <c r="U138"/>
    </row>
    <row r="139" spans="1:21" hidden="1" x14ac:dyDescent="0.3">
      <c r="A139" s="28" t="s">
        <v>1929</v>
      </c>
      <c r="B139" s="28">
        <v>2014</v>
      </c>
      <c r="C139" s="28">
        <v>10</v>
      </c>
      <c r="D139" s="28" t="s">
        <v>138</v>
      </c>
      <c r="E139" s="28">
        <v>9</v>
      </c>
      <c r="F139" s="28">
        <v>9</v>
      </c>
      <c r="G139" s="28">
        <f t="shared" si="2"/>
        <v>18</v>
      </c>
      <c r="H139" s="28" t="s">
        <v>1937</v>
      </c>
      <c r="J139"/>
      <c r="K139"/>
      <c r="L139"/>
      <c r="M139"/>
      <c r="N139"/>
      <c r="O139"/>
      <c r="P139"/>
      <c r="Q139"/>
      <c r="R139"/>
      <c r="S139"/>
      <c r="T139"/>
      <c r="U139"/>
    </row>
    <row r="140" spans="1:21" hidden="1" x14ac:dyDescent="0.3">
      <c r="A140" s="28" t="s">
        <v>1929</v>
      </c>
      <c r="B140" s="28">
        <v>2014</v>
      </c>
      <c r="C140" s="28">
        <v>10</v>
      </c>
      <c r="D140" s="28" t="s">
        <v>72</v>
      </c>
      <c r="E140" s="28">
        <v>5</v>
      </c>
      <c r="F140" s="28">
        <v>12</v>
      </c>
      <c r="G140" s="28">
        <f t="shared" si="2"/>
        <v>17</v>
      </c>
      <c r="H140" s="28" t="s">
        <v>1937</v>
      </c>
      <c r="J140"/>
      <c r="K140"/>
      <c r="L140"/>
      <c r="M140"/>
      <c r="N140"/>
      <c r="O140"/>
      <c r="P140"/>
      <c r="Q140"/>
      <c r="R140"/>
      <c r="S140"/>
      <c r="T140"/>
      <c r="U140"/>
    </row>
    <row r="141" spans="1:21" hidden="1" x14ac:dyDescent="0.3">
      <c r="A141" s="28" t="s">
        <v>1929</v>
      </c>
      <c r="B141" s="28">
        <v>2014</v>
      </c>
      <c r="C141" s="28">
        <v>10</v>
      </c>
      <c r="D141" s="28" t="s">
        <v>125</v>
      </c>
      <c r="E141" s="28">
        <v>4</v>
      </c>
      <c r="F141" s="28">
        <v>6</v>
      </c>
      <c r="G141" s="28">
        <f t="shared" si="2"/>
        <v>10</v>
      </c>
      <c r="H141" s="28" t="s">
        <v>1937</v>
      </c>
      <c r="J141"/>
      <c r="K141"/>
      <c r="L141"/>
      <c r="M141"/>
      <c r="N141"/>
      <c r="O141"/>
      <c r="P141"/>
      <c r="Q141"/>
      <c r="R141"/>
      <c r="S141"/>
      <c r="T141"/>
      <c r="U141"/>
    </row>
    <row r="142" spans="1:21" hidden="1" x14ac:dyDescent="0.3">
      <c r="A142" s="28" t="s">
        <v>1929</v>
      </c>
      <c r="B142" s="28">
        <v>2014</v>
      </c>
      <c r="C142" s="28">
        <v>10</v>
      </c>
      <c r="D142" s="28" t="s">
        <v>81</v>
      </c>
      <c r="E142" s="28">
        <v>4</v>
      </c>
      <c r="F142" s="28">
        <v>5</v>
      </c>
      <c r="G142" s="28">
        <f t="shared" si="2"/>
        <v>9</v>
      </c>
      <c r="H142" s="28" t="s">
        <v>1937</v>
      </c>
      <c r="J142"/>
      <c r="K142"/>
      <c r="L142"/>
      <c r="M142"/>
      <c r="N142"/>
      <c r="O142"/>
      <c r="P142"/>
      <c r="Q142"/>
      <c r="R142"/>
      <c r="S142"/>
      <c r="T142"/>
      <c r="U142"/>
    </row>
    <row r="143" spans="1:21" hidden="1" x14ac:dyDescent="0.3">
      <c r="A143" s="28" t="s">
        <v>1929</v>
      </c>
      <c r="B143" s="28">
        <v>2014</v>
      </c>
      <c r="C143" s="28">
        <v>10</v>
      </c>
      <c r="D143" s="28" t="s">
        <v>56</v>
      </c>
      <c r="E143" s="28">
        <v>0</v>
      </c>
      <c r="F143" s="28">
        <v>6</v>
      </c>
      <c r="G143" s="28">
        <f t="shared" si="2"/>
        <v>6</v>
      </c>
      <c r="H143" s="28" t="s">
        <v>1937</v>
      </c>
      <c r="J143"/>
      <c r="K143"/>
      <c r="L143"/>
      <c r="M143"/>
      <c r="N143"/>
      <c r="O143"/>
      <c r="P143"/>
      <c r="Q143"/>
      <c r="R143"/>
      <c r="S143"/>
      <c r="T143"/>
      <c r="U143"/>
    </row>
    <row r="144" spans="1:21" hidden="1" x14ac:dyDescent="0.3">
      <c r="A144" s="28" t="s">
        <v>91</v>
      </c>
      <c r="B144" s="28">
        <v>2014</v>
      </c>
      <c r="C144" s="28">
        <v>10</v>
      </c>
      <c r="D144" s="28" t="s">
        <v>56</v>
      </c>
      <c r="E144" s="28">
        <v>1036</v>
      </c>
      <c r="F144" s="28">
        <v>1074</v>
      </c>
      <c r="G144" s="28">
        <f t="shared" si="2"/>
        <v>2110</v>
      </c>
      <c r="H144" s="28" t="s">
        <v>1937</v>
      </c>
      <c r="J144"/>
      <c r="K144"/>
      <c r="L144"/>
      <c r="M144"/>
      <c r="N144"/>
      <c r="O144"/>
      <c r="P144"/>
      <c r="Q144"/>
      <c r="R144"/>
      <c r="S144"/>
      <c r="T144"/>
      <c r="U144"/>
    </row>
    <row r="145" spans="1:21" hidden="1" x14ac:dyDescent="0.3">
      <c r="A145" s="28" t="s">
        <v>57</v>
      </c>
      <c r="B145" s="28">
        <v>2014</v>
      </c>
      <c r="C145" s="28">
        <v>10</v>
      </c>
      <c r="D145" s="28" t="s">
        <v>56</v>
      </c>
      <c r="E145" s="28">
        <v>572</v>
      </c>
      <c r="F145" s="28">
        <v>640</v>
      </c>
      <c r="G145" s="28">
        <f t="shared" si="2"/>
        <v>1212</v>
      </c>
      <c r="H145" s="28" t="s">
        <v>1937</v>
      </c>
      <c r="J145"/>
      <c r="K145"/>
      <c r="L145"/>
      <c r="M145"/>
      <c r="N145"/>
      <c r="O145"/>
      <c r="P145"/>
      <c r="Q145"/>
      <c r="R145"/>
      <c r="S145"/>
      <c r="T145"/>
      <c r="U145"/>
    </row>
    <row r="146" spans="1:21" hidden="1" x14ac:dyDescent="0.3">
      <c r="A146" s="28" t="s">
        <v>57</v>
      </c>
      <c r="B146" s="28">
        <v>2014</v>
      </c>
      <c r="C146" s="28">
        <v>10</v>
      </c>
      <c r="D146" s="28" t="s">
        <v>67</v>
      </c>
      <c r="E146" s="28">
        <v>110</v>
      </c>
      <c r="F146" s="28">
        <v>138</v>
      </c>
      <c r="G146" s="28">
        <f t="shared" si="2"/>
        <v>248</v>
      </c>
      <c r="H146" s="28" t="s">
        <v>1937</v>
      </c>
      <c r="J146"/>
      <c r="K146"/>
      <c r="L146"/>
      <c r="M146"/>
      <c r="N146"/>
      <c r="O146"/>
      <c r="P146"/>
      <c r="Q146"/>
      <c r="R146"/>
      <c r="S146"/>
      <c r="T146"/>
      <c r="U146"/>
    </row>
    <row r="147" spans="1:21" hidden="1" x14ac:dyDescent="0.3">
      <c r="A147" s="28" t="s">
        <v>1929</v>
      </c>
      <c r="B147" s="28">
        <v>2014</v>
      </c>
      <c r="C147" s="28">
        <v>11</v>
      </c>
      <c r="D147" s="28" t="s">
        <v>63</v>
      </c>
      <c r="E147" s="28">
        <v>65</v>
      </c>
      <c r="F147" s="28">
        <v>59</v>
      </c>
      <c r="G147" s="28">
        <f t="shared" si="2"/>
        <v>124</v>
      </c>
      <c r="H147" s="28" t="s">
        <v>1937</v>
      </c>
      <c r="J147"/>
      <c r="K147"/>
      <c r="L147"/>
      <c r="M147"/>
      <c r="N147"/>
      <c r="O147"/>
      <c r="P147"/>
      <c r="Q147"/>
      <c r="R147"/>
      <c r="S147"/>
      <c r="T147"/>
      <c r="U147"/>
    </row>
    <row r="148" spans="1:21" hidden="1" x14ac:dyDescent="0.3">
      <c r="A148" s="28" t="s">
        <v>1929</v>
      </c>
      <c r="B148" s="28">
        <v>2014</v>
      </c>
      <c r="C148" s="28">
        <v>11</v>
      </c>
      <c r="D148" s="28" t="s">
        <v>115</v>
      </c>
      <c r="E148" s="28">
        <v>65</v>
      </c>
      <c r="F148" s="28">
        <v>42</v>
      </c>
      <c r="G148" s="28">
        <f t="shared" si="2"/>
        <v>107</v>
      </c>
      <c r="H148" s="28" t="s">
        <v>1937</v>
      </c>
      <c r="J148"/>
      <c r="K148"/>
      <c r="L148"/>
      <c r="M148"/>
      <c r="N148"/>
      <c r="O148"/>
      <c r="P148"/>
      <c r="Q148"/>
      <c r="R148"/>
      <c r="S148"/>
      <c r="T148"/>
      <c r="U148"/>
    </row>
    <row r="149" spans="1:21" hidden="1" x14ac:dyDescent="0.3">
      <c r="A149" s="28" t="s">
        <v>1929</v>
      </c>
      <c r="B149" s="28">
        <v>2014</v>
      </c>
      <c r="C149" s="28">
        <v>11</v>
      </c>
      <c r="D149" s="28" t="s">
        <v>78</v>
      </c>
      <c r="E149" s="28">
        <v>50</v>
      </c>
      <c r="F149" s="28">
        <v>57</v>
      </c>
      <c r="G149" s="28">
        <f t="shared" si="2"/>
        <v>107</v>
      </c>
      <c r="H149" s="28" t="s">
        <v>1937</v>
      </c>
      <c r="J149"/>
      <c r="K149"/>
      <c r="L149"/>
      <c r="M149"/>
      <c r="N149"/>
      <c r="O149"/>
      <c r="P149"/>
      <c r="Q149"/>
      <c r="R149"/>
      <c r="S149"/>
      <c r="T149"/>
      <c r="U149"/>
    </row>
    <row r="150" spans="1:21" hidden="1" x14ac:dyDescent="0.3">
      <c r="A150" s="28" t="s">
        <v>1929</v>
      </c>
      <c r="B150" s="28">
        <v>2014</v>
      </c>
      <c r="C150" s="28">
        <v>11</v>
      </c>
      <c r="D150" s="28" t="s">
        <v>67</v>
      </c>
      <c r="E150" s="28">
        <v>32</v>
      </c>
      <c r="F150" s="28">
        <v>36</v>
      </c>
      <c r="G150" s="28">
        <f t="shared" si="2"/>
        <v>68</v>
      </c>
      <c r="H150" s="28" t="s">
        <v>1937</v>
      </c>
      <c r="J150"/>
      <c r="K150"/>
      <c r="L150"/>
      <c r="M150"/>
      <c r="N150"/>
      <c r="O150"/>
      <c r="P150"/>
      <c r="Q150"/>
      <c r="R150"/>
      <c r="S150"/>
      <c r="T150"/>
      <c r="U150"/>
    </row>
    <row r="151" spans="1:21" hidden="1" x14ac:dyDescent="0.3">
      <c r="A151" s="28" t="s">
        <v>1929</v>
      </c>
      <c r="B151" s="28">
        <v>2014</v>
      </c>
      <c r="C151" s="28">
        <v>11</v>
      </c>
      <c r="D151" s="28" t="s">
        <v>122</v>
      </c>
      <c r="E151" s="28">
        <v>21</v>
      </c>
      <c r="F151" s="28">
        <v>17</v>
      </c>
      <c r="G151" s="28">
        <f t="shared" si="2"/>
        <v>38</v>
      </c>
      <c r="H151" s="28" t="s">
        <v>1937</v>
      </c>
      <c r="J151"/>
      <c r="K151"/>
      <c r="L151"/>
      <c r="M151"/>
      <c r="N151"/>
      <c r="O151"/>
      <c r="P151"/>
      <c r="Q151"/>
      <c r="R151"/>
      <c r="S151"/>
      <c r="T151"/>
      <c r="U151"/>
    </row>
    <row r="152" spans="1:21" hidden="1" x14ac:dyDescent="0.3">
      <c r="A152" s="28" t="s">
        <v>1929</v>
      </c>
      <c r="B152" s="28">
        <v>2014</v>
      </c>
      <c r="C152" s="28">
        <v>11</v>
      </c>
      <c r="D152" s="28" t="s">
        <v>81</v>
      </c>
      <c r="E152" s="28">
        <v>7</v>
      </c>
      <c r="F152" s="28">
        <v>7</v>
      </c>
      <c r="G152" s="28">
        <f t="shared" si="2"/>
        <v>14</v>
      </c>
      <c r="H152" s="28" t="s">
        <v>1937</v>
      </c>
      <c r="J152"/>
      <c r="K152"/>
      <c r="L152"/>
      <c r="M152"/>
      <c r="N152"/>
      <c r="O152"/>
      <c r="P152"/>
      <c r="Q152"/>
      <c r="R152"/>
      <c r="S152"/>
      <c r="T152"/>
      <c r="U152"/>
    </row>
    <row r="153" spans="1:21" hidden="1" x14ac:dyDescent="0.3">
      <c r="A153" s="28" t="s">
        <v>1929</v>
      </c>
      <c r="B153" s="28">
        <v>2014</v>
      </c>
      <c r="C153" s="28">
        <v>11</v>
      </c>
      <c r="D153" s="28" t="s">
        <v>72</v>
      </c>
      <c r="E153" s="28">
        <v>0</v>
      </c>
      <c r="F153" s="28">
        <v>3</v>
      </c>
      <c r="G153" s="28">
        <f t="shared" si="2"/>
        <v>3</v>
      </c>
      <c r="H153" s="28" t="s">
        <v>1937</v>
      </c>
      <c r="J153"/>
      <c r="K153"/>
      <c r="L153"/>
      <c r="M153"/>
      <c r="N153"/>
      <c r="O153"/>
      <c r="P153"/>
      <c r="Q153"/>
      <c r="R153"/>
      <c r="S153"/>
      <c r="T153"/>
      <c r="U153"/>
    </row>
    <row r="154" spans="1:21" hidden="1" x14ac:dyDescent="0.3">
      <c r="A154" s="28" t="s">
        <v>1929</v>
      </c>
      <c r="B154" s="28">
        <v>2014</v>
      </c>
      <c r="C154" s="28">
        <v>11</v>
      </c>
      <c r="D154" s="28" t="s">
        <v>125</v>
      </c>
      <c r="E154" s="28">
        <v>0</v>
      </c>
      <c r="F154" s="28">
        <v>1</v>
      </c>
      <c r="G154" s="28">
        <f t="shared" si="2"/>
        <v>1</v>
      </c>
      <c r="H154" s="28" t="s">
        <v>1937</v>
      </c>
      <c r="J154"/>
      <c r="K154"/>
      <c r="L154"/>
      <c r="M154"/>
      <c r="N154"/>
      <c r="O154"/>
      <c r="P154"/>
      <c r="Q154"/>
      <c r="R154"/>
      <c r="S154"/>
      <c r="T154"/>
      <c r="U154"/>
    </row>
    <row r="155" spans="1:21" hidden="1" x14ac:dyDescent="0.3">
      <c r="A155" s="28" t="s">
        <v>91</v>
      </c>
      <c r="B155" s="28">
        <v>2014</v>
      </c>
      <c r="C155" s="28">
        <v>11</v>
      </c>
      <c r="D155" s="28" t="s">
        <v>56</v>
      </c>
      <c r="E155" s="28">
        <v>938</v>
      </c>
      <c r="F155" s="28">
        <v>933</v>
      </c>
      <c r="G155" s="28">
        <f t="shared" si="2"/>
        <v>1871</v>
      </c>
      <c r="H155" s="28" t="s">
        <v>1937</v>
      </c>
      <c r="J155"/>
      <c r="K155"/>
      <c r="L155"/>
      <c r="M155"/>
      <c r="N155"/>
      <c r="O155"/>
      <c r="P155"/>
      <c r="Q155"/>
      <c r="R155"/>
      <c r="S155"/>
      <c r="T155"/>
      <c r="U155"/>
    </row>
    <row r="156" spans="1:21" hidden="1" x14ac:dyDescent="0.3">
      <c r="A156" s="28" t="s">
        <v>57</v>
      </c>
      <c r="B156" s="28">
        <v>2014</v>
      </c>
      <c r="C156" s="28">
        <v>11</v>
      </c>
      <c r="D156" s="28" t="s">
        <v>56</v>
      </c>
      <c r="E156" s="28">
        <v>524</v>
      </c>
      <c r="F156" s="28">
        <v>514</v>
      </c>
      <c r="G156" s="28">
        <f t="shared" si="2"/>
        <v>1038</v>
      </c>
      <c r="H156" s="28" t="s">
        <v>1937</v>
      </c>
      <c r="J156"/>
      <c r="K156"/>
      <c r="L156"/>
      <c r="M156"/>
      <c r="N156"/>
      <c r="O156"/>
      <c r="P156"/>
      <c r="Q156"/>
      <c r="R156"/>
      <c r="S156"/>
      <c r="T156"/>
      <c r="U156"/>
    </row>
    <row r="157" spans="1:21" hidden="1" x14ac:dyDescent="0.3">
      <c r="A157" s="28" t="s">
        <v>57</v>
      </c>
      <c r="B157" s="28">
        <v>2014</v>
      </c>
      <c r="C157" s="28">
        <v>11</v>
      </c>
      <c r="D157" s="28" t="s">
        <v>67</v>
      </c>
      <c r="E157" s="28">
        <v>245</v>
      </c>
      <c r="F157" s="28">
        <v>232</v>
      </c>
      <c r="G157" s="28">
        <f t="shared" si="2"/>
        <v>477</v>
      </c>
      <c r="H157" s="28" t="s">
        <v>1937</v>
      </c>
      <c r="J157"/>
      <c r="K157"/>
      <c r="L157"/>
      <c r="M157"/>
      <c r="N157"/>
      <c r="O157"/>
      <c r="P157"/>
      <c r="Q157"/>
      <c r="R157"/>
      <c r="S157"/>
      <c r="T157"/>
      <c r="U157"/>
    </row>
    <row r="158" spans="1:21" hidden="1" x14ac:dyDescent="0.3">
      <c r="A158" s="28" t="s">
        <v>57</v>
      </c>
      <c r="B158" s="28">
        <v>2014</v>
      </c>
      <c r="C158" s="28">
        <v>11</v>
      </c>
      <c r="D158" s="28" t="s">
        <v>78</v>
      </c>
      <c r="E158" s="28">
        <v>19</v>
      </c>
      <c r="F158" s="28">
        <v>0</v>
      </c>
      <c r="G158" s="28">
        <f t="shared" si="2"/>
        <v>19</v>
      </c>
      <c r="H158" s="28" t="s">
        <v>1937</v>
      </c>
      <c r="J158"/>
      <c r="K158"/>
      <c r="L158"/>
      <c r="M158"/>
      <c r="N158"/>
      <c r="O158"/>
      <c r="P158"/>
      <c r="Q158"/>
      <c r="R158"/>
      <c r="S158"/>
      <c r="T158"/>
      <c r="U158"/>
    </row>
    <row r="159" spans="1:21" hidden="1" x14ac:dyDescent="0.3">
      <c r="A159" s="28" t="s">
        <v>57</v>
      </c>
      <c r="B159" s="28">
        <v>2014</v>
      </c>
      <c r="C159" s="28">
        <v>11</v>
      </c>
      <c r="D159" s="28" t="s">
        <v>63</v>
      </c>
      <c r="E159" s="28">
        <v>17</v>
      </c>
      <c r="F159" s="28">
        <v>0</v>
      </c>
      <c r="G159" s="28">
        <f t="shared" si="2"/>
        <v>17</v>
      </c>
      <c r="H159" s="28" t="s">
        <v>1937</v>
      </c>
      <c r="J159"/>
      <c r="K159"/>
      <c r="L159"/>
      <c r="M159"/>
      <c r="N159"/>
      <c r="O159"/>
      <c r="P159"/>
      <c r="Q159"/>
      <c r="R159"/>
      <c r="S159"/>
      <c r="T159"/>
      <c r="U159"/>
    </row>
    <row r="160" spans="1:21" hidden="1" x14ac:dyDescent="0.3">
      <c r="A160" s="28" t="s">
        <v>1929</v>
      </c>
      <c r="B160" s="28">
        <v>2014</v>
      </c>
      <c r="C160" s="28">
        <v>12</v>
      </c>
      <c r="D160" s="28" t="s">
        <v>115</v>
      </c>
      <c r="E160" s="28">
        <v>62</v>
      </c>
      <c r="F160" s="28">
        <v>41</v>
      </c>
      <c r="G160" s="28">
        <f t="shared" si="2"/>
        <v>103</v>
      </c>
      <c r="H160" s="28" t="s">
        <v>1937</v>
      </c>
      <c r="J160"/>
      <c r="K160"/>
      <c r="L160"/>
      <c r="M160"/>
      <c r="N160"/>
      <c r="O160"/>
      <c r="P160"/>
      <c r="Q160"/>
      <c r="R160"/>
      <c r="S160"/>
      <c r="T160"/>
      <c r="U160"/>
    </row>
    <row r="161" spans="1:21" hidden="1" x14ac:dyDescent="0.3">
      <c r="A161" s="28" t="s">
        <v>1929</v>
      </c>
      <c r="B161" s="28">
        <v>2014</v>
      </c>
      <c r="C161" s="28">
        <v>12</v>
      </c>
      <c r="D161" s="28" t="s">
        <v>67</v>
      </c>
      <c r="E161" s="28">
        <v>45</v>
      </c>
      <c r="F161" s="28">
        <v>31</v>
      </c>
      <c r="G161" s="28">
        <f t="shared" si="2"/>
        <v>76</v>
      </c>
      <c r="H161" s="28" t="s">
        <v>1937</v>
      </c>
      <c r="J161"/>
      <c r="K161"/>
      <c r="L161"/>
      <c r="M161"/>
      <c r="N161"/>
      <c r="O161"/>
      <c r="P161"/>
      <c r="Q161"/>
      <c r="R161"/>
      <c r="S161"/>
      <c r="T161"/>
      <c r="U161"/>
    </row>
    <row r="162" spans="1:21" hidden="1" x14ac:dyDescent="0.3">
      <c r="A162" s="28" t="s">
        <v>1929</v>
      </c>
      <c r="B162" s="28">
        <v>2014</v>
      </c>
      <c r="C162" s="28">
        <v>12</v>
      </c>
      <c r="D162" s="28" t="s">
        <v>78</v>
      </c>
      <c r="E162" s="28">
        <v>56</v>
      </c>
      <c r="F162" s="28">
        <v>9</v>
      </c>
      <c r="G162" s="28">
        <f t="shared" si="2"/>
        <v>65</v>
      </c>
      <c r="H162" s="28" t="s">
        <v>1937</v>
      </c>
      <c r="J162"/>
      <c r="K162"/>
      <c r="L162"/>
      <c r="M162"/>
      <c r="N162"/>
      <c r="O162"/>
      <c r="P162"/>
      <c r="Q162"/>
      <c r="R162"/>
      <c r="S162"/>
      <c r="T162"/>
      <c r="U162"/>
    </row>
    <row r="163" spans="1:21" hidden="1" x14ac:dyDescent="0.3">
      <c r="A163" s="28" t="s">
        <v>1929</v>
      </c>
      <c r="B163" s="28">
        <v>2014</v>
      </c>
      <c r="C163" s="28">
        <v>12</v>
      </c>
      <c r="D163" s="28" t="s">
        <v>81</v>
      </c>
      <c r="E163" s="28">
        <v>10</v>
      </c>
      <c r="F163" s="28">
        <v>10</v>
      </c>
      <c r="G163" s="28">
        <f t="shared" si="2"/>
        <v>20</v>
      </c>
      <c r="H163" s="28" t="s">
        <v>1937</v>
      </c>
      <c r="J163"/>
      <c r="K163"/>
      <c r="L163"/>
      <c r="M163"/>
      <c r="N163"/>
      <c r="O163"/>
      <c r="P163"/>
      <c r="Q163"/>
      <c r="R163"/>
      <c r="S163"/>
      <c r="T163"/>
      <c r="U163"/>
    </row>
    <row r="164" spans="1:21" hidden="1" x14ac:dyDescent="0.3">
      <c r="A164" s="28" t="s">
        <v>1929</v>
      </c>
      <c r="B164" s="28">
        <v>2014</v>
      </c>
      <c r="C164" s="28">
        <v>12</v>
      </c>
      <c r="D164" s="28" t="s">
        <v>63</v>
      </c>
      <c r="E164" s="28">
        <v>10</v>
      </c>
      <c r="F164" s="28">
        <v>8</v>
      </c>
      <c r="G164" s="28">
        <f t="shared" si="2"/>
        <v>18</v>
      </c>
      <c r="H164" s="28" t="s">
        <v>1937</v>
      </c>
      <c r="J164"/>
      <c r="K164"/>
      <c r="L164"/>
      <c r="M164"/>
      <c r="N164"/>
      <c r="O164"/>
      <c r="P164"/>
      <c r="Q164"/>
      <c r="R164"/>
      <c r="S164"/>
      <c r="T164"/>
      <c r="U164"/>
    </row>
    <row r="165" spans="1:21" hidden="1" x14ac:dyDescent="0.3">
      <c r="A165" s="28" t="s">
        <v>1929</v>
      </c>
      <c r="B165" s="28">
        <v>2014</v>
      </c>
      <c r="C165" s="28">
        <v>12</v>
      </c>
      <c r="D165" s="28" t="s">
        <v>56</v>
      </c>
      <c r="E165" s="28">
        <v>3</v>
      </c>
      <c r="F165" s="28">
        <v>8</v>
      </c>
      <c r="G165" s="28">
        <f t="shared" si="2"/>
        <v>11</v>
      </c>
      <c r="H165" s="28" t="s">
        <v>1937</v>
      </c>
      <c r="J165"/>
      <c r="K165"/>
      <c r="L165"/>
      <c r="M165"/>
      <c r="N165"/>
      <c r="O165"/>
      <c r="P165"/>
      <c r="Q165"/>
      <c r="R165"/>
      <c r="S165"/>
      <c r="T165"/>
      <c r="U165"/>
    </row>
    <row r="166" spans="1:21" hidden="1" x14ac:dyDescent="0.3">
      <c r="A166" s="28" t="s">
        <v>1929</v>
      </c>
      <c r="B166" s="28">
        <v>2014</v>
      </c>
      <c r="C166" s="28">
        <v>12</v>
      </c>
      <c r="D166" s="28" t="s">
        <v>122</v>
      </c>
      <c r="E166" s="28">
        <v>0</v>
      </c>
      <c r="F166" s="28">
        <v>4</v>
      </c>
      <c r="G166" s="28">
        <f t="shared" si="2"/>
        <v>4</v>
      </c>
      <c r="H166" s="28" t="s">
        <v>1937</v>
      </c>
      <c r="J166"/>
      <c r="K166"/>
      <c r="L166"/>
      <c r="M166"/>
      <c r="N166"/>
      <c r="O166"/>
      <c r="P166"/>
      <c r="Q166"/>
      <c r="R166"/>
      <c r="S166"/>
      <c r="T166"/>
      <c r="U166"/>
    </row>
    <row r="167" spans="1:21" hidden="1" x14ac:dyDescent="0.3">
      <c r="A167" s="28" t="s">
        <v>1929</v>
      </c>
      <c r="B167" s="28">
        <v>2014</v>
      </c>
      <c r="C167" s="28">
        <v>12</v>
      </c>
      <c r="D167" s="28" t="s">
        <v>138</v>
      </c>
      <c r="E167" s="28">
        <v>1</v>
      </c>
      <c r="F167" s="28">
        <v>1</v>
      </c>
      <c r="G167" s="28">
        <f t="shared" si="2"/>
        <v>2</v>
      </c>
      <c r="H167" s="28" t="s">
        <v>1937</v>
      </c>
      <c r="J167"/>
      <c r="K167"/>
      <c r="L167"/>
      <c r="M167"/>
      <c r="N167"/>
      <c r="O167"/>
      <c r="P167"/>
      <c r="Q167"/>
      <c r="R167"/>
      <c r="S167"/>
      <c r="T167"/>
      <c r="U167"/>
    </row>
    <row r="168" spans="1:21" hidden="1" x14ac:dyDescent="0.3">
      <c r="A168" s="28" t="s">
        <v>91</v>
      </c>
      <c r="B168" s="28">
        <v>2014</v>
      </c>
      <c r="C168" s="28">
        <v>12</v>
      </c>
      <c r="D168" s="28" t="s">
        <v>56</v>
      </c>
      <c r="E168" s="28">
        <v>1057</v>
      </c>
      <c r="F168" s="28">
        <v>1057</v>
      </c>
      <c r="G168" s="28">
        <f t="shared" si="2"/>
        <v>2114</v>
      </c>
      <c r="H168" s="28" t="s">
        <v>1937</v>
      </c>
      <c r="J168"/>
      <c r="K168"/>
      <c r="L168"/>
      <c r="M168"/>
      <c r="N168"/>
      <c r="O168"/>
      <c r="P168"/>
      <c r="Q168"/>
      <c r="R168"/>
      <c r="S168"/>
      <c r="T168"/>
      <c r="U168"/>
    </row>
    <row r="169" spans="1:21" hidden="1" x14ac:dyDescent="0.3">
      <c r="A169" s="28" t="s">
        <v>57</v>
      </c>
      <c r="B169" s="28">
        <v>2014</v>
      </c>
      <c r="C169" s="28">
        <v>12</v>
      </c>
      <c r="D169" s="28" t="s">
        <v>56</v>
      </c>
      <c r="E169" s="28">
        <v>374</v>
      </c>
      <c r="F169" s="28">
        <v>461</v>
      </c>
      <c r="G169" s="28">
        <f t="shared" si="2"/>
        <v>835</v>
      </c>
      <c r="H169" s="28" t="s">
        <v>1937</v>
      </c>
      <c r="J169"/>
      <c r="K169"/>
      <c r="L169"/>
      <c r="M169"/>
      <c r="N169"/>
      <c r="O169"/>
      <c r="P169"/>
      <c r="Q169"/>
      <c r="R169"/>
      <c r="S169"/>
      <c r="T169"/>
      <c r="U169"/>
    </row>
    <row r="170" spans="1:21" hidden="1" x14ac:dyDescent="0.3">
      <c r="A170" s="28" t="s">
        <v>57</v>
      </c>
      <c r="B170" s="28">
        <v>2014</v>
      </c>
      <c r="C170" s="28">
        <v>12</v>
      </c>
      <c r="D170" s="28" t="s">
        <v>67</v>
      </c>
      <c r="E170" s="28">
        <v>252</v>
      </c>
      <c r="F170" s="28">
        <v>275</v>
      </c>
      <c r="G170" s="28">
        <f t="shared" si="2"/>
        <v>527</v>
      </c>
      <c r="H170" s="28" t="s">
        <v>1937</v>
      </c>
      <c r="J170"/>
      <c r="K170"/>
      <c r="L170"/>
      <c r="M170"/>
      <c r="N170"/>
      <c r="O170"/>
      <c r="P170"/>
      <c r="Q170"/>
      <c r="R170"/>
      <c r="S170"/>
      <c r="T170"/>
      <c r="U170"/>
    </row>
    <row r="171" spans="1:21" hidden="1" x14ac:dyDescent="0.3">
      <c r="A171" s="28" t="s">
        <v>57</v>
      </c>
      <c r="B171" s="28">
        <v>2014</v>
      </c>
      <c r="C171" s="28">
        <v>12</v>
      </c>
      <c r="D171" s="28" t="s">
        <v>72</v>
      </c>
      <c r="E171" s="28">
        <v>10</v>
      </c>
      <c r="F171" s="28">
        <v>14</v>
      </c>
      <c r="G171" s="28">
        <f t="shared" si="2"/>
        <v>24</v>
      </c>
      <c r="H171" s="28" t="s">
        <v>1937</v>
      </c>
      <c r="J171"/>
      <c r="K171"/>
      <c r="L171"/>
      <c r="M171"/>
      <c r="N171"/>
      <c r="O171"/>
      <c r="P171"/>
      <c r="Q171"/>
      <c r="R171"/>
      <c r="S171"/>
      <c r="T171"/>
      <c r="U171"/>
    </row>
    <row r="172" spans="1:21" hidden="1" x14ac:dyDescent="0.3">
      <c r="A172" s="28" t="s">
        <v>57</v>
      </c>
      <c r="B172" s="28">
        <v>2014</v>
      </c>
      <c r="C172" s="28">
        <v>12</v>
      </c>
      <c r="D172" s="28" t="s">
        <v>78</v>
      </c>
      <c r="E172" s="28">
        <v>12</v>
      </c>
      <c r="G172" s="28">
        <f t="shared" si="2"/>
        <v>12</v>
      </c>
      <c r="H172" s="28" t="s">
        <v>1937</v>
      </c>
      <c r="J172"/>
      <c r="K172"/>
      <c r="L172"/>
      <c r="M172"/>
      <c r="N172"/>
      <c r="O172"/>
      <c r="P172"/>
      <c r="Q172"/>
      <c r="R172"/>
      <c r="S172"/>
      <c r="T172"/>
      <c r="U172"/>
    </row>
    <row r="173" spans="1:21" hidden="1" x14ac:dyDescent="0.3">
      <c r="A173" s="28" t="s">
        <v>1929</v>
      </c>
      <c r="B173" s="18">
        <v>2015</v>
      </c>
      <c r="C173" s="28">
        <v>1</v>
      </c>
      <c r="D173" s="37" t="s">
        <v>63</v>
      </c>
      <c r="E173" s="18">
        <v>66</v>
      </c>
      <c r="F173" s="18">
        <v>128</v>
      </c>
      <c r="G173" s="28">
        <f t="shared" si="2"/>
        <v>194</v>
      </c>
      <c r="H173" s="28" t="s">
        <v>1937</v>
      </c>
      <c r="J173"/>
      <c r="K173"/>
      <c r="L173"/>
      <c r="M173"/>
      <c r="N173"/>
      <c r="O173"/>
      <c r="P173"/>
      <c r="Q173"/>
      <c r="R173"/>
      <c r="S173"/>
      <c r="T173"/>
      <c r="U173"/>
    </row>
    <row r="174" spans="1:21" hidden="1" x14ac:dyDescent="0.3">
      <c r="A174" s="28" t="s">
        <v>1929</v>
      </c>
      <c r="B174" s="18">
        <v>2015</v>
      </c>
      <c r="C174" s="28">
        <v>1</v>
      </c>
      <c r="D174" s="18" t="s">
        <v>122</v>
      </c>
      <c r="E174" s="37">
        <v>70</v>
      </c>
      <c r="F174" s="37">
        <v>41</v>
      </c>
      <c r="G174" s="28">
        <f t="shared" si="2"/>
        <v>111</v>
      </c>
      <c r="H174" s="28" t="s">
        <v>1937</v>
      </c>
      <c r="J174"/>
      <c r="K174"/>
      <c r="L174"/>
      <c r="M174"/>
      <c r="N174"/>
      <c r="O174"/>
      <c r="P174"/>
      <c r="Q174"/>
      <c r="R174"/>
      <c r="S174"/>
      <c r="T174"/>
      <c r="U174"/>
    </row>
    <row r="175" spans="1:21" hidden="1" x14ac:dyDescent="0.3">
      <c r="A175" s="28" t="s">
        <v>1929</v>
      </c>
      <c r="B175" s="18">
        <v>2015</v>
      </c>
      <c r="C175" s="28">
        <v>1</v>
      </c>
      <c r="D175" s="37" t="s">
        <v>78</v>
      </c>
      <c r="E175" s="37">
        <v>37</v>
      </c>
      <c r="F175" s="37">
        <v>48</v>
      </c>
      <c r="G175" s="28">
        <f t="shared" si="2"/>
        <v>85</v>
      </c>
      <c r="H175" s="28" t="s">
        <v>1937</v>
      </c>
      <c r="J175"/>
      <c r="K175"/>
      <c r="L175"/>
      <c r="M175"/>
      <c r="N175"/>
      <c r="O175"/>
      <c r="P175"/>
      <c r="Q175"/>
      <c r="R175"/>
      <c r="S175"/>
      <c r="T175"/>
      <c r="U175"/>
    </row>
    <row r="176" spans="1:21" hidden="1" x14ac:dyDescent="0.3">
      <c r="A176" s="28" t="s">
        <v>1929</v>
      </c>
      <c r="B176" s="18">
        <v>2015</v>
      </c>
      <c r="C176" s="28">
        <v>1</v>
      </c>
      <c r="D176" s="18" t="s">
        <v>115</v>
      </c>
      <c r="E176" s="37">
        <v>32</v>
      </c>
      <c r="F176" s="37">
        <v>32</v>
      </c>
      <c r="G176" s="28">
        <f t="shared" si="2"/>
        <v>64</v>
      </c>
      <c r="H176" s="28" t="s">
        <v>1937</v>
      </c>
      <c r="J176"/>
      <c r="K176"/>
      <c r="L176"/>
      <c r="M176"/>
      <c r="N176"/>
      <c r="O176"/>
      <c r="P176"/>
      <c r="Q176"/>
      <c r="R176"/>
      <c r="S176"/>
      <c r="T176"/>
      <c r="U176"/>
    </row>
    <row r="177" spans="1:21" hidden="1" x14ac:dyDescent="0.3">
      <c r="A177" s="28" t="s">
        <v>1929</v>
      </c>
      <c r="B177" s="18">
        <v>2015</v>
      </c>
      <c r="C177" s="28">
        <v>1</v>
      </c>
      <c r="D177" s="45" t="s">
        <v>81</v>
      </c>
      <c r="E177" s="28">
        <v>41</v>
      </c>
      <c r="F177" s="37">
        <v>18</v>
      </c>
      <c r="G177" s="28">
        <f t="shared" si="2"/>
        <v>59</v>
      </c>
      <c r="H177" s="28" t="s">
        <v>1937</v>
      </c>
      <c r="J177"/>
      <c r="K177"/>
      <c r="L177"/>
      <c r="M177"/>
      <c r="N177"/>
      <c r="O177"/>
      <c r="P177"/>
      <c r="Q177"/>
      <c r="R177"/>
      <c r="S177"/>
      <c r="T177"/>
      <c r="U177"/>
    </row>
    <row r="178" spans="1:21" hidden="1" x14ac:dyDescent="0.3">
      <c r="A178" s="28" t="s">
        <v>1929</v>
      </c>
      <c r="B178" s="18">
        <v>2015</v>
      </c>
      <c r="C178" s="28">
        <v>1</v>
      </c>
      <c r="D178" s="37" t="s">
        <v>67</v>
      </c>
      <c r="E178" s="18">
        <v>17</v>
      </c>
      <c r="F178" s="18">
        <v>24</v>
      </c>
      <c r="G178" s="28">
        <f t="shared" si="2"/>
        <v>41</v>
      </c>
      <c r="H178" s="28" t="s">
        <v>1937</v>
      </c>
      <c r="J178"/>
      <c r="K178"/>
      <c r="L178"/>
      <c r="M178"/>
      <c r="N178"/>
      <c r="O178"/>
      <c r="P178"/>
      <c r="Q178"/>
      <c r="R178"/>
      <c r="S178"/>
      <c r="T178"/>
      <c r="U178"/>
    </row>
    <row r="179" spans="1:21" hidden="1" x14ac:dyDescent="0.3">
      <c r="A179" s="28" t="s">
        <v>1929</v>
      </c>
      <c r="B179" s="18">
        <v>2015</v>
      </c>
      <c r="C179" s="28">
        <v>1</v>
      </c>
      <c r="D179" s="54" t="s">
        <v>72</v>
      </c>
      <c r="E179" s="54">
        <v>4</v>
      </c>
      <c r="F179" s="54">
        <v>4</v>
      </c>
      <c r="G179" s="28">
        <f t="shared" si="2"/>
        <v>8</v>
      </c>
      <c r="H179" s="28" t="s">
        <v>1937</v>
      </c>
      <c r="J179"/>
      <c r="K179"/>
      <c r="L179"/>
      <c r="M179"/>
      <c r="N179"/>
      <c r="O179"/>
      <c r="P179"/>
      <c r="Q179"/>
      <c r="R179"/>
      <c r="S179"/>
      <c r="T179"/>
      <c r="U179"/>
    </row>
    <row r="180" spans="1:21" hidden="1" x14ac:dyDescent="0.3">
      <c r="A180" s="28" t="s">
        <v>1929</v>
      </c>
      <c r="B180" s="18">
        <v>2015</v>
      </c>
      <c r="C180" s="28">
        <v>1</v>
      </c>
      <c r="D180" s="18" t="s">
        <v>138</v>
      </c>
      <c r="E180" s="37">
        <v>2</v>
      </c>
      <c r="F180" s="37">
        <v>2</v>
      </c>
      <c r="G180" s="28">
        <f t="shared" si="2"/>
        <v>4</v>
      </c>
      <c r="H180" s="28" t="s">
        <v>1937</v>
      </c>
      <c r="J180"/>
      <c r="K180"/>
      <c r="L180"/>
      <c r="M180"/>
      <c r="N180"/>
      <c r="O180"/>
      <c r="P180"/>
      <c r="Q180"/>
      <c r="R180"/>
      <c r="S180"/>
      <c r="T180"/>
      <c r="U180"/>
    </row>
    <row r="181" spans="1:21" hidden="1" x14ac:dyDescent="0.3">
      <c r="A181" s="28" t="s">
        <v>91</v>
      </c>
      <c r="B181" s="18">
        <v>2015</v>
      </c>
      <c r="C181" s="28">
        <v>1</v>
      </c>
      <c r="D181" s="28" t="s">
        <v>56</v>
      </c>
      <c r="E181" s="43">
        <v>1008</v>
      </c>
      <c r="F181" s="54">
        <v>917</v>
      </c>
      <c r="G181" s="28">
        <f t="shared" si="2"/>
        <v>1925</v>
      </c>
      <c r="H181" s="28" t="s">
        <v>1937</v>
      </c>
      <c r="J181"/>
      <c r="K181"/>
      <c r="L181"/>
      <c r="M181"/>
      <c r="N181"/>
      <c r="O181"/>
      <c r="P181"/>
      <c r="Q181"/>
      <c r="R181"/>
      <c r="S181"/>
      <c r="T181"/>
      <c r="U181"/>
    </row>
    <row r="182" spans="1:21" hidden="1" x14ac:dyDescent="0.3">
      <c r="A182" s="37" t="s">
        <v>57</v>
      </c>
      <c r="B182" s="18">
        <v>2015</v>
      </c>
      <c r="C182" s="28">
        <v>1</v>
      </c>
      <c r="D182" s="18" t="s">
        <v>56</v>
      </c>
      <c r="E182" s="37">
        <v>472</v>
      </c>
      <c r="F182" s="37">
        <v>514</v>
      </c>
      <c r="G182" s="28">
        <f t="shared" si="2"/>
        <v>986</v>
      </c>
      <c r="H182" s="28" t="s">
        <v>1937</v>
      </c>
      <c r="J182"/>
      <c r="K182"/>
      <c r="L182"/>
      <c r="M182"/>
      <c r="N182"/>
      <c r="O182"/>
      <c r="P182"/>
      <c r="Q182"/>
      <c r="R182"/>
      <c r="S182"/>
      <c r="T182"/>
      <c r="U182"/>
    </row>
    <row r="183" spans="1:21" hidden="1" x14ac:dyDescent="0.3">
      <c r="A183" s="37" t="s">
        <v>57</v>
      </c>
      <c r="B183" s="18">
        <v>2015</v>
      </c>
      <c r="C183" s="28">
        <v>1</v>
      </c>
      <c r="D183" s="37" t="s">
        <v>67</v>
      </c>
      <c r="E183" s="37">
        <v>252</v>
      </c>
      <c r="F183" s="37">
        <v>262</v>
      </c>
      <c r="G183" s="28">
        <f t="shared" si="2"/>
        <v>514</v>
      </c>
      <c r="H183" s="28" t="s">
        <v>1937</v>
      </c>
      <c r="J183"/>
      <c r="K183"/>
      <c r="L183"/>
      <c r="M183"/>
      <c r="N183"/>
      <c r="O183"/>
      <c r="P183"/>
      <c r="Q183"/>
      <c r="R183"/>
      <c r="S183"/>
      <c r="T183"/>
      <c r="U183"/>
    </row>
    <row r="184" spans="1:21" hidden="1" x14ac:dyDescent="0.3">
      <c r="A184" s="37" t="s">
        <v>57</v>
      </c>
      <c r="B184" s="18">
        <v>2015</v>
      </c>
      <c r="C184" s="28">
        <v>1</v>
      </c>
      <c r="D184" s="37" t="s">
        <v>63</v>
      </c>
      <c r="E184" s="37">
        <v>4</v>
      </c>
      <c r="F184" s="37">
        <v>4</v>
      </c>
      <c r="G184" s="28">
        <f t="shared" si="2"/>
        <v>8</v>
      </c>
      <c r="H184" s="28" t="s">
        <v>1937</v>
      </c>
      <c r="J184"/>
      <c r="K184"/>
      <c r="L184"/>
      <c r="M184"/>
      <c r="N184"/>
      <c r="O184"/>
      <c r="P184"/>
      <c r="Q184"/>
      <c r="R184"/>
      <c r="S184"/>
      <c r="T184"/>
      <c r="U184"/>
    </row>
    <row r="185" spans="1:21" hidden="1" x14ac:dyDescent="0.3">
      <c r="A185" s="28" t="s">
        <v>1929</v>
      </c>
      <c r="B185" s="18">
        <v>2015</v>
      </c>
      <c r="C185" s="28">
        <v>2</v>
      </c>
      <c r="D185" s="37" t="s">
        <v>63</v>
      </c>
      <c r="E185" s="18">
        <v>91</v>
      </c>
      <c r="F185" s="18">
        <v>112</v>
      </c>
      <c r="G185" s="28">
        <f t="shared" si="2"/>
        <v>203</v>
      </c>
      <c r="H185" s="28" t="s">
        <v>1937</v>
      </c>
      <c r="J185"/>
      <c r="K185"/>
      <c r="L185"/>
      <c r="M185"/>
      <c r="N185"/>
      <c r="O185"/>
      <c r="P185"/>
      <c r="Q185"/>
      <c r="R185"/>
      <c r="S185"/>
      <c r="T185"/>
      <c r="U185"/>
    </row>
    <row r="186" spans="1:21" hidden="1" x14ac:dyDescent="0.3">
      <c r="A186" s="28" t="s">
        <v>1929</v>
      </c>
      <c r="B186" s="18">
        <v>2015</v>
      </c>
      <c r="C186" s="28">
        <v>2</v>
      </c>
      <c r="D186" s="37" t="s">
        <v>78</v>
      </c>
      <c r="E186" s="37">
        <v>65</v>
      </c>
      <c r="F186" s="37">
        <v>70</v>
      </c>
      <c r="G186" s="28">
        <f t="shared" si="2"/>
        <v>135</v>
      </c>
      <c r="H186" s="28" t="s">
        <v>1937</v>
      </c>
      <c r="J186"/>
      <c r="K186"/>
      <c r="L186"/>
      <c r="M186"/>
      <c r="N186"/>
      <c r="O186"/>
      <c r="P186"/>
      <c r="Q186"/>
      <c r="R186"/>
      <c r="S186"/>
      <c r="T186"/>
      <c r="U186"/>
    </row>
    <row r="187" spans="1:21" hidden="1" x14ac:dyDescent="0.3">
      <c r="A187" s="28" t="s">
        <v>1929</v>
      </c>
      <c r="B187" s="18">
        <v>2015</v>
      </c>
      <c r="C187" s="28">
        <v>2</v>
      </c>
      <c r="D187" s="18" t="s">
        <v>122</v>
      </c>
      <c r="E187" s="37">
        <v>57</v>
      </c>
      <c r="F187" s="37">
        <v>56</v>
      </c>
      <c r="G187" s="28">
        <f t="shared" si="2"/>
        <v>113</v>
      </c>
      <c r="H187" s="28" t="s">
        <v>1937</v>
      </c>
      <c r="J187"/>
      <c r="K187"/>
      <c r="L187"/>
      <c r="M187"/>
      <c r="N187"/>
      <c r="O187"/>
      <c r="P187"/>
      <c r="Q187"/>
      <c r="R187"/>
      <c r="S187"/>
      <c r="T187"/>
      <c r="U187"/>
    </row>
    <row r="188" spans="1:21" hidden="1" x14ac:dyDescent="0.3">
      <c r="A188" s="28" t="s">
        <v>1929</v>
      </c>
      <c r="B188" s="18">
        <v>2015</v>
      </c>
      <c r="C188" s="28">
        <v>2</v>
      </c>
      <c r="D188" s="45" t="s">
        <v>56</v>
      </c>
      <c r="E188" s="28">
        <v>31</v>
      </c>
      <c r="F188" s="54">
        <v>26</v>
      </c>
      <c r="G188" s="28">
        <f t="shared" si="2"/>
        <v>57</v>
      </c>
      <c r="H188" s="28" t="s">
        <v>1937</v>
      </c>
      <c r="J188"/>
      <c r="K188"/>
      <c r="L188"/>
      <c r="M188"/>
      <c r="N188"/>
      <c r="O188"/>
      <c r="P188"/>
      <c r="Q188"/>
      <c r="R188"/>
      <c r="S188"/>
      <c r="T188"/>
      <c r="U188"/>
    </row>
    <row r="189" spans="1:21" hidden="1" x14ac:dyDescent="0.3">
      <c r="A189" s="28" t="s">
        <v>1929</v>
      </c>
      <c r="B189" s="18">
        <v>2015</v>
      </c>
      <c r="C189" s="28">
        <v>2</v>
      </c>
      <c r="D189" s="18" t="s">
        <v>115</v>
      </c>
      <c r="E189" s="37">
        <v>43</v>
      </c>
      <c r="F189" s="37">
        <v>13</v>
      </c>
      <c r="G189" s="28">
        <f t="shared" si="2"/>
        <v>56</v>
      </c>
      <c r="H189" s="28" t="s">
        <v>1937</v>
      </c>
      <c r="J189"/>
      <c r="K189"/>
      <c r="L189"/>
      <c r="M189"/>
      <c r="N189"/>
      <c r="O189"/>
      <c r="P189"/>
      <c r="Q189"/>
      <c r="R189"/>
      <c r="S189"/>
      <c r="T189"/>
      <c r="U189"/>
    </row>
    <row r="190" spans="1:21" hidden="1" x14ac:dyDescent="0.3">
      <c r="A190" s="28" t="s">
        <v>1929</v>
      </c>
      <c r="B190" s="18">
        <v>2015</v>
      </c>
      <c r="C190" s="28">
        <v>2</v>
      </c>
      <c r="D190" s="37" t="s">
        <v>67</v>
      </c>
      <c r="E190" s="18">
        <v>21</v>
      </c>
      <c r="F190" s="18">
        <v>19</v>
      </c>
      <c r="G190" s="28">
        <f t="shared" si="2"/>
        <v>40</v>
      </c>
      <c r="H190" s="28" t="s">
        <v>1937</v>
      </c>
      <c r="J190"/>
      <c r="K190"/>
      <c r="L190"/>
      <c r="M190"/>
      <c r="N190"/>
      <c r="O190"/>
      <c r="P190"/>
      <c r="Q190"/>
      <c r="R190"/>
      <c r="S190"/>
      <c r="T190"/>
      <c r="U190"/>
    </row>
    <row r="191" spans="1:21" hidden="1" x14ac:dyDescent="0.3">
      <c r="A191" s="28" t="s">
        <v>1929</v>
      </c>
      <c r="B191" s="18">
        <v>2015</v>
      </c>
      <c r="C191" s="28">
        <v>2</v>
      </c>
      <c r="D191" s="54" t="s">
        <v>72</v>
      </c>
      <c r="E191" s="54">
        <v>18</v>
      </c>
      <c r="F191" s="54">
        <v>19</v>
      </c>
      <c r="G191" s="28">
        <f t="shared" si="2"/>
        <v>37</v>
      </c>
      <c r="H191" s="28" t="s">
        <v>1937</v>
      </c>
      <c r="J191"/>
      <c r="K191"/>
      <c r="L191"/>
      <c r="M191"/>
      <c r="N191"/>
      <c r="O191"/>
      <c r="P191"/>
      <c r="Q191"/>
      <c r="R191"/>
      <c r="S191"/>
      <c r="T191"/>
      <c r="U191"/>
    </row>
    <row r="192" spans="1:21" hidden="1" x14ac:dyDescent="0.3">
      <c r="A192" s="28" t="s">
        <v>1929</v>
      </c>
      <c r="B192" s="18">
        <v>2015</v>
      </c>
      <c r="C192" s="28">
        <v>2</v>
      </c>
      <c r="D192" s="18" t="s">
        <v>125</v>
      </c>
      <c r="E192" s="37">
        <v>13</v>
      </c>
      <c r="F192" s="37">
        <v>14</v>
      </c>
      <c r="G192" s="28">
        <f t="shared" si="2"/>
        <v>27</v>
      </c>
      <c r="H192" s="28" t="s">
        <v>1937</v>
      </c>
      <c r="J192"/>
      <c r="K192"/>
      <c r="L192"/>
      <c r="M192"/>
      <c r="N192"/>
      <c r="O192"/>
      <c r="P192"/>
      <c r="Q192"/>
      <c r="R192"/>
      <c r="S192"/>
      <c r="T192"/>
      <c r="U192"/>
    </row>
    <row r="193" spans="1:21" hidden="1" x14ac:dyDescent="0.3">
      <c r="A193" s="28" t="s">
        <v>1929</v>
      </c>
      <c r="B193" s="18">
        <v>2015</v>
      </c>
      <c r="C193" s="28">
        <v>2</v>
      </c>
      <c r="D193" s="45" t="s">
        <v>128</v>
      </c>
      <c r="E193" s="54">
        <v>3</v>
      </c>
      <c r="F193" s="37">
        <v>6</v>
      </c>
      <c r="G193" s="28">
        <f t="shared" si="2"/>
        <v>9</v>
      </c>
      <c r="H193" s="28" t="s">
        <v>1937</v>
      </c>
      <c r="J193"/>
      <c r="K193"/>
      <c r="L193"/>
      <c r="M193"/>
      <c r="N193"/>
      <c r="O193"/>
      <c r="P193"/>
      <c r="Q193"/>
      <c r="R193"/>
      <c r="S193"/>
      <c r="T193"/>
      <c r="U193"/>
    </row>
    <row r="194" spans="1:21" hidden="1" x14ac:dyDescent="0.3">
      <c r="A194" s="28" t="s">
        <v>1929</v>
      </c>
      <c r="B194" s="18">
        <v>2015</v>
      </c>
      <c r="C194" s="28">
        <v>2</v>
      </c>
      <c r="D194" s="45" t="s">
        <v>81</v>
      </c>
      <c r="E194" s="28">
        <v>3</v>
      </c>
      <c r="F194" s="37">
        <v>0</v>
      </c>
      <c r="G194" s="28">
        <f t="shared" ref="G194:G257" si="3">SUM(E194+F194)</f>
        <v>3</v>
      </c>
      <c r="H194" s="28" t="s">
        <v>1937</v>
      </c>
      <c r="J194"/>
      <c r="K194"/>
      <c r="L194"/>
      <c r="M194"/>
      <c r="N194"/>
      <c r="O194"/>
      <c r="P194"/>
      <c r="Q194"/>
      <c r="R194"/>
      <c r="S194"/>
      <c r="T194"/>
      <c r="U194"/>
    </row>
    <row r="195" spans="1:21" hidden="1" x14ac:dyDescent="0.3">
      <c r="A195" s="28" t="s">
        <v>91</v>
      </c>
      <c r="B195" s="18">
        <v>2015</v>
      </c>
      <c r="C195" s="28">
        <v>2</v>
      </c>
      <c r="D195" s="28" t="s">
        <v>56</v>
      </c>
      <c r="E195" s="43">
        <v>749</v>
      </c>
      <c r="F195" s="54">
        <v>785</v>
      </c>
      <c r="G195" s="28">
        <f t="shared" si="3"/>
        <v>1534</v>
      </c>
      <c r="H195" s="28" t="s">
        <v>1937</v>
      </c>
      <c r="J195"/>
      <c r="K195"/>
      <c r="L195"/>
      <c r="M195"/>
      <c r="N195"/>
      <c r="O195"/>
      <c r="P195"/>
      <c r="Q195"/>
      <c r="R195"/>
      <c r="S195"/>
      <c r="T195"/>
      <c r="U195"/>
    </row>
    <row r="196" spans="1:21" hidden="1" x14ac:dyDescent="0.3">
      <c r="A196" s="37" t="s">
        <v>57</v>
      </c>
      <c r="B196" s="18">
        <v>2015</v>
      </c>
      <c r="C196" s="28">
        <v>2</v>
      </c>
      <c r="D196" s="18" t="s">
        <v>56</v>
      </c>
      <c r="E196" s="37">
        <v>871</v>
      </c>
      <c r="F196" s="37">
        <f>952+9</f>
        <v>961</v>
      </c>
      <c r="G196" s="28">
        <f t="shared" si="3"/>
        <v>1832</v>
      </c>
      <c r="H196" s="28" t="s">
        <v>1937</v>
      </c>
      <c r="J196"/>
      <c r="K196"/>
      <c r="L196"/>
      <c r="M196"/>
      <c r="N196"/>
      <c r="O196"/>
      <c r="P196"/>
      <c r="Q196"/>
      <c r="R196"/>
      <c r="S196"/>
      <c r="T196"/>
      <c r="U196"/>
    </row>
    <row r="197" spans="1:21" hidden="1" x14ac:dyDescent="0.3">
      <c r="A197" s="37" t="s">
        <v>57</v>
      </c>
      <c r="B197" s="18">
        <v>2015</v>
      </c>
      <c r="C197" s="28">
        <v>2</v>
      </c>
      <c r="D197" s="37" t="s">
        <v>67</v>
      </c>
      <c r="E197" s="37">
        <v>351</v>
      </c>
      <c r="F197" s="37">
        <v>347</v>
      </c>
      <c r="G197" s="28">
        <f t="shared" si="3"/>
        <v>698</v>
      </c>
      <c r="H197" s="28" t="s">
        <v>1937</v>
      </c>
      <c r="J197"/>
      <c r="K197"/>
      <c r="L197"/>
      <c r="M197"/>
      <c r="N197"/>
      <c r="O197"/>
      <c r="P197"/>
      <c r="Q197"/>
      <c r="R197"/>
      <c r="S197"/>
      <c r="T197"/>
      <c r="U197"/>
    </row>
    <row r="198" spans="1:21" hidden="1" x14ac:dyDescent="0.3">
      <c r="A198" s="37" t="s">
        <v>57</v>
      </c>
      <c r="B198" s="18">
        <v>2015</v>
      </c>
      <c r="C198" s="28">
        <v>2</v>
      </c>
      <c r="D198" s="37" t="s">
        <v>63</v>
      </c>
      <c r="E198" s="37">
        <v>102</v>
      </c>
      <c r="F198" s="37">
        <v>81</v>
      </c>
      <c r="G198" s="28">
        <f t="shared" si="3"/>
        <v>183</v>
      </c>
      <c r="H198" s="28" t="s">
        <v>1937</v>
      </c>
      <c r="J198"/>
      <c r="K198"/>
      <c r="L198"/>
      <c r="M198"/>
      <c r="N198"/>
      <c r="O198"/>
      <c r="P198"/>
      <c r="Q198"/>
      <c r="R198"/>
      <c r="S198"/>
      <c r="T198"/>
      <c r="U198"/>
    </row>
    <row r="199" spans="1:21" hidden="1" x14ac:dyDescent="0.3">
      <c r="A199" s="37" t="s">
        <v>57</v>
      </c>
      <c r="B199" s="18">
        <v>2015</v>
      </c>
      <c r="C199" s="28">
        <v>2</v>
      </c>
      <c r="D199" s="37" t="s">
        <v>78</v>
      </c>
      <c r="E199" s="37">
        <v>29</v>
      </c>
      <c r="F199" s="37">
        <v>21</v>
      </c>
      <c r="G199" s="28">
        <f t="shared" si="3"/>
        <v>50</v>
      </c>
      <c r="H199" s="28" t="s">
        <v>1937</v>
      </c>
      <c r="J199"/>
      <c r="K199"/>
      <c r="L199"/>
      <c r="M199"/>
      <c r="N199"/>
      <c r="O199"/>
      <c r="P199"/>
      <c r="Q199"/>
      <c r="R199"/>
      <c r="S199"/>
      <c r="T199"/>
      <c r="U199"/>
    </row>
    <row r="200" spans="1:21" hidden="1" x14ac:dyDescent="0.3">
      <c r="A200" s="37" t="s">
        <v>57</v>
      </c>
      <c r="B200" s="18">
        <v>2015</v>
      </c>
      <c r="C200" s="28">
        <v>2</v>
      </c>
      <c r="D200" s="37" t="s">
        <v>72</v>
      </c>
      <c r="E200" s="37">
        <v>16</v>
      </c>
      <c r="F200" s="37">
        <v>23</v>
      </c>
      <c r="G200" s="28">
        <f t="shared" si="3"/>
        <v>39</v>
      </c>
      <c r="H200" s="28" t="s">
        <v>1937</v>
      </c>
      <c r="J200"/>
      <c r="K200"/>
      <c r="L200"/>
      <c r="M200"/>
      <c r="N200"/>
      <c r="O200"/>
      <c r="P200"/>
      <c r="Q200"/>
      <c r="R200"/>
      <c r="S200"/>
      <c r="T200"/>
      <c r="U200"/>
    </row>
    <row r="201" spans="1:21" hidden="1" x14ac:dyDescent="0.3">
      <c r="A201" s="28" t="s">
        <v>1929</v>
      </c>
      <c r="B201" s="18">
        <v>2015</v>
      </c>
      <c r="C201" s="28">
        <v>3</v>
      </c>
      <c r="D201" s="37" t="s">
        <v>63</v>
      </c>
      <c r="E201" s="18">
        <v>98</v>
      </c>
      <c r="F201" s="18">
        <v>89</v>
      </c>
      <c r="G201" s="28">
        <f t="shared" si="3"/>
        <v>187</v>
      </c>
      <c r="H201" s="28" t="s">
        <v>1937</v>
      </c>
      <c r="J201"/>
      <c r="K201"/>
      <c r="L201"/>
      <c r="M201"/>
      <c r="N201"/>
      <c r="O201"/>
      <c r="P201"/>
      <c r="Q201"/>
      <c r="R201"/>
      <c r="S201"/>
      <c r="T201"/>
      <c r="U201"/>
    </row>
    <row r="202" spans="1:21" hidden="1" x14ac:dyDescent="0.3">
      <c r="A202" s="28" t="s">
        <v>1929</v>
      </c>
      <c r="B202" s="18">
        <v>2015</v>
      </c>
      <c r="C202" s="28">
        <v>3</v>
      </c>
      <c r="D202" s="37" t="s">
        <v>78</v>
      </c>
      <c r="E202" s="37">
        <v>63</v>
      </c>
      <c r="F202" s="37">
        <v>31</v>
      </c>
      <c r="G202" s="28">
        <f t="shared" si="3"/>
        <v>94</v>
      </c>
      <c r="H202" s="28" t="s">
        <v>1937</v>
      </c>
      <c r="J202"/>
      <c r="K202"/>
      <c r="L202"/>
      <c r="M202"/>
      <c r="N202"/>
      <c r="O202"/>
      <c r="P202"/>
      <c r="Q202"/>
      <c r="R202"/>
      <c r="S202"/>
      <c r="T202"/>
      <c r="U202"/>
    </row>
    <row r="203" spans="1:21" hidden="1" x14ac:dyDescent="0.3">
      <c r="A203" s="28" t="s">
        <v>1929</v>
      </c>
      <c r="B203" s="18">
        <v>2015</v>
      </c>
      <c r="C203" s="28">
        <v>3</v>
      </c>
      <c r="D203" s="18" t="s">
        <v>115</v>
      </c>
      <c r="E203" s="37">
        <v>52</v>
      </c>
      <c r="F203" s="37">
        <v>36</v>
      </c>
      <c r="G203" s="28">
        <f t="shared" si="3"/>
        <v>88</v>
      </c>
      <c r="H203" s="28" t="s">
        <v>1937</v>
      </c>
      <c r="J203"/>
      <c r="K203"/>
      <c r="L203"/>
      <c r="M203"/>
      <c r="N203"/>
      <c r="O203"/>
      <c r="P203"/>
      <c r="Q203"/>
      <c r="R203"/>
      <c r="S203"/>
      <c r="T203"/>
      <c r="U203"/>
    </row>
    <row r="204" spans="1:21" hidden="1" x14ac:dyDescent="0.3">
      <c r="A204" s="28" t="s">
        <v>1929</v>
      </c>
      <c r="B204" s="18">
        <v>2015</v>
      </c>
      <c r="C204" s="28">
        <v>3</v>
      </c>
      <c r="D204" s="18" t="s">
        <v>122</v>
      </c>
      <c r="E204" s="37">
        <v>43</v>
      </c>
      <c r="F204" s="37">
        <v>36</v>
      </c>
      <c r="G204" s="28">
        <f t="shared" si="3"/>
        <v>79</v>
      </c>
      <c r="H204" s="28" t="s">
        <v>1937</v>
      </c>
      <c r="J204"/>
      <c r="K204"/>
      <c r="L204"/>
      <c r="M204"/>
      <c r="N204"/>
      <c r="O204"/>
      <c r="P204"/>
      <c r="Q204"/>
      <c r="R204"/>
      <c r="S204"/>
      <c r="T204"/>
      <c r="U204"/>
    </row>
    <row r="205" spans="1:21" hidden="1" x14ac:dyDescent="0.3">
      <c r="A205" s="28" t="s">
        <v>1929</v>
      </c>
      <c r="B205" s="18">
        <v>2015</v>
      </c>
      <c r="C205" s="28">
        <v>3</v>
      </c>
      <c r="D205" s="45" t="s">
        <v>81</v>
      </c>
      <c r="E205" s="28">
        <v>17</v>
      </c>
      <c r="F205" s="37">
        <v>37</v>
      </c>
      <c r="G205" s="28">
        <f t="shared" si="3"/>
        <v>54</v>
      </c>
      <c r="H205" s="28" t="s">
        <v>1937</v>
      </c>
      <c r="J205"/>
      <c r="K205"/>
      <c r="L205"/>
      <c r="M205"/>
      <c r="N205"/>
      <c r="O205"/>
      <c r="P205"/>
      <c r="Q205"/>
      <c r="R205"/>
      <c r="S205"/>
      <c r="T205"/>
      <c r="U205"/>
    </row>
    <row r="206" spans="1:21" hidden="1" x14ac:dyDescent="0.3">
      <c r="A206" s="28" t="s">
        <v>1929</v>
      </c>
      <c r="B206" s="18">
        <v>2015</v>
      </c>
      <c r="C206" s="28">
        <v>3</v>
      </c>
      <c r="D206" s="37" t="s">
        <v>67</v>
      </c>
      <c r="E206" s="18">
        <v>27</v>
      </c>
      <c r="F206" s="18">
        <v>24</v>
      </c>
      <c r="G206" s="28">
        <f t="shared" si="3"/>
        <v>51</v>
      </c>
      <c r="H206" s="28" t="s">
        <v>1937</v>
      </c>
      <c r="J206"/>
      <c r="K206"/>
      <c r="L206"/>
      <c r="M206"/>
      <c r="N206"/>
      <c r="O206"/>
      <c r="P206"/>
      <c r="Q206"/>
      <c r="R206"/>
      <c r="S206"/>
      <c r="T206"/>
      <c r="U206"/>
    </row>
    <row r="207" spans="1:21" hidden="1" x14ac:dyDescent="0.3">
      <c r="A207" s="28" t="s">
        <v>1929</v>
      </c>
      <c r="B207" s="18">
        <v>2015</v>
      </c>
      <c r="C207" s="28">
        <v>3</v>
      </c>
      <c r="D207" s="54" t="s">
        <v>72</v>
      </c>
      <c r="E207" s="54">
        <v>11</v>
      </c>
      <c r="F207" s="54">
        <v>12</v>
      </c>
      <c r="G207" s="28">
        <f t="shared" si="3"/>
        <v>23</v>
      </c>
      <c r="H207" s="28" t="s">
        <v>1937</v>
      </c>
      <c r="J207"/>
      <c r="K207"/>
      <c r="L207"/>
      <c r="M207"/>
      <c r="N207"/>
      <c r="O207"/>
      <c r="P207"/>
      <c r="Q207"/>
      <c r="R207"/>
      <c r="S207"/>
      <c r="T207"/>
      <c r="U207"/>
    </row>
    <row r="208" spans="1:21" hidden="1" x14ac:dyDescent="0.3">
      <c r="A208" s="28" t="s">
        <v>1929</v>
      </c>
      <c r="B208" s="18">
        <v>2015</v>
      </c>
      <c r="C208" s="28">
        <v>3</v>
      </c>
      <c r="D208" s="45" t="s">
        <v>56</v>
      </c>
      <c r="E208" s="28">
        <v>1</v>
      </c>
      <c r="F208" s="54">
        <v>9</v>
      </c>
      <c r="G208" s="28">
        <f t="shared" si="3"/>
        <v>10</v>
      </c>
      <c r="H208" s="28" t="s">
        <v>1937</v>
      </c>
      <c r="J208"/>
      <c r="K208"/>
      <c r="L208"/>
      <c r="M208"/>
      <c r="N208"/>
      <c r="O208"/>
      <c r="P208"/>
      <c r="Q208"/>
      <c r="R208"/>
      <c r="S208"/>
      <c r="T208"/>
      <c r="U208"/>
    </row>
    <row r="209" spans="1:21" hidden="1" x14ac:dyDescent="0.3">
      <c r="A209" s="28" t="s">
        <v>1929</v>
      </c>
      <c r="B209" s="18">
        <v>2015</v>
      </c>
      <c r="C209" s="28">
        <v>3</v>
      </c>
      <c r="D209" s="18" t="s">
        <v>125</v>
      </c>
      <c r="E209" s="37">
        <v>6</v>
      </c>
      <c r="F209" s="37">
        <v>0</v>
      </c>
      <c r="G209" s="28">
        <f t="shared" si="3"/>
        <v>6</v>
      </c>
      <c r="H209" s="28" t="s">
        <v>1937</v>
      </c>
      <c r="J209"/>
      <c r="K209"/>
      <c r="L209"/>
      <c r="M209"/>
      <c r="N209"/>
      <c r="O209"/>
      <c r="P209"/>
      <c r="Q209"/>
      <c r="R209"/>
      <c r="S209"/>
      <c r="T209"/>
      <c r="U209"/>
    </row>
    <row r="210" spans="1:21" hidden="1" x14ac:dyDescent="0.3">
      <c r="A210" s="28" t="s">
        <v>1929</v>
      </c>
      <c r="B210" s="18">
        <v>2015</v>
      </c>
      <c r="C210" s="28">
        <v>3</v>
      </c>
      <c r="D210" s="18" t="s">
        <v>138</v>
      </c>
      <c r="E210" s="37">
        <v>1</v>
      </c>
      <c r="F210" s="37">
        <v>1</v>
      </c>
      <c r="G210" s="28">
        <f t="shared" si="3"/>
        <v>2</v>
      </c>
      <c r="H210" s="28" t="s">
        <v>1937</v>
      </c>
      <c r="J210"/>
      <c r="K210"/>
      <c r="L210"/>
      <c r="M210"/>
      <c r="N210"/>
      <c r="O210"/>
      <c r="P210"/>
      <c r="Q210"/>
      <c r="R210"/>
      <c r="S210"/>
      <c r="T210"/>
      <c r="U210"/>
    </row>
    <row r="211" spans="1:21" hidden="1" x14ac:dyDescent="0.3">
      <c r="A211" s="28" t="s">
        <v>91</v>
      </c>
      <c r="B211" s="18">
        <v>2015</v>
      </c>
      <c r="C211" s="28">
        <v>3</v>
      </c>
      <c r="D211" s="28" t="s">
        <v>56</v>
      </c>
      <c r="E211" s="43">
        <v>1015</v>
      </c>
      <c r="F211" s="54">
        <v>986</v>
      </c>
      <c r="G211" s="28">
        <f t="shared" si="3"/>
        <v>2001</v>
      </c>
      <c r="H211" s="28" t="s">
        <v>1937</v>
      </c>
      <c r="J211"/>
      <c r="K211"/>
      <c r="L211"/>
      <c r="M211"/>
      <c r="N211"/>
      <c r="O211"/>
      <c r="P211"/>
      <c r="Q211"/>
      <c r="R211"/>
      <c r="S211"/>
      <c r="T211"/>
      <c r="U211"/>
    </row>
    <row r="212" spans="1:21" hidden="1" x14ac:dyDescent="0.3">
      <c r="A212" s="37" t="s">
        <v>57</v>
      </c>
      <c r="B212" s="18">
        <v>2015</v>
      </c>
      <c r="C212" s="28">
        <v>3</v>
      </c>
      <c r="D212" s="18" t="s">
        <v>56</v>
      </c>
      <c r="E212" s="37">
        <v>1069</v>
      </c>
      <c r="F212" s="37">
        <v>1133</v>
      </c>
      <c r="G212" s="28">
        <f t="shared" si="3"/>
        <v>2202</v>
      </c>
      <c r="H212" s="28" t="s">
        <v>1937</v>
      </c>
      <c r="J212"/>
      <c r="K212"/>
      <c r="L212"/>
      <c r="M212"/>
      <c r="N212"/>
      <c r="O212"/>
      <c r="P212"/>
      <c r="Q212"/>
      <c r="R212"/>
      <c r="S212"/>
      <c r="T212"/>
      <c r="U212"/>
    </row>
    <row r="213" spans="1:21" hidden="1" x14ac:dyDescent="0.3">
      <c r="A213" s="37" t="s">
        <v>57</v>
      </c>
      <c r="B213" s="18">
        <v>2015</v>
      </c>
      <c r="C213" s="28">
        <v>3</v>
      </c>
      <c r="D213" s="37" t="s">
        <v>67</v>
      </c>
      <c r="E213" s="37">
        <v>258</v>
      </c>
      <c r="F213" s="37">
        <v>234</v>
      </c>
      <c r="G213" s="28">
        <f t="shared" si="3"/>
        <v>492</v>
      </c>
      <c r="H213" s="28" t="s">
        <v>1937</v>
      </c>
      <c r="J213"/>
      <c r="K213"/>
      <c r="L213"/>
      <c r="M213"/>
      <c r="N213"/>
      <c r="O213"/>
      <c r="P213"/>
      <c r="Q213"/>
      <c r="R213"/>
      <c r="S213"/>
      <c r="T213"/>
      <c r="U213"/>
    </row>
    <row r="214" spans="1:21" hidden="1" x14ac:dyDescent="0.3">
      <c r="A214" s="37" t="s">
        <v>57</v>
      </c>
      <c r="B214" s="18">
        <v>2015</v>
      </c>
      <c r="C214" s="28">
        <v>3</v>
      </c>
      <c r="D214" s="37" t="s">
        <v>63</v>
      </c>
      <c r="E214" s="37">
        <v>53</v>
      </c>
      <c r="F214" s="37">
        <v>67</v>
      </c>
      <c r="G214" s="28">
        <f t="shared" si="3"/>
        <v>120</v>
      </c>
      <c r="H214" s="28" t="s">
        <v>1937</v>
      </c>
      <c r="J214"/>
      <c r="K214"/>
      <c r="L214"/>
      <c r="M214"/>
      <c r="N214"/>
      <c r="O214"/>
      <c r="P214"/>
      <c r="Q214"/>
      <c r="R214"/>
      <c r="S214"/>
      <c r="T214"/>
      <c r="U214"/>
    </row>
    <row r="215" spans="1:21" hidden="1" x14ac:dyDescent="0.3">
      <c r="A215" s="37" t="s">
        <v>57</v>
      </c>
      <c r="B215" s="18">
        <v>2015</v>
      </c>
      <c r="C215" s="28">
        <v>3</v>
      </c>
      <c r="D215" s="37" t="s">
        <v>78</v>
      </c>
      <c r="E215" s="37">
        <v>18</v>
      </c>
      <c r="F215" s="37">
        <v>25</v>
      </c>
      <c r="G215" s="28">
        <f t="shared" si="3"/>
        <v>43</v>
      </c>
      <c r="H215" s="28" t="s">
        <v>1937</v>
      </c>
      <c r="J215"/>
      <c r="K215"/>
      <c r="L215"/>
      <c r="M215"/>
      <c r="N215"/>
      <c r="O215"/>
      <c r="P215"/>
      <c r="Q215"/>
      <c r="R215"/>
      <c r="S215"/>
      <c r="T215"/>
      <c r="U215"/>
    </row>
    <row r="216" spans="1:21" hidden="1" x14ac:dyDescent="0.3">
      <c r="A216" s="28" t="s">
        <v>1929</v>
      </c>
      <c r="B216" s="18">
        <v>2015</v>
      </c>
      <c r="C216" s="28">
        <v>4</v>
      </c>
      <c r="D216" s="37" t="s">
        <v>67</v>
      </c>
      <c r="E216" s="18">
        <v>106</v>
      </c>
      <c r="F216" s="18">
        <v>48</v>
      </c>
      <c r="G216" s="28">
        <f t="shared" si="3"/>
        <v>154</v>
      </c>
      <c r="H216" s="28" t="s">
        <v>1937</v>
      </c>
      <c r="J216"/>
      <c r="K216"/>
      <c r="L216"/>
      <c r="M216"/>
      <c r="N216"/>
      <c r="O216"/>
      <c r="P216"/>
      <c r="Q216"/>
      <c r="R216"/>
      <c r="S216"/>
      <c r="T216"/>
      <c r="U216"/>
    </row>
    <row r="217" spans="1:21" hidden="1" x14ac:dyDescent="0.3">
      <c r="A217" s="28" t="s">
        <v>1929</v>
      </c>
      <c r="B217" s="18">
        <v>2015</v>
      </c>
      <c r="C217" s="28">
        <v>4</v>
      </c>
      <c r="D217" s="18" t="s">
        <v>115</v>
      </c>
      <c r="E217" s="37">
        <v>79</v>
      </c>
      <c r="F217" s="37">
        <v>45</v>
      </c>
      <c r="G217" s="28">
        <f t="shared" si="3"/>
        <v>124</v>
      </c>
      <c r="H217" s="28" t="s">
        <v>1937</v>
      </c>
      <c r="J217"/>
      <c r="K217"/>
      <c r="L217"/>
      <c r="M217"/>
      <c r="N217"/>
      <c r="O217"/>
      <c r="P217"/>
      <c r="Q217"/>
      <c r="R217"/>
      <c r="S217"/>
      <c r="T217"/>
      <c r="U217"/>
    </row>
    <row r="218" spans="1:21" hidden="1" x14ac:dyDescent="0.3">
      <c r="A218" s="28" t="s">
        <v>1929</v>
      </c>
      <c r="B218" s="18">
        <v>2015</v>
      </c>
      <c r="C218" s="28">
        <v>4</v>
      </c>
      <c r="D218" s="45" t="s">
        <v>81</v>
      </c>
      <c r="E218" s="28">
        <v>53</v>
      </c>
      <c r="F218" s="37">
        <v>19</v>
      </c>
      <c r="G218" s="28">
        <f t="shared" si="3"/>
        <v>72</v>
      </c>
      <c r="H218" s="28" t="s">
        <v>1937</v>
      </c>
      <c r="J218"/>
      <c r="K218"/>
      <c r="L218"/>
      <c r="M218"/>
      <c r="N218"/>
      <c r="O218"/>
      <c r="P218"/>
      <c r="Q218"/>
      <c r="R218"/>
      <c r="S218"/>
      <c r="T218"/>
      <c r="U218"/>
    </row>
    <row r="219" spans="1:21" hidden="1" x14ac:dyDescent="0.3">
      <c r="A219" s="28" t="s">
        <v>1929</v>
      </c>
      <c r="B219" s="18">
        <v>2015</v>
      </c>
      <c r="C219" s="28">
        <v>4</v>
      </c>
      <c r="D219" s="37" t="s">
        <v>78</v>
      </c>
      <c r="E219" s="37">
        <v>34</v>
      </c>
      <c r="F219" s="37">
        <v>27</v>
      </c>
      <c r="G219" s="28">
        <f t="shared" si="3"/>
        <v>61</v>
      </c>
      <c r="H219" s="28" t="s">
        <v>1937</v>
      </c>
      <c r="J219"/>
      <c r="K219"/>
      <c r="L219"/>
      <c r="M219"/>
      <c r="N219"/>
      <c r="O219"/>
      <c r="P219"/>
      <c r="Q219"/>
      <c r="R219"/>
      <c r="S219"/>
      <c r="T219"/>
      <c r="U219"/>
    </row>
    <row r="220" spans="1:21" hidden="1" x14ac:dyDescent="0.3">
      <c r="A220" s="28" t="s">
        <v>1929</v>
      </c>
      <c r="B220" s="18">
        <v>2015</v>
      </c>
      <c r="C220" s="28">
        <v>4</v>
      </c>
      <c r="D220" s="37" t="s">
        <v>63</v>
      </c>
      <c r="E220" s="18">
        <v>18</v>
      </c>
      <c r="F220" s="18">
        <v>31</v>
      </c>
      <c r="G220" s="28">
        <f t="shared" si="3"/>
        <v>49</v>
      </c>
      <c r="H220" s="28" t="s">
        <v>1937</v>
      </c>
      <c r="J220"/>
      <c r="K220"/>
      <c r="L220"/>
      <c r="M220"/>
      <c r="N220"/>
      <c r="O220"/>
      <c r="P220"/>
      <c r="Q220"/>
      <c r="R220"/>
      <c r="S220"/>
      <c r="T220"/>
      <c r="U220"/>
    </row>
    <row r="221" spans="1:21" hidden="1" x14ac:dyDescent="0.3">
      <c r="A221" s="28" t="s">
        <v>1929</v>
      </c>
      <c r="B221" s="18">
        <v>2015</v>
      </c>
      <c r="C221" s="28">
        <v>4</v>
      </c>
      <c r="D221" s="18" t="s">
        <v>122</v>
      </c>
      <c r="E221" s="37">
        <v>16</v>
      </c>
      <c r="F221" s="37">
        <v>17</v>
      </c>
      <c r="G221" s="28">
        <f t="shared" si="3"/>
        <v>33</v>
      </c>
      <c r="H221" s="28" t="s">
        <v>1937</v>
      </c>
      <c r="J221"/>
      <c r="K221"/>
      <c r="L221"/>
      <c r="M221"/>
      <c r="N221"/>
      <c r="O221"/>
      <c r="P221"/>
      <c r="Q221"/>
      <c r="R221"/>
      <c r="S221"/>
      <c r="T221"/>
      <c r="U221"/>
    </row>
    <row r="222" spans="1:21" hidden="1" x14ac:dyDescent="0.3">
      <c r="A222" s="28" t="s">
        <v>1929</v>
      </c>
      <c r="B222" s="18">
        <v>2015</v>
      </c>
      <c r="C222" s="28">
        <v>4</v>
      </c>
      <c r="D222" s="54" t="s">
        <v>72</v>
      </c>
      <c r="E222" s="54">
        <v>2</v>
      </c>
      <c r="F222" s="54">
        <v>4</v>
      </c>
      <c r="G222" s="28">
        <f t="shared" si="3"/>
        <v>6</v>
      </c>
      <c r="H222" s="28" t="s">
        <v>1937</v>
      </c>
      <c r="J222"/>
      <c r="K222"/>
      <c r="L222"/>
      <c r="M222"/>
      <c r="N222"/>
      <c r="O222"/>
      <c r="P222"/>
      <c r="Q222"/>
      <c r="R222"/>
      <c r="S222"/>
      <c r="T222"/>
      <c r="U222"/>
    </row>
    <row r="223" spans="1:21" hidden="1" x14ac:dyDescent="0.3">
      <c r="A223" s="28" t="s">
        <v>1929</v>
      </c>
      <c r="B223" s="18">
        <v>2015</v>
      </c>
      <c r="C223" s="28">
        <v>4</v>
      </c>
      <c r="D223" s="45" t="s">
        <v>56</v>
      </c>
      <c r="E223" s="28">
        <v>3</v>
      </c>
      <c r="F223" s="54">
        <v>0</v>
      </c>
      <c r="G223" s="28">
        <f t="shared" si="3"/>
        <v>3</v>
      </c>
      <c r="H223" s="28" t="s">
        <v>1937</v>
      </c>
      <c r="J223"/>
      <c r="K223"/>
      <c r="L223"/>
      <c r="M223"/>
      <c r="N223"/>
      <c r="O223"/>
      <c r="P223"/>
      <c r="Q223"/>
      <c r="R223"/>
      <c r="S223"/>
      <c r="T223"/>
      <c r="U223"/>
    </row>
    <row r="224" spans="1:21" hidden="1" x14ac:dyDescent="0.3">
      <c r="A224" s="28" t="s">
        <v>1929</v>
      </c>
      <c r="B224" s="18">
        <v>2015</v>
      </c>
      <c r="C224" s="28">
        <v>4</v>
      </c>
      <c r="D224" s="18" t="s">
        <v>125</v>
      </c>
      <c r="E224" s="37">
        <v>0</v>
      </c>
      <c r="F224" s="37">
        <v>1</v>
      </c>
      <c r="G224" s="28">
        <f t="shared" si="3"/>
        <v>1</v>
      </c>
      <c r="H224" s="28" t="s">
        <v>1937</v>
      </c>
      <c r="J224"/>
      <c r="K224"/>
      <c r="L224"/>
      <c r="M224"/>
      <c r="N224"/>
      <c r="O224"/>
      <c r="P224"/>
      <c r="Q224"/>
      <c r="R224"/>
      <c r="S224"/>
      <c r="T224"/>
      <c r="U224"/>
    </row>
    <row r="225" spans="1:21" hidden="1" x14ac:dyDescent="0.3">
      <c r="A225" s="28" t="s">
        <v>1929</v>
      </c>
      <c r="B225" s="18">
        <v>2015</v>
      </c>
      <c r="C225" s="28">
        <v>4</v>
      </c>
      <c r="D225" s="45" t="s">
        <v>132</v>
      </c>
      <c r="E225" s="28">
        <v>0</v>
      </c>
      <c r="F225" s="37">
        <v>1</v>
      </c>
      <c r="G225" s="28">
        <f t="shared" si="3"/>
        <v>1</v>
      </c>
      <c r="H225" s="28" t="s">
        <v>1937</v>
      </c>
      <c r="J225"/>
      <c r="K225"/>
      <c r="L225"/>
      <c r="M225"/>
      <c r="N225"/>
      <c r="O225"/>
      <c r="P225"/>
      <c r="Q225"/>
      <c r="R225"/>
      <c r="S225"/>
      <c r="T225"/>
      <c r="U225"/>
    </row>
    <row r="226" spans="1:21" hidden="1" x14ac:dyDescent="0.3">
      <c r="A226" s="28" t="s">
        <v>1929</v>
      </c>
      <c r="B226" s="18">
        <v>2015</v>
      </c>
      <c r="C226" s="28">
        <v>4</v>
      </c>
      <c r="D226" s="18" t="s">
        <v>138</v>
      </c>
      <c r="E226" s="37">
        <v>0</v>
      </c>
      <c r="F226" s="37">
        <v>1</v>
      </c>
      <c r="G226" s="28">
        <f t="shared" si="3"/>
        <v>1</v>
      </c>
      <c r="H226" s="28" t="s">
        <v>1937</v>
      </c>
      <c r="J226"/>
      <c r="K226"/>
      <c r="L226"/>
      <c r="M226"/>
      <c r="N226"/>
      <c r="O226"/>
      <c r="P226"/>
      <c r="Q226"/>
      <c r="R226"/>
      <c r="S226"/>
      <c r="T226"/>
      <c r="U226"/>
    </row>
    <row r="227" spans="1:21" hidden="1" x14ac:dyDescent="0.3">
      <c r="A227" s="28" t="s">
        <v>91</v>
      </c>
      <c r="B227" s="18">
        <v>2015</v>
      </c>
      <c r="C227" s="28">
        <v>4</v>
      </c>
      <c r="D227" s="28" t="s">
        <v>56</v>
      </c>
      <c r="E227" s="43">
        <v>1445</v>
      </c>
      <c r="F227" s="54">
        <v>1542</v>
      </c>
      <c r="G227" s="28">
        <f t="shared" si="3"/>
        <v>2987</v>
      </c>
      <c r="H227" s="28" t="s">
        <v>1937</v>
      </c>
      <c r="J227"/>
      <c r="K227"/>
      <c r="L227"/>
      <c r="M227"/>
      <c r="N227"/>
      <c r="O227"/>
      <c r="P227"/>
      <c r="Q227"/>
      <c r="R227"/>
      <c r="S227"/>
      <c r="T227"/>
      <c r="U227"/>
    </row>
    <row r="228" spans="1:21" hidden="1" x14ac:dyDescent="0.3">
      <c r="A228" s="28" t="s">
        <v>1929</v>
      </c>
      <c r="B228" s="18">
        <v>2015</v>
      </c>
      <c r="C228" s="28">
        <v>5</v>
      </c>
      <c r="D228" s="37" t="s">
        <v>67</v>
      </c>
      <c r="E228" s="18">
        <v>78</v>
      </c>
      <c r="F228" s="18">
        <v>71</v>
      </c>
      <c r="G228" s="28">
        <f t="shared" si="3"/>
        <v>149</v>
      </c>
      <c r="H228" s="28" t="s">
        <v>1937</v>
      </c>
      <c r="J228"/>
      <c r="K228"/>
      <c r="L228"/>
      <c r="M228"/>
      <c r="N228"/>
      <c r="O228"/>
      <c r="P228"/>
      <c r="Q228"/>
      <c r="R228"/>
      <c r="S228"/>
      <c r="T228"/>
      <c r="U228"/>
    </row>
    <row r="229" spans="1:21" hidden="1" x14ac:dyDescent="0.3">
      <c r="A229" s="28" t="s">
        <v>1929</v>
      </c>
      <c r="B229" s="18">
        <v>2015</v>
      </c>
      <c r="C229" s="28">
        <v>5</v>
      </c>
      <c r="D229" s="18" t="s">
        <v>115</v>
      </c>
      <c r="E229" s="37">
        <v>77</v>
      </c>
      <c r="F229" s="37">
        <v>67</v>
      </c>
      <c r="G229" s="28">
        <f t="shared" si="3"/>
        <v>144</v>
      </c>
      <c r="H229" s="28" t="s">
        <v>1937</v>
      </c>
      <c r="J229"/>
      <c r="K229"/>
      <c r="L229"/>
      <c r="M229"/>
      <c r="N229"/>
      <c r="O229"/>
      <c r="P229"/>
      <c r="Q229"/>
      <c r="R229"/>
      <c r="S229"/>
      <c r="T229"/>
      <c r="U229"/>
    </row>
    <row r="230" spans="1:21" hidden="1" x14ac:dyDescent="0.3">
      <c r="A230" s="28" t="s">
        <v>1929</v>
      </c>
      <c r="B230" s="18">
        <v>2015</v>
      </c>
      <c r="C230" s="28">
        <v>5</v>
      </c>
      <c r="D230" s="37" t="s">
        <v>63</v>
      </c>
      <c r="E230" s="18">
        <v>73</v>
      </c>
      <c r="F230" s="18">
        <v>61</v>
      </c>
      <c r="G230" s="28">
        <f t="shared" si="3"/>
        <v>134</v>
      </c>
      <c r="H230" s="28" t="s">
        <v>1937</v>
      </c>
      <c r="J230"/>
      <c r="K230"/>
      <c r="L230"/>
      <c r="M230"/>
      <c r="N230"/>
      <c r="O230"/>
      <c r="P230"/>
      <c r="Q230"/>
      <c r="R230"/>
      <c r="S230"/>
      <c r="T230"/>
      <c r="U230"/>
    </row>
    <row r="231" spans="1:21" hidden="1" x14ac:dyDescent="0.3">
      <c r="A231" s="28" t="s">
        <v>1929</v>
      </c>
      <c r="B231" s="18">
        <v>2015</v>
      </c>
      <c r="C231" s="28">
        <v>5</v>
      </c>
      <c r="D231" s="37" t="s">
        <v>78</v>
      </c>
      <c r="E231" s="37">
        <v>75</v>
      </c>
      <c r="F231" s="37">
        <v>39</v>
      </c>
      <c r="G231" s="28">
        <f t="shared" si="3"/>
        <v>114</v>
      </c>
      <c r="H231" s="28" t="s">
        <v>1937</v>
      </c>
      <c r="J231"/>
      <c r="K231"/>
      <c r="L231"/>
      <c r="M231"/>
      <c r="N231"/>
      <c r="O231"/>
      <c r="P231"/>
      <c r="Q231"/>
      <c r="R231"/>
      <c r="S231"/>
      <c r="T231"/>
      <c r="U231"/>
    </row>
    <row r="232" spans="1:21" hidden="1" x14ac:dyDescent="0.3">
      <c r="A232" s="28" t="s">
        <v>1929</v>
      </c>
      <c r="B232" s="18">
        <v>2015</v>
      </c>
      <c r="C232" s="28">
        <v>5</v>
      </c>
      <c r="D232" s="45" t="s">
        <v>81</v>
      </c>
      <c r="E232" s="28">
        <v>15</v>
      </c>
      <c r="F232" s="37">
        <v>22</v>
      </c>
      <c r="G232" s="28">
        <f t="shared" si="3"/>
        <v>37</v>
      </c>
      <c r="H232" s="28" t="s">
        <v>1937</v>
      </c>
      <c r="J232"/>
      <c r="K232"/>
      <c r="L232"/>
      <c r="M232"/>
      <c r="N232"/>
      <c r="O232"/>
      <c r="P232"/>
      <c r="Q232"/>
      <c r="R232"/>
      <c r="S232"/>
      <c r="T232"/>
      <c r="U232"/>
    </row>
    <row r="233" spans="1:21" hidden="1" x14ac:dyDescent="0.3">
      <c r="A233" s="28" t="s">
        <v>1929</v>
      </c>
      <c r="B233" s="18">
        <v>2015</v>
      </c>
      <c r="C233" s="28">
        <v>5</v>
      </c>
      <c r="D233" s="18" t="s">
        <v>125</v>
      </c>
      <c r="E233" s="37">
        <v>19</v>
      </c>
      <c r="F233" s="37">
        <v>12</v>
      </c>
      <c r="G233" s="28">
        <f t="shared" si="3"/>
        <v>31</v>
      </c>
      <c r="H233" s="28" t="s">
        <v>1937</v>
      </c>
      <c r="J233"/>
      <c r="K233"/>
      <c r="L233"/>
      <c r="M233"/>
      <c r="N233"/>
      <c r="O233"/>
      <c r="P233"/>
      <c r="Q233"/>
      <c r="R233"/>
      <c r="S233"/>
      <c r="T233"/>
      <c r="U233"/>
    </row>
    <row r="234" spans="1:21" hidden="1" x14ac:dyDescent="0.3">
      <c r="A234" s="28" t="s">
        <v>1929</v>
      </c>
      <c r="B234" s="18">
        <v>2015</v>
      </c>
      <c r="C234" s="28">
        <v>5</v>
      </c>
      <c r="D234" s="54" t="s">
        <v>72</v>
      </c>
      <c r="E234" s="54">
        <v>13</v>
      </c>
      <c r="F234" s="54">
        <v>14</v>
      </c>
      <c r="G234" s="28">
        <f t="shared" si="3"/>
        <v>27</v>
      </c>
      <c r="H234" s="28" t="s">
        <v>1937</v>
      </c>
      <c r="J234"/>
      <c r="K234"/>
      <c r="L234"/>
      <c r="M234"/>
      <c r="N234"/>
      <c r="O234"/>
      <c r="P234"/>
      <c r="Q234"/>
      <c r="R234"/>
      <c r="S234"/>
      <c r="T234"/>
      <c r="U234"/>
    </row>
    <row r="235" spans="1:21" hidden="1" x14ac:dyDescent="0.3">
      <c r="A235" s="28" t="s">
        <v>1929</v>
      </c>
      <c r="B235" s="18">
        <v>2015</v>
      </c>
      <c r="C235" s="28">
        <v>5</v>
      </c>
      <c r="D235" s="18" t="s">
        <v>122</v>
      </c>
      <c r="E235" s="37">
        <v>10</v>
      </c>
      <c r="F235" s="37">
        <v>14</v>
      </c>
      <c r="G235" s="28">
        <f t="shared" si="3"/>
        <v>24</v>
      </c>
      <c r="H235" s="28" t="s">
        <v>1937</v>
      </c>
      <c r="J235"/>
      <c r="K235"/>
      <c r="L235"/>
      <c r="M235"/>
      <c r="N235"/>
      <c r="O235"/>
      <c r="P235"/>
      <c r="Q235"/>
      <c r="R235"/>
      <c r="S235"/>
      <c r="T235"/>
      <c r="U235"/>
    </row>
    <row r="236" spans="1:21" hidden="1" x14ac:dyDescent="0.3">
      <c r="A236" s="28" t="s">
        <v>1929</v>
      </c>
      <c r="B236" s="18">
        <v>2015</v>
      </c>
      <c r="C236" s="28">
        <v>5</v>
      </c>
      <c r="D236" s="18" t="s">
        <v>138</v>
      </c>
      <c r="E236" s="37">
        <v>0</v>
      </c>
      <c r="F236" s="37">
        <v>5</v>
      </c>
      <c r="G236" s="28">
        <f t="shared" si="3"/>
        <v>5</v>
      </c>
      <c r="H236" s="28" t="s">
        <v>1937</v>
      </c>
      <c r="J236"/>
      <c r="K236"/>
      <c r="L236"/>
      <c r="M236"/>
      <c r="N236"/>
      <c r="O236"/>
      <c r="P236"/>
      <c r="Q236"/>
      <c r="R236"/>
      <c r="S236"/>
      <c r="T236"/>
      <c r="U236"/>
    </row>
    <row r="237" spans="1:21" hidden="1" x14ac:dyDescent="0.3">
      <c r="A237" s="28" t="s">
        <v>1929</v>
      </c>
      <c r="B237" s="18">
        <v>2015</v>
      </c>
      <c r="C237" s="28">
        <v>5</v>
      </c>
      <c r="D237" s="45" t="s">
        <v>132</v>
      </c>
      <c r="E237" s="28">
        <v>0</v>
      </c>
      <c r="F237" s="37">
        <v>4</v>
      </c>
      <c r="G237" s="28">
        <f t="shared" si="3"/>
        <v>4</v>
      </c>
      <c r="H237" s="28" t="s">
        <v>1937</v>
      </c>
      <c r="J237"/>
      <c r="K237"/>
      <c r="L237"/>
      <c r="M237"/>
      <c r="N237"/>
      <c r="O237"/>
      <c r="P237"/>
      <c r="Q237"/>
      <c r="R237"/>
      <c r="S237"/>
      <c r="T237"/>
      <c r="U237"/>
    </row>
    <row r="238" spans="1:21" hidden="1" x14ac:dyDescent="0.3">
      <c r="A238" s="28" t="s">
        <v>91</v>
      </c>
      <c r="B238" s="18">
        <v>2015</v>
      </c>
      <c r="C238" s="28">
        <v>5</v>
      </c>
      <c r="D238" s="28" t="s">
        <v>56</v>
      </c>
      <c r="E238" s="43">
        <v>1381</v>
      </c>
      <c r="F238" s="54">
        <v>1434</v>
      </c>
      <c r="G238" s="28">
        <f t="shared" si="3"/>
        <v>2815</v>
      </c>
      <c r="H238" s="28" t="s">
        <v>1937</v>
      </c>
      <c r="J238"/>
      <c r="K238"/>
      <c r="L238"/>
      <c r="M238"/>
      <c r="N238"/>
      <c r="O238"/>
      <c r="P238"/>
      <c r="Q238"/>
      <c r="R238"/>
      <c r="S238"/>
      <c r="T238"/>
      <c r="U238"/>
    </row>
    <row r="239" spans="1:21" hidden="1" x14ac:dyDescent="0.3">
      <c r="A239" s="28" t="s">
        <v>1929</v>
      </c>
      <c r="B239" s="18">
        <v>2015</v>
      </c>
      <c r="C239" s="28">
        <v>6</v>
      </c>
      <c r="D239" s="37" t="s">
        <v>67</v>
      </c>
      <c r="E239" s="18">
        <v>103</v>
      </c>
      <c r="F239" s="18">
        <v>105</v>
      </c>
      <c r="G239" s="28">
        <f t="shared" si="3"/>
        <v>208</v>
      </c>
      <c r="H239" s="28" t="s">
        <v>1937</v>
      </c>
      <c r="J239"/>
      <c r="K239"/>
      <c r="L239"/>
      <c r="M239"/>
      <c r="N239"/>
      <c r="O239"/>
      <c r="P239"/>
      <c r="Q239"/>
      <c r="R239"/>
      <c r="S239"/>
      <c r="T239"/>
      <c r="U239"/>
    </row>
    <row r="240" spans="1:21" hidden="1" x14ac:dyDescent="0.3">
      <c r="A240" s="28" t="s">
        <v>1929</v>
      </c>
      <c r="B240" s="18">
        <v>2015</v>
      </c>
      <c r="C240" s="28">
        <v>6</v>
      </c>
      <c r="D240" s="37" t="s">
        <v>78</v>
      </c>
      <c r="E240" s="37">
        <v>76</v>
      </c>
      <c r="F240" s="37">
        <v>46</v>
      </c>
      <c r="G240" s="28">
        <f t="shared" si="3"/>
        <v>122</v>
      </c>
      <c r="H240" s="28" t="s">
        <v>1937</v>
      </c>
      <c r="J240"/>
      <c r="K240"/>
      <c r="L240"/>
      <c r="M240"/>
      <c r="N240"/>
      <c r="O240"/>
      <c r="P240"/>
      <c r="Q240"/>
      <c r="R240"/>
      <c r="S240"/>
      <c r="T240"/>
      <c r="U240"/>
    </row>
    <row r="241" spans="1:21" hidden="1" x14ac:dyDescent="0.3">
      <c r="A241" s="28" t="s">
        <v>1929</v>
      </c>
      <c r="B241" s="18">
        <v>2015</v>
      </c>
      <c r="C241" s="28">
        <v>6</v>
      </c>
      <c r="D241" s="18" t="s">
        <v>115</v>
      </c>
      <c r="E241" s="37">
        <v>56</v>
      </c>
      <c r="F241" s="37">
        <v>26</v>
      </c>
      <c r="G241" s="28">
        <f t="shared" si="3"/>
        <v>82</v>
      </c>
      <c r="H241" s="28" t="s">
        <v>1937</v>
      </c>
      <c r="J241"/>
      <c r="K241"/>
      <c r="L241"/>
      <c r="M241"/>
      <c r="N241"/>
      <c r="O241"/>
      <c r="P241"/>
      <c r="Q241"/>
      <c r="R241"/>
      <c r="S241"/>
      <c r="T241"/>
      <c r="U241"/>
    </row>
    <row r="242" spans="1:21" hidden="1" x14ac:dyDescent="0.3">
      <c r="A242" s="28" t="s">
        <v>1929</v>
      </c>
      <c r="B242" s="18">
        <v>2015</v>
      </c>
      <c r="C242" s="28">
        <v>6</v>
      </c>
      <c r="D242" s="37" t="s">
        <v>63</v>
      </c>
      <c r="E242" s="18">
        <v>46</v>
      </c>
      <c r="F242" s="18">
        <v>31</v>
      </c>
      <c r="G242" s="28">
        <f t="shared" si="3"/>
        <v>77</v>
      </c>
      <c r="H242" s="28" t="s">
        <v>1937</v>
      </c>
      <c r="J242"/>
      <c r="K242"/>
      <c r="L242"/>
      <c r="M242"/>
      <c r="N242"/>
      <c r="O242"/>
      <c r="P242"/>
      <c r="Q242"/>
      <c r="R242"/>
      <c r="S242"/>
      <c r="T242"/>
      <c r="U242"/>
    </row>
    <row r="243" spans="1:21" hidden="1" x14ac:dyDescent="0.3">
      <c r="A243" s="28" t="s">
        <v>1929</v>
      </c>
      <c r="B243" s="18">
        <v>2015</v>
      </c>
      <c r="C243" s="28">
        <v>6</v>
      </c>
      <c r="D243" s="18" t="s">
        <v>122</v>
      </c>
      <c r="E243" s="37">
        <v>20</v>
      </c>
      <c r="F243" s="37">
        <v>15</v>
      </c>
      <c r="G243" s="28">
        <f t="shared" si="3"/>
        <v>35</v>
      </c>
      <c r="H243" s="28" t="s">
        <v>1937</v>
      </c>
      <c r="J243"/>
      <c r="K243"/>
      <c r="L243"/>
      <c r="M243"/>
      <c r="N243"/>
      <c r="O243"/>
      <c r="P243"/>
      <c r="Q243"/>
      <c r="R243"/>
      <c r="S243"/>
      <c r="T243"/>
      <c r="U243"/>
    </row>
    <row r="244" spans="1:21" hidden="1" x14ac:dyDescent="0.3">
      <c r="A244" s="28" t="s">
        <v>1929</v>
      </c>
      <c r="B244" s="18">
        <v>2015</v>
      </c>
      <c r="C244" s="28">
        <v>6</v>
      </c>
      <c r="D244" s="45" t="s">
        <v>81</v>
      </c>
      <c r="E244" s="28">
        <v>16</v>
      </c>
      <c r="F244" s="37">
        <v>17</v>
      </c>
      <c r="G244" s="28">
        <f t="shared" si="3"/>
        <v>33</v>
      </c>
      <c r="H244" s="28" t="s">
        <v>1937</v>
      </c>
      <c r="J244"/>
      <c r="K244"/>
      <c r="L244"/>
      <c r="M244"/>
      <c r="N244"/>
      <c r="O244"/>
      <c r="P244"/>
      <c r="Q244"/>
      <c r="R244"/>
      <c r="S244"/>
      <c r="T244"/>
      <c r="U244"/>
    </row>
    <row r="245" spans="1:21" hidden="1" x14ac:dyDescent="0.3">
      <c r="A245" s="28" t="s">
        <v>1929</v>
      </c>
      <c r="B245" s="18">
        <v>2015</v>
      </c>
      <c r="C245" s="28">
        <v>6</v>
      </c>
      <c r="D245" s="45" t="s">
        <v>56</v>
      </c>
      <c r="E245" s="28">
        <v>9</v>
      </c>
      <c r="F245" s="54">
        <v>10</v>
      </c>
      <c r="G245" s="28">
        <f t="shared" si="3"/>
        <v>19</v>
      </c>
      <c r="H245" s="28" t="s">
        <v>1937</v>
      </c>
      <c r="J245"/>
      <c r="K245"/>
      <c r="L245"/>
      <c r="M245"/>
      <c r="N245"/>
      <c r="O245"/>
      <c r="P245"/>
      <c r="Q245"/>
      <c r="R245"/>
      <c r="S245"/>
      <c r="T245"/>
      <c r="U245"/>
    </row>
    <row r="246" spans="1:21" hidden="1" x14ac:dyDescent="0.3">
      <c r="A246" s="28" t="s">
        <v>91</v>
      </c>
      <c r="B246" s="18">
        <v>2015</v>
      </c>
      <c r="C246" s="28">
        <v>6</v>
      </c>
      <c r="D246" s="28" t="s">
        <v>56</v>
      </c>
      <c r="E246" s="43">
        <v>1385</v>
      </c>
      <c r="F246" s="54">
        <v>1480</v>
      </c>
      <c r="G246" s="28">
        <f t="shared" si="3"/>
        <v>2865</v>
      </c>
      <c r="H246" s="28" t="s">
        <v>1937</v>
      </c>
      <c r="J246"/>
      <c r="K246"/>
      <c r="L246"/>
      <c r="M246"/>
      <c r="N246"/>
      <c r="O246"/>
      <c r="P246"/>
      <c r="Q246"/>
      <c r="R246"/>
      <c r="S246"/>
      <c r="T246"/>
      <c r="U246"/>
    </row>
    <row r="247" spans="1:21" hidden="1" x14ac:dyDescent="0.3">
      <c r="A247" s="28" t="s">
        <v>1929</v>
      </c>
      <c r="B247" s="18">
        <v>2015</v>
      </c>
      <c r="C247" s="28">
        <v>7</v>
      </c>
      <c r="D247" s="45" t="s">
        <v>81</v>
      </c>
      <c r="E247" s="28">
        <v>63</v>
      </c>
      <c r="F247" s="37">
        <v>62</v>
      </c>
      <c r="G247" s="28">
        <f t="shared" si="3"/>
        <v>125</v>
      </c>
      <c r="H247" s="28" t="s">
        <v>1937</v>
      </c>
      <c r="J247"/>
      <c r="K247"/>
      <c r="L247"/>
      <c r="M247"/>
      <c r="N247"/>
      <c r="O247"/>
      <c r="P247"/>
      <c r="Q247"/>
      <c r="R247"/>
      <c r="S247"/>
      <c r="T247"/>
      <c r="U247"/>
    </row>
    <row r="248" spans="1:21" hidden="1" x14ac:dyDescent="0.3">
      <c r="A248" s="28" t="s">
        <v>1929</v>
      </c>
      <c r="B248" s="18">
        <v>2015</v>
      </c>
      <c r="C248" s="28">
        <v>7</v>
      </c>
      <c r="D248" s="37" t="s">
        <v>67</v>
      </c>
      <c r="E248" s="18">
        <v>54</v>
      </c>
      <c r="F248" s="18">
        <v>45</v>
      </c>
      <c r="G248" s="28">
        <f t="shared" si="3"/>
        <v>99</v>
      </c>
      <c r="H248" s="28" t="s">
        <v>1937</v>
      </c>
      <c r="J248"/>
      <c r="K248"/>
      <c r="L248"/>
      <c r="M248"/>
      <c r="N248"/>
      <c r="O248"/>
      <c r="P248"/>
      <c r="Q248"/>
      <c r="R248"/>
      <c r="S248"/>
      <c r="T248"/>
      <c r="U248"/>
    </row>
    <row r="249" spans="1:21" hidden="1" x14ac:dyDescent="0.3">
      <c r="A249" s="28" t="s">
        <v>1929</v>
      </c>
      <c r="B249" s="18">
        <v>2015</v>
      </c>
      <c r="C249" s="28">
        <v>7</v>
      </c>
      <c r="D249" s="18" t="s">
        <v>122</v>
      </c>
      <c r="E249" s="37">
        <v>52</v>
      </c>
      <c r="F249" s="37">
        <v>38</v>
      </c>
      <c r="G249" s="28">
        <f t="shared" si="3"/>
        <v>90</v>
      </c>
      <c r="H249" s="28" t="s">
        <v>1937</v>
      </c>
      <c r="J249"/>
      <c r="K249"/>
      <c r="L249"/>
      <c r="M249"/>
      <c r="N249"/>
      <c r="O249"/>
      <c r="P249"/>
      <c r="Q249"/>
      <c r="R249"/>
      <c r="S249"/>
      <c r="T249"/>
      <c r="U249"/>
    </row>
    <row r="250" spans="1:21" hidden="1" x14ac:dyDescent="0.3">
      <c r="A250" s="28" t="s">
        <v>1929</v>
      </c>
      <c r="B250" s="18">
        <v>2015</v>
      </c>
      <c r="C250" s="28">
        <v>7</v>
      </c>
      <c r="D250" s="37" t="s">
        <v>63</v>
      </c>
      <c r="E250" s="18">
        <v>22</v>
      </c>
      <c r="F250" s="18">
        <v>19</v>
      </c>
      <c r="G250" s="28">
        <f t="shared" si="3"/>
        <v>41</v>
      </c>
      <c r="H250" s="28" t="s">
        <v>1937</v>
      </c>
      <c r="J250"/>
      <c r="K250"/>
      <c r="L250"/>
      <c r="M250"/>
      <c r="N250"/>
      <c r="O250"/>
      <c r="P250"/>
      <c r="Q250"/>
      <c r="R250"/>
      <c r="S250"/>
      <c r="T250"/>
      <c r="U250"/>
    </row>
    <row r="251" spans="1:21" hidden="1" x14ac:dyDescent="0.3">
      <c r="A251" s="28" t="s">
        <v>1929</v>
      </c>
      <c r="B251" s="18">
        <v>2015</v>
      </c>
      <c r="C251" s="28">
        <v>7</v>
      </c>
      <c r="D251" s="18" t="s">
        <v>115</v>
      </c>
      <c r="E251" s="37">
        <v>14</v>
      </c>
      <c r="F251" s="37">
        <v>14</v>
      </c>
      <c r="G251" s="28">
        <f t="shared" si="3"/>
        <v>28</v>
      </c>
      <c r="H251" s="28" t="s">
        <v>1937</v>
      </c>
      <c r="J251"/>
      <c r="K251"/>
      <c r="L251"/>
      <c r="M251"/>
      <c r="N251"/>
      <c r="O251"/>
      <c r="P251"/>
      <c r="Q251"/>
      <c r="R251"/>
      <c r="S251"/>
      <c r="T251"/>
      <c r="U251"/>
    </row>
    <row r="252" spans="1:21" hidden="1" x14ac:dyDescent="0.3">
      <c r="A252" s="28" t="s">
        <v>1929</v>
      </c>
      <c r="B252" s="18">
        <v>2015</v>
      </c>
      <c r="C252" s="28">
        <v>7</v>
      </c>
      <c r="D252" s="37" t="s">
        <v>78</v>
      </c>
      <c r="E252" s="37">
        <v>5</v>
      </c>
      <c r="F252" s="37">
        <v>5</v>
      </c>
      <c r="G252" s="28">
        <f t="shared" si="3"/>
        <v>10</v>
      </c>
      <c r="H252" s="28" t="s">
        <v>1937</v>
      </c>
      <c r="J252"/>
      <c r="K252"/>
      <c r="L252"/>
      <c r="M252"/>
      <c r="N252"/>
      <c r="O252"/>
      <c r="P252"/>
      <c r="Q252"/>
      <c r="R252"/>
      <c r="S252"/>
      <c r="T252"/>
      <c r="U252"/>
    </row>
    <row r="253" spans="1:21" hidden="1" x14ac:dyDescent="0.3">
      <c r="A253" s="28" t="s">
        <v>1929</v>
      </c>
      <c r="B253" s="18">
        <v>2015</v>
      </c>
      <c r="C253" s="28">
        <v>7</v>
      </c>
      <c r="D253" s="45" t="s">
        <v>56</v>
      </c>
      <c r="E253" s="28">
        <v>3</v>
      </c>
      <c r="F253" s="54">
        <v>5</v>
      </c>
      <c r="G253" s="28">
        <f t="shared" si="3"/>
        <v>8</v>
      </c>
      <c r="H253" s="28" t="s">
        <v>1937</v>
      </c>
      <c r="J253"/>
      <c r="K253"/>
      <c r="L253"/>
      <c r="M253"/>
      <c r="N253"/>
      <c r="O253"/>
      <c r="P253"/>
      <c r="Q253"/>
      <c r="R253"/>
      <c r="S253"/>
      <c r="T253"/>
      <c r="U253"/>
    </row>
    <row r="254" spans="1:21" hidden="1" x14ac:dyDescent="0.3">
      <c r="A254" s="28" t="s">
        <v>1929</v>
      </c>
      <c r="B254" s="18">
        <v>2015</v>
      </c>
      <c r="C254" s="28">
        <v>7</v>
      </c>
      <c r="D254" s="54" t="s">
        <v>72</v>
      </c>
      <c r="E254" s="54">
        <v>0</v>
      </c>
      <c r="F254" s="54">
        <v>5</v>
      </c>
      <c r="G254" s="28">
        <f t="shared" si="3"/>
        <v>5</v>
      </c>
      <c r="H254" s="28" t="s">
        <v>1937</v>
      </c>
      <c r="J254"/>
      <c r="K254"/>
      <c r="L254"/>
      <c r="M254"/>
      <c r="N254"/>
      <c r="O254"/>
      <c r="P254"/>
      <c r="Q254"/>
      <c r="R254"/>
      <c r="S254"/>
      <c r="T254"/>
      <c r="U254"/>
    </row>
    <row r="255" spans="1:21" hidden="1" x14ac:dyDescent="0.3">
      <c r="A255" s="28" t="s">
        <v>1929</v>
      </c>
      <c r="B255" s="18">
        <v>2015</v>
      </c>
      <c r="C255" s="28">
        <v>7</v>
      </c>
      <c r="D255" s="45" t="s">
        <v>128</v>
      </c>
      <c r="E255" s="54">
        <v>1</v>
      </c>
      <c r="F255" s="37">
        <v>0</v>
      </c>
      <c r="G255" s="28">
        <f t="shared" si="3"/>
        <v>1</v>
      </c>
      <c r="H255" s="28" t="s">
        <v>1937</v>
      </c>
      <c r="J255"/>
      <c r="K255"/>
      <c r="L255"/>
      <c r="M255"/>
      <c r="N255"/>
      <c r="O255"/>
      <c r="P255"/>
      <c r="Q255"/>
      <c r="R255"/>
      <c r="S255"/>
      <c r="T255"/>
      <c r="U255"/>
    </row>
    <row r="256" spans="1:21" hidden="1" x14ac:dyDescent="0.3">
      <c r="A256" s="28" t="s">
        <v>91</v>
      </c>
      <c r="B256" s="18">
        <v>2015</v>
      </c>
      <c r="C256" s="28">
        <v>7</v>
      </c>
      <c r="D256" s="28" t="s">
        <v>56</v>
      </c>
      <c r="E256" s="43">
        <v>1316</v>
      </c>
      <c r="F256" s="54">
        <v>1266</v>
      </c>
      <c r="G256" s="28">
        <f t="shared" si="3"/>
        <v>2582</v>
      </c>
      <c r="H256" s="28" t="s">
        <v>1937</v>
      </c>
      <c r="J256"/>
      <c r="K256"/>
      <c r="L256"/>
      <c r="M256"/>
      <c r="N256"/>
      <c r="O256"/>
      <c r="P256"/>
      <c r="Q256"/>
      <c r="R256"/>
      <c r="S256"/>
      <c r="T256"/>
      <c r="U256"/>
    </row>
    <row r="257" spans="1:21" hidden="1" x14ac:dyDescent="0.3">
      <c r="A257" s="28" t="s">
        <v>1929</v>
      </c>
      <c r="B257" s="18">
        <v>2015</v>
      </c>
      <c r="C257" s="28">
        <v>8</v>
      </c>
      <c r="D257" s="37" t="s">
        <v>67</v>
      </c>
      <c r="E257" s="18">
        <v>81</v>
      </c>
      <c r="F257" s="18">
        <v>68</v>
      </c>
      <c r="G257" s="28">
        <f t="shared" si="3"/>
        <v>149</v>
      </c>
      <c r="H257" s="28" t="s">
        <v>1937</v>
      </c>
      <c r="J257"/>
      <c r="K257"/>
      <c r="L257"/>
      <c r="M257"/>
      <c r="N257"/>
      <c r="O257"/>
      <c r="P257"/>
      <c r="Q257"/>
      <c r="R257"/>
      <c r="S257"/>
      <c r="T257"/>
      <c r="U257"/>
    </row>
    <row r="258" spans="1:21" hidden="1" x14ac:dyDescent="0.3">
      <c r="A258" s="28" t="s">
        <v>1929</v>
      </c>
      <c r="B258" s="18">
        <v>2015</v>
      </c>
      <c r="C258" s="28">
        <v>8</v>
      </c>
      <c r="D258" s="37" t="s">
        <v>78</v>
      </c>
      <c r="E258" s="37">
        <v>84</v>
      </c>
      <c r="F258" s="37">
        <v>11</v>
      </c>
      <c r="G258" s="28">
        <f t="shared" ref="G258:G321" si="4">SUM(E258+F258)</f>
        <v>95</v>
      </c>
      <c r="H258" s="28" t="s">
        <v>1937</v>
      </c>
      <c r="J258"/>
      <c r="K258"/>
      <c r="L258"/>
      <c r="M258"/>
      <c r="N258"/>
      <c r="O258"/>
      <c r="P258"/>
      <c r="Q258"/>
      <c r="R258"/>
      <c r="S258"/>
      <c r="T258"/>
      <c r="U258"/>
    </row>
    <row r="259" spans="1:21" hidden="1" x14ac:dyDescent="0.3">
      <c r="A259" s="28" t="s">
        <v>1929</v>
      </c>
      <c r="B259" s="18">
        <v>2015</v>
      </c>
      <c r="C259" s="28">
        <v>8</v>
      </c>
      <c r="D259" s="18" t="s">
        <v>115</v>
      </c>
      <c r="E259" s="37">
        <v>50</v>
      </c>
      <c r="F259" s="37">
        <v>39</v>
      </c>
      <c r="G259" s="28">
        <f t="shared" si="4"/>
        <v>89</v>
      </c>
      <c r="H259" s="28" t="s">
        <v>1937</v>
      </c>
      <c r="J259"/>
      <c r="K259"/>
      <c r="L259"/>
      <c r="M259"/>
      <c r="N259"/>
      <c r="O259"/>
      <c r="P259"/>
      <c r="Q259"/>
      <c r="R259"/>
      <c r="S259"/>
      <c r="T259"/>
      <c r="U259"/>
    </row>
    <row r="260" spans="1:21" hidden="1" x14ac:dyDescent="0.3">
      <c r="A260" s="28" t="s">
        <v>1929</v>
      </c>
      <c r="B260" s="18">
        <v>2015</v>
      </c>
      <c r="C260" s="28">
        <v>8</v>
      </c>
      <c r="D260" s="37" t="s">
        <v>63</v>
      </c>
      <c r="E260" s="18">
        <v>26</v>
      </c>
      <c r="F260" s="18">
        <v>49</v>
      </c>
      <c r="G260" s="28">
        <f t="shared" si="4"/>
        <v>75</v>
      </c>
      <c r="H260" s="28" t="s">
        <v>1937</v>
      </c>
      <c r="J260"/>
      <c r="K260"/>
      <c r="L260"/>
      <c r="M260"/>
      <c r="N260"/>
      <c r="O260"/>
      <c r="P260"/>
      <c r="Q260"/>
      <c r="R260"/>
      <c r="S260"/>
      <c r="T260"/>
      <c r="U260"/>
    </row>
    <row r="261" spans="1:21" hidden="1" x14ac:dyDescent="0.3">
      <c r="A261" s="28" t="s">
        <v>1929</v>
      </c>
      <c r="B261" s="18">
        <v>2015</v>
      </c>
      <c r="C261" s="28">
        <v>8</v>
      </c>
      <c r="D261" s="45" t="s">
        <v>56</v>
      </c>
      <c r="E261" s="28">
        <v>18</v>
      </c>
      <c r="F261" s="54">
        <v>14</v>
      </c>
      <c r="G261" s="28">
        <f t="shared" si="4"/>
        <v>32</v>
      </c>
      <c r="H261" s="28" t="s">
        <v>1937</v>
      </c>
      <c r="J261"/>
      <c r="K261"/>
      <c r="L261"/>
      <c r="M261"/>
      <c r="N261"/>
      <c r="O261"/>
      <c r="P261"/>
      <c r="Q261"/>
      <c r="R261"/>
      <c r="S261"/>
      <c r="T261"/>
      <c r="U261"/>
    </row>
    <row r="262" spans="1:21" hidden="1" x14ac:dyDescent="0.3">
      <c r="A262" s="28" t="s">
        <v>1929</v>
      </c>
      <c r="B262" s="18">
        <v>2015</v>
      </c>
      <c r="C262" s="28">
        <v>8</v>
      </c>
      <c r="D262" s="18" t="s">
        <v>122</v>
      </c>
      <c r="E262" s="37">
        <v>11</v>
      </c>
      <c r="F262" s="37">
        <v>7</v>
      </c>
      <c r="G262" s="28">
        <f t="shared" si="4"/>
        <v>18</v>
      </c>
      <c r="H262" s="28" t="s">
        <v>1937</v>
      </c>
      <c r="J262"/>
      <c r="K262"/>
      <c r="L262"/>
      <c r="M262"/>
      <c r="N262"/>
      <c r="O262"/>
      <c r="P262"/>
      <c r="Q262"/>
      <c r="R262"/>
      <c r="S262"/>
      <c r="T262"/>
      <c r="U262"/>
    </row>
    <row r="263" spans="1:21" hidden="1" x14ac:dyDescent="0.3">
      <c r="A263" s="28" t="s">
        <v>1929</v>
      </c>
      <c r="B263" s="18">
        <v>2015</v>
      </c>
      <c r="C263" s="28">
        <v>8</v>
      </c>
      <c r="D263" s="45" t="s">
        <v>81</v>
      </c>
      <c r="E263" s="28">
        <v>8</v>
      </c>
      <c r="F263" s="37">
        <v>5</v>
      </c>
      <c r="G263" s="28">
        <f t="shared" si="4"/>
        <v>13</v>
      </c>
      <c r="H263" s="28" t="s">
        <v>1937</v>
      </c>
      <c r="J263"/>
      <c r="K263"/>
      <c r="L263"/>
      <c r="M263"/>
      <c r="N263"/>
      <c r="O263"/>
      <c r="P263"/>
      <c r="Q263"/>
      <c r="R263"/>
      <c r="S263"/>
      <c r="T263"/>
      <c r="U263"/>
    </row>
    <row r="264" spans="1:21" hidden="1" x14ac:dyDescent="0.3">
      <c r="A264" s="28" t="s">
        <v>1929</v>
      </c>
      <c r="B264" s="18">
        <v>2015</v>
      </c>
      <c r="C264" s="28">
        <v>8</v>
      </c>
      <c r="D264" s="54" t="s">
        <v>72</v>
      </c>
      <c r="E264" s="54">
        <v>0</v>
      </c>
      <c r="F264" s="54">
        <v>6</v>
      </c>
      <c r="G264" s="28">
        <f t="shared" si="4"/>
        <v>6</v>
      </c>
      <c r="H264" s="28" t="s">
        <v>1937</v>
      </c>
      <c r="J264"/>
      <c r="K264"/>
      <c r="L264"/>
      <c r="M264"/>
      <c r="N264"/>
      <c r="O264"/>
      <c r="P264"/>
      <c r="Q264"/>
      <c r="R264"/>
      <c r="S264"/>
      <c r="T264"/>
      <c r="U264"/>
    </row>
    <row r="265" spans="1:21" hidden="1" x14ac:dyDescent="0.3">
      <c r="A265" s="28" t="s">
        <v>91</v>
      </c>
      <c r="B265" s="18">
        <v>2015</v>
      </c>
      <c r="C265" s="28">
        <v>8</v>
      </c>
      <c r="D265" s="28" t="s">
        <v>56</v>
      </c>
      <c r="E265" s="43">
        <f>16+1149</f>
        <v>1165</v>
      </c>
      <c r="F265" s="54">
        <f>1293+12</f>
        <v>1305</v>
      </c>
      <c r="G265" s="28">
        <f t="shared" si="4"/>
        <v>2470</v>
      </c>
      <c r="H265" s="28" t="s">
        <v>1937</v>
      </c>
      <c r="J265"/>
      <c r="K265"/>
      <c r="L265"/>
      <c r="M265"/>
      <c r="N265"/>
      <c r="O265"/>
      <c r="P265"/>
      <c r="Q265"/>
      <c r="R265"/>
      <c r="S265"/>
      <c r="T265"/>
      <c r="U265"/>
    </row>
    <row r="266" spans="1:21" hidden="1" x14ac:dyDescent="0.3">
      <c r="A266" s="28" t="s">
        <v>1929</v>
      </c>
      <c r="B266" s="18">
        <v>2015</v>
      </c>
      <c r="C266" s="28">
        <v>9</v>
      </c>
      <c r="D266" s="37" t="s">
        <v>78</v>
      </c>
      <c r="E266" s="37">
        <v>38</v>
      </c>
      <c r="F266" s="37">
        <v>67</v>
      </c>
      <c r="G266" s="28">
        <f t="shared" si="4"/>
        <v>105</v>
      </c>
      <c r="H266" s="28" t="s">
        <v>1937</v>
      </c>
      <c r="J266"/>
      <c r="K266"/>
      <c r="L266"/>
      <c r="M266"/>
      <c r="N266"/>
      <c r="O266"/>
      <c r="P266"/>
      <c r="Q266"/>
      <c r="R266"/>
      <c r="S266"/>
      <c r="T266"/>
      <c r="U266"/>
    </row>
    <row r="267" spans="1:21" hidden="1" x14ac:dyDescent="0.3">
      <c r="A267" s="28" t="s">
        <v>1929</v>
      </c>
      <c r="B267" s="18">
        <v>2015</v>
      </c>
      <c r="C267" s="28">
        <v>9</v>
      </c>
      <c r="D267" s="18" t="s">
        <v>115</v>
      </c>
      <c r="E267" s="37">
        <v>38</v>
      </c>
      <c r="F267" s="37">
        <v>60</v>
      </c>
      <c r="G267" s="28">
        <f t="shared" si="4"/>
        <v>98</v>
      </c>
      <c r="H267" s="28" t="s">
        <v>1937</v>
      </c>
      <c r="J267"/>
      <c r="K267"/>
      <c r="L267"/>
      <c r="M267"/>
      <c r="N267"/>
      <c r="O267"/>
      <c r="P267"/>
      <c r="Q267"/>
      <c r="R267"/>
      <c r="S267"/>
      <c r="T267"/>
      <c r="U267"/>
    </row>
    <row r="268" spans="1:21" hidden="1" x14ac:dyDescent="0.3">
      <c r="A268" s="28" t="s">
        <v>1929</v>
      </c>
      <c r="B268" s="18">
        <v>2015</v>
      </c>
      <c r="C268" s="28">
        <v>9</v>
      </c>
      <c r="D268" s="37" t="s">
        <v>67</v>
      </c>
      <c r="E268" s="18">
        <v>52</v>
      </c>
      <c r="F268" s="18">
        <v>46</v>
      </c>
      <c r="G268" s="28">
        <f t="shared" si="4"/>
        <v>98</v>
      </c>
      <c r="H268" s="28" t="s">
        <v>1937</v>
      </c>
      <c r="J268"/>
      <c r="K268"/>
      <c r="L268"/>
      <c r="M268"/>
      <c r="N268"/>
      <c r="O268"/>
      <c r="P268"/>
      <c r="Q268"/>
      <c r="R268"/>
      <c r="S268"/>
      <c r="T268"/>
      <c r="U268"/>
    </row>
    <row r="269" spans="1:21" hidden="1" x14ac:dyDescent="0.3">
      <c r="A269" s="28" t="s">
        <v>1929</v>
      </c>
      <c r="B269" s="18">
        <v>2015</v>
      </c>
      <c r="C269" s="28">
        <v>9</v>
      </c>
      <c r="D269" s="45" t="s">
        <v>81</v>
      </c>
      <c r="E269" s="28">
        <v>25</v>
      </c>
      <c r="F269" s="37">
        <v>35</v>
      </c>
      <c r="G269" s="28">
        <f t="shared" si="4"/>
        <v>60</v>
      </c>
      <c r="H269" s="28" t="s">
        <v>1937</v>
      </c>
      <c r="J269"/>
      <c r="K269"/>
      <c r="L269"/>
      <c r="M269"/>
      <c r="N269"/>
      <c r="O269"/>
      <c r="P269"/>
      <c r="Q269"/>
      <c r="R269"/>
      <c r="S269"/>
      <c r="T269"/>
      <c r="U269"/>
    </row>
    <row r="270" spans="1:21" hidden="1" x14ac:dyDescent="0.3">
      <c r="A270" s="28" t="s">
        <v>1929</v>
      </c>
      <c r="B270" s="18">
        <v>2015</v>
      </c>
      <c r="C270" s="28">
        <v>9</v>
      </c>
      <c r="D270" s="37" t="s">
        <v>63</v>
      </c>
      <c r="E270" s="18">
        <v>19</v>
      </c>
      <c r="F270" s="18">
        <v>27</v>
      </c>
      <c r="G270" s="28">
        <f t="shared" si="4"/>
        <v>46</v>
      </c>
      <c r="H270" s="28" t="s">
        <v>1937</v>
      </c>
      <c r="J270"/>
      <c r="K270"/>
      <c r="L270"/>
      <c r="M270"/>
      <c r="N270"/>
      <c r="O270"/>
      <c r="P270"/>
      <c r="Q270"/>
      <c r="R270"/>
      <c r="S270"/>
      <c r="T270"/>
      <c r="U270"/>
    </row>
    <row r="271" spans="1:21" hidden="1" x14ac:dyDescent="0.3">
      <c r="A271" s="28" t="s">
        <v>1929</v>
      </c>
      <c r="B271" s="18">
        <v>2015</v>
      </c>
      <c r="C271" s="28">
        <v>9</v>
      </c>
      <c r="D271" s="18" t="s">
        <v>122</v>
      </c>
      <c r="E271" s="37">
        <v>16</v>
      </c>
      <c r="F271" s="37">
        <v>23</v>
      </c>
      <c r="G271" s="28">
        <f t="shared" si="4"/>
        <v>39</v>
      </c>
      <c r="H271" s="28" t="s">
        <v>1937</v>
      </c>
      <c r="J271"/>
      <c r="K271"/>
      <c r="L271"/>
      <c r="M271"/>
      <c r="N271"/>
      <c r="O271"/>
      <c r="P271"/>
      <c r="Q271"/>
      <c r="R271"/>
      <c r="S271"/>
      <c r="T271"/>
      <c r="U271"/>
    </row>
    <row r="272" spans="1:21" hidden="1" x14ac:dyDescent="0.3">
      <c r="A272" s="28" t="s">
        <v>1929</v>
      </c>
      <c r="B272" s="18">
        <v>2015</v>
      </c>
      <c r="C272" s="28">
        <v>9</v>
      </c>
      <c r="D272" s="45" t="s">
        <v>56</v>
      </c>
      <c r="E272" s="28">
        <v>6</v>
      </c>
      <c r="F272" s="54">
        <v>5</v>
      </c>
      <c r="G272" s="28">
        <f t="shared" si="4"/>
        <v>11</v>
      </c>
      <c r="H272" s="28" t="s">
        <v>1937</v>
      </c>
      <c r="J272"/>
      <c r="K272"/>
      <c r="L272"/>
      <c r="M272"/>
      <c r="N272"/>
      <c r="O272"/>
      <c r="P272"/>
      <c r="Q272"/>
      <c r="R272"/>
      <c r="S272"/>
      <c r="T272"/>
      <c r="U272"/>
    </row>
    <row r="273" spans="1:21" hidden="1" x14ac:dyDescent="0.3">
      <c r="A273" s="28" t="s">
        <v>1929</v>
      </c>
      <c r="B273" s="18">
        <v>2015</v>
      </c>
      <c r="C273" s="28">
        <v>9</v>
      </c>
      <c r="D273" s="45" t="s">
        <v>128</v>
      </c>
      <c r="E273" s="54">
        <v>1</v>
      </c>
      <c r="F273" s="37">
        <v>2</v>
      </c>
      <c r="G273" s="28">
        <f t="shared" si="4"/>
        <v>3</v>
      </c>
      <c r="H273" s="28" t="s">
        <v>1937</v>
      </c>
      <c r="J273"/>
      <c r="K273"/>
      <c r="L273"/>
      <c r="M273"/>
      <c r="N273"/>
      <c r="O273"/>
      <c r="P273"/>
      <c r="Q273"/>
      <c r="R273"/>
      <c r="S273"/>
      <c r="T273"/>
      <c r="U273"/>
    </row>
    <row r="274" spans="1:21" hidden="1" x14ac:dyDescent="0.3">
      <c r="A274" s="28" t="s">
        <v>91</v>
      </c>
      <c r="B274" s="18">
        <v>2015</v>
      </c>
      <c r="C274" s="28">
        <v>9</v>
      </c>
      <c r="D274" s="28" t="s">
        <v>56</v>
      </c>
      <c r="E274" s="43">
        <v>1359</v>
      </c>
      <c r="F274" s="54">
        <v>1361</v>
      </c>
      <c r="G274" s="28">
        <f t="shared" si="4"/>
        <v>2720</v>
      </c>
      <c r="H274" s="28" t="s">
        <v>1937</v>
      </c>
      <c r="J274"/>
      <c r="K274"/>
      <c r="L274"/>
      <c r="M274"/>
      <c r="N274"/>
      <c r="O274"/>
      <c r="P274"/>
      <c r="Q274"/>
      <c r="R274"/>
      <c r="S274"/>
      <c r="T274"/>
      <c r="U274"/>
    </row>
    <row r="275" spans="1:21" hidden="1" x14ac:dyDescent="0.3">
      <c r="A275" s="28" t="s">
        <v>1929</v>
      </c>
      <c r="B275" s="18">
        <v>2015</v>
      </c>
      <c r="C275" s="28">
        <v>10</v>
      </c>
      <c r="D275" s="37" t="s">
        <v>63</v>
      </c>
      <c r="E275" s="18">
        <v>119</v>
      </c>
      <c r="F275" s="18">
        <v>128</v>
      </c>
      <c r="G275" s="28">
        <f t="shared" si="4"/>
        <v>247</v>
      </c>
      <c r="H275" s="28" t="s">
        <v>1937</v>
      </c>
      <c r="J275"/>
      <c r="K275"/>
      <c r="L275"/>
      <c r="M275"/>
      <c r="N275"/>
      <c r="O275"/>
      <c r="P275"/>
      <c r="Q275"/>
      <c r="R275"/>
      <c r="S275"/>
      <c r="T275"/>
      <c r="U275"/>
    </row>
    <row r="276" spans="1:21" hidden="1" x14ac:dyDescent="0.3">
      <c r="A276" s="28" t="s">
        <v>1929</v>
      </c>
      <c r="B276" s="18">
        <v>2015</v>
      </c>
      <c r="C276" s="28">
        <v>10</v>
      </c>
      <c r="D276" s="18" t="s">
        <v>115</v>
      </c>
      <c r="E276" s="37">
        <v>62</v>
      </c>
      <c r="F276" s="37">
        <v>66</v>
      </c>
      <c r="G276" s="28">
        <f t="shared" si="4"/>
        <v>128</v>
      </c>
      <c r="H276" s="28" t="s">
        <v>1937</v>
      </c>
      <c r="J276"/>
      <c r="K276"/>
      <c r="L276"/>
      <c r="M276"/>
      <c r="N276"/>
      <c r="O276"/>
      <c r="P276"/>
      <c r="Q276"/>
      <c r="R276"/>
      <c r="S276"/>
      <c r="T276"/>
      <c r="U276"/>
    </row>
    <row r="277" spans="1:21" hidden="1" x14ac:dyDescent="0.3">
      <c r="A277" s="28" t="s">
        <v>1929</v>
      </c>
      <c r="B277" s="18">
        <v>2015</v>
      </c>
      <c r="C277" s="28">
        <v>10</v>
      </c>
      <c r="D277" s="37" t="s">
        <v>67</v>
      </c>
      <c r="E277" s="18">
        <v>46</v>
      </c>
      <c r="F277" s="18">
        <v>44</v>
      </c>
      <c r="G277" s="28">
        <f t="shared" si="4"/>
        <v>90</v>
      </c>
      <c r="H277" s="28" t="s">
        <v>1937</v>
      </c>
      <c r="J277"/>
      <c r="K277"/>
      <c r="L277"/>
      <c r="M277"/>
      <c r="N277"/>
      <c r="O277"/>
      <c r="P277"/>
      <c r="Q277"/>
      <c r="R277"/>
      <c r="S277"/>
      <c r="T277"/>
      <c r="U277"/>
    </row>
    <row r="278" spans="1:21" hidden="1" x14ac:dyDescent="0.3">
      <c r="A278" s="28" t="s">
        <v>1929</v>
      </c>
      <c r="B278" s="18">
        <v>2015</v>
      </c>
      <c r="C278" s="28">
        <v>10</v>
      </c>
      <c r="D278" s="37" t="s">
        <v>78</v>
      </c>
      <c r="E278" s="37">
        <f>53+4</f>
        <v>57</v>
      </c>
      <c r="F278" s="37">
        <v>29</v>
      </c>
      <c r="G278" s="28">
        <f t="shared" si="4"/>
        <v>86</v>
      </c>
      <c r="H278" s="28" t="s">
        <v>1937</v>
      </c>
      <c r="J278"/>
      <c r="K278"/>
      <c r="L278"/>
      <c r="M278"/>
      <c r="N278"/>
      <c r="O278"/>
      <c r="P278"/>
      <c r="Q278"/>
      <c r="R278"/>
      <c r="S278"/>
      <c r="T278"/>
      <c r="U278"/>
    </row>
    <row r="279" spans="1:21" hidden="1" x14ac:dyDescent="0.3">
      <c r="A279" s="28" t="s">
        <v>1929</v>
      </c>
      <c r="B279" s="18">
        <v>2015</v>
      </c>
      <c r="C279" s="28">
        <v>10</v>
      </c>
      <c r="D279" s="18" t="s">
        <v>122</v>
      </c>
      <c r="E279" s="37">
        <v>36</v>
      </c>
      <c r="F279" s="37">
        <v>37</v>
      </c>
      <c r="G279" s="28">
        <f t="shared" si="4"/>
        <v>73</v>
      </c>
      <c r="H279" s="28" t="s">
        <v>1937</v>
      </c>
      <c r="J279"/>
      <c r="K279"/>
      <c r="L279"/>
      <c r="M279"/>
      <c r="N279"/>
      <c r="O279"/>
      <c r="P279"/>
      <c r="Q279"/>
      <c r="R279"/>
      <c r="S279"/>
      <c r="T279"/>
      <c r="U279"/>
    </row>
    <row r="280" spans="1:21" hidden="1" x14ac:dyDescent="0.3">
      <c r="A280" s="28" t="s">
        <v>1929</v>
      </c>
      <c r="B280" s="18">
        <v>2015</v>
      </c>
      <c r="C280" s="28">
        <v>10</v>
      </c>
      <c r="D280" s="54" t="s">
        <v>72</v>
      </c>
      <c r="E280" s="54">
        <v>14</v>
      </c>
      <c r="F280" s="54">
        <v>8</v>
      </c>
      <c r="G280" s="28">
        <f t="shared" si="4"/>
        <v>22</v>
      </c>
      <c r="H280" s="28" t="s">
        <v>1937</v>
      </c>
      <c r="J280"/>
      <c r="K280"/>
      <c r="L280"/>
      <c r="M280"/>
      <c r="N280"/>
      <c r="O280"/>
      <c r="P280"/>
      <c r="Q280"/>
      <c r="R280"/>
      <c r="S280"/>
      <c r="T280"/>
      <c r="U280"/>
    </row>
    <row r="281" spans="1:21" hidden="1" x14ac:dyDescent="0.3">
      <c r="A281" s="28" t="s">
        <v>1929</v>
      </c>
      <c r="B281" s="18">
        <v>2015</v>
      </c>
      <c r="C281" s="28">
        <v>10</v>
      </c>
      <c r="D281" s="45" t="s">
        <v>81</v>
      </c>
      <c r="E281" s="28">
        <v>19</v>
      </c>
      <c r="F281" s="37">
        <v>0</v>
      </c>
      <c r="G281" s="28">
        <f t="shared" si="4"/>
        <v>19</v>
      </c>
      <c r="H281" s="28" t="s">
        <v>1937</v>
      </c>
      <c r="J281"/>
      <c r="K281"/>
      <c r="L281"/>
      <c r="M281"/>
      <c r="N281"/>
      <c r="O281"/>
      <c r="P281"/>
      <c r="Q281"/>
      <c r="R281"/>
      <c r="S281"/>
      <c r="T281"/>
      <c r="U281"/>
    </row>
    <row r="282" spans="1:21" hidden="1" x14ac:dyDescent="0.3">
      <c r="A282" s="28" t="s">
        <v>1929</v>
      </c>
      <c r="B282" s="18">
        <v>2015</v>
      </c>
      <c r="C282" s="28">
        <v>10</v>
      </c>
      <c r="D282" s="18" t="s">
        <v>125</v>
      </c>
      <c r="E282" s="37">
        <v>2</v>
      </c>
      <c r="F282" s="37">
        <v>8</v>
      </c>
      <c r="G282" s="28">
        <f t="shared" si="4"/>
        <v>10</v>
      </c>
      <c r="H282" s="28" t="s">
        <v>1937</v>
      </c>
      <c r="J282"/>
      <c r="K282"/>
      <c r="L282"/>
      <c r="M282"/>
      <c r="N282"/>
      <c r="O282"/>
      <c r="P282"/>
      <c r="Q282"/>
      <c r="R282"/>
      <c r="S282"/>
      <c r="T282"/>
      <c r="U282"/>
    </row>
    <row r="283" spans="1:21" hidden="1" x14ac:dyDescent="0.3">
      <c r="A283" s="28" t="s">
        <v>1929</v>
      </c>
      <c r="B283" s="18">
        <v>2015</v>
      </c>
      <c r="C283" s="28">
        <v>10</v>
      </c>
      <c r="D283" s="18" t="s">
        <v>138</v>
      </c>
      <c r="E283" s="37">
        <v>4</v>
      </c>
      <c r="F283" s="37">
        <v>0</v>
      </c>
      <c r="G283" s="28">
        <f t="shared" si="4"/>
        <v>4</v>
      </c>
      <c r="H283" s="28" t="s">
        <v>1937</v>
      </c>
      <c r="J283"/>
      <c r="K283"/>
      <c r="L283"/>
      <c r="M283"/>
      <c r="N283"/>
      <c r="O283"/>
      <c r="P283"/>
      <c r="Q283"/>
      <c r="R283"/>
      <c r="S283"/>
      <c r="T283"/>
      <c r="U283"/>
    </row>
    <row r="284" spans="1:21" hidden="1" x14ac:dyDescent="0.3">
      <c r="A284" s="28" t="s">
        <v>1929</v>
      </c>
      <c r="B284" s="18">
        <v>2015</v>
      </c>
      <c r="C284" s="28">
        <v>10</v>
      </c>
      <c r="D284" s="45" t="s">
        <v>128</v>
      </c>
      <c r="E284" s="54">
        <v>3</v>
      </c>
      <c r="F284" s="37">
        <v>0</v>
      </c>
      <c r="G284" s="28">
        <f t="shared" si="4"/>
        <v>3</v>
      </c>
      <c r="H284" s="28" t="s">
        <v>1937</v>
      </c>
      <c r="J284"/>
      <c r="K284"/>
      <c r="L284"/>
      <c r="M284"/>
      <c r="N284"/>
      <c r="O284"/>
      <c r="P284"/>
      <c r="Q284"/>
      <c r="R284"/>
      <c r="S284"/>
      <c r="T284"/>
      <c r="U284"/>
    </row>
    <row r="285" spans="1:21" hidden="1" x14ac:dyDescent="0.3">
      <c r="A285" s="28" t="s">
        <v>91</v>
      </c>
      <c r="B285" s="18">
        <v>2015</v>
      </c>
      <c r="C285" s="28">
        <v>10</v>
      </c>
      <c r="D285" s="28" t="s">
        <v>56</v>
      </c>
      <c r="E285" s="43">
        <v>1309</v>
      </c>
      <c r="F285" s="54">
        <v>1296</v>
      </c>
      <c r="G285" s="28">
        <f t="shared" si="4"/>
        <v>2605</v>
      </c>
      <c r="H285" s="28" t="s">
        <v>1937</v>
      </c>
      <c r="J285"/>
      <c r="K285"/>
      <c r="L285"/>
      <c r="M285"/>
      <c r="N285"/>
      <c r="O285"/>
      <c r="P285"/>
      <c r="Q285"/>
      <c r="R285"/>
      <c r="S285"/>
      <c r="T285"/>
      <c r="U285"/>
    </row>
    <row r="286" spans="1:21" hidden="1" x14ac:dyDescent="0.3">
      <c r="A286" s="28" t="s">
        <v>1929</v>
      </c>
      <c r="B286" s="18">
        <v>2015</v>
      </c>
      <c r="C286" s="28">
        <v>11</v>
      </c>
      <c r="D286" s="18" t="s">
        <v>122</v>
      </c>
      <c r="E286" s="37">
        <v>52</v>
      </c>
      <c r="F286" s="37">
        <v>37</v>
      </c>
      <c r="G286" s="28">
        <f t="shared" si="4"/>
        <v>89</v>
      </c>
      <c r="H286" s="28" t="s">
        <v>1937</v>
      </c>
      <c r="J286"/>
      <c r="K286"/>
      <c r="L286"/>
      <c r="M286"/>
      <c r="N286"/>
      <c r="O286"/>
      <c r="P286"/>
      <c r="Q286"/>
      <c r="R286"/>
      <c r="S286"/>
      <c r="T286"/>
      <c r="U286"/>
    </row>
    <row r="287" spans="1:21" hidden="1" x14ac:dyDescent="0.3">
      <c r="A287" s="28" t="s">
        <v>1929</v>
      </c>
      <c r="B287" s="18">
        <v>2015</v>
      </c>
      <c r="C287" s="28">
        <v>11</v>
      </c>
      <c r="D287" s="18" t="s">
        <v>115</v>
      </c>
      <c r="E287" s="37">
        <v>52</v>
      </c>
      <c r="F287" s="37">
        <v>34</v>
      </c>
      <c r="G287" s="28">
        <f t="shared" si="4"/>
        <v>86</v>
      </c>
      <c r="H287" s="28" t="s">
        <v>1937</v>
      </c>
      <c r="J287"/>
      <c r="K287"/>
      <c r="L287"/>
      <c r="M287"/>
      <c r="N287"/>
      <c r="O287"/>
      <c r="P287"/>
      <c r="Q287"/>
      <c r="R287"/>
      <c r="S287"/>
      <c r="T287"/>
      <c r="U287"/>
    </row>
    <row r="288" spans="1:21" hidden="1" x14ac:dyDescent="0.3">
      <c r="A288" s="28" t="s">
        <v>1929</v>
      </c>
      <c r="B288" s="18">
        <v>2015</v>
      </c>
      <c r="C288" s="28">
        <v>11</v>
      </c>
      <c r="D288" s="37" t="s">
        <v>78</v>
      </c>
      <c r="E288" s="37">
        <v>30</v>
      </c>
      <c r="F288" s="37">
        <v>46</v>
      </c>
      <c r="G288" s="28">
        <f t="shared" si="4"/>
        <v>76</v>
      </c>
      <c r="H288" s="28" t="s">
        <v>1937</v>
      </c>
      <c r="J288"/>
      <c r="K288"/>
      <c r="L288"/>
      <c r="M288"/>
      <c r="N288"/>
      <c r="O288"/>
      <c r="P288"/>
      <c r="Q288"/>
      <c r="R288"/>
      <c r="S288"/>
      <c r="T288"/>
      <c r="U288"/>
    </row>
    <row r="289" spans="1:21" hidden="1" x14ac:dyDescent="0.3">
      <c r="A289" s="28" t="s">
        <v>1929</v>
      </c>
      <c r="B289" s="18">
        <v>2015</v>
      </c>
      <c r="C289" s="28">
        <v>11</v>
      </c>
      <c r="D289" s="37" t="s">
        <v>63</v>
      </c>
      <c r="E289" s="18">
        <v>33</v>
      </c>
      <c r="F289" s="18">
        <v>35</v>
      </c>
      <c r="G289" s="28">
        <f t="shared" si="4"/>
        <v>68</v>
      </c>
      <c r="H289" s="28" t="s">
        <v>1937</v>
      </c>
      <c r="J289"/>
      <c r="K289"/>
      <c r="L289"/>
      <c r="M289"/>
      <c r="N289"/>
      <c r="O289"/>
      <c r="P289"/>
      <c r="Q289"/>
      <c r="R289"/>
      <c r="S289"/>
      <c r="T289"/>
      <c r="U289"/>
    </row>
    <row r="290" spans="1:21" hidden="1" x14ac:dyDescent="0.3">
      <c r="A290" s="28" t="s">
        <v>1929</v>
      </c>
      <c r="B290" s="18">
        <v>2015</v>
      </c>
      <c r="C290" s="28">
        <v>11</v>
      </c>
      <c r="D290" s="37" t="s">
        <v>67</v>
      </c>
      <c r="E290" s="18">
        <v>21</v>
      </c>
      <c r="F290" s="18">
        <v>22</v>
      </c>
      <c r="G290" s="28">
        <f t="shared" si="4"/>
        <v>43</v>
      </c>
      <c r="H290" s="28" t="s">
        <v>1937</v>
      </c>
      <c r="J290"/>
      <c r="K290"/>
      <c r="L290"/>
      <c r="M290"/>
      <c r="N290"/>
      <c r="O290"/>
      <c r="P290"/>
      <c r="Q290"/>
      <c r="R290"/>
      <c r="S290"/>
      <c r="T290"/>
      <c r="U290"/>
    </row>
    <row r="291" spans="1:21" hidden="1" x14ac:dyDescent="0.3">
      <c r="A291" s="28" t="s">
        <v>1929</v>
      </c>
      <c r="B291" s="18">
        <v>2015</v>
      </c>
      <c r="C291" s="28">
        <v>11</v>
      </c>
      <c r="D291" s="54" t="s">
        <v>72</v>
      </c>
      <c r="E291" s="54">
        <v>14</v>
      </c>
      <c r="F291" s="54">
        <v>7</v>
      </c>
      <c r="G291" s="28">
        <f t="shared" si="4"/>
        <v>21</v>
      </c>
      <c r="H291" s="28" t="s">
        <v>1937</v>
      </c>
      <c r="J291"/>
      <c r="K291"/>
      <c r="L291"/>
      <c r="M291"/>
      <c r="N291"/>
      <c r="O291"/>
      <c r="P291"/>
      <c r="Q291"/>
      <c r="R291"/>
      <c r="S291"/>
      <c r="T291"/>
      <c r="U291"/>
    </row>
    <row r="292" spans="1:21" hidden="1" x14ac:dyDescent="0.3">
      <c r="A292" s="28" t="s">
        <v>91</v>
      </c>
      <c r="B292" s="18">
        <v>2015</v>
      </c>
      <c r="C292" s="28">
        <v>11</v>
      </c>
      <c r="D292" s="28" t="s">
        <v>56</v>
      </c>
      <c r="E292" s="43">
        <v>1226</v>
      </c>
      <c r="F292" s="54">
        <v>1198</v>
      </c>
      <c r="G292" s="28">
        <f t="shared" si="4"/>
        <v>2424</v>
      </c>
      <c r="H292" s="28" t="s">
        <v>1937</v>
      </c>
      <c r="J292"/>
      <c r="K292"/>
      <c r="L292"/>
      <c r="M292"/>
      <c r="N292"/>
      <c r="O292"/>
      <c r="P292"/>
      <c r="Q292"/>
      <c r="R292"/>
      <c r="S292"/>
      <c r="T292"/>
      <c r="U292"/>
    </row>
    <row r="293" spans="1:21" hidden="1" x14ac:dyDescent="0.3">
      <c r="A293" s="28" t="s">
        <v>1929</v>
      </c>
      <c r="B293" s="18">
        <v>2015</v>
      </c>
      <c r="C293" s="28">
        <v>12</v>
      </c>
      <c r="D293" s="37" t="s">
        <v>67</v>
      </c>
      <c r="E293" s="18">
        <v>100</v>
      </c>
      <c r="F293" s="18">
        <v>87</v>
      </c>
      <c r="G293" s="28">
        <f t="shared" si="4"/>
        <v>187</v>
      </c>
      <c r="H293" s="28" t="s">
        <v>1937</v>
      </c>
      <c r="J293"/>
      <c r="K293"/>
      <c r="L293"/>
      <c r="M293"/>
      <c r="N293"/>
      <c r="O293"/>
      <c r="P293"/>
      <c r="Q293"/>
      <c r="R293"/>
      <c r="S293"/>
      <c r="T293"/>
      <c r="U293"/>
    </row>
    <row r="294" spans="1:21" hidden="1" x14ac:dyDescent="0.3">
      <c r="A294" s="28" t="s">
        <v>1929</v>
      </c>
      <c r="B294" s="18">
        <v>2015</v>
      </c>
      <c r="C294" s="28">
        <v>12</v>
      </c>
      <c r="D294" s="37" t="s">
        <v>78</v>
      </c>
      <c r="E294" s="37">
        <v>29</v>
      </c>
      <c r="F294" s="37">
        <v>57</v>
      </c>
      <c r="G294" s="28">
        <f t="shared" si="4"/>
        <v>86</v>
      </c>
      <c r="H294" s="28" t="s">
        <v>1937</v>
      </c>
      <c r="J294"/>
      <c r="K294"/>
      <c r="L294"/>
      <c r="M294"/>
      <c r="N294"/>
      <c r="O294"/>
      <c r="P294"/>
      <c r="Q294"/>
      <c r="R294"/>
      <c r="S294"/>
      <c r="T294"/>
      <c r="U294"/>
    </row>
    <row r="295" spans="1:21" hidden="1" x14ac:dyDescent="0.3">
      <c r="A295" s="28" t="s">
        <v>1929</v>
      </c>
      <c r="B295" s="18">
        <v>2015</v>
      </c>
      <c r="C295" s="28">
        <v>12</v>
      </c>
      <c r="D295" s="45" t="s">
        <v>81</v>
      </c>
      <c r="E295" s="28">
        <v>18</v>
      </c>
      <c r="F295" s="37">
        <v>55</v>
      </c>
      <c r="G295" s="28">
        <f t="shared" si="4"/>
        <v>73</v>
      </c>
      <c r="H295" s="28" t="s">
        <v>1937</v>
      </c>
      <c r="J295"/>
      <c r="K295"/>
      <c r="L295"/>
      <c r="M295"/>
      <c r="N295"/>
      <c r="O295"/>
      <c r="P295"/>
      <c r="Q295"/>
      <c r="R295"/>
      <c r="S295"/>
      <c r="T295"/>
      <c r="U295"/>
    </row>
    <row r="296" spans="1:21" hidden="1" x14ac:dyDescent="0.3">
      <c r="A296" s="28" t="s">
        <v>1929</v>
      </c>
      <c r="B296" s="18">
        <v>2015</v>
      </c>
      <c r="C296" s="28">
        <v>12</v>
      </c>
      <c r="D296" s="18" t="s">
        <v>115</v>
      </c>
      <c r="E296" s="37">
        <v>32</v>
      </c>
      <c r="F296" s="37">
        <v>37</v>
      </c>
      <c r="G296" s="28">
        <f t="shared" si="4"/>
        <v>69</v>
      </c>
      <c r="H296" s="28" t="s">
        <v>1937</v>
      </c>
      <c r="J296"/>
      <c r="K296"/>
      <c r="L296"/>
      <c r="M296"/>
      <c r="N296"/>
      <c r="O296"/>
      <c r="P296"/>
      <c r="Q296"/>
      <c r="R296"/>
      <c r="S296"/>
      <c r="T296"/>
      <c r="U296"/>
    </row>
    <row r="297" spans="1:21" hidden="1" x14ac:dyDescent="0.3">
      <c r="A297" s="28" t="s">
        <v>1929</v>
      </c>
      <c r="B297" s="18">
        <v>2015</v>
      </c>
      <c r="C297" s="28">
        <v>12</v>
      </c>
      <c r="D297" s="37" t="s">
        <v>63</v>
      </c>
      <c r="E297" s="18">
        <v>26</v>
      </c>
      <c r="F297" s="18">
        <v>27</v>
      </c>
      <c r="G297" s="28">
        <f t="shared" si="4"/>
        <v>53</v>
      </c>
      <c r="H297" s="28" t="s">
        <v>1937</v>
      </c>
      <c r="J297"/>
      <c r="K297"/>
      <c r="L297"/>
      <c r="M297"/>
      <c r="N297"/>
      <c r="O297"/>
      <c r="P297"/>
      <c r="Q297"/>
      <c r="R297"/>
      <c r="S297"/>
      <c r="T297"/>
      <c r="U297"/>
    </row>
    <row r="298" spans="1:21" hidden="1" x14ac:dyDescent="0.3">
      <c r="A298" s="28" t="s">
        <v>1929</v>
      </c>
      <c r="B298" s="18">
        <v>2015</v>
      </c>
      <c r="C298" s="28">
        <v>12</v>
      </c>
      <c r="D298" s="18" t="s">
        <v>122</v>
      </c>
      <c r="E298" s="37">
        <v>26</v>
      </c>
      <c r="F298" s="37">
        <v>4</v>
      </c>
      <c r="G298" s="28">
        <f t="shared" si="4"/>
        <v>30</v>
      </c>
      <c r="H298" s="28" t="s">
        <v>1937</v>
      </c>
      <c r="J298"/>
      <c r="K298"/>
      <c r="L298"/>
      <c r="M298"/>
      <c r="N298"/>
      <c r="O298"/>
      <c r="P298"/>
      <c r="Q298"/>
      <c r="R298"/>
      <c r="S298"/>
      <c r="T298"/>
      <c r="U298"/>
    </row>
    <row r="299" spans="1:21" hidden="1" x14ac:dyDescent="0.3">
      <c r="A299" s="28" t="s">
        <v>1929</v>
      </c>
      <c r="B299" s="18">
        <v>2015</v>
      </c>
      <c r="C299" s="28">
        <v>12</v>
      </c>
      <c r="D299" s="18" t="s">
        <v>125</v>
      </c>
      <c r="E299" s="37">
        <v>6</v>
      </c>
      <c r="F299" s="37">
        <v>2</v>
      </c>
      <c r="G299" s="28">
        <f t="shared" si="4"/>
        <v>8</v>
      </c>
      <c r="H299" s="28" t="s">
        <v>1937</v>
      </c>
      <c r="J299"/>
      <c r="K299"/>
      <c r="L299"/>
      <c r="M299"/>
      <c r="N299"/>
      <c r="O299"/>
      <c r="P299"/>
      <c r="Q299"/>
      <c r="R299"/>
      <c r="S299"/>
      <c r="T299"/>
      <c r="U299"/>
    </row>
    <row r="300" spans="1:21" hidden="1" x14ac:dyDescent="0.3">
      <c r="A300" s="28" t="s">
        <v>91</v>
      </c>
      <c r="B300" s="18">
        <v>2015</v>
      </c>
      <c r="C300" s="28">
        <v>12</v>
      </c>
      <c r="D300" s="28" t="s">
        <v>56</v>
      </c>
      <c r="E300" s="43">
        <v>1234</v>
      </c>
      <c r="F300" s="54">
        <v>1279</v>
      </c>
      <c r="G300" s="28">
        <f t="shared" si="4"/>
        <v>2513</v>
      </c>
      <c r="H300" s="28" t="s">
        <v>1937</v>
      </c>
      <c r="J300"/>
      <c r="K300"/>
      <c r="L300"/>
      <c r="M300"/>
      <c r="N300"/>
      <c r="O300"/>
      <c r="P300"/>
      <c r="Q300"/>
      <c r="R300"/>
      <c r="S300"/>
      <c r="T300"/>
      <c r="U300"/>
    </row>
    <row r="301" spans="1:21" hidden="1" x14ac:dyDescent="0.3">
      <c r="A301" s="28" t="s">
        <v>1929</v>
      </c>
      <c r="B301" s="18">
        <v>2016</v>
      </c>
      <c r="C301" s="28">
        <v>1</v>
      </c>
      <c r="D301" s="28" t="s">
        <v>63</v>
      </c>
      <c r="E301" s="28">
        <v>68</v>
      </c>
      <c r="F301" s="28">
        <v>119</v>
      </c>
      <c r="G301" s="28">
        <f t="shared" si="4"/>
        <v>187</v>
      </c>
      <c r="H301" s="28" t="s">
        <v>1937</v>
      </c>
      <c r="J301"/>
      <c r="K301"/>
      <c r="L301"/>
      <c r="M301"/>
      <c r="N301"/>
      <c r="O301"/>
      <c r="P301"/>
      <c r="Q301"/>
      <c r="R301"/>
      <c r="S301"/>
      <c r="T301"/>
      <c r="U301"/>
    </row>
    <row r="302" spans="1:21" hidden="1" x14ac:dyDescent="0.3">
      <c r="A302" s="28" t="s">
        <v>1929</v>
      </c>
      <c r="B302" s="18">
        <v>2016</v>
      </c>
      <c r="C302" s="28">
        <v>1</v>
      </c>
      <c r="D302" s="28" t="s">
        <v>115</v>
      </c>
      <c r="E302" s="28">
        <v>82</v>
      </c>
      <c r="F302" s="28">
        <v>73</v>
      </c>
      <c r="G302" s="28">
        <f t="shared" si="4"/>
        <v>155</v>
      </c>
      <c r="H302" s="28" t="s">
        <v>1937</v>
      </c>
      <c r="J302"/>
      <c r="K302"/>
      <c r="L302"/>
      <c r="M302"/>
      <c r="N302"/>
      <c r="O302"/>
      <c r="P302"/>
      <c r="Q302"/>
      <c r="R302"/>
      <c r="S302"/>
      <c r="T302"/>
      <c r="U302"/>
    </row>
    <row r="303" spans="1:21" hidden="1" x14ac:dyDescent="0.3">
      <c r="A303" s="28" t="s">
        <v>1929</v>
      </c>
      <c r="B303" s="18">
        <v>2016</v>
      </c>
      <c r="C303" s="28">
        <v>1</v>
      </c>
      <c r="D303" s="28" t="s">
        <v>67</v>
      </c>
      <c r="E303" s="28">
        <v>79</v>
      </c>
      <c r="F303" s="28">
        <v>54</v>
      </c>
      <c r="G303" s="28">
        <f t="shared" si="4"/>
        <v>133</v>
      </c>
      <c r="H303" s="28" t="s">
        <v>1937</v>
      </c>
      <c r="J303"/>
      <c r="K303"/>
      <c r="L303"/>
      <c r="M303"/>
      <c r="N303"/>
      <c r="O303"/>
      <c r="P303"/>
      <c r="Q303"/>
      <c r="R303"/>
      <c r="S303"/>
      <c r="T303"/>
      <c r="U303"/>
    </row>
    <row r="304" spans="1:21" hidden="1" x14ac:dyDescent="0.3">
      <c r="A304" s="28" t="s">
        <v>1929</v>
      </c>
      <c r="B304" s="18">
        <v>2016</v>
      </c>
      <c r="C304" s="28">
        <v>1</v>
      </c>
      <c r="D304" s="28" t="s">
        <v>122</v>
      </c>
      <c r="E304" s="28">
        <v>64</v>
      </c>
      <c r="F304" s="28">
        <v>59</v>
      </c>
      <c r="G304" s="28">
        <f t="shared" si="4"/>
        <v>123</v>
      </c>
      <c r="H304" s="28" t="s">
        <v>1937</v>
      </c>
      <c r="J304"/>
      <c r="K304"/>
      <c r="L304"/>
      <c r="M304"/>
      <c r="N304"/>
      <c r="O304"/>
      <c r="P304"/>
      <c r="Q304"/>
      <c r="R304"/>
      <c r="S304"/>
      <c r="T304"/>
      <c r="U304"/>
    </row>
    <row r="305" spans="1:21" hidden="1" x14ac:dyDescent="0.3">
      <c r="A305" s="28" t="s">
        <v>1929</v>
      </c>
      <c r="B305" s="18">
        <v>2016</v>
      </c>
      <c r="C305" s="28">
        <v>1</v>
      </c>
      <c r="D305" s="28" t="s">
        <v>78</v>
      </c>
      <c r="E305" s="28">
        <v>44</v>
      </c>
      <c r="F305" s="28">
        <v>48</v>
      </c>
      <c r="G305" s="28">
        <f t="shared" si="4"/>
        <v>92</v>
      </c>
      <c r="H305" s="28" t="s">
        <v>1937</v>
      </c>
      <c r="J305"/>
      <c r="K305"/>
      <c r="L305"/>
      <c r="M305"/>
      <c r="N305"/>
      <c r="O305"/>
      <c r="P305"/>
      <c r="Q305"/>
      <c r="R305"/>
      <c r="S305"/>
      <c r="T305"/>
      <c r="U305"/>
    </row>
    <row r="306" spans="1:21" hidden="1" x14ac:dyDescent="0.3">
      <c r="A306" s="28" t="s">
        <v>1929</v>
      </c>
      <c r="B306" s="18">
        <v>2016</v>
      </c>
      <c r="C306" s="28">
        <v>1</v>
      </c>
      <c r="D306" s="28" t="s">
        <v>81</v>
      </c>
      <c r="E306" s="28">
        <v>50</v>
      </c>
      <c r="F306" s="28">
        <v>4</v>
      </c>
      <c r="G306" s="28">
        <f t="shared" si="4"/>
        <v>54</v>
      </c>
      <c r="H306" s="28" t="s">
        <v>1937</v>
      </c>
      <c r="J306"/>
      <c r="K306"/>
      <c r="L306"/>
      <c r="M306"/>
      <c r="N306"/>
      <c r="O306"/>
      <c r="P306"/>
      <c r="Q306"/>
      <c r="R306"/>
      <c r="S306"/>
      <c r="T306"/>
      <c r="U306"/>
    </row>
    <row r="307" spans="1:21" hidden="1" x14ac:dyDescent="0.3">
      <c r="A307" s="28" t="s">
        <v>1929</v>
      </c>
      <c r="B307" s="18">
        <v>2016</v>
      </c>
      <c r="C307" s="28">
        <v>1</v>
      </c>
      <c r="D307" s="28" t="s">
        <v>125</v>
      </c>
      <c r="E307" s="28">
        <v>9</v>
      </c>
      <c r="F307" s="28">
        <v>1</v>
      </c>
      <c r="G307" s="28">
        <f t="shared" si="4"/>
        <v>10</v>
      </c>
      <c r="H307" s="28" t="s">
        <v>1937</v>
      </c>
      <c r="J307"/>
      <c r="K307"/>
      <c r="L307"/>
      <c r="M307"/>
      <c r="N307"/>
      <c r="O307"/>
      <c r="P307"/>
      <c r="Q307"/>
      <c r="R307"/>
      <c r="S307"/>
      <c r="T307"/>
      <c r="U307"/>
    </row>
    <row r="308" spans="1:21" hidden="1" x14ac:dyDescent="0.3">
      <c r="A308" s="28" t="s">
        <v>1929</v>
      </c>
      <c r="B308" s="18">
        <v>2016</v>
      </c>
      <c r="C308" s="28">
        <v>1</v>
      </c>
      <c r="D308" s="28" t="s">
        <v>138</v>
      </c>
      <c r="E308" s="28">
        <v>4</v>
      </c>
      <c r="F308" s="28">
        <v>5</v>
      </c>
      <c r="G308" s="28">
        <f t="shared" si="4"/>
        <v>9</v>
      </c>
      <c r="H308" s="28" t="s">
        <v>1937</v>
      </c>
      <c r="J308"/>
      <c r="K308"/>
      <c r="L308"/>
      <c r="M308"/>
      <c r="N308"/>
      <c r="O308"/>
      <c r="P308"/>
      <c r="Q308"/>
      <c r="R308"/>
      <c r="S308"/>
      <c r="T308"/>
      <c r="U308"/>
    </row>
    <row r="309" spans="1:21" hidden="1" x14ac:dyDescent="0.3">
      <c r="A309" s="28" t="s">
        <v>1929</v>
      </c>
      <c r="B309" s="18">
        <v>2016</v>
      </c>
      <c r="C309" s="28">
        <v>1</v>
      </c>
      <c r="D309" s="28" t="s">
        <v>56</v>
      </c>
      <c r="E309" s="28">
        <v>0</v>
      </c>
      <c r="F309" s="28">
        <v>4</v>
      </c>
      <c r="G309" s="28">
        <f t="shared" si="4"/>
        <v>4</v>
      </c>
      <c r="H309" s="28" t="s">
        <v>1937</v>
      </c>
      <c r="J309"/>
      <c r="K309"/>
      <c r="L309"/>
      <c r="M309"/>
      <c r="N309"/>
      <c r="O309"/>
      <c r="P309"/>
      <c r="Q309"/>
      <c r="R309"/>
      <c r="S309"/>
      <c r="T309"/>
      <c r="U309"/>
    </row>
    <row r="310" spans="1:21" hidden="1" x14ac:dyDescent="0.3">
      <c r="A310" s="28" t="s">
        <v>1929</v>
      </c>
      <c r="B310" s="18">
        <v>2016</v>
      </c>
      <c r="C310" s="28">
        <v>1</v>
      </c>
      <c r="D310" s="28" t="s">
        <v>128</v>
      </c>
      <c r="E310" s="28">
        <v>3</v>
      </c>
      <c r="F310" s="28">
        <v>0</v>
      </c>
      <c r="G310" s="28">
        <f t="shared" si="4"/>
        <v>3</v>
      </c>
      <c r="H310" s="28" t="s">
        <v>1937</v>
      </c>
      <c r="J310"/>
      <c r="K310"/>
      <c r="L310"/>
      <c r="M310"/>
      <c r="N310"/>
      <c r="O310"/>
      <c r="P310"/>
      <c r="Q310"/>
      <c r="R310"/>
      <c r="S310"/>
      <c r="T310"/>
      <c r="U310"/>
    </row>
    <row r="311" spans="1:21" hidden="1" x14ac:dyDescent="0.3">
      <c r="A311" s="28" t="s">
        <v>91</v>
      </c>
      <c r="B311" s="18">
        <v>2016</v>
      </c>
      <c r="C311" s="28">
        <v>1</v>
      </c>
      <c r="D311" s="28" t="s">
        <v>56</v>
      </c>
      <c r="E311" s="28">
        <v>1197</v>
      </c>
      <c r="F311" s="28">
        <f>1117+9+16</f>
        <v>1142</v>
      </c>
      <c r="G311" s="28">
        <f t="shared" si="4"/>
        <v>2339</v>
      </c>
      <c r="H311" s="28" t="s">
        <v>1937</v>
      </c>
      <c r="J311"/>
      <c r="K311"/>
      <c r="L311"/>
      <c r="M311"/>
      <c r="N311"/>
      <c r="O311"/>
      <c r="P311"/>
      <c r="Q311"/>
      <c r="R311"/>
      <c r="S311"/>
      <c r="T311"/>
      <c r="U311"/>
    </row>
    <row r="312" spans="1:21" hidden="1" x14ac:dyDescent="0.3">
      <c r="A312" s="28" t="s">
        <v>1929</v>
      </c>
      <c r="B312" s="18">
        <v>2016</v>
      </c>
      <c r="C312" s="28">
        <v>2</v>
      </c>
      <c r="D312" s="28" t="s">
        <v>63</v>
      </c>
      <c r="E312" s="28">
        <v>134</v>
      </c>
      <c r="F312" s="28">
        <v>108</v>
      </c>
      <c r="G312" s="28">
        <f t="shared" si="4"/>
        <v>242</v>
      </c>
      <c r="H312" s="28" t="s">
        <v>1937</v>
      </c>
      <c r="J312"/>
      <c r="K312"/>
      <c r="L312"/>
      <c r="M312"/>
      <c r="N312"/>
      <c r="O312"/>
      <c r="P312"/>
      <c r="Q312"/>
      <c r="R312"/>
      <c r="S312"/>
      <c r="T312"/>
      <c r="U312"/>
    </row>
    <row r="313" spans="1:21" hidden="1" x14ac:dyDescent="0.3">
      <c r="A313" s="28" t="s">
        <v>1929</v>
      </c>
      <c r="B313" s="18">
        <v>2016</v>
      </c>
      <c r="C313" s="28">
        <v>2</v>
      </c>
      <c r="D313" s="28" t="s">
        <v>122</v>
      </c>
      <c r="E313" s="28">
        <v>53</v>
      </c>
      <c r="F313" s="28">
        <v>49</v>
      </c>
      <c r="G313" s="28">
        <f t="shared" si="4"/>
        <v>102</v>
      </c>
      <c r="H313" s="28" t="s">
        <v>1937</v>
      </c>
      <c r="J313"/>
      <c r="K313"/>
      <c r="L313"/>
      <c r="M313"/>
      <c r="N313"/>
      <c r="O313"/>
      <c r="P313"/>
      <c r="Q313"/>
      <c r="R313"/>
      <c r="S313"/>
      <c r="T313"/>
      <c r="U313"/>
    </row>
    <row r="314" spans="1:21" hidden="1" x14ac:dyDescent="0.3">
      <c r="A314" s="28" t="s">
        <v>1929</v>
      </c>
      <c r="B314" s="18">
        <v>2016</v>
      </c>
      <c r="C314" s="28">
        <v>2</v>
      </c>
      <c r="D314" s="28" t="s">
        <v>78</v>
      </c>
      <c r="E314" s="28">
        <v>48</v>
      </c>
      <c r="F314" s="28">
        <v>50</v>
      </c>
      <c r="G314" s="28">
        <f t="shared" si="4"/>
        <v>98</v>
      </c>
      <c r="H314" s="28" t="s">
        <v>1937</v>
      </c>
      <c r="J314"/>
      <c r="K314"/>
      <c r="L314"/>
      <c r="M314"/>
      <c r="N314"/>
      <c r="O314"/>
      <c r="P314"/>
      <c r="Q314"/>
      <c r="R314"/>
      <c r="S314"/>
      <c r="T314"/>
      <c r="U314"/>
    </row>
    <row r="315" spans="1:21" hidden="1" x14ac:dyDescent="0.3">
      <c r="A315" s="28" t="s">
        <v>1929</v>
      </c>
      <c r="B315" s="18">
        <v>2016</v>
      </c>
      <c r="C315" s="28">
        <v>2</v>
      </c>
      <c r="D315" s="28" t="s">
        <v>67</v>
      </c>
      <c r="E315" s="28">
        <v>39</v>
      </c>
      <c r="F315" s="28">
        <v>51</v>
      </c>
      <c r="G315" s="28">
        <f t="shared" si="4"/>
        <v>90</v>
      </c>
      <c r="H315" s="28" t="s">
        <v>1937</v>
      </c>
      <c r="J315"/>
      <c r="K315"/>
      <c r="L315"/>
      <c r="M315"/>
      <c r="N315"/>
      <c r="O315"/>
      <c r="P315"/>
      <c r="Q315"/>
      <c r="R315"/>
      <c r="S315"/>
      <c r="T315"/>
      <c r="U315"/>
    </row>
    <row r="316" spans="1:21" hidden="1" x14ac:dyDescent="0.3">
      <c r="A316" s="28" t="s">
        <v>1929</v>
      </c>
      <c r="B316" s="18">
        <v>2016</v>
      </c>
      <c r="C316" s="28">
        <v>2</v>
      </c>
      <c r="D316" s="28" t="s">
        <v>115</v>
      </c>
      <c r="E316" s="28">
        <v>51</v>
      </c>
      <c r="F316" s="28">
        <v>28</v>
      </c>
      <c r="G316" s="28">
        <f t="shared" si="4"/>
        <v>79</v>
      </c>
      <c r="H316" s="28" t="s">
        <v>1937</v>
      </c>
      <c r="J316"/>
      <c r="K316"/>
      <c r="L316"/>
      <c r="M316"/>
      <c r="N316"/>
      <c r="O316"/>
      <c r="P316"/>
      <c r="Q316"/>
      <c r="R316"/>
      <c r="S316"/>
      <c r="T316"/>
      <c r="U316"/>
    </row>
    <row r="317" spans="1:21" hidden="1" x14ac:dyDescent="0.3">
      <c r="A317" s="28" t="s">
        <v>1929</v>
      </c>
      <c r="B317" s="18">
        <v>2016</v>
      </c>
      <c r="C317" s="28">
        <v>2</v>
      </c>
      <c r="D317" s="28" t="s">
        <v>536</v>
      </c>
      <c r="E317" s="28">
        <v>5</v>
      </c>
      <c r="F317" s="28">
        <v>5</v>
      </c>
      <c r="G317" s="28">
        <f t="shared" si="4"/>
        <v>10</v>
      </c>
      <c r="H317" s="28" t="s">
        <v>1937</v>
      </c>
      <c r="J317"/>
      <c r="K317"/>
      <c r="L317"/>
      <c r="M317"/>
      <c r="N317"/>
      <c r="O317"/>
      <c r="P317"/>
      <c r="Q317"/>
      <c r="R317"/>
      <c r="S317"/>
      <c r="T317"/>
      <c r="U317"/>
    </row>
    <row r="318" spans="1:21" hidden="1" x14ac:dyDescent="0.3">
      <c r="A318" s="28" t="s">
        <v>1929</v>
      </c>
      <c r="B318" s="18">
        <v>2016</v>
      </c>
      <c r="C318" s="28">
        <v>2</v>
      </c>
      <c r="D318" s="28" t="s">
        <v>81</v>
      </c>
      <c r="E318" s="28">
        <v>6</v>
      </c>
      <c r="F318" s="28">
        <v>0</v>
      </c>
      <c r="G318" s="28">
        <f t="shared" si="4"/>
        <v>6</v>
      </c>
      <c r="H318" s="28" t="s">
        <v>1937</v>
      </c>
      <c r="J318"/>
      <c r="K318"/>
      <c r="L318"/>
      <c r="M318"/>
      <c r="N318"/>
      <c r="O318"/>
      <c r="P318"/>
      <c r="Q318"/>
      <c r="R318"/>
      <c r="S318"/>
      <c r="T318"/>
      <c r="U318"/>
    </row>
    <row r="319" spans="1:21" hidden="1" x14ac:dyDescent="0.3">
      <c r="A319" s="28" t="s">
        <v>1929</v>
      </c>
      <c r="B319" s="18">
        <v>2016</v>
      </c>
      <c r="C319" s="28">
        <v>2</v>
      </c>
      <c r="D319" s="28" t="s">
        <v>125</v>
      </c>
      <c r="E319" s="28">
        <v>3</v>
      </c>
      <c r="F319" s="28">
        <v>2</v>
      </c>
      <c r="G319" s="28">
        <f t="shared" si="4"/>
        <v>5</v>
      </c>
      <c r="H319" s="28" t="s">
        <v>1937</v>
      </c>
      <c r="J319"/>
      <c r="K319"/>
      <c r="L319"/>
      <c r="M319"/>
      <c r="N319"/>
      <c r="O319"/>
      <c r="P319"/>
      <c r="Q319"/>
      <c r="R319"/>
      <c r="S319"/>
      <c r="T319"/>
      <c r="U319"/>
    </row>
    <row r="320" spans="1:21" hidden="1" x14ac:dyDescent="0.3">
      <c r="A320" s="28" t="s">
        <v>91</v>
      </c>
      <c r="B320" s="18">
        <v>2016</v>
      </c>
      <c r="C320" s="28">
        <v>2</v>
      </c>
      <c r="D320" s="28" t="s">
        <v>56</v>
      </c>
      <c r="E320" s="28">
        <v>1160</v>
      </c>
      <c r="F320" s="28">
        <v>1257</v>
      </c>
      <c r="G320" s="28">
        <f t="shared" si="4"/>
        <v>2417</v>
      </c>
      <c r="H320" s="28" t="s">
        <v>1937</v>
      </c>
      <c r="J320"/>
      <c r="K320"/>
      <c r="L320"/>
      <c r="M320"/>
      <c r="N320"/>
      <c r="O320"/>
      <c r="P320"/>
      <c r="Q320"/>
      <c r="R320"/>
      <c r="S320"/>
      <c r="T320"/>
      <c r="U320"/>
    </row>
    <row r="321" spans="1:21" hidden="1" x14ac:dyDescent="0.3">
      <c r="A321" s="28" t="s">
        <v>1929</v>
      </c>
      <c r="B321" s="18">
        <v>2016</v>
      </c>
      <c r="C321" s="28">
        <v>3</v>
      </c>
      <c r="D321" s="28" t="s">
        <v>67</v>
      </c>
      <c r="E321" s="28">
        <v>89</v>
      </c>
      <c r="F321" s="28">
        <v>76</v>
      </c>
      <c r="G321" s="28">
        <f t="shared" si="4"/>
        <v>165</v>
      </c>
      <c r="H321" s="28" t="s">
        <v>1937</v>
      </c>
      <c r="J321"/>
      <c r="K321"/>
      <c r="L321"/>
      <c r="M321"/>
      <c r="N321"/>
      <c r="O321"/>
      <c r="P321"/>
      <c r="Q321"/>
      <c r="R321"/>
      <c r="S321"/>
      <c r="T321"/>
      <c r="U321"/>
    </row>
    <row r="322" spans="1:21" hidden="1" x14ac:dyDescent="0.3">
      <c r="A322" s="28" t="s">
        <v>1929</v>
      </c>
      <c r="B322" s="18">
        <v>2016</v>
      </c>
      <c r="C322" s="28">
        <v>3</v>
      </c>
      <c r="D322" s="28" t="s">
        <v>78</v>
      </c>
      <c r="E322" s="28">
        <v>76</v>
      </c>
      <c r="F322" s="28">
        <v>79</v>
      </c>
      <c r="G322" s="28">
        <f t="shared" ref="G322:G385" si="5">SUM(E322+F322)</f>
        <v>155</v>
      </c>
      <c r="H322" s="28" t="s">
        <v>1937</v>
      </c>
      <c r="J322"/>
      <c r="K322"/>
      <c r="L322"/>
      <c r="M322"/>
      <c r="N322"/>
      <c r="O322"/>
      <c r="P322"/>
      <c r="Q322"/>
      <c r="R322"/>
      <c r="S322"/>
      <c r="T322"/>
      <c r="U322"/>
    </row>
    <row r="323" spans="1:21" hidden="1" x14ac:dyDescent="0.3">
      <c r="A323" s="28" t="s">
        <v>1929</v>
      </c>
      <c r="B323" s="18">
        <v>2016</v>
      </c>
      <c r="C323" s="28">
        <v>3</v>
      </c>
      <c r="D323" s="28" t="s">
        <v>122</v>
      </c>
      <c r="E323" s="28">
        <v>70</v>
      </c>
      <c r="F323" s="28">
        <v>59</v>
      </c>
      <c r="G323" s="28">
        <f t="shared" si="5"/>
        <v>129</v>
      </c>
      <c r="H323" s="28" t="s">
        <v>1937</v>
      </c>
      <c r="J323"/>
      <c r="K323"/>
      <c r="L323"/>
      <c r="M323"/>
      <c r="N323"/>
      <c r="O323"/>
      <c r="P323"/>
      <c r="Q323"/>
      <c r="R323"/>
      <c r="S323"/>
      <c r="T323"/>
      <c r="U323"/>
    </row>
    <row r="324" spans="1:21" hidden="1" x14ac:dyDescent="0.3">
      <c r="A324" s="28" t="s">
        <v>1929</v>
      </c>
      <c r="B324" s="18">
        <v>2016</v>
      </c>
      <c r="C324" s="28">
        <v>3</v>
      </c>
      <c r="D324" s="28" t="s">
        <v>115</v>
      </c>
      <c r="E324" s="28">
        <v>26</v>
      </c>
      <c r="F324" s="28">
        <v>61</v>
      </c>
      <c r="G324" s="28">
        <f t="shared" si="5"/>
        <v>87</v>
      </c>
      <c r="H324" s="28" t="s">
        <v>1937</v>
      </c>
      <c r="J324"/>
      <c r="K324"/>
      <c r="L324"/>
      <c r="M324"/>
      <c r="N324"/>
      <c r="O324"/>
      <c r="P324"/>
      <c r="Q324"/>
      <c r="R324"/>
      <c r="S324"/>
      <c r="T324"/>
      <c r="U324"/>
    </row>
    <row r="325" spans="1:21" hidden="1" x14ac:dyDescent="0.3">
      <c r="A325" s="28" t="s">
        <v>1929</v>
      </c>
      <c r="B325" s="18">
        <v>2016</v>
      </c>
      <c r="C325" s="28">
        <v>3</v>
      </c>
      <c r="D325" s="28" t="s">
        <v>81</v>
      </c>
      <c r="E325" s="28">
        <v>15</v>
      </c>
      <c r="F325" s="28">
        <v>33</v>
      </c>
      <c r="G325" s="28">
        <f t="shared" si="5"/>
        <v>48</v>
      </c>
      <c r="H325" s="28" t="s">
        <v>1937</v>
      </c>
      <c r="J325"/>
      <c r="K325"/>
      <c r="L325"/>
      <c r="M325"/>
      <c r="N325"/>
      <c r="O325"/>
      <c r="P325"/>
      <c r="Q325"/>
      <c r="R325"/>
      <c r="S325"/>
      <c r="T325"/>
      <c r="U325"/>
    </row>
    <row r="326" spans="1:21" hidden="1" x14ac:dyDescent="0.3">
      <c r="A326" s="28" t="s">
        <v>1929</v>
      </c>
      <c r="B326" s="18">
        <v>2016</v>
      </c>
      <c r="C326" s="28">
        <v>3</v>
      </c>
      <c r="D326" s="28" t="s">
        <v>125</v>
      </c>
      <c r="E326" s="28">
        <v>3</v>
      </c>
      <c r="F326" s="28">
        <v>3</v>
      </c>
      <c r="G326" s="28">
        <f t="shared" si="5"/>
        <v>6</v>
      </c>
      <c r="H326" s="28" t="s">
        <v>1937</v>
      </c>
      <c r="J326"/>
      <c r="K326"/>
      <c r="L326"/>
      <c r="M326"/>
      <c r="N326"/>
      <c r="O326"/>
      <c r="P326"/>
      <c r="Q326"/>
      <c r="R326"/>
      <c r="S326"/>
      <c r="T326"/>
      <c r="U326"/>
    </row>
    <row r="327" spans="1:21" hidden="1" x14ac:dyDescent="0.3">
      <c r="A327" s="28" t="s">
        <v>1929</v>
      </c>
      <c r="B327" s="18">
        <v>2016</v>
      </c>
      <c r="C327" s="28">
        <v>3</v>
      </c>
      <c r="D327" s="28" t="s">
        <v>63</v>
      </c>
      <c r="E327" s="28">
        <v>2</v>
      </c>
      <c r="F327" s="28">
        <v>2</v>
      </c>
      <c r="G327" s="28">
        <f t="shared" si="5"/>
        <v>4</v>
      </c>
      <c r="H327" s="28" t="s">
        <v>1937</v>
      </c>
      <c r="J327"/>
      <c r="K327"/>
      <c r="L327"/>
      <c r="M327"/>
      <c r="N327"/>
      <c r="O327"/>
      <c r="P327"/>
      <c r="Q327"/>
      <c r="R327"/>
      <c r="S327"/>
      <c r="T327"/>
      <c r="U327"/>
    </row>
    <row r="328" spans="1:21" hidden="1" x14ac:dyDescent="0.3">
      <c r="A328" s="28" t="s">
        <v>1929</v>
      </c>
      <c r="B328" s="18">
        <v>2016</v>
      </c>
      <c r="C328" s="28">
        <v>3</v>
      </c>
      <c r="D328" s="28" t="s">
        <v>230</v>
      </c>
      <c r="E328" s="28">
        <v>2</v>
      </c>
      <c r="F328" s="28">
        <v>2</v>
      </c>
      <c r="G328" s="28">
        <f t="shared" si="5"/>
        <v>4</v>
      </c>
      <c r="H328" s="28" t="s">
        <v>1937</v>
      </c>
      <c r="J328"/>
      <c r="K328"/>
      <c r="L328"/>
      <c r="M328"/>
      <c r="N328"/>
      <c r="O328"/>
      <c r="P328"/>
      <c r="Q328"/>
      <c r="R328"/>
      <c r="S328"/>
      <c r="T328"/>
      <c r="U328"/>
    </row>
    <row r="329" spans="1:21" hidden="1" x14ac:dyDescent="0.3">
      <c r="A329" s="28" t="s">
        <v>91</v>
      </c>
      <c r="B329" s="18">
        <v>2016</v>
      </c>
      <c r="C329" s="28">
        <v>3</v>
      </c>
      <c r="D329" s="28" t="s">
        <v>56</v>
      </c>
      <c r="E329" s="28">
        <v>1449</v>
      </c>
      <c r="F329" s="28">
        <v>1499</v>
      </c>
      <c r="G329" s="28">
        <f t="shared" si="5"/>
        <v>2948</v>
      </c>
      <c r="H329" s="28" t="s">
        <v>1937</v>
      </c>
      <c r="J329"/>
      <c r="K329"/>
      <c r="L329"/>
      <c r="M329"/>
      <c r="N329"/>
      <c r="O329"/>
      <c r="P329"/>
      <c r="Q329"/>
      <c r="R329"/>
      <c r="S329"/>
      <c r="T329"/>
      <c r="U329"/>
    </row>
    <row r="330" spans="1:21" hidden="1" x14ac:dyDescent="0.3">
      <c r="A330" s="28" t="s">
        <v>1929</v>
      </c>
      <c r="B330" s="18">
        <v>2016</v>
      </c>
      <c r="C330" s="28">
        <v>4</v>
      </c>
      <c r="D330" s="28" t="s">
        <v>67</v>
      </c>
      <c r="E330" s="28">
        <v>74</v>
      </c>
      <c r="F330" s="28">
        <v>57</v>
      </c>
      <c r="G330" s="28">
        <f t="shared" si="5"/>
        <v>131</v>
      </c>
      <c r="H330" s="28" t="s">
        <v>1937</v>
      </c>
      <c r="J330"/>
      <c r="K330"/>
      <c r="L330"/>
      <c r="M330"/>
      <c r="N330"/>
      <c r="O330"/>
      <c r="P330"/>
      <c r="Q330"/>
      <c r="R330"/>
      <c r="S330"/>
      <c r="T330"/>
      <c r="U330"/>
    </row>
    <row r="331" spans="1:21" hidden="1" x14ac:dyDescent="0.3">
      <c r="A331" s="28" t="s">
        <v>1929</v>
      </c>
      <c r="B331" s="18">
        <v>2016</v>
      </c>
      <c r="C331" s="28">
        <v>4</v>
      </c>
      <c r="D331" s="28" t="s">
        <v>63</v>
      </c>
      <c r="E331" s="28">
        <v>48</v>
      </c>
      <c r="F331" s="28">
        <v>57</v>
      </c>
      <c r="G331" s="28">
        <f t="shared" si="5"/>
        <v>105</v>
      </c>
      <c r="H331" s="28" t="s">
        <v>1937</v>
      </c>
      <c r="J331"/>
      <c r="K331"/>
      <c r="L331"/>
      <c r="M331"/>
      <c r="N331"/>
      <c r="O331"/>
      <c r="P331"/>
      <c r="Q331"/>
      <c r="R331"/>
      <c r="S331"/>
      <c r="T331"/>
      <c r="U331"/>
    </row>
    <row r="332" spans="1:21" hidden="1" x14ac:dyDescent="0.3">
      <c r="A332" s="28" t="s">
        <v>1929</v>
      </c>
      <c r="B332" s="18">
        <v>2016</v>
      </c>
      <c r="C332" s="28">
        <v>4</v>
      </c>
      <c r="D332" s="28" t="s">
        <v>78</v>
      </c>
      <c r="E332" s="28">
        <v>53</v>
      </c>
      <c r="F332" s="28">
        <v>32</v>
      </c>
      <c r="G332" s="28">
        <f t="shared" si="5"/>
        <v>85</v>
      </c>
      <c r="H332" s="28" t="s">
        <v>1937</v>
      </c>
      <c r="J332"/>
      <c r="K332"/>
      <c r="L332"/>
      <c r="M332"/>
      <c r="N332"/>
      <c r="O332"/>
      <c r="P332"/>
      <c r="Q332"/>
      <c r="R332"/>
      <c r="S332"/>
      <c r="T332"/>
      <c r="U332"/>
    </row>
    <row r="333" spans="1:21" hidden="1" x14ac:dyDescent="0.3">
      <c r="A333" s="28" t="s">
        <v>1929</v>
      </c>
      <c r="B333" s="18">
        <v>2016</v>
      </c>
      <c r="C333" s="28">
        <v>4</v>
      </c>
      <c r="D333" s="28" t="s">
        <v>115</v>
      </c>
      <c r="E333" s="28">
        <v>39</v>
      </c>
      <c r="F333" s="28">
        <v>33</v>
      </c>
      <c r="G333" s="28">
        <f t="shared" si="5"/>
        <v>72</v>
      </c>
      <c r="H333" s="28" t="s">
        <v>1937</v>
      </c>
      <c r="J333"/>
      <c r="K333"/>
      <c r="L333"/>
      <c r="M333"/>
      <c r="N333"/>
      <c r="O333"/>
      <c r="P333"/>
      <c r="Q333"/>
      <c r="R333"/>
      <c r="S333"/>
      <c r="T333"/>
      <c r="U333"/>
    </row>
    <row r="334" spans="1:21" hidden="1" x14ac:dyDescent="0.3">
      <c r="A334" s="28" t="s">
        <v>1929</v>
      </c>
      <c r="B334" s="18">
        <v>2016</v>
      </c>
      <c r="C334" s="28">
        <v>4</v>
      </c>
      <c r="D334" s="28" t="s">
        <v>122</v>
      </c>
      <c r="E334" s="28">
        <v>11</v>
      </c>
      <c r="F334" s="28">
        <v>24</v>
      </c>
      <c r="G334" s="28">
        <f t="shared" si="5"/>
        <v>35</v>
      </c>
      <c r="H334" s="28" t="s">
        <v>1937</v>
      </c>
      <c r="J334"/>
      <c r="K334"/>
      <c r="L334"/>
      <c r="M334"/>
      <c r="N334"/>
      <c r="O334"/>
      <c r="P334"/>
      <c r="Q334"/>
      <c r="R334"/>
      <c r="S334"/>
      <c r="T334"/>
      <c r="U334"/>
    </row>
    <row r="335" spans="1:21" hidden="1" x14ac:dyDescent="0.3">
      <c r="A335" s="28" t="s">
        <v>1929</v>
      </c>
      <c r="B335" s="18">
        <v>2016</v>
      </c>
      <c r="C335" s="28">
        <v>4</v>
      </c>
      <c r="D335" s="28" t="s">
        <v>81</v>
      </c>
      <c r="E335" s="28">
        <v>19</v>
      </c>
      <c r="F335" s="28">
        <v>16</v>
      </c>
      <c r="G335" s="28">
        <f t="shared" si="5"/>
        <v>35</v>
      </c>
      <c r="H335" s="28" t="s">
        <v>1937</v>
      </c>
      <c r="J335"/>
      <c r="K335"/>
      <c r="L335"/>
      <c r="M335"/>
      <c r="N335"/>
      <c r="O335"/>
      <c r="P335"/>
      <c r="Q335"/>
      <c r="R335"/>
      <c r="S335"/>
      <c r="T335"/>
      <c r="U335"/>
    </row>
    <row r="336" spans="1:21" hidden="1" x14ac:dyDescent="0.3">
      <c r="A336" s="28" t="s">
        <v>1929</v>
      </c>
      <c r="B336" s="18">
        <v>2016</v>
      </c>
      <c r="C336" s="28">
        <v>4</v>
      </c>
      <c r="D336" s="28" t="s">
        <v>230</v>
      </c>
      <c r="E336" s="28">
        <v>9</v>
      </c>
      <c r="F336" s="28">
        <v>0</v>
      </c>
      <c r="G336" s="28">
        <f t="shared" si="5"/>
        <v>9</v>
      </c>
      <c r="H336" s="28" t="s">
        <v>1937</v>
      </c>
      <c r="J336"/>
      <c r="K336"/>
      <c r="L336"/>
      <c r="M336"/>
      <c r="N336"/>
      <c r="O336"/>
      <c r="P336"/>
      <c r="Q336"/>
      <c r="R336"/>
      <c r="S336"/>
      <c r="T336"/>
      <c r="U336"/>
    </row>
    <row r="337" spans="1:21" hidden="1" x14ac:dyDescent="0.3">
      <c r="A337" s="28" t="s">
        <v>1929</v>
      </c>
      <c r="B337" s="18">
        <v>2016</v>
      </c>
      <c r="C337" s="28">
        <v>4</v>
      </c>
      <c r="D337" s="28" t="s">
        <v>128</v>
      </c>
      <c r="E337" s="28">
        <v>4</v>
      </c>
      <c r="F337" s="28">
        <v>4</v>
      </c>
      <c r="G337" s="28">
        <f t="shared" si="5"/>
        <v>8</v>
      </c>
      <c r="H337" s="28" t="s">
        <v>1937</v>
      </c>
      <c r="J337"/>
      <c r="K337"/>
      <c r="L337"/>
      <c r="M337"/>
      <c r="N337"/>
      <c r="O337"/>
      <c r="P337"/>
      <c r="Q337"/>
      <c r="R337"/>
      <c r="S337"/>
      <c r="T337"/>
      <c r="U337"/>
    </row>
    <row r="338" spans="1:21" hidden="1" x14ac:dyDescent="0.3">
      <c r="A338" s="28" t="s">
        <v>1929</v>
      </c>
      <c r="B338" s="18">
        <v>2016</v>
      </c>
      <c r="C338" s="28">
        <v>4</v>
      </c>
      <c r="D338" s="28" t="s">
        <v>138</v>
      </c>
      <c r="E338" s="28">
        <v>4</v>
      </c>
      <c r="F338" s="28">
        <v>4</v>
      </c>
      <c r="G338" s="28">
        <f t="shared" si="5"/>
        <v>8</v>
      </c>
      <c r="H338" s="28" t="s">
        <v>1937</v>
      </c>
      <c r="J338"/>
      <c r="K338"/>
      <c r="L338"/>
      <c r="M338"/>
      <c r="N338"/>
      <c r="O338"/>
      <c r="P338"/>
      <c r="Q338"/>
      <c r="R338"/>
      <c r="S338"/>
      <c r="T338"/>
      <c r="U338"/>
    </row>
    <row r="339" spans="1:21" hidden="1" x14ac:dyDescent="0.3">
      <c r="A339" s="28" t="s">
        <v>91</v>
      </c>
      <c r="B339" s="18">
        <v>2016</v>
      </c>
      <c r="C339" s="28">
        <v>4</v>
      </c>
      <c r="D339" s="28" t="s">
        <v>56</v>
      </c>
      <c r="E339" s="28">
        <v>1529</v>
      </c>
      <c r="F339" s="28">
        <v>1515</v>
      </c>
      <c r="G339" s="28">
        <f t="shared" si="5"/>
        <v>3044</v>
      </c>
      <c r="H339" s="28" t="s">
        <v>1937</v>
      </c>
      <c r="J339"/>
      <c r="K339"/>
      <c r="L339"/>
      <c r="M339"/>
      <c r="N339"/>
      <c r="O339"/>
      <c r="P339"/>
      <c r="Q339"/>
      <c r="R339"/>
      <c r="S339"/>
      <c r="T339"/>
      <c r="U339"/>
    </row>
    <row r="340" spans="1:21" hidden="1" x14ac:dyDescent="0.3">
      <c r="A340" s="28" t="s">
        <v>1929</v>
      </c>
      <c r="B340" s="18">
        <v>2016</v>
      </c>
      <c r="C340" s="28">
        <v>5</v>
      </c>
      <c r="D340" s="28" t="s">
        <v>67</v>
      </c>
      <c r="E340" s="28">
        <v>101</v>
      </c>
      <c r="F340" s="28">
        <v>88</v>
      </c>
      <c r="G340" s="28">
        <f t="shared" si="5"/>
        <v>189</v>
      </c>
      <c r="H340" s="28" t="s">
        <v>1937</v>
      </c>
      <c r="J340"/>
      <c r="K340"/>
      <c r="L340"/>
      <c r="M340"/>
      <c r="N340"/>
      <c r="O340"/>
      <c r="P340"/>
      <c r="Q340"/>
      <c r="R340"/>
      <c r="S340"/>
      <c r="T340"/>
      <c r="U340"/>
    </row>
    <row r="341" spans="1:21" hidden="1" x14ac:dyDescent="0.3">
      <c r="A341" s="28" t="s">
        <v>1929</v>
      </c>
      <c r="B341" s="18">
        <v>2016</v>
      </c>
      <c r="C341" s="28">
        <v>5</v>
      </c>
      <c r="D341" s="28" t="s">
        <v>63</v>
      </c>
      <c r="E341" s="28">
        <v>94</v>
      </c>
      <c r="F341" s="28">
        <v>55</v>
      </c>
      <c r="G341" s="28">
        <f t="shared" si="5"/>
        <v>149</v>
      </c>
      <c r="H341" s="28" t="s">
        <v>1937</v>
      </c>
    </row>
    <row r="342" spans="1:21" hidden="1" x14ac:dyDescent="0.3">
      <c r="A342" s="28" t="s">
        <v>1929</v>
      </c>
      <c r="B342" s="18">
        <v>2016</v>
      </c>
      <c r="C342" s="28">
        <v>5</v>
      </c>
      <c r="D342" s="28" t="s">
        <v>115</v>
      </c>
      <c r="E342" s="28">
        <v>72</v>
      </c>
      <c r="F342" s="28">
        <v>38</v>
      </c>
      <c r="G342" s="28">
        <f t="shared" si="5"/>
        <v>110</v>
      </c>
      <c r="H342" s="28" t="s">
        <v>1937</v>
      </c>
    </row>
    <row r="343" spans="1:21" hidden="1" x14ac:dyDescent="0.3">
      <c r="A343" s="28" t="s">
        <v>1929</v>
      </c>
      <c r="B343" s="18">
        <v>2016</v>
      </c>
      <c r="C343" s="28">
        <v>5</v>
      </c>
      <c r="D343" s="28" t="s">
        <v>78</v>
      </c>
      <c r="E343" s="28">
        <v>48</v>
      </c>
      <c r="F343" s="28">
        <v>32</v>
      </c>
      <c r="G343" s="28">
        <f t="shared" si="5"/>
        <v>80</v>
      </c>
      <c r="H343" s="28" t="s">
        <v>1937</v>
      </c>
    </row>
    <row r="344" spans="1:21" hidden="1" x14ac:dyDescent="0.3">
      <c r="A344" s="28" t="s">
        <v>1929</v>
      </c>
      <c r="B344" s="18">
        <v>2016</v>
      </c>
      <c r="C344" s="28">
        <v>5</v>
      </c>
      <c r="D344" s="28" t="s">
        <v>122</v>
      </c>
      <c r="E344" s="28">
        <v>23</v>
      </c>
      <c r="F344" s="28">
        <v>25</v>
      </c>
      <c r="G344" s="28">
        <f t="shared" si="5"/>
        <v>48</v>
      </c>
      <c r="H344" s="28" t="s">
        <v>1937</v>
      </c>
    </row>
    <row r="345" spans="1:21" hidden="1" x14ac:dyDescent="0.3">
      <c r="A345" s="28" t="s">
        <v>1929</v>
      </c>
      <c r="B345" s="18">
        <v>2016</v>
      </c>
      <c r="C345" s="28">
        <v>5</v>
      </c>
      <c r="D345" s="28" t="s">
        <v>81</v>
      </c>
      <c r="E345" s="28">
        <v>9</v>
      </c>
      <c r="F345" s="28">
        <v>25</v>
      </c>
      <c r="G345" s="28">
        <f t="shared" si="5"/>
        <v>34</v>
      </c>
      <c r="H345" s="28" t="s">
        <v>1937</v>
      </c>
    </row>
    <row r="346" spans="1:21" hidden="1" x14ac:dyDescent="0.3">
      <c r="A346" s="28" t="s">
        <v>1929</v>
      </c>
      <c r="B346" s="18">
        <v>2016</v>
      </c>
      <c r="C346" s="28">
        <v>5</v>
      </c>
      <c r="D346" s="28" t="s">
        <v>72</v>
      </c>
      <c r="E346" s="28">
        <v>9</v>
      </c>
      <c r="F346" s="28">
        <v>3</v>
      </c>
      <c r="G346" s="28">
        <f t="shared" si="5"/>
        <v>12</v>
      </c>
      <c r="H346" s="28" t="s">
        <v>1937</v>
      </c>
    </row>
    <row r="347" spans="1:21" hidden="1" x14ac:dyDescent="0.3">
      <c r="A347" s="28" t="s">
        <v>1929</v>
      </c>
      <c r="B347" s="18">
        <v>2016</v>
      </c>
      <c r="C347" s="28">
        <v>5</v>
      </c>
      <c r="D347" s="28" t="s">
        <v>230</v>
      </c>
      <c r="E347" s="28">
        <v>5</v>
      </c>
      <c r="F347" s="28">
        <v>5</v>
      </c>
      <c r="G347" s="28">
        <f t="shared" si="5"/>
        <v>10</v>
      </c>
      <c r="H347" s="28" t="s">
        <v>1937</v>
      </c>
    </row>
    <row r="348" spans="1:21" hidden="1" x14ac:dyDescent="0.3">
      <c r="A348" s="28" t="s">
        <v>1929</v>
      </c>
      <c r="B348" s="18">
        <v>2016</v>
      </c>
      <c r="C348" s="28">
        <v>5</v>
      </c>
      <c r="D348" s="28" t="s">
        <v>536</v>
      </c>
      <c r="E348" s="28">
        <v>5</v>
      </c>
      <c r="F348" s="28">
        <v>0</v>
      </c>
      <c r="G348" s="28">
        <f t="shared" si="5"/>
        <v>5</v>
      </c>
      <c r="H348" s="28" t="s">
        <v>1937</v>
      </c>
    </row>
    <row r="349" spans="1:21" hidden="1" x14ac:dyDescent="0.3">
      <c r="A349" s="28" t="s">
        <v>1929</v>
      </c>
      <c r="B349" s="18">
        <v>2016</v>
      </c>
      <c r="C349" s="28">
        <v>5</v>
      </c>
      <c r="D349" s="28" t="s">
        <v>125</v>
      </c>
      <c r="E349" s="28">
        <v>0</v>
      </c>
      <c r="F349" s="28">
        <v>3</v>
      </c>
      <c r="G349" s="28">
        <f t="shared" si="5"/>
        <v>3</v>
      </c>
      <c r="H349" s="28" t="s">
        <v>1937</v>
      </c>
    </row>
    <row r="350" spans="1:21" hidden="1" x14ac:dyDescent="0.3">
      <c r="A350" s="28" t="s">
        <v>91</v>
      </c>
      <c r="B350" s="18">
        <v>2016</v>
      </c>
      <c r="C350" s="28">
        <v>5</v>
      </c>
      <c r="D350" s="28" t="s">
        <v>56</v>
      </c>
      <c r="E350" s="28">
        <v>1581</v>
      </c>
      <c r="F350" s="28">
        <v>1674</v>
      </c>
      <c r="G350" s="28">
        <f t="shared" si="5"/>
        <v>3255</v>
      </c>
      <c r="H350" s="28" t="s">
        <v>1937</v>
      </c>
    </row>
    <row r="351" spans="1:21" hidden="1" x14ac:dyDescent="0.3">
      <c r="A351" s="28" t="s">
        <v>1929</v>
      </c>
      <c r="B351" s="18">
        <v>2016</v>
      </c>
      <c r="C351" s="28">
        <v>6</v>
      </c>
      <c r="D351" s="28" t="s">
        <v>115</v>
      </c>
      <c r="E351" s="28">
        <v>66</v>
      </c>
      <c r="F351" s="28">
        <v>49</v>
      </c>
      <c r="G351" s="28">
        <f t="shared" si="5"/>
        <v>115</v>
      </c>
      <c r="H351" s="28" t="s">
        <v>1937</v>
      </c>
    </row>
    <row r="352" spans="1:21" hidden="1" x14ac:dyDescent="0.3">
      <c r="A352" s="28" t="s">
        <v>1929</v>
      </c>
      <c r="B352" s="18">
        <v>2016</v>
      </c>
      <c r="C352" s="28">
        <v>6</v>
      </c>
      <c r="D352" s="28" t="s">
        <v>67</v>
      </c>
      <c r="E352" s="28">
        <v>74</v>
      </c>
      <c r="F352" s="28">
        <v>39</v>
      </c>
      <c r="G352" s="28">
        <f t="shared" si="5"/>
        <v>113</v>
      </c>
      <c r="H352" s="28" t="s">
        <v>1937</v>
      </c>
    </row>
    <row r="353" spans="1:8" hidden="1" x14ac:dyDescent="0.3">
      <c r="A353" s="28" t="s">
        <v>1929</v>
      </c>
      <c r="B353" s="18">
        <v>2016</v>
      </c>
      <c r="C353" s="28">
        <v>6</v>
      </c>
      <c r="D353" s="28" t="s">
        <v>78</v>
      </c>
      <c r="E353" s="28">
        <v>26</v>
      </c>
      <c r="F353" s="28">
        <v>79</v>
      </c>
      <c r="G353" s="28">
        <f t="shared" si="5"/>
        <v>105</v>
      </c>
      <c r="H353" s="28" t="s">
        <v>1937</v>
      </c>
    </row>
    <row r="354" spans="1:8" hidden="1" x14ac:dyDescent="0.3">
      <c r="A354" s="28" t="s">
        <v>1929</v>
      </c>
      <c r="B354" s="18">
        <v>2016</v>
      </c>
      <c r="C354" s="28">
        <v>6</v>
      </c>
      <c r="D354" s="28" t="s">
        <v>122</v>
      </c>
      <c r="E354" s="28">
        <v>12</v>
      </c>
      <c r="F354" s="28">
        <v>43</v>
      </c>
      <c r="G354" s="28">
        <f t="shared" si="5"/>
        <v>55</v>
      </c>
      <c r="H354" s="28" t="s">
        <v>1937</v>
      </c>
    </row>
    <row r="355" spans="1:8" hidden="1" x14ac:dyDescent="0.3">
      <c r="A355" s="28" t="s">
        <v>1929</v>
      </c>
      <c r="B355" s="18">
        <v>2016</v>
      </c>
      <c r="C355" s="28">
        <v>6</v>
      </c>
      <c r="D355" s="28" t="s">
        <v>81</v>
      </c>
      <c r="E355" s="28">
        <v>24</v>
      </c>
      <c r="F355" s="28">
        <v>10</v>
      </c>
      <c r="G355" s="28">
        <f t="shared" si="5"/>
        <v>34</v>
      </c>
      <c r="H355" s="28" t="s">
        <v>1937</v>
      </c>
    </row>
    <row r="356" spans="1:8" hidden="1" x14ac:dyDescent="0.3">
      <c r="A356" s="28" t="s">
        <v>1929</v>
      </c>
      <c r="B356" s="18">
        <v>2016</v>
      </c>
      <c r="C356" s="28">
        <v>6</v>
      </c>
      <c r="D356" s="28" t="s">
        <v>72</v>
      </c>
      <c r="E356" s="28">
        <v>2</v>
      </c>
      <c r="F356" s="28">
        <v>30</v>
      </c>
      <c r="G356" s="28">
        <f t="shared" si="5"/>
        <v>32</v>
      </c>
      <c r="H356" s="28" t="s">
        <v>1937</v>
      </c>
    </row>
    <row r="357" spans="1:8" hidden="1" x14ac:dyDescent="0.3">
      <c r="A357" s="28" t="s">
        <v>1929</v>
      </c>
      <c r="B357" s="18">
        <v>2016</v>
      </c>
      <c r="C357" s="28">
        <v>6</v>
      </c>
      <c r="D357" s="28" t="s">
        <v>63</v>
      </c>
      <c r="E357" s="28">
        <v>15</v>
      </c>
      <c r="F357" s="28">
        <v>9</v>
      </c>
      <c r="G357" s="28">
        <f t="shared" si="5"/>
        <v>24</v>
      </c>
      <c r="H357" s="28" t="s">
        <v>1937</v>
      </c>
    </row>
    <row r="358" spans="1:8" hidden="1" x14ac:dyDescent="0.3">
      <c r="A358" s="28" t="s">
        <v>91</v>
      </c>
      <c r="B358" s="18">
        <v>2016</v>
      </c>
      <c r="C358" s="28">
        <v>6</v>
      </c>
      <c r="D358" s="28" t="s">
        <v>56</v>
      </c>
      <c r="E358" s="28">
        <v>1796</v>
      </c>
      <c r="F358" s="28">
        <v>1817</v>
      </c>
      <c r="G358" s="28">
        <f t="shared" si="5"/>
        <v>3613</v>
      </c>
      <c r="H358" s="28" t="s">
        <v>1937</v>
      </c>
    </row>
    <row r="359" spans="1:8" hidden="1" x14ac:dyDescent="0.3">
      <c r="A359" s="28" t="s">
        <v>1929</v>
      </c>
      <c r="B359" s="18">
        <v>2016</v>
      </c>
      <c r="C359" s="28">
        <v>7</v>
      </c>
      <c r="D359" s="28" t="s">
        <v>78</v>
      </c>
      <c r="E359" s="28">
        <v>72</v>
      </c>
      <c r="F359" s="28">
        <v>65</v>
      </c>
      <c r="G359" s="28">
        <f t="shared" si="5"/>
        <v>137</v>
      </c>
      <c r="H359" s="28" t="s">
        <v>1937</v>
      </c>
    </row>
    <row r="360" spans="1:8" hidden="1" x14ac:dyDescent="0.3">
      <c r="A360" s="28" t="s">
        <v>1929</v>
      </c>
      <c r="B360" s="18">
        <v>2016</v>
      </c>
      <c r="C360" s="28">
        <v>7</v>
      </c>
      <c r="D360" s="28" t="s">
        <v>67</v>
      </c>
      <c r="E360" s="28">
        <v>65</v>
      </c>
      <c r="F360" s="28">
        <v>70</v>
      </c>
      <c r="G360" s="28">
        <f t="shared" si="5"/>
        <v>135</v>
      </c>
      <c r="H360" s="28" t="s">
        <v>1937</v>
      </c>
    </row>
    <row r="361" spans="1:8" hidden="1" x14ac:dyDescent="0.3">
      <c r="A361" s="28" t="s">
        <v>1929</v>
      </c>
      <c r="B361" s="18">
        <v>2016</v>
      </c>
      <c r="C361" s="28">
        <v>7</v>
      </c>
      <c r="D361" s="28" t="s">
        <v>122</v>
      </c>
      <c r="E361" s="28">
        <v>78</v>
      </c>
      <c r="F361" s="28">
        <v>24</v>
      </c>
      <c r="G361" s="28">
        <f t="shared" si="5"/>
        <v>102</v>
      </c>
      <c r="H361" s="28" t="s">
        <v>1937</v>
      </c>
    </row>
    <row r="362" spans="1:8" hidden="1" x14ac:dyDescent="0.3">
      <c r="A362" s="28" t="s">
        <v>1929</v>
      </c>
      <c r="B362" s="18">
        <v>2016</v>
      </c>
      <c r="C362" s="28">
        <v>7</v>
      </c>
      <c r="D362" s="28" t="s">
        <v>81</v>
      </c>
      <c r="E362" s="28">
        <v>63</v>
      </c>
      <c r="F362" s="28">
        <v>26</v>
      </c>
      <c r="G362" s="28">
        <f t="shared" si="5"/>
        <v>89</v>
      </c>
      <c r="H362" s="28" t="s">
        <v>1937</v>
      </c>
    </row>
    <row r="363" spans="1:8" hidden="1" x14ac:dyDescent="0.3">
      <c r="A363" s="28" t="s">
        <v>1929</v>
      </c>
      <c r="B363" s="18">
        <v>2016</v>
      </c>
      <c r="C363" s="28">
        <v>7</v>
      </c>
      <c r="D363" s="28" t="s">
        <v>63</v>
      </c>
      <c r="E363" s="28">
        <v>48</v>
      </c>
      <c r="F363" s="28">
        <v>27</v>
      </c>
      <c r="G363" s="28">
        <f t="shared" si="5"/>
        <v>75</v>
      </c>
      <c r="H363" s="28" t="s">
        <v>1937</v>
      </c>
    </row>
    <row r="364" spans="1:8" hidden="1" x14ac:dyDescent="0.3">
      <c r="A364" s="28" t="s">
        <v>1929</v>
      </c>
      <c r="B364" s="18">
        <v>2016</v>
      </c>
      <c r="C364" s="28">
        <v>7</v>
      </c>
      <c r="D364" s="28" t="s">
        <v>115</v>
      </c>
      <c r="E364" s="28">
        <v>42</v>
      </c>
      <c r="F364" s="28">
        <v>27</v>
      </c>
      <c r="G364" s="28">
        <f t="shared" si="5"/>
        <v>69</v>
      </c>
      <c r="H364" s="28" t="s">
        <v>1937</v>
      </c>
    </row>
    <row r="365" spans="1:8" hidden="1" x14ac:dyDescent="0.3">
      <c r="A365" s="28" t="s">
        <v>1929</v>
      </c>
      <c r="B365" s="18">
        <v>2016</v>
      </c>
      <c r="C365" s="28">
        <v>7</v>
      </c>
      <c r="D365" s="28" t="s">
        <v>72</v>
      </c>
      <c r="E365" s="28">
        <v>11</v>
      </c>
      <c r="F365" s="28">
        <v>16</v>
      </c>
      <c r="G365" s="28">
        <f t="shared" si="5"/>
        <v>27</v>
      </c>
      <c r="H365" s="28" t="s">
        <v>1937</v>
      </c>
    </row>
    <row r="366" spans="1:8" hidden="1" x14ac:dyDescent="0.3">
      <c r="A366" s="28" t="s">
        <v>1929</v>
      </c>
      <c r="B366" s="18">
        <v>2016</v>
      </c>
      <c r="C366" s="28">
        <v>7</v>
      </c>
      <c r="D366" s="28" t="s">
        <v>125</v>
      </c>
      <c r="E366" s="28">
        <v>10</v>
      </c>
      <c r="F366" s="28">
        <v>0</v>
      </c>
      <c r="G366" s="28">
        <f t="shared" si="5"/>
        <v>10</v>
      </c>
      <c r="H366" s="28" t="s">
        <v>1937</v>
      </c>
    </row>
    <row r="367" spans="1:8" hidden="1" x14ac:dyDescent="0.3">
      <c r="A367" s="28" t="s">
        <v>1929</v>
      </c>
      <c r="B367" s="18">
        <v>2016</v>
      </c>
      <c r="C367" s="28">
        <v>7</v>
      </c>
      <c r="D367" s="28" t="s">
        <v>138</v>
      </c>
      <c r="E367" s="28">
        <v>8</v>
      </c>
      <c r="F367" s="28">
        <v>0</v>
      </c>
      <c r="G367" s="28">
        <f t="shared" si="5"/>
        <v>8</v>
      </c>
      <c r="H367" s="28" t="s">
        <v>1937</v>
      </c>
    </row>
    <row r="368" spans="1:8" hidden="1" x14ac:dyDescent="0.3">
      <c r="A368" s="28" t="s">
        <v>91</v>
      </c>
      <c r="B368" s="18">
        <v>2016</v>
      </c>
      <c r="C368" s="28">
        <v>7</v>
      </c>
      <c r="D368" s="28" t="s">
        <v>56</v>
      </c>
      <c r="E368" s="28">
        <v>1582</v>
      </c>
      <c r="F368" s="28">
        <f>1514+13+2</f>
        <v>1529</v>
      </c>
      <c r="G368" s="28">
        <f t="shared" si="5"/>
        <v>3111</v>
      </c>
      <c r="H368" s="28" t="s">
        <v>1937</v>
      </c>
    </row>
    <row r="369" spans="1:8" hidden="1" x14ac:dyDescent="0.3">
      <c r="A369" s="28" t="s">
        <v>1929</v>
      </c>
      <c r="B369" s="18">
        <v>2016</v>
      </c>
      <c r="C369" s="28">
        <v>8</v>
      </c>
      <c r="D369" s="28" t="s">
        <v>63</v>
      </c>
      <c r="E369" s="28">
        <v>26</v>
      </c>
      <c r="F369" s="28">
        <v>66</v>
      </c>
      <c r="G369" s="28">
        <f t="shared" si="5"/>
        <v>92</v>
      </c>
      <c r="H369" s="28" t="s">
        <v>1937</v>
      </c>
    </row>
    <row r="370" spans="1:8" hidden="1" x14ac:dyDescent="0.3">
      <c r="A370" s="28" t="s">
        <v>1929</v>
      </c>
      <c r="B370" s="18">
        <v>2016</v>
      </c>
      <c r="C370" s="28">
        <v>8</v>
      </c>
      <c r="D370" s="28" t="s">
        <v>67</v>
      </c>
      <c r="E370" s="28">
        <v>45</v>
      </c>
      <c r="F370" s="28">
        <v>46</v>
      </c>
      <c r="G370" s="28">
        <f t="shared" si="5"/>
        <v>91</v>
      </c>
      <c r="H370" s="28" t="s">
        <v>1937</v>
      </c>
    </row>
    <row r="371" spans="1:8" hidden="1" x14ac:dyDescent="0.3">
      <c r="A371" s="28" t="s">
        <v>1929</v>
      </c>
      <c r="B371" s="18">
        <v>2016</v>
      </c>
      <c r="C371" s="28">
        <v>8</v>
      </c>
      <c r="D371" s="28" t="s">
        <v>78</v>
      </c>
      <c r="E371" s="28">
        <v>35</v>
      </c>
      <c r="F371" s="28">
        <v>19</v>
      </c>
      <c r="G371" s="28">
        <f t="shared" si="5"/>
        <v>54</v>
      </c>
      <c r="H371" s="28" t="s">
        <v>1937</v>
      </c>
    </row>
    <row r="372" spans="1:8" hidden="1" x14ac:dyDescent="0.3">
      <c r="A372" s="28" t="s">
        <v>1929</v>
      </c>
      <c r="B372" s="18">
        <v>2016</v>
      </c>
      <c r="C372" s="28">
        <v>8</v>
      </c>
      <c r="D372" s="28" t="s">
        <v>115</v>
      </c>
      <c r="E372" s="28">
        <v>30</v>
      </c>
      <c r="F372" s="28">
        <v>23</v>
      </c>
      <c r="G372" s="28">
        <f t="shared" si="5"/>
        <v>53</v>
      </c>
      <c r="H372" s="28" t="s">
        <v>1937</v>
      </c>
    </row>
    <row r="373" spans="1:8" hidden="1" x14ac:dyDescent="0.3">
      <c r="A373" s="28" t="s">
        <v>1929</v>
      </c>
      <c r="B373" s="18">
        <v>2016</v>
      </c>
      <c r="C373" s="28">
        <v>8</v>
      </c>
      <c r="D373" s="28" t="s">
        <v>122</v>
      </c>
      <c r="E373" s="28">
        <v>20</v>
      </c>
      <c r="F373" s="28">
        <v>16</v>
      </c>
      <c r="G373" s="28">
        <f t="shared" si="5"/>
        <v>36</v>
      </c>
      <c r="H373" s="28" t="s">
        <v>1937</v>
      </c>
    </row>
    <row r="374" spans="1:8" hidden="1" x14ac:dyDescent="0.3">
      <c r="A374" s="28" t="s">
        <v>1929</v>
      </c>
      <c r="B374" s="18">
        <v>2016</v>
      </c>
      <c r="C374" s="28">
        <v>8</v>
      </c>
      <c r="D374" s="28" t="s">
        <v>81</v>
      </c>
      <c r="E374" s="28">
        <v>3</v>
      </c>
      <c r="F374" s="28">
        <v>0</v>
      </c>
      <c r="G374" s="28">
        <f t="shared" si="5"/>
        <v>3</v>
      </c>
      <c r="H374" s="28" t="s">
        <v>1937</v>
      </c>
    </row>
    <row r="375" spans="1:8" hidden="1" x14ac:dyDescent="0.3">
      <c r="A375" s="28" t="s">
        <v>91</v>
      </c>
      <c r="B375" s="18">
        <v>2016</v>
      </c>
      <c r="C375" s="28">
        <v>8</v>
      </c>
      <c r="D375" s="28" t="s">
        <v>56</v>
      </c>
      <c r="E375" s="28">
        <v>1548</v>
      </c>
      <c r="F375" s="28">
        <v>1491</v>
      </c>
      <c r="G375" s="28">
        <f t="shared" si="5"/>
        <v>3039</v>
      </c>
      <c r="H375" s="28" t="s">
        <v>1937</v>
      </c>
    </row>
    <row r="376" spans="1:8" hidden="1" x14ac:dyDescent="0.3">
      <c r="A376" s="28" t="s">
        <v>1929</v>
      </c>
      <c r="B376" s="18">
        <v>2016</v>
      </c>
      <c r="C376" s="28">
        <v>9</v>
      </c>
      <c r="D376" s="28" t="s">
        <v>63</v>
      </c>
      <c r="E376" s="28">
        <v>51</v>
      </c>
      <c r="F376" s="28">
        <v>458</v>
      </c>
      <c r="G376" s="28">
        <f t="shared" si="5"/>
        <v>509</v>
      </c>
      <c r="H376" s="28" t="s">
        <v>1937</v>
      </c>
    </row>
    <row r="377" spans="1:8" hidden="1" x14ac:dyDescent="0.3">
      <c r="A377" s="28" t="s">
        <v>1929</v>
      </c>
      <c r="B377" s="18">
        <v>2016</v>
      </c>
      <c r="C377" s="28">
        <v>9</v>
      </c>
      <c r="D377" s="28" t="s">
        <v>67</v>
      </c>
      <c r="E377" s="28">
        <v>39</v>
      </c>
      <c r="F377" s="28">
        <v>46</v>
      </c>
      <c r="G377" s="28">
        <f t="shared" si="5"/>
        <v>85</v>
      </c>
      <c r="H377" s="28" t="s">
        <v>1937</v>
      </c>
    </row>
    <row r="378" spans="1:8" hidden="1" x14ac:dyDescent="0.3">
      <c r="A378" s="28" t="s">
        <v>1929</v>
      </c>
      <c r="B378" s="18">
        <v>2016</v>
      </c>
      <c r="C378" s="28">
        <v>9</v>
      </c>
      <c r="D378" s="28" t="s">
        <v>115</v>
      </c>
      <c r="E378" s="28">
        <v>37</v>
      </c>
      <c r="F378" s="28">
        <v>33</v>
      </c>
      <c r="G378" s="28">
        <f t="shared" si="5"/>
        <v>70</v>
      </c>
      <c r="H378" s="28" t="s">
        <v>1937</v>
      </c>
    </row>
    <row r="379" spans="1:8" hidden="1" x14ac:dyDescent="0.3">
      <c r="A379" s="28" t="s">
        <v>1929</v>
      </c>
      <c r="B379" s="18">
        <v>2016</v>
      </c>
      <c r="C379" s="28">
        <v>9</v>
      </c>
      <c r="D379" s="28" t="s">
        <v>78</v>
      </c>
      <c r="E379" s="28">
        <v>5</v>
      </c>
      <c r="F379" s="28">
        <v>22</v>
      </c>
      <c r="G379" s="28">
        <f t="shared" si="5"/>
        <v>27</v>
      </c>
      <c r="H379" s="28" t="s">
        <v>1937</v>
      </c>
    </row>
    <row r="380" spans="1:8" hidden="1" x14ac:dyDescent="0.3">
      <c r="A380" s="28" t="s">
        <v>1929</v>
      </c>
      <c r="B380" s="18">
        <v>2016</v>
      </c>
      <c r="C380" s="28">
        <v>9</v>
      </c>
      <c r="D380" s="28" t="s">
        <v>122</v>
      </c>
      <c r="E380" s="28">
        <v>10</v>
      </c>
      <c r="F380" s="28">
        <v>17</v>
      </c>
      <c r="G380" s="28">
        <f t="shared" si="5"/>
        <v>27</v>
      </c>
      <c r="H380" s="28" t="s">
        <v>1937</v>
      </c>
    </row>
    <row r="381" spans="1:8" hidden="1" x14ac:dyDescent="0.3">
      <c r="A381" s="28" t="s">
        <v>1929</v>
      </c>
      <c r="B381" s="18">
        <v>2016</v>
      </c>
      <c r="C381" s="28">
        <v>9</v>
      </c>
      <c r="D381" s="28" t="s">
        <v>72</v>
      </c>
      <c r="E381" s="28">
        <v>5</v>
      </c>
      <c r="F381" s="28">
        <v>11</v>
      </c>
      <c r="G381" s="28">
        <f t="shared" si="5"/>
        <v>16</v>
      </c>
      <c r="H381" s="28" t="s">
        <v>1937</v>
      </c>
    </row>
    <row r="382" spans="1:8" hidden="1" x14ac:dyDescent="0.3">
      <c r="A382" s="28" t="s">
        <v>1929</v>
      </c>
      <c r="B382" s="18">
        <v>2016</v>
      </c>
      <c r="C382" s="28">
        <v>9</v>
      </c>
      <c r="D382" s="28" t="s">
        <v>536</v>
      </c>
      <c r="E382" s="28">
        <v>7</v>
      </c>
      <c r="F382" s="28">
        <v>6</v>
      </c>
      <c r="G382" s="28">
        <f t="shared" si="5"/>
        <v>13</v>
      </c>
      <c r="H382" s="28" t="s">
        <v>1937</v>
      </c>
    </row>
    <row r="383" spans="1:8" hidden="1" x14ac:dyDescent="0.3">
      <c r="A383" s="28" t="s">
        <v>1929</v>
      </c>
      <c r="B383" s="18">
        <v>2016</v>
      </c>
      <c r="C383" s="28">
        <v>9</v>
      </c>
      <c r="D383" s="28" t="s">
        <v>81</v>
      </c>
      <c r="E383" s="28">
        <v>0</v>
      </c>
      <c r="F383" s="28">
        <v>10</v>
      </c>
      <c r="G383" s="28">
        <f t="shared" si="5"/>
        <v>10</v>
      </c>
      <c r="H383" s="28" t="s">
        <v>1937</v>
      </c>
    </row>
    <row r="384" spans="1:8" hidden="1" x14ac:dyDescent="0.3">
      <c r="A384" s="28" t="s">
        <v>1929</v>
      </c>
      <c r="B384" s="18">
        <v>2016</v>
      </c>
      <c r="C384" s="28">
        <v>9</v>
      </c>
      <c r="D384" s="28" t="s">
        <v>128</v>
      </c>
      <c r="E384" s="28">
        <v>3</v>
      </c>
      <c r="F384" s="28">
        <v>0</v>
      </c>
      <c r="G384" s="28">
        <f t="shared" si="5"/>
        <v>3</v>
      </c>
      <c r="H384" s="28" t="s">
        <v>1937</v>
      </c>
    </row>
    <row r="385" spans="1:8" hidden="1" x14ac:dyDescent="0.3">
      <c r="A385" s="28" t="s">
        <v>1929</v>
      </c>
      <c r="B385" s="18">
        <v>2016</v>
      </c>
      <c r="C385" s="28">
        <v>9</v>
      </c>
      <c r="D385" s="28" t="s">
        <v>138</v>
      </c>
      <c r="E385" s="28">
        <v>0</v>
      </c>
      <c r="F385" s="28">
        <v>1</v>
      </c>
      <c r="G385" s="28">
        <f t="shared" si="5"/>
        <v>1</v>
      </c>
      <c r="H385" s="28" t="s">
        <v>1937</v>
      </c>
    </row>
    <row r="386" spans="1:8" hidden="1" x14ac:dyDescent="0.3">
      <c r="A386" s="28" t="s">
        <v>91</v>
      </c>
      <c r="B386" s="18">
        <v>2016</v>
      </c>
      <c r="C386" s="28">
        <v>9</v>
      </c>
      <c r="D386" s="28" t="s">
        <v>56</v>
      </c>
      <c r="E386" s="28">
        <v>1345</v>
      </c>
      <c r="F386" s="28">
        <v>1410</v>
      </c>
      <c r="G386" s="28">
        <f t="shared" ref="G386:G449" si="6">SUM(E386+F386)</f>
        <v>2755</v>
      </c>
      <c r="H386" s="28" t="s">
        <v>1937</v>
      </c>
    </row>
    <row r="387" spans="1:8" hidden="1" x14ac:dyDescent="0.3">
      <c r="A387" s="28" t="s">
        <v>1929</v>
      </c>
      <c r="B387" s="18">
        <v>2016</v>
      </c>
      <c r="C387" s="28">
        <v>10</v>
      </c>
      <c r="D387" s="28" t="s">
        <v>67</v>
      </c>
      <c r="E387" s="28">
        <v>121</v>
      </c>
      <c r="F387" s="28">
        <v>146</v>
      </c>
      <c r="G387" s="28">
        <f t="shared" si="6"/>
        <v>267</v>
      </c>
      <c r="H387" s="28" t="s">
        <v>1937</v>
      </c>
    </row>
    <row r="388" spans="1:8" hidden="1" x14ac:dyDescent="0.3">
      <c r="A388" s="28" t="s">
        <v>1929</v>
      </c>
      <c r="B388" s="18">
        <v>2016</v>
      </c>
      <c r="C388" s="28">
        <v>10</v>
      </c>
      <c r="D388" s="28" t="s">
        <v>63</v>
      </c>
      <c r="E388" s="28">
        <v>81</v>
      </c>
      <c r="F388" s="28">
        <v>98</v>
      </c>
      <c r="G388" s="28">
        <f t="shared" si="6"/>
        <v>179</v>
      </c>
      <c r="H388" s="28" t="s">
        <v>1937</v>
      </c>
    </row>
    <row r="389" spans="1:8" hidden="1" x14ac:dyDescent="0.3">
      <c r="A389" s="28" t="s">
        <v>1929</v>
      </c>
      <c r="B389" s="18">
        <v>2016</v>
      </c>
      <c r="C389" s="28">
        <v>10</v>
      </c>
      <c r="D389" s="28" t="s">
        <v>72</v>
      </c>
      <c r="E389" s="28">
        <v>47</v>
      </c>
      <c r="F389" s="28">
        <v>68</v>
      </c>
      <c r="G389" s="28">
        <f t="shared" si="6"/>
        <v>115</v>
      </c>
      <c r="H389" s="28" t="s">
        <v>1937</v>
      </c>
    </row>
    <row r="390" spans="1:8" hidden="1" x14ac:dyDescent="0.3">
      <c r="A390" s="28" t="s">
        <v>1929</v>
      </c>
      <c r="B390" s="18">
        <v>2016</v>
      </c>
      <c r="C390" s="28">
        <v>10</v>
      </c>
      <c r="D390" s="28" t="s">
        <v>78</v>
      </c>
      <c r="E390" s="28">
        <v>37</v>
      </c>
      <c r="F390" s="28">
        <v>37</v>
      </c>
      <c r="G390" s="28">
        <f t="shared" si="6"/>
        <v>74</v>
      </c>
      <c r="H390" s="28" t="s">
        <v>1937</v>
      </c>
    </row>
    <row r="391" spans="1:8" hidden="1" x14ac:dyDescent="0.3">
      <c r="A391" s="28" t="s">
        <v>1929</v>
      </c>
      <c r="B391" s="18">
        <v>2016</v>
      </c>
      <c r="C391" s="28">
        <v>10</v>
      </c>
      <c r="D391" s="28" t="s">
        <v>122</v>
      </c>
      <c r="E391" s="28">
        <v>31</v>
      </c>
      <c r="F391" s="28">
        <v>27</v>
      </c>
      <c r="G391" s="28">
        <f t="shared" si="6"/>
        <v>58</v>
      </c>
      <c r="H391" s="28" t="s">
        <v>1937</v>
      </c>
    </row>
    <row r="392" spans="1:8" hidden="1" x14ac:dyDescent="0.3">
      <c r="A392" s="28" t="s">
        <v>1929</v>
      </c>
      <c r="B392" s="18">
        <v>2016</v>
      </c>
      <c r="C392" s="28">
        <v>10</v>
      </c>
      <c r="D392" s="28" t="s">
        <v>536</v>
      </c>
      <c r="E392" s="28">
        <v>29</v>
      </c>
      <c r="F392" s="28">
        <v>20</v>
      </c>
      <c r="G392" s="28">
        <f t="shared" si="6"/>
        <v>49</v>
      </c>
      <c r="H392" s="28" t="s">
        <v>1937</v>
      </c>
    </row>
    <row r="393" spans="1:8" hidden="1" x14ac:dyDescent="0.3">
      <c r="A393" s="28" t="s">
        <v>1929</v>
      </c>
      <c r="B393" s="18">
        <v>2016</v>
      </c>
      <c r="C393" s="28">
        <v>10</v>
      </c>
      <c r="D393" s="28" t="s">
        <v>115</v>
      </c>
      <c r="E393" s="28">
        <v>25</v>
      </c>
      <c r="F393" s="28">
        <v>18</v>
      </c>
      <c r="G393" s="28">
        <f t="shared" si="6"/>
        <v>43</v>
      </c>
      <c r="H393" s="28" t="s">
        <v>1937</v>
      </c>
    </row>
    <row r="394" spans="1:8" hidden="1" x14ac:dyDescent="0.3">
      <c r="A394" s="28" t="s">
        <v>1929</v>
      </c>
      <c r="B394" s="18">
        <v>2016</v>
      </c>
      <c r="C394" s="28">
        <v>10</v>
      </c>
      <c r="D394" s="28" t="s">
        <v>81</v>
      </c>
      <c r="E394" s="28">
        <v>2</v>
      </c>
      <c r="F394" s="28">
        <v>9</v>
      </c>
      <c r="G394" s="28">
        <f t="shared" si="6"/>
        <v>11</v>
      </c>
      <c r="H394" s="28" t="s">
        <v>1937</v>
      </c>
    </row>
    <row r="395" spans="1:8" hidden="1" x14ac:dyDescent="0.3">
      <c r="A395" s="28" t="s">
        <v>1929</v>
      </c>
      <c r="B395" s="18">
        <v>2016</v>
      </c>
      <c r="C395" s="28">
        <v>10</v>
      </c>
      <c r="D395" s="28" t="s">
        <v>125</v>
      </c>
      <c r="E395" s="28">
        <v>8</v>
      </c>
      <c r="F395" s="28">
        <v>2</v>
      </c>
      <c r="G395" s="28">
        <f t="shared" si="6"/>
        <v>10</v>
      </c>
      <c r="H395" s="28" t="s">
        <v>1937</v>
      </c>
    </row>
    <row r="396" spans="1:8" hidden="1" x14ac:dyDescent="0.3">
      <c r="A396" s="28" t="s">
        <v>1929</v>
      </c>
      <c r="B396" s="18">
        <v>2016</v>
      </c>
      <c r="C396" s="28">
        <v>10</v>
      </c>
      <c r="D396" s="28" t="s">
        <v>138</v>
      </c>
      <c r="E396" s="28">
        <v>0</v>
      </c>
      <c r="F396" s="28">
        <v>9</v>
      </c>
      <c r="G396" s="28">
        <f t="shared" si="6"/>
        <v>9</v>
      </c>
      <c r="H396" s="28" t="s">
        <v>1937</v>
      </c>
    </row>
    <row r="397" spans="1:8" hidden="1" x14ac:dyDescent="0.3">
      <c r="A397" s="28" t="s">
        <v>1929</v>
      </c>
      <c r="B397" s="18">
        <v>2016</v>
      </c>
      <c r="C397" s="28">
        <v>10</v>
      </c>
      <c r="D397" s="28" t="s">
        <v>128</v>
      </c>
      <c r="E397" s="28">
        <v>3</v>
      </c>
      <c r="F397" s="28">
        <v>2</v>
      </c>
      <c r="G397" s="28">
        <f t="shared" si="6"/>
        <v>5</v>
      </c>
      <c r="H397" s="28" t="s">
        <v>1937</v>
      </c>
    </row>
    <row r="398" spans="1:8" hidden="1" x14ac:dyDescent="0.3">
      <c r="A398" s="28" t="s">
        <v>91</v>
      </c>
      <c r="B398" s="18">
        <v>2016</v>
      </c>
      <c r="C398" s="28">
        <v>10</v>
      </c>
      <c r="D398" s="28" t="s">
        <v>56</v>
      </c>
      <c r="E398" s="28">
        <v>1024</v>
      </c>
      <c r="F398" s="28">
        <v>1090</v>
      </c>
      <c r="G398" s="28">
        <f t="shared" si="6"/>
        <v>2114</v>
      </c>
      <c r="H398" s="28" t="s">
        <v>1937</v>
      </c>
    </row>
    <row r="399" spans="1:8" hidden="1" x14ac:dyDescent="0.3">
      <c r="A399" s="28" t="s">
        <v>1929</v>
      </c>
      <c r="B399" s="18">
        <v>2016</v>
      </c>
      <c r="C399" s="28">
        <v>11</v>
      </c>
      <c r="D399" s="28" t="s">
        <v>67</v>
      </c>
      <c r="E399" s="28">
        <v>205</v>
      </c>
      <c r="F399" s="28">
        <v>230</v>
      </c>
      <c r="G399" s="28">
        <f t="shared" si="6"/>
        <v>435</v>
      </c>
      <c r="H399" s="28" t="s">
        <v>1937</v>
      </c>
    </row>
    <row r="400" spans="1:8" hidden="1" x14ac:dyDescent="0.3">
      <c r="A400" s="28" t="s">
        <v>1929</v>
      </c>
      <c r="B400" s="18">
        <v>2016</v>
      </c>
      <c r="C400" s="28">
        <v>11</v>
      </c>
      <c r="D400" s="28" t="s">
        <v>72</v>
      </c>
      <c r="E400" s="28">
        <v>74</v>
      </c>
      <c r="F400" s="28">
        <v>54</v>
      </c>
      <c r="G400" s="28">
        <f t="shared" si="6"/>
        <v>128</v>
      </c>
      <c r="H400" s="28" t="s">
        <v>1937</v>
      </c>
    </row>
    <row r="401" spans="1:8" hidden="1" x14ac:dyDescent="0.3">
      <c r="A401" s="28" t="s">
        <v>1929</v>
      </c>
      <c r="B401" s="18">
        <v>2016</v>
      </c>
      <c r="C401" s="28">
        <v>11</v>
      </c>
      <c r="D401" s="28" t="s">
        <v>115</v>
      </c>
      <c r="E401" s="28">
        <v>54</v>
      </c>
      <c r="F401" s="28">
        <v>49</v>
      </c>
      <c r="G401" s="28">
        <f t="shared" si="6"/>
        <v>103</v>
      </c>
      <c r="H401" s="28" t="s">
        <v>1937</v>
      </c>
    </row>
    <row r="402" spans="1:8" hidden="1" x14ac:dyDescent="0.3">
      <c r="A402" s="28" t="s">
        <v>1929</v>
      </c>
      <c r="B402" s="18">
        <v>2016</v>
      </c>
      <c r="C402" s="28">
        <v>11</v>
      </c>
      <c r="D402" s="28" t="s">
        <v>63</v>
      </c>
      <c r="E402" s="28">
        <v>46</v>
      </c>
      <c r="F402" s="28">
        <v>33</v>
      </c>
      <c r="G402" s="28">
        <f t="shared" si="6"/>
        <v>79</v>
      </c>
      <c r="H402" s="28" t="s">
        <v>1937</v>
      </c>
    </row>
    <row r="403" spans="1:8" hidden="1" x14ac:dyDescent="0.3">
      <c r="A403" s="28" t="s">
        <v>1929</v>
      </c>
      <c r="B403" s="18">
        <v>2016</v>
      </c>
      <c r="C403" s="28">
        <v>11</v>
      </c>
      <c r="D403" s="28" t="s">
        <v>122</v>
      </c>
      <c r="E403" s="28">
        <v>46</v>
      </c>
      <c r="F403" s="28">
        <v>29</v>
      </c>
      <c r="G403" s="28">
        <f t="shared" si="6"/>
        <v>75</v>
      </c>
      <c r="H403" s="28" t="s">
        <v>1937</v>
      </c>
    </row>
    <row r="404" spans="1:8" hidden="1" x14ac:dyDescent="0.3">
      <c r="A404" s="28" t="s">
        <v>1929</v>
      </c>
      <c r="B404" s="18">
        <v>2016</v>
      </c>
      <c r="C404" s="28">
        <v>11</v>
      </c>
      <c r="D404" s="28" t="s">
        <v>78</v>
      </c>
      <c r="E404" s="28">
        <v>23</v>
      </c>
      <c r="F404" s="28">
        <v>17</v>
      </c>
      <c r="G404" s="28">
        <f t="shared" si="6"/>
        <v>40</v>
      </c>
      <c r="H404" s="28" t="s">
        <v>1937</v>
      </c>
    </row>
    <row r="405" spans="1:8" hidden="1" x14ac:dyDescent="0.3">
      <c r="A405" s="28" t="s">
        <v>1929</v>
      </c>
      <c r="B405" s="18">
        <v>2016</v>
      </c>
      <c r="C405" s="28">
        <v>11</v>
      </c>
      <c r="D405" s="28" t="s">
        <v>536</v>
      </c>
      <c r="E405" s="28">
        <v>13</v>
      </c>
      <c r="F405" s="28">
        <v>19</v>
      </c>
      <c r="G405" s="28">
        <f t="shared" si="6"/>
        <v>32</v>
      </c>
      <c r="H405" s="28" t="s">
        <v>1937</v>
      </c>
    </row>
    <row r="406" spans="1:8" hidden="1" x14ac:dyDescent="0.3">
      <c r="A406" s="28" t="s">
        <v>1929</v>
      </c>
      <c r="B406" s="18">
        <v>2016</v>
      </c>
      <c r="C406" s="28">
        <v>11</v>
      </c>
      <c r="D406" s="28" t="s">
        <v>81</v>
      </c>
      <c r="E406" s="28">
        <v>0</v>
      </c>
      <c r="F406" s="28">
        <v>9</v>
      </c>
      <c r="G406" s="28">
        <f t="shared" si="6"/>
        <v>9</v>
      </c>
      <c r="H406" s="28" t="s">
        <v>1937</v>
      </c>
    </row>
    <row r="407" spans="1:8" hidden="1" x14ac:dyDescent="0.3">
      <c r="A407" s="28" t="s">
        <v>1929</v>
      </c>
      <c r="B407" s="18">
        <v>2016</v>
      </c>
      <c r="C407" s="28">
        <v>11</v>
      </c>
      <c r="D407" s="28" t="s">
        <v>128</v>
      </c>
      <c r="E407" s="28">
        <v>0</v>
      </c>
      <c r="F407" s="28">
        <v>3</v>
      </c>
      <c r="G407" s="28">
        <f t="shared" si="6"/>
        <v>3</v>
      </c>
      <c r="H407" s="28" t="s">
        <v>1937</v>
      </c>
    </row>
    <row r="408" spans="1:8" hidden="1" x14ac:dyDescent="0.3">
      <c r="A408" s="28" t="s">
        <v>91</v>
      </c>
      <c r="B408" s="18">
        <v>2016</v>
      </c>
      <c r="C408" s="28">
        <v>11</v>
      </c>
      <c r="D408" s="28" t="s">
        <v>56</v>
      </c>
      <c r="E408" s="28">
        <v>1059</v>
      </c>
      <c r="F408" s="28">
        <v>1059</v>
      </c>
      <c r="G408" s="28">
        <f t="shared" si="6"/>
        <v>2118</v>
      </c>
      <c r="H408" s="28" t="s">
        <v>1937</v>
      </c>
    </row>
    <row r="409" spans="1:8" hidden="1" x14ac:dyDescent="0.3">
      <c r="A409" s="28" t="s">
        <v>1929</v>
      </c>
      <c r="B409" s="18">
        <v>2016</v>
      </c>
      <c r="C409" s="28">
        <v>12</v>
      </c>
      <c r="D409" s="28" t="s">
        <v>67</v>
      </c>
      <c r="E409" s="28">
        <v>153</v>
      </c>
      <c r="F409" s="28">
        <v>139</v>
      </c>
      <c r="G409" s="28">
        <f t="shared" si="6"/>
        <v>292</v>
      </c>
      <c r="H409" s="28" t="s">
        <v>1937</v>
      </c>
    </row>
    <row r="410" spans="1:8" hidden="1" x14ac:dyDescent="0.3">
      <c r="A410" s="28" t="s">
        <v>1929</v>
      </c>
      <c r="B410" s="18">
        <v>2016</v>
      </c>
      <c r="C410" s="28">
        <v>12</v>
      </c>
      <c r="D410" s="28" t="s">
        <v>115</v>
      </c>
      <c r="E410" s="28">
        <v>52</v>
      </c>
      <c r="F410" s="28">
        <v>26</v>
      </c>
      <c r="G410" s="28">
        <f t="shared" si="6"/>
        <v>78</v>
      </c>
      <c r="H410" s="28" t="s">
        <v>1937</v>
      </c>
    </row>
    <row r="411" spans="1:8" hidden="1" x14ac:dyDescent="0.3">
      <c r="A411" s="28" t="s">
        <v>1929</v>
      </c>
      <c r="B411" s="18">
        <v>2016</v>
      </c>
      <c r="C411" s="28">
        <v>12</v>
      </c>
      <c r="D411" s="28" t="s">
        <v>78</v>
      </c>
      <c r="E411" s="28">
        <v>43</v>
      </c>
      <c r="F411" s="28">
        <v>22</v>
      </c>
      <c r="G411" s="28">
        <f t="shared" si="6"/>
        <v>65</v>
      </c>
      <c r="H411" s="28" t="s">
        <v>1937</v>
      </c>
    </row>
    <row r="412" spans="1:8" hidden="1" x14ac:dyDescent="0.3">
      <c r="A412" s="28" t="s">
        <v>1929</v>
      </c>
      <c r="B412" s="18">
        <v>2016</v>
      </c>
      <c r="C412" s="28">
        <v>12</v>
      </c>
      <c r="D412" s="28" t="s">
        <v>63</v>
      </c>
      <c r="E412" s="28">
        <v>27</v>
      </c>
      <c r="F412" s="28">
        <v>5</v>
      </c>
      <c r="G412" s="28">
        <f t="shared" si="6"/>
        <v>32</v>
      </c>
      <c r="H412" s="28" t="s">
        <v>1937</v>
      </c>
    </row>
    <row r="413" spans="1:8" hidden="1" x14ac:dyDescent="0.3">
      <c r="A413" s="28" t="s">
        <v>1929</v>
      </c>
      <c r="B413" s="18">
        <v>2016</v>
      </c>
      <c r="C413" s="28">
        <v>12</v>
      </c>
      <c r="D413" s="28" t="s">
        <v>72</v>
      </c>
      <c r="E413" s="28">
        <v>9</v>
      </c>
      <c r="F413" s="28">
        <v>12</v>
      </c>
      <c r="G413" s="28">
        <f t="shared" si="6"/>
        <v>21</v>
      </c>
      <c r="H413" s="28" t="s">
        <v>1937</v>
      </c>
    </row>
    <row r="414" spans="1:8" hidden="1" x14ac:dyDescent="0.3">
      <c r="A414" s="28" t="s">
        <v>1929</v>
      </c>
      <c r="B414" s="18">
        <v>2016</v>
      </c>
      <c r="C414" s="28">
        <v>12</v>
      </c>
      <c r="D414" s="28" t="s">
        <v>81</v>
      </c>
      <c r="E414" s="28">
        <v>13</v>
      </c>
      <c r="F414" s="28">
        <v>8</v>
      </c>
      <c r="G414" s="28">
        <f t="shared" si="6"/>
        <v>21</v>
      </c>
      <c r="H414" s="28" t="s">
        <v>1937</v>
      </c>
    </row>
    <row r="415" spans="1:8" hidden="1" x14ac:dyDescent="0.3">
      <c r="A415" s="28" t="s">
        <v>1929</v>
      </c>
      <c r="B415" s="18">
        <v>2016</v>
      </c>
      <c r="C415" s="28">
        <v>12</v>
      </c>
      <c r="D415" s="28" t="s">
        <v>122</v>
      </c>
      <c r="E415" s="28">
        <v>0</v>
      </c>
      <c r="F415" s="28">
        <v>5</v>
      </c>
      <c r="G415" s="28">
        <f t="shared" si="6"/>
        <v>5</v>
      </c>
      <c r="H415" s="28" t="s">
        <v>1937</v>
      </c>
    </row>
    <row r="416" spans="1:8" hidden="1" x14ac:dyDescent="0.3">
      <c r="A416" s="28" t="s">
        <v>1929</v>
      </c>
      <c r="B416" s="18">
        <v>2016</v>
      </c>
      <c r="C416" s="28">
        <v>12</v>
      </c>
      <c r="D416" s="28" t="s">
        <v>536</v>
      </c>
      <c r="E416" s="28">
        <v>0</v>
      </c>
      <c r="F416" s="28">
        <v>3</v>
      </c>
      <c r="G416" s="28">
        <f t="shared" si="6"/>
        <v>3</v>
      </c>
      <c r="H416" s="28" t="s">
        <v>1937</v>
      </c>
    </row>
    <row r="417" spans="1:8" hidden="1" x14ac:dyDescent="0.3">
      <c r="A417" s="28" t="s">
        <v>91</v>
      </c>
      <c r="B417" s="18">
        <v>2016</v>
      </c>
      <c r="C417" s="28">
        <v>12</v>
      </c>
      <c r="D417" s="28" t="s">
        <v>56</v>
      </c>
      <c r="E417" s="28">
        <v>1509</v>
      </c>
      <c r="F417" s="28">
        <v>1597</v>
      </c>
      <c r="G417" s="28">
        <f t="shared" si="6"/>
        <v>3106</v>
      </c>
      <c r="H417" s="28" t="s">
        <v>1937</v>
      </c>
    </row>
    <row r="418" spans="1:8" hidden="1" x14ac:dyDescent="0.3">
      <c r="A418" s="28" t="s">
        <v>1929</v>
      </c>
      <c r="B418" s="18">
        <v>2017</v>
      </c>
      <c r="C418" s="28">
        <v>1</v>
      </c>
      <c r="D418" s="28" t="s">
        <v>67</v>
      </c>
      <c r="E418" s="28">
        <v>140</v>
      </c>
      <c r="F418" s="28">
        <v>89</v>
      </c>
      <c r="G418" s="28">
        <f t="shared" si="6"/>
        <v>229</v>
      </c>
      <c r="H418" s="28" t="s">
        <v>1937</v>
      </c>
    </row>
    <row r="419" spans="1:8" hidden="1" x14ac:dyDescent="0.3">
      <c r="A419" s="28" t="s">
        <v>1929</v>
      </c>
      <c r="B419" s="18">
        <v>2017</v>
      </c>
      <c r="C419" s="28">
        <v>1</v>
      </c>
      <c r="D419" s="28" t="s">
        <v>63</v>
      </c>
      <c r="E419" s="28">
        <v>78</v>
      </c>
      <c r="F419" s="28">
        <v>126</v>
      </c>
      <c r="G419" s="28">
        <f t="shared" si="6"/>
        <v>204</v>
      </c>
      <c r="H419" s="28" t="s">
        <v>1937</v>
      </c>
    </row>
    <row r="420" spans="1:8" hidden="1" x14ac:dyDescent="0.3">
      <c r="A420" s="28" t="s">
        <v>1929</v>
      </c>
      <c r="B420" s="18">
        <v>2017</v>
      </c>
      <c r="C420" s="28">
        <v>1</v>
      </c>
      <c r="D420" s="28" t="s">
        <v>115</v>
      </c>
      <c r="E420" s="28">
        <v>70</v>
      </c>
      <c r="F420" s="28">
        <v>86</v>
      </c>
      <c r="G420" s="28">
        <f t="shared" si="6"/>
        <v>156</v>
      </c>
      <c r="H420" s="28" t="s">
        <v>1937</v>
      </c>
    </row>
    <row r="421" spans="1:8" hidden="1" x14ac:dyDescent="0.3">
      <c r="A421" s="28" t="s">
        <v>1929</v>
      </c>
      <c r="B421" s="18">
        <v>2017</v>
      </c>
      <c r="C421" s="28">
        <v>1</v>
      </c>
      <c r="D421" s="28" t="s">
        <v>122</v>
      </c>
      <c r="E421" s="28">
        <v>45</v>
      </c>
      <c r="F421" s="28">
        <v>50</v>
      </c>
      <c r="G421" s="28">
        <f t="shared" si="6"/>
        <v>95</v>
      </c>
      <c r="H421" s="28" t="s">
        <v>1937</v>
      </c>
    </row>
    <row r="422" spans="1:8" hidden="1" x14ac:dyDescent="0.3">
      <c r="A422" s="28" t="s">
        <v>1929</v>
      </c>
      <c r="B422" s="18">
        <v>2017</v>
      </c>
      <c r="C422" s="28">
        <v>1</v>
      </c>
      <c r="D422" s="28" t="s">
        <v>78</v>
      </c>
      <c r="E422" s="28">
        <v>24</v>
      </c>
      <c r="F422" s="28">
        <v>51</v>
      </c>
      <c r="G422" s="28">
        <f t="shared" si="6"/>
        <v>75</v>
      </c>
      <c r="H422" s="28" t="s">
        <v>1937</v>
      </c>
    </row>
    <row r="423" spans="1:8" hidden="1" x14ac:dyDescent="0.3">
      <c r="A423" s="28" t="s">
        <v>1929</v>
      </c>
      <c r="B423" s="18">
        <v>2017</v>
      </c>
      <c r="C423" s="28">
        <v>1</v>
      </c>
      <c r="D423" s="28" t="s">
        <v>72</v>
      </c>
      <c r="E423" s="28">
        <v>27</v>
      </c>
      <c r="F423" s="28">
        <v>32</v>
      </c>
      <c r="G423" s="28">
        <f t="shared" si="6"/>
        <v>59</v>
      </c>
      <c r="H423" s="28" t="s">
        <v>1937</v>
      </c>
    </row>
    <row r="424" spans="1:8" hidden="1" x14ac:dyDescent="0.3">
      <c r="A424" s="28" t="s">
        <v>1929</v>
      </c>
      <c r="B424" s="18">
        <v>2017</v>
      </c>
      <c r="C424" s="28">
        <v>1</v>
      </c>
      <c r="D424" s="28" t="s">
        <v>81</v>
      </c>
      <c r="E424" s="28">
        <v>28</v>
      </c>
      <c r="F424" s="28">
        <v>25</v>
      </c>
      <c r="G424" s="28">
        <f t="shared" si="6"/>
        <v>53</v>
      </c>
      <c r="H424" s="28" t="s">
        <v>1937</v>
      </c>
    </row>
    <row r="425" spans="1:8" hidden="1" x14ac:dyDescent="0.3">
      <c r="A425" s="28" t="s">
        <v>1929</v>
      </c>
      <c r="B425" s="18">
        <v>2017</v>
      </c>
      <c r="C425" s="28">
        <v>1</v>
      </c>
      <c r="D425" s="28" t="s">
        <v>128</v>
      </c>
      <c r="E425" s="28">
        <v>4</v>
      </c>
      <c r="F425" s="28">
        <v>2</v>
      </c>
      <c r="G425" s="28">
        <f t="shared" si="6"/>
        <v>6</v>
      </c>
      <c r="H425" s="28" t="s">
        <v>1937</v>
      </c>
    </row>
    <row r="426" spans="1:8" hidden="1" x14ac:dyDescent="0.3">
      <c r="A426" s="28" t="s">
        <v>1929</v>
      </c>
      <c r="B426" s="18">
        <v>2017</v>
      </c>
      <c r="C426" s="28">
        <v>1</v>
      </c>
      <c r="D426" s="28" t="s">
        <v>138</v>
      </c>
      <c r="E426" s="28">
        <v>2</v>
      </c>
      <c r="F426" s="28">
        <v>3</v>
      </c>
      <c r="G426" s="28">
        <f t="shared" si="6"/>
        <v>5</v>
      </c>
      <c r="H426" s="28" t="s">
        <v>1937</v>
      </c>
    </row>
    <row r="427" spans="1:8" hidden="1" x14ac:dyDescent="0.3">
      <c r="A427" s="28" t="s">
        <v>1929</v>
      </c>
      <c r="B427" s="18">
        <v>2017</v>
      </c>
      <c r="C427" s="28">
        <v>1</v>
      </c>
      <c r="D427" s="28" t="s">
        <v>56</v>
      </c>
      <c r="E427" s="28">
        <v>0</v>
      </c>
      <c r="F427" s="28">
        <v>3</v>
      </c>
      <c r="G427" s="28">
        <f t="shared" si="6"/>
        <v>3</v>
      </c>
      <c r="H427" s="28" t="s">
        <v>1937</v>
      </c>
    </row>
    <row r="428" spans="1:8" x14ac:dyDescent="0.3">
      <c r="A428" s="28" t="s">
        <v>91</v>
      </c>
      <c r="B428" s="18">
        <v>2017</v>
      </c>
      <c r="C428" s="28">
        <v>1</v>
      </c>
      <c r="D428" s="28" t="s">
        <v>56</v>
      </c>
      <c r="E428" s="28">
        <v>1421</v>
      </c>
      <c r="F428" s="28">
        <v>1420</v>
      </c>
      <c r="G428" s="28">
        <f t="shared" si="6"/>
        <v>2841</v>
      </c>
      <c r="H428" s="28" t="s">
        <v>1937</v>
      </c>
    </row>
    <row r="429" spans="1:8" hidden="1" x14ac:dyDescent="0.3">
      <c r="A429" s="28" t="s">
        <v>1929</v>
      </c>
      <c r="B429" s="18">
        <v>2017</v>
      </c>
      <c r="C429" s="28">
        <v>2</v>
      </c>
      <c r="D429" s="28" t="s">
        <v>63</v>
      </c>
      <c r="E429" s="28">
        <v>181</v>
      </c>
      <c r="F429" s="28">
        <v>151</v>
      </c>
      <c r="G429" s="28">
        <f t="shared" si="6"/>
        <v>332</v>
      </c>
      <c r="H429" s="28" t="s">
        <v>1937</v>
      </c>
    </row>
    <row r="430" spans="1:8" hidden="1" x14ac:dyDescent="0.3">
      <c r="A430" s="28" t="s">
        <v>1929</v>
      </c>
      <c r="B430" s="18">
        <v>2017</v>
      </c>
      <c r="C430" s="28">
        <v>2</v>
      </c>
      <c r="D430" s="28" t="s">
        <v>67</v>
      </c>
      <c r="E430" s="28">
        <v>72</v>
      </c>
      <c r="F430" s="28">
        <v>72</v>
      </c>
      <c r="G430" s="28">
        <f t="shared" si="6"/>
        <v>144</v>
      </c>
      <c r="H430" s="28" t="s">
        <v>1937</v>
      </c>
    </row>
    <row r="431" spans="1:8" hidden="1" x14ac:dyDescent="0.3">
      <c r="A431" s="28" t="s">
        <v>1929</v>
      </c>
      <c r="B431" s="18">
        <v>2017</v>
      </c>
      <c r="C431" s="28">
        <v>2</v>
      </c>
      <c r="D431" s="28" t="s">
        <v>115</v>
      </c>
      <c r="E431" s="28">
        <v>78</v>
      </c>
      <c r="F431" s="28">
        <v>27</v>
      </c>
      <c r="G431" s="28">
        <f t="shared" si="6"/>
        <v>105</v>
      </c>
      <c r="H431" s="28" t="s">
        <v>1937</v>
      </c>
    </row>
    <row r="432" spans="1:8" hidden="1" x14ac:dyDescent="0.3">
      <c r="A432" s="28" t="s">
        <v>1929</v>
      </c>
      <c r="B432" s="18">
        <v>2017</v>
      </c>
      <c r="C432" s="28">
        <v>2</v>
      </c>
      <c r="D432" s="28" t="s">
        <v>78</v>
      </c>
      <c r="E432" s="28">
        <v>15</v>
      </c>
      <c r="F432" s="28">
        <v>45</v>
      </c>
      <c r="G432" s="28">
        <f t="shared" si="6"/>
        <v>60</v>
      </c>
      <c r="H432" s="28" t="s">
        <v>1937</v>
      </c>
    </row>
    <row r="433" spans="1:8" hidden="1" x14ac:dyDescent="0.3">
      <c r="A433" s="28" t="s">
        <v>1929</v>
      </c>
      <c r="B433" s="18">
        <v>2017</v>
      </c>
      <c r="C433" s="28">
        <v>2</v>
      </c>
      <c r="D433" s="28" t="s">
        <v>81</v>
      </c>
      <c r="E433" s="28">
        <v>12</v>
      </c>
      <c r="F433" s="28">
        <v>11</v>
      </c>
      <c r="G433" s="28">
        <f t="shared" si="6"/>
        <v>23</v>
      </c>
      <c r="H433" s="28" t="s">
        <v>1937</v>
      </c>
    </row>
    <row r="434" spans="1:8" hidden="1" x14ac:dyDescent="0.3">
      <c r="A434" s="28" t="s">
        <v>1929</v>
      </c>
      <c r="B434" s="18">
        <v>2017</v>
      </c>
      <c r="C434" s="28">
        <v>2</v>
      </c>
      <c r="D434" s="28" t="s">
        <v>72</v>
      </c>
      <c r="E434" s="28">
        <v>8</v>
      </c>
      <c r="F434" s="28">
        <v>11</v>
      </c>
      <c r="G434" s="28">
        <f t="shared" si="6"/>
        <v>19</v>
      </c>
      <c r="H434" s="28" t="s">
        <v>1937</v>
      </c>
    </row>
    <row r="435" spans="1:8" hidden="1" x14ac:dyDescent="0.3">
      <c r="A435" s="28" t="s">
        <v>1929</v>
      </c>
      <c r="B435" s="18">
        <v>2017</v>
      </c>
      <c r="C435" s="28">
        <v>2</v>
      </c>
      <c r="D435" s="28" t="s">
        <v>122</v>
      </c>
      <c r="E435" s="28">
        <v>11</v>
      </c>
      <c r="F435" s="28">
        <v>4</v>
      </c>
      <c r="G435" s="28">
        <f t="shared" si="6"/>
        <v>15</v>
      </c>
      <c r="H435" s="28" t="s">
        <v>1937</v>
      </c>
    </row>
    <row r="436" spans="1:8" hidden="1" x14ac:dyDescent="0.3">
      <c r="A436" s="28" t="s">
        <v>1929</v>
      </c>
      <c r="B436" s="18">
        <v>2017</v>
      </c>
      <c r="C436" s="28">
        <v>2</v>
      </c>
      <c r="D436" s="28" t="s">
        <v>125</v>
      </c>
      <c r="E436" s="28">
        <v>0</v>
      </c>
      <c r="F436" s="28">
        <v>6</v>
      </c>
      <c r="G436" s="28">
        <f t="shared" si="6"/>
        <v>6</v>
      </c>
      <c r="H436" s="28" t="s">
        <v>1937</v>
      </c>
    </row>
    <row r="437" spans="1:8" x14ac:dyDescent="0.3">
      <c r="A437" s="28" t="s">
        <v>91</v>
      </c>
      <c r="B437" s="18">
        <v>2017</v>
      </c>
      <c r="C437" s="28">
        <v>2</v>
      </c>
      <c r="D437" s="28" t="s">
        <v>56</v>
      </c>
      <c r="E437" s="28">
        <f>1362+6</f>
        <v>1368</v>
      </c>
      <c r="F437" s="28">
        <f>1413+8</f>
        <v>1421</v>
      </c>
      <c r="G437" s="28">
        <f t="shared" si="6"/>
        <v>2789</v>
      </c>
      <c r="H437" s="28" t="s">
        <v>1937</v>
      </c>
    </row>
    <row r="438" spans="1:8" hidden="1" x14ac:dyDescent="0.3">
      <c r="A438" s="28" t="s">
        <v>1929</v>
      </c>
      <c r="B438" s="18">
        <v>2017</v>
      </c>
      <c r="C438" s="28">
        <v>3</v>
      </c>
      <c r="D438" s="28" t="s">
        <v>67</v>
      </c>
      <c r="E438" s="28">
        <v>131</v>
      </c>
      <c r="F438" s="28">
        <v>96</v>
      </c>
      <c r="G438" s="28">
        <f t="shared" si="6"/>
        <v>227</v>
      </c>
      <c r="H438" s="28" t="s">
        <v>1937</v>
      </c>
    </row>
    <row r="439" spans="1:8" hidden="1" x14ac:dyDescent="0.3">
      <c r="A439" s="28" t="s">
        <v>1929</v>
      </c>
      <c r="B439" s="18">
        <v>2017</v>
      </c>
      <c r="C439" s="28">
        <v>3</v>
      </c>
      <c r="D439" s="28" t="s">
        <v>63</v>
      </c>
      <c r="E439" s="28">
        <v>47</v>
      </c>
      <c r="F439" s="28">
        <v>79</v>
      </c>
      <c r="G439" s="28">
        <f t="shared" si="6"/>
        <v>126</v>
      </c>
      <c r="H439" s="28" t="s">
        <v>1937</v>
      </c>
    </row>
    <row r="440" spans="1:8" hidden="1" x14ac:dyDescent="0.3">
      <c r="A440" s="28" t="s">
        <v>1929</v>
      </c>
      <c r="B440" s="18">
        <v>2017</v>
      </c>
      <c r="C440" s="28">
        <v>3</v>
      </c>
      <c r="D440" s="28" t="s">
        <v>78</v>
      </c>
      <c r="E440" s="28">
        <v>49</v>
      </c>
      <c r="F440" s="28">
        <v>43</v>
      </c>
      <c r="G440" s="28">
        <f t="shared" si="6"/>
        <v>92</v>
      </c>
      <c r="H440" s="28" t="s">
        <v>1937</v>
      </c>
    </row>
    <row r="441" spans="1:8" hidden="1" x14ac:dyDescent="0.3">
      <c r="A441" s="28" t="s">
        <v>1929</v>
      </c>
      <c r="B441" s="18">
        <v>2017</v>
      </c>
      <c r="C441" s="28">
        <v>3</v>
      </c>
      <c r="D441" s="28" t="s">
        <v>122</v>
      </c>
      <c r="E441" s="28">
        <v>40</v>
      </c>
      <c r="F441" s="28">
        <v>36</v>
      </c>
      <c r="G441" s="28">
        <f t="shared" si="6"/>
        <v>76</v>
      </c>
      <c r="H441" s="28" t="s">
        <v>1937</v>
      </c>
    </row>
    <row r="442" spans="1:8" hidden="1" x14ac:dyDescent="0.3">
      <c r="A442" s="28" t="s">
        <v>1929</v>
      </c>
      <c r="B442" s="18">
        <v>2017</v>
      </c>
      <c r="C442" s="28">
        <v>3</v>
      </c>
      <c r="D442" s="28" t="s">
        <v>56</v>
      </c>
      <c r="E442" s="28">
        <v>19</v>
      </c>
      <c r="F442" s="28">
        <v>25</v>
      </c>
      <c r="G442" s="28">
        <f t="shared" si="6"/>
        <v>44</v>
      </c>
      <c r="H442" s="28" t="s">
        <v>1937</v>
      </c>
    </row>
    <row r="443" spans="1:8" hidden="1" x14ac:dyDescent="0.3">
      <c r="A443" s="28" t="s">
        <v>1929</v>
      </c>
      <c r="B443" s="18">
        <v>2017</v>
      </c>
      <c r="C443" s="28">
        <v>3</v>
      </c>
      <c r="D443" s="28" t="s">
        <v>72</v>
      </c>
      <c r="E443" s="28">
        <v>23</v>
      </c>
      <c r="F443" s="28">
        <v>12</v>
      </c>
      <c r="G443" s="28">
        <f t="shared" si="6"/>
        <v>35</v>
      </c>
      <c r="H443" s="28" t="s">
        <v>1937</v>
      </c>
    </row>
    <row r="444" spans="1:8" hidden="1" x14ac:dyDescent="0.3">
      <c r="A444" s="28" t="s">
        <v>1929</v>
      </c>
      <c r="B444" s="18">
        <v>2017</v>
      </c>
      <c r="C444" s="28">
        <v>3</v>
      </c>
      <c r="D444" s="28" t="s">
        <v>115</v>
      </c>
      <c r="E444" s="28">
        <v>20</v>
      </c>
      <c r="F444" s="28">
        <v>14</v>
      </c>
      <c r="G444" s="28">
        <f t="shared" si="6"/>
        <v>34</v>
      </c>
      <c r="H444" s="28" t="s">
        <v>1937</v>
      </c>
    </row>
    <row r="445" spans="1:8" hidden="1" x14ac:dyDescent="0.3">
      <c r="A445" s="28" t="s">
        <v>1929</v>
      </c>
      <c r="B445" s="18">
        <v>2017</v>
      </c>
      <c r="C445" s="28">
        <v>3</v>
      </c>
      <c r="D445" s="28" t="s">
        <v>81</v>
      </c>
      <c r="E445" s="28">
        <v>12</v>
      </c>
      <c r="F445" s="28">
        <v>20</v>
      </c>
      <c r="G445" s="28">
        <f t="shared" si="6"/>
        <v>32</v>
      </c>
      <c r="H445" s="28" t="s">
        <v>1937</v>
      </c>
    </row>
    <row r="446" spans="1:8" hidden="1" x14ac:dyDescent="0.3">
      <c r="A446" s="28" t="s">
        <v>1929</v>
      </c>
      <c r="B446" s="18">
        <v>2017</v>
      </c>
      <c r="C446" s="28">
        <v>3</v>
      </c>
      <c r="D446" s="28" t="s">
        <v>125</v>
      </c>
      <c r="E446" s="28">
        <v>13</v>
      </c>
      <c r="F446" s="28">
        <v>0</v>
      </c>
      <c r="G446" s="28">
        <f t="shared" si="6"/>
        <v>13</v>
      </c>
      <c r="H446" s="28" t="s">
        <v>1937</v>
      </c>
    </row>
    <row r="447" spans="1:8" hidden="1" x14ac:dyDescent="0.3">
      <c r="A447" s="28" t="s">
        <v>1929</v>
      </c>
      <c r="B447" s="18">
        <v>2017</v>
      </c>
      <c r="C447" s="28">
        <v>3</v>
      </c>
      <c r="D447" s="28" t="s">
        <v>138</v>
      </c>
      <c r="E447" s="28">
        <v>4</v>
      </c>
      <c r="F447" s="28">
        <v>5</v>
      </c>
      <c r="G447" s="28">
        <f t="shared" si="6"/>
        <v>9</v>
      </c>
      <c r="H447" s="28" t="s">
        <v>1937</v>
      </c>
    </row>
    <row r="448" spans="1:8" x14ac:dyDescent="0.3">
      <c r="A448" s="28" t="s">
        <v>91</v>
      </c>
      <c r="B448" s="18">
        <v>2017</v>
      </c>
      <c r="C448" s="28">
        <v>3</v>
      </c>
      <c r="D448" s="28" t="s">
        <v>56</v>
      </c>
      <c r="E448" s="28">
        <f>1580+19</f>
        <v>1599</v>
      </c>
      <c r="F448" s="28">
        <v>1633</v>
      </c>
      <c r="G448" s="28">
        <f t="shared" si="6"/>
        <v>3232</v>
      </c>
      <c r="H448" s="28" t="s">
        <v>1937</v>
      </c>
    </row>
    <row r="449" spans="1:8" hidden="1" x14ac:dyDescent="0.3">
      <c r="A449" s="28" t="s">
        <v>1929</v>
      </c>
      <c r="B449" s="18">
        <v>2017</v>
      </c>
      <c r="C449" s="28">
        <v>4</v>
      </c>
      <c r="D449" s="28" t="s">
        <v>67</v>
      </c>
      <c r="E449" s="28">
        <f>133+9</f>
        <v>142</v>
      </c>
      <c r="F449" s="28">
        <v>109</v>
      </c>
      <c r="G449" s="28">
        <f t="shared" si="6"/>
        <v>251</v>
      </c>
      <c r="H449" s="28" t="s">
        <v>1937</v>
      </c>
    </row>
    <row r="450" spans="1:8" hidden="1" x14ac:dyDescent="0.3">
      <c r="A450" s="28" t="s">
        <v>1929</v>
      </c>
      <c r="B450" s="18">
        <v>2017</v>
      </c>
      <c r="C450" s="28">
        <v>4</v>
      </c>
      <c r="D450" s="28" t="s">
        <v>63</v>
      </c>
      <c r="E450" s="28">
        <v>89</v>
      </c>
      <c r="F450" s="28">
        <v>64</v>
      </c>
      <c r="G450" s="28">
        <f t="shared" ref="G450:G513" si="7">SUM(E450+F450)</f>
        <v>153</v>
      </c>
      <c r="H450" s="28" t="s">
        <v>1937</v>
      </c>
    </row>
    <row r="451" spans="1:8" hidden="1" x14ac:dyDescent="0.3">
      <c r="A451" s="28" t="s">
        <v>1929</v>
      </c>
      <c r="B451" s="18">
        <v>2017</v>
      </c>
      <c r="C451" s="28">
        <v>4</v>
      </c>
      <c r="D451" s="28" t="s">
        <v>78</v>
      </c>
      <c r="E451" s="28">
        <v>31</v>
      </c>
      <c r="F451" s="28">
        <f>21+6</f>
        <v>27</v>
      </c>
      <c r="G451" s="28">
        <f t="shared" si="7"/>
        <v>58</v>
      </c>
      <c r="H451" s="28" t="s">
        <v>1937</v>
      </c>
    </row>
    <row r="452" spans="1:8" hidden="1" x14ac:dyDescent="0.3">
      <c r="A452" s="28" t="s">
        <v>1929</v>
      </c>
      <c r="B452" s="18">
        <v>2017</v>
      </c>
      <c r="C452" s="28">
        <v>4</v>
      </c>
      <c r="D452" s="28" t="s">
        <v>72</v>
      </c>
      <c r="E452" s="28">
        <v>31</v>
      </c>
      <c r="F452" s="28">
        <v>11</v>
      </c>
      <c r="G452" s="28">
        <f t="shared" si="7"/>
        <v>42</v>
      </c>
      <c r="H452" s="28" t="s">
        <v>1937</v>
      </c>
    </row>
    <row r="453" spans="1:8" hidden="1" x14ac:dyDescent="0.3">
      <c r="A453" s="28" t="s">
        <v>1929</v>
      </c>
      <c r="B453" s="18">
        <v>2017</v>
      </c>
      <c r="C453" s="28">
        <v>4</v>
      </c>
      <c r="D453" s="28" t="s">
        <v>122</v>
      </c>
      <c r="E453" s="28">
        <v>25</v>
      </c>
      <c r="F453" s="28">
        <v>17</v>
      </c>
      <c r="G453" s="28">
        <f t="shared" si="7"/>
        <v>42</v>
      </c>
      <c r="H453" s="28" t="s">
        <v>1937</v>
      </c>
    </row>
    <row r="454" spans="1:8" hidden="1" x14ac:dyDescent="0.3">
      <c r="A454" s="28" t="s">
        <v>1929</v>
      </c>
      <c r="B454" s="18">
        <v>2017</v>
      </c>
      <c r="C454" s="28">
        <v>4</v>
      </c>
      <c r="D454" s="28" t="s">
        <v>115</v>
      </c>
      <c r="E454" s="28">
        <v>13</v>
      </c>
      <c r="F454" s="28">
        <v>23</v>
      </c>
      <c r="G454" s="28">
        <f t="shared" si="7"/>
        <v>36</v>
      </c>
      <c r="H454" s="28" t="s">
        <v>1937</v>
      </c>
    </row>
    <row r="455" spans="1:8" hidden="1" x14ac:dyDescent="0.3">
      <c r="A455" s="28" t="s">
        <v>1929</v>
      </c>
      <c r="B455" s="18">
        <v>2017</v>
      </c>
      <c r="C455" s="28">
        <v>4</v>
      </c>
      <c r="D455" s="28" t="s">
        <v>125</v>
      </c>
      <c r="E455" s="28">
        <v>5</v>
      </c>
      <c r="F455" s="28">
        <v>5</v>
      </c>
      <c r="G455" s="28">
        <f t="shared" si="7"/>
        <v>10</v>
      </c>
      <c r="H455" s="28" t="s">
        <v>1937</v>
      </c>
    </row>
    <row r="456" spans="1:8" hidden="1" x14ac:dyDescent="0.3">
      <c r="A456" s="28" t="s">
        <v>1929</v>
      </c>
      <c r="B456" s="18">
        <v>2017</v>
      </c>
      <c r="C456" s="28">
        <v>4</v>
      </c>
      <c r="D456" s="28" t="s">
        <v>536</v>
      </c>
      <c r="E456" s="28">
        <v>5</v>
      </c>
      <c r="F456" s="28">
        <v>5</v>
      </c>
      <c r="G456" s="28">
        <f t="shared" si="7"/>
        <v>10</v>
      </c>
      <c r="H456" s="28" t="s">
        <v>1937</v>
      </c>
    </row>
    <row r="457" spans="1:8" hidden="1" x14ac:dyDescent="0.3">
      <c r="A457" s="28" t="s">
        <v>1929</v>
      </c>
      <c r="B457" s="18">
        <v>2017</v>
      </c>
      <c r="C457" s="28">
        <v>4</v>
      </c>
      <c r="D457" s="28" t="s">
        <v>81</v>
      </c>
      <c r="E457" s="28">
        <v>2</v>
      </c>
      <c r="F457" s="28">
        <v>3</v>
      </c>
      <c r="G457" s="28">
        <f t="shared" si="7"/>
        <v>5</v>
      </c>
      <c r="H457" s="28" t="s">
        <v>1937</v>
      </c>
    </row>
    <row r="458" spans="1:8" hidden="1" x14ac:dyDescent="0.3">
      <c r="A458" s="28" t="s">
        <v>1929</v>
      </c>
      <c r="B458" s="18">
        <v>2017</v>
      </c>
      <c r="C458" s="28">
        <v>4</v>
      </c>
      <c r="D458" s="28" t="s">
        <v>56</v>
      </c>
      <c r="E458" s="28">
        <v>0</v>
      </c>
      <c r="F458" s="28">
        <v>4</v>
      </c>
      <c r="G458" s="28">
        <f t="shared" si="7"/>
        <v>4</v>
      </c>
      <c r="H458" s="28" t="s">
        <v>1937</v>
      </c>
    </row>
    <row r="459" spans="1:8" x14ac:dyDescent="0.3">
      <c r="A459" s="28" t="s">
        <v>91</v>
      </c>
      <c r="B459" s="18">
        <v>2017</v>
      </c>
      <c r="C459" s="28">
        <v>4</v>
      </c>
      <c r="D459" s="28" t="s">
        <v>56</v>
      </c>
      <c r="E459" s="28">
        <v>1476</v>
      </c>
      <c r="F459" s="28">
        <v>1575</v>
      </c>
      <c r="G459" s="28">
        <f t="shared" si="7"/>
        <v>3051</v>
      </c>
      <c r="H459" s="28" t="s">
        <v>1937</v>
      </c>
    </row>
    <row r="460" spans="1:8" hidden="1" x14ac:dyDescent="0.3">
      <c r="A460" s="28" t="s">
        <v>1929</v>
      </c>
      <c r="B460" s="18">
        <v>2017</v>
      </c>
      <c r="C460" s="28">
        <v>5</v>
      </c>
      <c r="D460" s="28" t="s">
        <v>63</v>
      </c>
      <c r="E460" s="28">
        <v>87</v>
      </c>
      <c r="F460" s="28">
        <v>72</v>
      </c>
      <c r="G460" s="28">
        <f t="shared" si="7"/>
        <v>159</v>
      </c>
      <c r="H460" s="28" t="s">
        <v>1937</v>
      </c>
    </row>
    <row r="461" spans="1:8" hidden="1" x14ac:dyDescent="0.3">
      <c r="A461" s="28" t="s">
        <v>1929</v>
      </c>
      <c r="B461" s="18">
        <v>2017</v>
      </c>
      <c r="C461" s="28">
        <v>5</v>
      </c>
      <c r="D461" s="28" t="s">
        <v>67</v>
      </c>
      <c r="E461" s="28">
        <v>74</v>
      </c>
      <c r="F461" s="28">
        <v>68</v>
      </c>
      <c r="G461" s="28">
        <f t="shared" si="7"/>
        <v>142</v>
      </c>
      <c r="H461" s="28" t="s">
        <v>1937</v>
      </c>
    </row>
    <row r="462" spans="1:8" hidden="1" x14ac:dyDescent="0.3">
      <c r="A462" s="28" t="s">
        <v>1929</v>
      </c>
      <c r="B462" s="18">
        <v>2017</v>
      </c>
      <c r="C462" s="28">
        <v>5</v>
      </c>
      <c r="D462" s="28" t="s">
        <v>115</v>
      </c>
      <c r="E462" s="28">
        <v>79</v>
      </c>
      <c r="F462" s="28">
        <v>42</v>
      </c>
      <c r="G462" s="28">
        <f t="shared" si="7"/>
        <v>121</v>
      </c>
      <c r="H462" s="28" t="s">
        <v>1937</v>
      </c>
    </row>
    <row r="463" spans="1:8" hidden="1" x14ac:dyDescent="0.3">
      <c r="A463" s="28" t="s">
        <v>1929</v>
      </c>
      <c r="B463" s="18">
        <v>2017</v>
      </c>
      <c r="C463" s="28">
        <v>5</v>
      </c>
      <c r="D463" s="28" t="s">
        <v>78</v>
      </c>
      <c r="E463" s="28">
        <v>28</v>
      </c>
      <c r="F463" s="28">
        <v>4</v>
      </c>
      <c r="G463" s="28">
        <f t="shared" si="7"/>
        <v>32</v>
      </c>
      <c r="H463" s="28" t="s">
        <v>1937</v>
      </c>
    </row>
    <row r="464" spans="1:8" hidden="1" x14ac:dyDescent="0.3">
      <c r="A464" s="28" t="s">
        <v>1929</v>
      </c>
      <c r="B464" s="18">
        <v>2017</v>
      </c>
      <c r="C464" s="28">
        <v>5</v>
      </c>
      <c r="D464" s="28" t="s">
        <v>81</v>
      </c>
      <c r="E464" s="28">
        <v>12</v>
      </c>
      <c r="F464" s="28">
        <v>4</v>
      </c>
      <c r="G464" s="28">
        <f t="shared" si="7"/>
        <v>16</v>
      </c>
      <c r="H464" s="28" t="s">
        <v>1937</v>
      </c>
    </row>
    <row r="465" spans="1:8" hidden="1" x14ac:dyDescent="0.3">
      <c r="A465" s="28" t="s">
        <v>1929</v>
      </c>
      <c r="B465" s="18">
        <v>2017</v>
      </c>
      <c r="C465" s="28">
        <v>5</v>
      </c>
      <c r="D465" s="28" t="s">
        <v>1599</v>
      </c>
      <c r="E465" s="28">
        <v>2</v>
      </c>
      <c r="F465" s="28">
        <v>9</v>
      </c>
      <c r="G465" s="28">
        <f t="shared" si="7"/>
        <v>11</v>
      </c>
      <c r="H465" s="28" t="s">
        <v>1937</v>
      </c>
    </row>
    <row r="466" spans="1:8" hidden="1" x14ac:dyDescent="0.3">
      <c r="A466" s="28" t="s">
        <v>1929</v>
      </c>
      <c r="B466" s="18">
        <v>2017</v>
      </c>
      <c r="C466" s="28">
        <v>5</v>
      </c>
      <c r="D466" s="28" t="s">
        <v>56</v>
      </c>
      <c r="E466" s="28">
        <v>5</v>
      </c>
      <c r="F466" s="28">
        <v>0</v>
      </c>
      <c r="G466" s="28">
        <f t="shared" si="7"/>
        <v>5</v>
      </c>
      <c r="H466" s="28" t="s">
        <v>1937</v>
      </c>
    </row>
    <row r="467" spans="1:8" hidden="1" x14ac:dyDescent="0.3">
      <c r="A467" s="28" t="s">
        <v>1929</v>
      </c>
      <c r="B467" s="18">
        <v>2017</v>
      </c>
      <c r="C467" s="28">
        <v>5</v>
      </c>
      <c r="D467" s="28" t="s">
        <v>128</v>
      </c>
      <c r="E467" s="28">
        <v>4</v>
      </c>
      <c r="F467" s="28">
        <v>0</v>
      </c>
      <c r="G467" s="28">
        <f t="shared" si="7"/>
        <v>4</v>
      </c>
      <c r="H467" s="28" t="s">
        <v>1937</v>
      </c>
    </row>
    <row r="468" spans="1:8" hidden="1" x14ac:dyDescent="0.3">
      <c r="A468" s="28" t="s">
        <v>1929</v>
      </c>
      <c r="B468" s="18">
        <v>2017</v>
      </c>
      <c r="C468" s="28">
        <v>5</v>
      </c>
      <c r="D468" s="28" t="s">
        <v>72</v>
      </c>
      <c r="E468" s="28">
        <v>0</v>
      </c>
      <c r="F468" s="28">
        <v>3</v>
      </c>
      <c r="G468" s="28">
        <f t="shared" si="7"/>
        <v>3</v>
      </c>
      <c r="H468" s="28" t="s">
        <v>1937</v>
      </c>
    </row>
    <row r="469" spans="1:8" hidden="1" x14ac:dyDescent="0.3">
      <c r="A469" s="28" t="s">
        <v>1929</v>
      </c>
      <c r="B469" s="18">
        <v>2017</v>
      </c>
      <c r="C469" s="28">
        <v>5</v>
      </c>
      <c r="D469" s="28" t="s">
        <v>122</v>
      </c>
      <c r="E469" s="28">
        <v>0</v>
      </c>
      <c r="F469" s="28">
        <v>3</v>
      </c>
      <c r="G469" s="28">
        <f t="shared" si="7"/>
        <v>3</v>
      </c>
      <c r="H469" s="28" t="s">
        <v>1937</v>
      </c>
    </row>
    <row r="470" spans="1:8" x14ac:dyDescent="0.3">
      <c r="A470" s="28" t="s">
        <v>91</v>
      </c>
      <c r="B470" s="18">
        <v>2017</v>
      </c>
      <c r="C470" s="28">
        <v>5</v>
      </c>
      <c r="D470" s="28" t="s">
        <v>56</v>
      </c>
      <c r="E470" s="28">
        <v>1338</v>
      </c>
      <c r="F470" s="28">
        <v>1349</v>
      </c>
      <c r="G470" s="28">
        <f t="shared" si="7"/>
        <v>2687</v>
      </c>
      <c r="H470" s="28" t="s">
        <v>1937</v>
      </c>
    </row>
    <row r="471" spans="1:8" hidden="1" x14ac:dyDescent="0.3">
      <c r="A471" s="28" t="s">
        <v>1929</v>
      </c>
      <c r="B471" s="18">
        <v>2017</v>
      </c>
      <c r="C471" s="28">
        <v>6</v>
      </c>
      <c r="D471" s="28" t="s">
        <v>67</v>
      </c>
      <c r="E471" s="28">
        <v>170</v>
      </c>
      <c r="F471" s="28">
        <v>102</v>
      </c>
      <c r="G471" s="28">
        <f t="shared" si="7"/>
        <v>272</v>
      </c>
      <c r="H471" s="28" t="s">
        <v>1937</v>
      </c>
    </row>
    <row r="472" spans="1:8" hidden="1" x14ac:dyDescent="0.3">
      <c r="A472" s="28" t="s">
        <v>1929</v>
      </c>
      <c r="B472" s="18">
        <v>2017</v>
      </c>
      <c r="C472" s="28">
        <v>6</v>
      </c>
      <c r="D472" s="28" t="s">
        <v>63</v>
      </c>
      <c r="E472" s="28">
        <v>67</v>
      </c>
      <c r="F472" s="28">
        <v>49</v>
      </c>
      <c r="G472" s="28">
        <f t="shared" si="7"/>
        <v>116</v>
      </c>
      <c r="H472" s="28" t="s">
        <v>1937</v>
      </c>
    </row>
    <row r="473" spans="1:8" hidden="1" x14ac:dyDescent="0.3">
      <c r="A473" s="28" t="s">
        <v>1929</v>
      </c>
      <c r="B473" s="18">
        <v>2017</v>
      </c>
      <c r="C473" s="28">
        <v>6</v>
      </c>
      <c r="D473" s="28" t="s">
        <v>78</v>
      </c>
      <c r="E473" s="28">
        <v>42</v>
      </c>
      <c r="F473" s="28">
        <v>56</v>
      </c>
      <c r="G473" s="28">
        <f t="shared" si="7"/>
        <v>98</v>
      </c>
      <c r="H473" s="28" t="s">
        <v>1937</v>
      </c>
    </row>
    <row r="474" spans="1:8" hidden="1" x14ac:dyDescent="0.3">
      <c r="A474" s="28" t="s">
        <v>1929</v>
      </c>
      <c r="B474" s="18">
        <v>2017</v>
      </c>
      <c r="C474" s="28">
        <v>6</v>
      </c>
      <c r="D474" s="28" t="s">
        <v>81</v>
      </c>
      <c r="E474" s="28">
        <v>47</v>
      </c>
      <c r="F474" s="28">
        <v>45</v>
      </c>
      <c r="G474" s="28">
        <f t="shared" si="7"/>
        <v>92</v>
      </c>
      <c r="H474" s="28" t="s">
        <v>1937</v>
      </c>
    </row>
    <row r="475" spans="1:8" hidden="1" x14ac:dyDescent="0.3">
      <c r="A475" s="28" t="s">
        <v>1929</v>
      </c>
      <c r="B475" s="18">
        <v>2017</v>
      </c>
      <c r="C475" s="28">
        <v>6</v>
      </c>
      <c r="D475" s="28" t="s">
        <v>122</v>
      </c>
      <c r="E475" s="28">
        <v>48</v>
      </c>
      <c r="F475" s="28">
        <v>27</v>
      </c>
      <c r="G475" s="28">
        <f t="shared" si="7"/>
        <v>75</v>
      </c>
      <c r="H475" s="28" t="s">
        <v>1937</v>
      </c>
    </row>
    <row r="476" spans="1:8" hidden="1" x14ac:dyDescent="0.3">
      <c r="A476" s="28" t="s">
        <v>1929</v>
      </c>
      <c r="B476" s="18">
        <v>2017</v>
      </c>
      <c r="C476" s="28">
        <v>6</v>
      </c>
      <c r="D476" s="28" t="s">
        <v>115</v>
      </c>
      <c r="E476" s="28">
        <v>20</v>
      </c>
      <c r="F476" s="28">
        <v>13</v>
      </c>
      <c r="G476" s="28">
        <f t="shared" si="7"/>
        <v>33</v>
      </c>
      <c r="H476" s="28" t="s">
        <v>1937</v>
      </c>
    </row>
    <row r="477" spans="1:8" hidden="1" x14ac:dyDescent="0.3">
      <c r="A477" s="28" t="s">
        <v>1929</v>
      </c>
      <c r="B477" s="18">
        <v>2017</v>
      </c>
      <c r="C477" s="28">
        <v>6</v>
      </c>
      <c r="D477" s="28" t="s">
        <v>72</v>
      </c>
      <c r="E477" s="28">
        <v>0</v>
      </c>
      <c r="F477" s="28">
        <v>9</v>
      </c>
      <c r="G477" s="28">
        <f t="shared" si="7"/>
        <v>9</v>
      </c>
      <c r="H477" s="28" t="s">
        <v>1937</v>
      </c>
    </row>
    <row r="478" spans="1:8" hidden="1" x14ac:dyDescent="0.3">
      <c r="A478" s="28" t="s">
        <v>1929</v>
      </c>
      <c r="B478" s="18">
        <v>2017</v>
      </c>
      <c r="C478" s="28">
        <v>6</v>
      </c>
      <c r="D478" s="28" t="s">
        <v>536</v>
      </c>
      <c r="E478" s="28">
        <v>3</v>
      </c>
      <c r="F478" s="28">
        <v>4</v>
      </c>
      <c r="G478" s="28">
        <f t="shared" si="7"/>
        <v>7</v>
      </c>
      <c r="H478" s="28" t="s">
        <v>1937</v>
      </c>
    </row>
    <row r="479" spans="1:8" x14ac:dyDescent="0.3">
      <c r="A479" s="28" t="s">
        <v>91</v>
      </c>
      <c r="B479" s="18">
        <v>2017</v>
      </c>
      <c r="C479" s="28">
        <v>6</v>
      </c>
      <c r="D479" s="28" t="s">
        <v>56</v>
      </c>
      <c r="E479" s="28">
        <v>1486</v>
      </c>
      <c r="F479" s="28">
        <v>1518</v>
      </c>
      <c r="G479" s="28">
        <f t="shared" si="7"/>
        <v>3004</v>
      </c>
      <c r="H479" s="28" t="s">
        <v>1937</v>
      </c>
    </row>
    <row r="480" spans="1:8" hidden="1" x14ac:dyDescent="0.3">
      <c r="A480" s="28" t="s">
        <v>1929</v>
      </c>
      <c r="B480" s="18">
        <v>2017</v>
      </c>
      <c r="C480" s="28">
        <v>7</v>
      </c>
      <c r="D480" s="28" t="s">
        <v>67</v>
      </c>
      <c r="E480" s="28">
        <v>111</v>
      </c>
      <c r="F480" s="28">
        <v>64</v>
      </c>
      <c r="G480" s="28">
        <f t="shared" si="7"/>
        <v>175</v>
      </c>
      <c r="H480" s="28" t="s">
        <v>1937</v>
      </c>
    </row>
    <row r="481" spans="1:8" hidden="1" x14ac:dyDescent="0.3">
      <c r="A481" s="28" t="s">
        <v>1929</v>
      </c>
      <c r="B481" s="18">
        <v>2017</v>
      </c>
      <c r="C481" s="28">
        <v>7</v>
      </c>
      <c r="D481" s="28" t="s">
        <v>81</v>
      </c>
      <c r="E481" s="28">
        <v>42</v>
      </c>
      <c r="F481" s="28">
        <v>61</v>
      </c>
      <c r="G481" s="28">
        <f t="shared" si="7"/>
        <v>103</v>
      </c>
      <c r="H481" s="28" t="s">
        <v>1937</v>
      </c>
    </row>
    <row r="482" spans="1:8" hidden="1" x14ac:dyDescent="0.3">
      <c r="A482" s="28" t="s">
        <v>1929</v>
      </c>
      <c r="B482" s="18">
        <v>2017</v>
      </c>
      <c r="C482" s="28">
        <v>7</v>
      </c>
      <c r="D482" s="28" t="s">
        <v>63</v>
      </c>
      <c r="E482" s="28">
        <v>34</v>
      </c>
      <c r="F482" s="28">
        <v>31</v>
      </c>
      <c r="G482" s="28">
        <f t="shared" si="7"/>
        <v>65</v>
      </c>
      <c r="H482" s="28" t="s">
        <v>1937</v>
      </c>
    </row>
    <row r="483" spans="1:8" hidden="1" x14ac:dyDescent="0.3">
      <c r="A483" s="28" t="s">
        <v>1929</v>
      </c>
      <c r="B483" s="18">
        <v>2017</v>
      </c>
      <c r="C483" s="28">
        <v>7</v>
      </c>
      <c r="D483" s="28" t="s">
        <v>122</v>
      </c>
      <c r="E483" s="28">
        <v>34</v>
      </c>
      <c r="F483" s="28">
        <v>24</v>
      </c>
      <c r="G483" s="28">
        <f t="shared" si="7"/>
        <v>58</v>
      </c>
      <c r="H483" s="28" t="s">
        <v>1937</v>
      </c>
    </row>
    <row r="484" spans="1:8" hidden="1" x14ac:dyDescent="0.3">
      <c r="A484" s="28" t="s">
        <v>1929</v>
      </c>
      <c r="B484" s="18">
        <v>2017</v>
      </c>
      <c r="C484" s="28">
        <v>7</v>
      </c>
      <c r="D484" s="28" t="s">
        <v>78</v>
      </c>
      <c r="E484" s="28">
        <v>30</v>
      </c>
      <c r="F484" s="28">
        <v>2</v>
      </c>
      <c r="G484" s="28">
        <f t="shared" si="7"/>
        <v>32</v>
      </c>
      <c r="H484" s="28" t="s">
        <v>1937</v>
      </c>
    </row>
    <row r="485" spans="1:8" hidden="1" x14ac:dyDescent="0.3">
      <c r="A485" s="28" t="s">
        <v>1929</v>
      </c>
      <c r="B485" s="18">
        <v>2017</v>
      </c>
      <c r="C485" s="28">
        <v>7</v>
      </c>
      <c r="D485" s="28" t="s">
        <v>115</v>
      </c>
      <c r="E485" s="28">
        <v>12</v>
      </c>
      <c r="F485" s="28">
        <v>16</v>
      </c>
      <c r="G485" s="28">
        <f t="shared" si="7"/>
        <v>28</v>
      </c>
      <c r="H485" s="28" t="s">
        <v>1937</v>
      </c>
    </row>
    <row r="486" spans="1:8" hidden="1" x14ac:dyDescent="0.3">
      <c r="A486" s="28" t="s">
        <v>1929</v>
      </c>
      <c r="B486" s="18">
        <v>2017</v>
      </c>
      <c r="C486" s="28">
        <v>7</v>
      </c>
      <c r="D486" s="28" t="s">
        <v>125</v>
      </c>
      <c r="E486" s="28">
        <v>0</v>
      </c>
      <c r="F486" s="28">
        <v>8</v>
      </c>
      <c r="G486" s="28">
        <f t="shared" si="7"/>
        <v>8</v>
      </c>
      <c r="H486" s="28" t="s">
        <v>1937</v>
      </c>
    </row>
    <row r="487" spans="1:8" hidden="1" x14ac:dyDescent="0.3">
      <c r="A487" s="28" t="s">
        <v>1929</v>
      </c>
      <c r="B487" s="18">
        <v>2017</v>
      </c>
      <c r="C487" s="28">
        <v>7</v>
      </c>
      <c r="D487" s="28" t="s">
        <v>536</v>
      </c>
      <c r="E487" s="28">
        <v>0</v>
      </c>
      <c r="F487" s="28">
        <v>8</v>
      </c>
      <c r="G487" s="28">
        <f t="shared" si="7"/>
        <v>8</v>
      </c>
      <c r="H487" s="28" t="s">
        <v>1937</v>
      </c>
    </row>
    <row r="488" spans="1:8" hidden="1" x14ac:dyDescent="0.3">
      <c r="A488" s="28" t="s">
        <v>1929</v>
      </c>
      <c r="B488" s="18">
        <v>2017</v>
      </c>
      <c r="C488" s="28">
        <v>7</v>
      </c>
      <c r="D488" s="28" t="s">
        <v>56</v>
      </c>
      <c r="E488" s="28">
        <v>3</v>
      </c>
      <c r="F488" s="28">
        <v>1</v>
      </c>
      <c r="G488" s="28">
        <f t="shared" si="7"/>
        <v>4</v>
      </c>
      <c r="H488" s="28" t="s">
        <v>1937</v>
      </c>
    </row>
    <row r="489" spans="1:8" hidden="1" x14ac:dyDescent="0.3">
      <c r="A489" s="28" t="s">
        <v>1929</v>
      </c>
      <c r="B489" s="18">
        <v>2017</v>
      </c>
      <c r="C489" s="28">
        <v>7</v>
      </c>
      <c r="D489" s="28" t="s">
        <v>72</v>
      </c>
      <c r="E489" s="28">
        <v>0</v>
      </c>
      <c r="F489" s="28">
        <v>1</v>
      </c>
      <c r="G489" s="28">
        <f t="shared" si="7"/>
        <v>1</v>
      </c>
      <c r="H489" s="28" t="s">
        <v>1937</v>
      </c>
    </row>
    <row r="490" spans="1:8" x14ac:dyDescent="0.3">
      <c r="A490" s="28" t="s">
        <v>91</v>
      </c>
      <c r="B490" s="18">
        <v>2017</v>
      </c>
      <c r="C490" s="28">
        <v>7</v>
      </c>
      <c r="D490" s="28" t="s">
        <v>56</v>
      </c>
      <c r="E490" s="28">
        <v>1567</v>
      </c>
      <c r="F490" s="28">
        <v>1658</v>
      </c>
      <c r="G490" s="28">
        <f t="shared" si="7"/>
        <v>3225</v>
      </c>
      <c r="H490" s="28" t="s">
        <v>1937</v>
      </c>
    </row>
    <row r="491" spans="1:8" hidden="1" x14ac:dyDescent="0.3">
      <c r="A491" s="28" t="s">
        <v>1929</v>
      </c>
      <c r="B491" s="18">
        <v>2017</v>
      </c>
      <c r="C491" s="28">
        <v>8</v>
      </c>
      <c r="D491" s="28" t="s">
        <v>67</v>
      </c>
      <c r="E491" s="28">
        <v>44</v>
      </c>
      <c r="F491" s="28">
        <v>37</v>
      </c>
      <c r="G491" s="28">
        <f t="shared" si="7"/>
        <v>81</v>
      </c>
      <c r="H491" s="28" t="s">
        <v>1937</v>
      </c>
    </row>
    <row r="492" spans="1:8" hidden="1" x14ac:dyDescent="0.3">
      <c r="A492" s="28" t="s">
        <v>1929</v>
      </c>
      <c r="B492" s="18">
        <v>2017</v>
      </c>
      <c r="C492" s="28">
        <v>8</v>
      </c>
      <c r="D492" s="28" t="s">
        <v>63</v>
      </c>
      <c r="E492" s="28">
        <v>17</v>
      </c>
      <c r="F492" s="28">
        <v>24</v>
      </c>
      <c r="G492" s="28">
        <f t="shared" si="7"/>
        <v>41</v>
      </c>
      <c r="H492" s="28" t="s">
        <v>1937</v>
      </c>
    </row>
    <row r="493" spans="1:8" hidden="1" x14ac:dyDescent="0.3">
      <c r="A493" s="28" t="s">
        <v>1929</v>
      </c>
      <c r="B493" s="18">
        <v>2017</v>
      </c>
      <c r="C493" s="28">
        <v>8</v>
      </c>
      <c r="D493" s="28" t="s">
        <v>81</v>
      </c>
      <c r="E493" s="28">
        <v>29</v>
      </c>
      <c r="F493" s="28">
        <v>5</v>
      </c>
      <c r="G493" s="28">
        <f t="shared" si="7"/>
        <v>34</v>
      </c>
      <c r="H493" s="28" t="s">
        <v>1937</v>
      </c>
    </row>
    <row r="494" spans="1:8" hidden="1" x14ac:dyDescent="0.3">
      <c r="A494" s="28" t="s">
        <v>1929</v>
      </c>
      <c r="B494" s="18">
        <v>2017</v>
      </c>
      <c r="C494" s="28">
        <v>8</v>
      </c>
      <c r="D494" s="28" t="s">
        <v>115</v>
      </c>
      <c r="E494" s="28">
        <v>13</v>
      </c>
      <c r="F494" s="28">
        <v>19</v>
      </c>
      <c r="G494" s="28">
        <f t="shared" si="7"/>
        <v>32</v>
      </c>
      <c r="H494" s="28" t="s">
        <v>1937</v>
      </c>
    </row>
    <row r="495" spans="1:8" hidden="1" x14ac:dyDescent="0.3">
      <c r="A495" s="28" t="s">
        <v>1929</v>
      </c>
      <c r="B495" s="18">
        <v>2017</v>
      </c>
      <c r="C495" s="28">
        <v>8</v>
      </c>
      <c r="D495" s="28" t="s">
        <v>122</v>
      </c>
      <c r="E495" s="28">
        <v>13</v>
      </c>
      <c r="F495" s="28">
        <v>18</v>
      </c>
      <c r="G495" s="28">
        <f t="shared" si="7"/>
        <v>31</v>
      </c>
      <c r="H495" s="28" t="s">
        <v>1937</v>
      </c>
    </row>
    <row r="496" spans="1:8" hidden="1" x14ac:dyDescent="0.3">
      <c r="A496" s="28" t="s">
        <v>1929</v>
      </c>
      <c r="B496" s="18">
        <v>2017</v>
      </c>
      <c r="C496" s="28">
        <v>8</v>
      </c>
      <c r="D496" s="28" t="s">
        <v>72</v>
      </c>
      <c r="E496" s="28">
        <v>7</v>
      </c>
      <c r="F496" s="28">
        <v>6</v>
      </c>
      <c r="G496" s="28">
        <f t="shared" si="7"/>
        <v>13</v>
      </c>
      <c r="H496" s="28" t="s">
        <v>1937</v>
      </c>
    </row>
    <row r="497" spans="1:8" hidden="1" x14ac:dyDescent="0.3">
      <c r="A497" s="28" t="s">
        <v>1929</v>
      </c>
      <c r="B497" s="18">
        <v>2017</v>
      </c>
      <c r="C497" s="28">
        <v>8</v>
      </c>
      <c r="D497" s="28" t="s">
        <v>78</v>
      </c>
      <c r="E497" s="28">
        <v>11</v>
      </c>
      <c r="F497" s="28">
        <v>0</v>
      </c>
      <c r="G497" s="28">
        <f t="shared" si="7"/>
        <v>11</v>
      </c>
      <c r="H497" s="28" t="s">
        <v>1937</v>
      </c>
    </row>
    <row r="498" spans="1:8" hidden="1" x14ac:dyDescent="0.3">
      <c r="A498" s="28" t="s">
        <v>1929</v>
      </c>
      <c r="B498" s="18">
        <v>2017</v>
      </c>
      <c r="C498" s="28">
        <v>8</v>
      </c>
      <c r="D498" s="28" t="s">
        <v>56</v>
      </c>
      <c r="E498" s="28">
        <v>5</v>
      </c>
      <c r="F498" s="28">
        <v>0</v>
      </c>
      <c r="G498" s="28">
        <f t="shared" si="7"/>
        <v>5</v>
      </c>
      <c r="H498" s="28" t="s">
        <v>1937</v>
      </c>
    </row>
    <row r="499" spans="1:8" x14ac:dyDescent="0.3">
      <c r="A499" s="28" t="s">
        <v>91</v>
      </c>
      <c r="B499" s="18">
        <v>2017</v>
      </c>
      <c r="C499" s="28">
        <v>8</v>
      </c>
      <c r="D499" s="28" t="s">
        <v>56</v>
      </c>
      <c r="E499" s="28">
        <v>1411</v>
      </c>
      <c r="F499" s="28">
        <v>1537</v>
      </c>
      <c r="G499" s="28">
        <f t="shared" si="7"/>
        <v>2948</v>
      </c>
      <c r="H499" s="28" t="s">
        <v>1937</v>
      </c>
    </row>
    <row r="500" spans="1:8" hidden="1" x14ac:dyDescent="0.3">
      <c r="A500" s="28" t="s">
        <v>1929</v>
      </c>
      <c r="B500" s="18">
        <v>2017</v>
      </c>
      <c r="C500" s="28">
        <v>9</v>
      </c>
      <c r="D500" s="28" t="s">
        <v>67</v>
      </c>
      <c r="E500" s="28">
        <v>22</v>
      </c>
      <c r="F500" s="28">
        <v>36</v>
      </c>
      <c r="G500" s="28">
        <f t="shared" si="7"/>
        <v>58</v>
      </c>
      <c r="H500" s="28" t="s">
        <v>1937</v>
      </c>
    </row>
    <row r="501" spans="1:8" hidden="1" x14ac:dyDescent="0.3">
      <c r="A501" s="28" t="s">
        <v>1929</v>
      </c>
      <c r="B501" s="18">
        <v>2017</v>
      </c>
      <c r="C501" s="28">
        <v>9</v>
      </c>
      <c r="D501" s="28" t="s">
        <v>63</v>
      </c>
      <c r="E501" s="28">
        <v>25</v>
      </c>
      <c r="F501" s="28">
        <v>32</v>
      </c>
      <c r="G501" s="28">
        <f t="shared" si="7"/>
        <v>57</v>
      </c>
      <c r="H501" s="28" t="s">
        <v>1937</v>
      </c>
    </row>
    <row r="502" spans="1:8" hidden="1" x14ac:dyDescent="0.3">
      <c r="A502" s="28" t="s">
        <v>1929</v>
      </c>
      <c r="B502" s="18">
        <v>2017</v>
      </c>
      <c r="C502" s="28">
        <v>9</v>
      </c>
      <c r="D502" s="28" t="s">
        <v>115</v>
      </c>
      <c r="E502" s="28">
        <v>9</v>
      </c>
      <c r="F502" s="28">
        <v>15</v>
      </c>
      <c r="G502" s="28">
        <f t="shared" si="7"/>
        <v>24</v>
      </c>
      <c r="H502" s="28" t="s">
        <v>1937</v>
      </c>
    </row>
    <row r="503" spans="1:8" hidden="1" x14ac:dyDescent="0.3">
      <c r="A503" s="28" t="s">
        <v>1929</v>
      </c>
      <c r="B503" s="18">
        <v>2017</v>
      </c>
      <c r="C503" s="28">
        <v>9</v>
      </c>
      <c r="D503" s="28" t="s">
        <v>122</v>
      </c>
      <c r="E503" s="28">
        <v>5</v>
      </c>
      <c r="F503" s="28">
        <v>9</v>
      </c>
      <c r="G503" s="28">
        <f t="shared" si="7"/>
        <v>14</v>
      </c>
      <c r="H503" s="28" t="s">
        <v>1937</v>
      </c>
    </row>
    <row r="504" spans="1:8" hidden="1" x14ac:dyDescent="0.3">
      <c r="A504" s="28" t="s">
        <v>1929</v>
      </c>
      <c r="B504" s="18">
        <v>2017</v>
      </c>
      <c r="C504" s="28">
        <v>9</v>
      </c>
      <c r="D504" s="28" t="s">
        <v>81</v>
      </c>
      <c r="E504" s="28">
        <v>4</v>
      </c>
      <c r="F504" s="28">
        <v>7</v>
      </c>
      <c r="G504" s="28">
        <f t="shared" si="7"/>
        <v>11</v>
      </c>
      <c r="H504" s="28" t="s">
        <v>1937</v>
      </c>
    </row>
    <row r="505" spans="1:8" hidden="1" x14ac:dyDescent="0.3">
      <c r="A505" s="28" t="s">
        <v>1929</v>
      </c>
      <c r="B505" s="18">
        <v>2017</v>
      </c>
      <c r="C505" s="28">
        <v>9</v>
      </c>
      <c r="D505" s="28" t="s">
        <v>78</v>
      </c>
      <c r="E505" s="28">
        <v>5</v>
      </c>
      <c r="F505" s="28">
        <v>4</v>
      </c>
      <c r="G505" s="28">
        <f t="shared" si="7"/>
        <v>9</v>
      </c>
      <c r="H505" s="28" t="s">
        <v>1937</v>
      </c>
    </row>
    <row r="506" spans="1:8" hidden="1" x14ac:dyDescent="0.3">
      <c r="A506" s="28" t="s">
        <v>1929</v>
      </c>
      <c r="B506" s="18">
        <v>2017</v>
      </c>
      <c r="C506" s="28">
        <v>9</v>
      </c>
      <c r="D506" s="28" t="s">
        <v>72</v>
      </c>
      <c r="E506" s="28">
        <v>2</v>
      </c>
      <c r="F506" s="28">
        <v>0</v>
      </c>
      <c r="G506" s="28">
        <f t="shared" si="7"/>
        <v>2</v>
      </c>
      <c r="H506" s="28" t="s">
        <v>1937</v>
      </c>
    </row>
    <row r="507" spans="1:8" x14ac:dyDescent="0.3">
      <c r="A507" s="28" t="s">
        <v>91</v>
      </c>
      <c r="B507" s="18">
        <v>2017</v>
      </c>
      <c r="C507" s="28">
        <v>9</v>
      </c>
      <c r="D507" s="28" t="s">
        <v>56</v>
      </c>
      <c r="E507" s="28">
        <v>938</v>
      </c>
      <c r="F507" s="28">
        <v>989</v>
      </c>
      <c r="G507" s="28">
        <f t="shared" si="7"/>
        <v>1927</v>
      </c>
      <c r="H507" s="28" t="s">
        <v>1937</v>
      </c>
    </row>
    <row r="508" spans="1:8" hidden="1" x14ac:dyDescent="0.3">
      <c r="A508" s="28" t="s">
        <v>1929</v>
      </c>
      <c r="B508" s="18">
        <v>2017</v>
      </c>
      <c r="C508" s="28">
        <v>10</v>
      </c>
      <c r="D508" s="28" t="s">
        <v>63</v>
      </c>
      <c r="E508" s="28">
        <v>63</v>
      </c>
      <c r="F508" s="28">
        <v>92</v>
      </c>
      <c r="G508" s="28">
        <f t="shared" si="7"/>
        <v>155</v>
      </c>
      <c r="H508" s="28" t="s">
        <v>1937</v>
      </c>
    </row>
    <row r="509" spans="1:8" hidden="1" x14ac:dyDescent="0.3">
      <c r="A509" s="28" t="s">
        <v>1929</v>
      </c>
      <c r="B509" s="18">
        <v>2017</v>
      </c>
      <c r="C509" s="28">
        <v>10</v>
      </c>
      <c r="D509" s="28" t="s">
        <v>67</v>
      </c>
      <c r="E509" s="28">
        <v>55</v>
      </c>
      <c r="F509" s="28">
        <v>41</v>
      </c>
      <c r="G509" s="28">
        <f t="shared" si="7"/>
        <v>96</v>
      </c>
      <c r="H509" s="28" t="s">
        <v>1937</v>
      </c>
    </row>
    <row r="510" spans="1:8" hidden="1" x14ac:dyDescent="0.3">
      <c r="A510" s="28" t="s">
        <v>1929</v>
      </c>
      <c r="B510" s="18">
        <v>2017</v>
      </c>
      <c r="C510" s="28">
        <v>10</v>
      </c>
      <c r="D510" s="28" t="s">
        <v>78</v>
      </c>
      <c r="E510" s="28">
        <v>50</v>
      </c>
      <c r="F510" s="28">
        <v>26</v>
      </c>
      <c r="G510" s="28">
        <f t="shared" si="7"/>
        <v>76</v>
      </c>
      <c r="H510" s="28" t="s">
        <v>1937</v>
      </c>
    </row>
    <row r="511" spans="1:8" hidden="1" x14ac:dyDescent="0.3">
      <c r="A511" s="28" t="s">
        <v>1929</v>
      </c>
      <c r="B511" s="18">
        <v>2017</v>
      </c>
      <c r="C511" s="28">
        <v>10</v>
      </c>
      <c r="D511" s="28" t="s">
        <v>122</v>
      </c>
      <c r="E511" s="28">
        <v>25</v>
      </c>
      <c r="F511" s="28">
        <v>40</v>
      </c>
      <c r="G511" s="28">
        <f t="shared" si="7"/>
        <v>65</v>
      </c>
      <c r="H511" s="28" t="s">
        <v>1937</v>
      </c>
    </row>
    <row r="512" spans="1:8" hidden="1" x14ac:dyDescent="0.3">
      <c r="A512" s="28" t="s">
        <v>1929</v>
      </c>
      <c r="B512" s="18">
        <v>2017</v>
      </c>
      <c r="C512" s="28">
        <v>10</v>
      </c>
      <c r="D512" s="28" t="s">
        <v>115</v>
      </c>
      <c r="E512" s="28">
        <v>26</v>
      </c>
      <c r="F512" s="28">
        <v>29</v>
      </c>
      <c r="G512" s="28">
        <f t="shared" si="7"/>
        <v>55</v>
      </c>
      <c r="H512" s="28" t="s">
        <v>1937</v>
      </c>
    </row>
    <row r="513" spans="1:8" hidden="1" x14ac:dyDescent="0.3">
      <c r="A513" s="28" t="s">
        <v>1929</v>
      </c>
      <c r="B513" s="18">
        <v>2017</v>
      </c>
      <c r="C513" s="28">
        <v>10</v>
      </c>
      <c r="D513" s="28" t="s">
        <v>72</v>
      </c>
      <c r="E513" s="28">
        <v>10</v>
      </c>
      <c r="F513" s="28">
        <v>10</v>
      </c>
      <c r="G513" s="28">
        <f t="shared" si="7"/>
        <v>20</v>
      </c>
      <c r="H513" s="28" t="s">
        <v>1937</v>
      </c>
    </row>
    <row r="514" spans="1:8" hidden="1" x14ac:dyDescent="0.3">
      <c r="A514" s="28" t="s">
        <v>1929</v>
      </c>
      <c r="B514" s="18">
        <v>2017</v>
      </c>
      <c r="C514" s="28">
        <v>10</v>
      </c>
      <c r="D514" s="28" t="s">
        <v>56</v>
      </c>
      <c r="E514" s="28">
        <v>0</v>
      </c>
      <c r="F514" s="28">
        <v>8</v>
      </c>
      <c r="G514" s="28">
        <f t="shared" ref="G514:G577" si="8">SUM(E514+F514)</f>
        <v>8</v>
      </c>
      <c r="H514" s="28" t="s">
        <v>1937</v>
      </c>
    </row>
    <row r="515" spans="1:8" hidden="1" x14ac:dyDescent="0.3">
      <c r="A515" s="28" t="s">
        <v>1929</v>
      </c>
      <c r="B515" s="18">
        <v>2017</v>
      </c>
      <c r="C515" s="28">
        <v>10</v>
      </c>
      <c r="D515" s="28" t="s">
        <v>81</v>
      </c>
      <c r="E515" s="28">
        <v>4</v>
      </c>
      <c r="F515" s="28">
        <v>3</v>
      </c>
      <c r="G515" s="28">
        <f t="shared" si="8"/>
        <v>7</v>
      </c>
      <c r="H515" s="28" t="s">
        <v>1937</v>
      </c>
    </row>
    <row r="516" spans="1:8" x14ac:dyDescent="0.3">
      <c r="A516" s="28" t="s">
        <v>91</v>
      </c>
      <c r="B516" s="18">
        <v>2017</v>
      </c>
      <c r="C516" s="28">
        <v>10</v>
      </c>
      <c r="D516" s="28" t="s">
        <v>56</v>
      </c>
      <c r="E516" s="28">
        <v>1358</v>
      </c>
      <c r="F516" s="28">
        <v>1341</v>
      </c>
      <c r="G516" s="28">
        <f t="shared" si="8"/>
        <v>2699</v>
      </c>
      <c r="H516" s="28" t="s">
        <v>1937</v>
      </c>
    </row>
    <row r="517" spans="1:8" hidden="1" x14ac:dyDescent="0.3">
      <c r="A517" s="28" t="s">
        <v>1929</v>
      </c>
      <c r="B517" s="18">
        <v>2017</v>
      </c>
      <c r="C517" s="28">
        <v>11</v>
      </c>
      <c r="D517" s="28" t="s">
        <v>67</v>
      </c>
      <c r="E517" s="28">
        <v>49</v>
      </c>
      <c r="F517" s="28">
        <v>51</v>
      </c>
      <c r="G517" s="28">
        <f t="shared" si="8"/>
        <v>100</v>
      </c>
      <c r="H517" s="28" t="s">
        <v>1937</v>
      </c>
    </row>
    <row r="518" spans="1:8" hidden="1" x14ac:dyDescent="0.3">
      <c r="A518" s="28" t="s">
        <v>1929</v>
      </c>
      <c r="B518" s="18">
        <v>2017</v>
      </c>
      <c r="C518" s="28">
        <v>11</v>
      </c>
      <c r="D518" s="28" t="s">
        <v>63</v>
      </c>
      <c r="E518" s="28">
        <v>33</v>
      </c>
      <c r="F518" s="28">
        <v>35</v>
      </c>
      <c r="G518" s="28">
        <f t="shared" si="8"/>
        <v>68</v>
      </c>
      <c r="H518" s="28" t="s">
        <v>1937</v>
      </c>
    </row>
    <row r="519" spans="1:8" hidden="1" x14ac:dyDescent="0.3">
      <c r="A519" s="28" t="s">
        <v>1929</v>
      </c>
      <c r="B519" s="18">
        <v>2017</v>
      </c>
      <c r="C519" s="28">
        <v>11</v>
      </c>
      <c r="D519" s="28" t="s">
        <v>115</v>
      </c>
      <c r="E519" s="28">
        <v>21</v>
      </c>
      <c r="F519" s="28">
        <v>18</v>
      </c>
      <c r="G519" s="28">
        <f t="shared" si="8"/>
        <v>39</v>
      </c>
      <c r="H519" s="28" t="s">
        <v>1937</v>
      </c>
    </row>
    <row r="520" spans="1:8" hidden="1" x14ac:dyDescent="0.3">
      <c r="A520" s="28" t="s">
        <v>1929</v>
      </c>
      <c r="B520" s="18">
        <v>2017</v>
      </c>
      <c r="C520" s="28">
        <v>11</v>
      </c>
      <c r="D520" s="28" t="s">
        <v>78</v>
      </c>
      <c r="E520" s="28">
        <v>16</v>
      </c>
      <c r="F520" s="28">
        <v>15</v>
      </c>
      <c r="G520" s="28">
        <f t="shared" si="8"/>
        <v>31</v>
      </c>
      <c r="H520" s="28" t="s">
        <v>1937</v>
      </c>
    </row>
    <row r="521" spans="1:8" hidden="1" x14ac:dyDescent="0.3">
      <c r="A521" s="28" t="s">
        <v>1929</v>
      </c>
      <c r="B521" s="18">
        <v>2017</v>
      </c>
      <c r="C521" s="28">
        <v>11</v>
      </c>
      <c r="D521" s="28" t="s">
        <v>122</v>
      </c>
      <c r="E521" s="28">
        <v>18</v>
      </c>
      <c r="F521" s="28">
        <v>5</v>
      </c>
      <c r="G521" s="28">
        <f t="shared" si="8"/>
        <v>23</v>
      </c>
      <c r="H521" s="28" t="s">
        <v>1937</v>
      </c>
    </row>
    <row r="522" spans="1:8" hidden="1" x14ac:dyDescent="0.3">
      <c r="A522" s="28" t="s">
        <v>1929</v>
      </c>
      <c r="B522" s="18">
        <v>2017</v>
      </c>
      <c r="C522" s="28">
        <v>11</v>
      </c>
      <c r="D522" s="28" t="s">
        <v>72</v>
      </c>
      <c r="E522" s="28">
        <v>13</v>
      </c>
      <c r="F522" s="28">
        <v>4</v>
      </c>
      <c r="G522" s="28">
        <f t="shared" si="8"/>
        <v>17</v>
      </c>
      <c r="H522" s="28" t="s">
        <v>1937</v>
      </c>
    </row>
    <row r="523" spans="1:8" hidden="1" x14ac:dyDescent="0.3">
      <c r="A523" s="28" t="s">
        <v>1929</v>
      </c>
      <c r="B523" s="18">
        <v>2017</v>
      </c>
      <c r="C523" s="28">
        <v>11</v>
      </c>
      <c r="D523" s="28" t="s">
        <v>1354</v>
      </c>
      <c r="E523" s="28">
        <v>4</v>
      </c>
      <c r="F523" s="28">
        <v>0</v>
      </c>
      <c r="G523" s="28">
        <f t="shared" si="8"/>
        <v>4</v>
      </c>
      <c r="H523" s="28" t="s">
        <v>1937</v>
      </c>
    </row>
    <row r="524" spans="1:8" hidden="1" x14ac:dyDescent="0.3">
      <c r="A524" s="28" t="s">
        <v>1929</v>
      </c>
      <c r="B524" s="18">
        <v>2017</v>
      </c>
      <c r="C524" s="28">
        <v>11</v>
      </c>
      <c r="D524" s="28" t="s">
        <v>536</v>
      </c>
      <c r="E524" s="28">
        <v>0</v>
      </c>
      <c r="F524" s="28">
        <v>4</v>
      </c>
      <c r="G524" s="28">
        <f t="shared" si="8"/>
        <v>4</v>
      </c>
      <c r="H524" s="28" t="s">
        <v>1937</v>
      </c>
    </row>
    <row r="525" spans="1:8" hidden="1" x14ac:dyDescent="0.3">
      <c r="A525" s="28" t="s">
        <v>1929</v>
      </c>
      <c r="B525" s="18">
        <v>2017</v>
      </c>
      <c r="C525" s="28">
        <v>11</v>
      </c>
      <c r="D525" s="28" t="s">
        <v>230</v>
      </c>
      <c r="E525" s="28">
        <v>2</v>
      </c>
      <c r="F525" s="28">
        <v>0</v>
      </c>
      <c r="G525" s="28">
        <f t="shared" si="8"/>
        <v>2</v>
      </c>
      <c r="H525" s="28" t="s">
        <v>1937</v>
      </c>
    </row>
    <row r="526" spans="1:8" hidden="1" x14ac:dyDescent="0.3">
      <c r="A526" s="28" t="s">
        <v>1929</v>
      </c>
      <c r="B526" s="18">
        <v>2017</v>
      </c>
      <c r="C526" s="28">
        <v>11</v>
      </c>
      <c r="D526" s="28" t="s">
        <v>128</v>
      </c>
      <c r="E526" s="28">
        <v>1</v>
      </c>
      <c r="F526" s="28">
        <v>0</v>
      </c>
      <c r="G526" s="28">
        <f t="shared" si="8"/>
        <v>1</v>
      </c>
      <c r="H526" s="28" t="s">
        <v>1937</v>
      </c>
    </row>
    <row r="527" spans="1:8" hidden="1" x14ac:dyDescent="0.3">
      <c r="A527" s="28" t="s">
        <v>1929</v>
      </c>
      <c r="B527" s="18">
        <v>2017</v>
      </c>
      <c r="C527" s="28">
        <v>11</v>
      </c>
      <c r="D527" s="28" t="s">
        <v>716</v>
      </c>
      <c r="E527" s="28">
        <v>0</v>
      </c>
      <c r="F527" s="28">
        <v>1</v>
      </c>
      <c r="G527" s="28">
        <f t="shared" si="8"/>
        <v>1</v>
      </c>
      <c r="H527" s="28" t="s">
        <v>1937</v>
      </c>
    </row>
    <row r="528" spans="1:8" x14ac:dyDescent="0.3">
      <c r="A528" s="28" t="s">
        <v>91</v>
      </c>
      <c r="B528" s="18">
        <v>2017</v>
      </c>
      <c r="C528" s="28">
        <v>11</v>
      </c>
      <c r="D528" s="28" t="s">
        <v>56</v>
      </c>
      <c r="E528" s="28">
        <v>1178</v>
      </c>
      <c r="F528" s="28">
        <v>1395</v>
      </c>
      <c r="G528" s="28">
        <f t="shared" si="8"/>
        <v>2573</v>
      </c>
      <c r="H528" s="28" t="s">
        <v>1937</v>
      </c>
    </row>
    <row r="529" spans="1:8" hidden="1" x14ac:dyDescent="0.3">
      <c r="A529" s="28" t="s">
        <v>1929</v>
      </c>
      <c r="B529" s="18">
        <v>2017</v>
      </c>
      <c r="C529" s="28">
        <v>12</v>
      </c>
      <c r="D529" s="28" t="s">
        <v>67</v>
      </c>
      <c r="E529" s="28">
        <v>80</v>
      </c>
      <c r="F529" s="28">
        <v>50</v>
      </c>
      <c r="G529" s="28">
        <f t="shared" si="8"/>
        <v>130</v>
      </c>
      <c r="H529" s="28" t="s">
        <v>1937</v>
      </c>
    </row>
    <row r="530" spans="1:8" hidden="1" x14ac:dyDescent="0.3">
      <c r="A530" s="28" t="s">
        <v>1929</v>
      </c>
      <c r="B530" s="18">
        <v>2017</v>
      </c>
      <c r="C530" s="28">
        <v>12</v>
      </c>
      <c r="D530" s="28" t="s">
        <v>115</v>
      </c>
      <c r="E530" s="28">
        <v>37</v>
      </c>
      <c r="F530" s="28">
        <v>29</v>
      </c>
      <c r="G530" s="28">
        <f t="shared" si="8"/>
        <v>66</v>
      </c>
      <c r="H530" s="28" t="s">
        <v>1937</v>
      </c>
    </row>
    <row r="531" spans="1:8" hidden="1" x14ac:dyDescent="0.3">
      <c r="A531" s="28" t="s">
        <v>1929</v>
      </c>
      <c r="B531" s="18">
        <v>2017</v>
      </c>
      <c r="C531" s="28">
        <v>12</v>
      </c>
      <c r="D531" s="28" t="s">
        <v>63</v>
      </c>
      <c r="E531" s="28">
        <v>46</v>
      </c>
      <c r="F531" s="28">
        <v>18</v>
      </c>
      <c r="G531" s="28">
        <f t="shared" si="8"/>
        <v>64</v>
      </c>
      <c r="H531" s="28" t="s">
        <v>1937</v>
      </c>
    </row>
    <row r="532" spans="1:8" hidden="1" x14ac:dyDescent="0.3">
      <c r="A532" s="28" t="s">
        <v>1929</v>
      </c>
      <c r="B532" s="18">
        <v>2017</v>
      </c>
      <c r="C532" s="28">
        <v>12</v>
      </c>
      <c r="D532" s="28" t="s">
        <v>72</v>
      </c>
      <c r="E532" s="28">
        <v>23</v>
      </c>
      <c r="F532" s="28">
        <v>13</v>
      </c>
      <c r="G532" s="28">
        <f t="shared" si="8"/>
        <v>36</v>
      </c>
      <c r="H532" s="28" t="s">
        <v>1937</v>
      </c>
    </row>
    <row r="533" spans="1:8" hidden="1" x14ac:dyDescent="0.3">
      <c r="A533" s="28" t="s">
        <v>1929</v>
      </c>
      <c r="B533" s="18">
        <v>2017</v>
      </c>
      <c r="C533" s="28">
        <v>12</v>
      </c>
      <c r="D533" s="28" t="s">
        <v>1354</v>
      </c>
      <c r="E533" s="28">
        <v>5</v>
      </c>
      <c r="F533" s="28">
        <v>11</v>
      </c>
      <c r="G533" s="28">
        <f t="shared" si="8"/>
        <v>16</v>
      </c>
      <c r="H533" s="28" t="s">
        <v>1937</v>
      </c>
    </row>
    <row r="534" spans="1:8" hidden="1" x14ac:dyDescent="0.3">
      <c r="A534" s="28" t="s">
        <v>1929</v>
      </c>
      <c r="B534" s="18">
        <v>2017</v>
      </c>
      <c r="C534" s="28">
        <v>12</v>
      </c>
      <c r="D534" s="28" t="s">
        <v>78</v>
      </c>
      <c r="E534" s="28">
        <v>6</v>
      </c>
      <c r="F534" s="28">
        <v>9</v>
      </c>
      <c r="G534" s="28">
        <f t="shared" si="8"/>
        <v>15</v>
      </c>
      <c r="H534" s="28" t="s">
        <v>1937</v>
      </c>
    </row>
    <row r="535" spans="1:8" hidden="1" x14ac:dyDescent="0.3">
      <c r="A535" s="28" t="s">
        <v>1929</v>
      </c>
      <c r="B535" s="18">
        <v>2017</v>
      </c>
      <c r="C535" s="28">
        <v>12</v>
      </c>
      <c r="D535" s="28" t="s">
        <v>81</v>
      </c>
      <c r="E535" s="28">
        <v>2</v>
      </c>
      <c r="F535" s="28">
        <v>12</v>
      </c>
      <c r="G535" s="28">
        <f t="shared" si="8"/>
        <v>14</v>
      </c>
      <c r="H535" s="28" t="s">
        <v>1937</v>
      </c>
    </row>
    <row r="536" spans="1:8" hidden="1" x14ac:dyDescent="0.3">
      <c r="A536" s="28" t="s">
        <v>1929</v>
      </c>
      <c r="B536" s="18">
        <v>2017</v>
      </c>
      <c r="C536" s="28">
        <v>12</v>
      </c>
      <c r="D536" s="28" t="s">
        <v>122</v>
      </c>
      <c r="E536" s="28">
        <v>3</v>
      </c>
      <c r="F536" s="28">
        <v>4</v>
      </c>
      <c r="G536" s="28">
        <f t="shared" si="8"/>
        <v>7</v>
      </c>
      <c r="H536" s="28" t="s">
        <v>1937</v>
      </c>
    </row>
    <row r="537" spans="1:8" hidden="1" x14ac:dyDescent="0.3">
      <c r="A537" s="28" t="s">
        <v>1929</v>
      </c>
      <c r="B537" s="18">
        <v>2017</v>
      </c>
      <c r="C537" s="28">
        <v>12</v>
      </c>
      <c r="D537" s="28" t="s">
        <v>56</v>
      </c>
      <c r="E537" s="28">
        <v>3</v>
      </c>
      <c r="F537" s="28">
        <v>3</v>
      </c>
      <c r="G537" s="28">
        <f t="shared" si="8"/>
        <v>6</v>
      </c>
      <c r="H537" s="28" t="s">
        <v>1937</v>
      </c>
    </row>
    <row r="538" spans="1:8" hidden="1" x14ac:dyDescent="0.3">
      <c r="A538" s="28" t="s">
        <v>1929</v>
      </c>
      <c r="B538" s="18">
        <v>2017</v>
      </c>
      <c r="C538" s="28">
        <v>12</v>
      </c>
      <c r="D538" s="28" t="s">
        <v>128</v>
      </c>
      <c r="E538" s="28">
        <v>2</v>
      </c>
      <c r="F538" s="28">
        <v>0</v>
      </c>
      <c r="G538" s="28">
        <f t="shared" si="8"/>
        <v>2</v>
      </c>
      <c r="H538" s="28" t="s">
        <v>1937</v>
      </c>
    </row>
    <row r="539" spans="1:8" x14ac:dyDescent="0.3">
      <c r="A539" s="28" t="s">
        <v>91</v>
      </c>
      <c r="B539" s="18">
        <v>2017</v>
      </c>
      <c r="C539" s="28">
        <v>12</v>
      </c>
      <c r="D539" s="28" t="s">
        <v>56</v>
      </c>
      <c r="E539" s="28">
        <v>1265</v>
      </c>
      <c r="F539" s="28">
        <v>1324</v>
      </c>
      <c r="G539" s="28">
        <f t="shared" si="8"/>
        <v>2589</v>
      </c>
      <c r="H539" s="28" t="s">
        <v>1937</v>
      </c>
    </row>
    <row r="540" spans="1:8" hidden="1" x14ac:dyDescent="0.3">
      <c r="A540" s="28" t="s">
        <v>1929</v>
      </c>
      <c r="B540" s="18">
        <v>2018</v>
      </c>
      <c r="C540" s="28">
        <v>1</v>
      </c>
      <c r="D540" s="28" t="s">
        <v>67</v>
      </c>
      <c r="E540" s="28">
        <v>77</v>
      </c>
      <c r="F540" s="28">
        <v>84</v>
      </c>
      <c r="G540" s="28">
        <f t="shared" si="8"/>
        <v>161</v>
      </c>
      <c r="H540" s="28" t="s">
        <v>1937</v>
      </c>
    </row>
    <row r="541" spans="1:8" hidden="1" x14ac:dyDescent="0.3">
      <c r="A541" s="28" t="s">
        <v>1929</v>
      </c>
      <c r="B541" s="18">
        <v>2018</v>
      </c>
      <c r="C541" s="28">
        <v>1</v>
      </c>
      <c r="D541" s="28" t="s">
        <v>63</v>
      </c>
      <c r="E541" s="28">
        <v>53</v>
      </c>
      <c r="F541" s="28">
        <v>94</v>
      </c>
      <c r="G541" s="28">
        <f t="shared" si="8"/>
        <v>147</v>
      </c>
      <c r="H541" s="28" t="s">
        <v>1937</v>
      </c>
    </row>
    <row r="542" spans="1:8" hidden="1" x14ac:dyDescent="0.3">
      <c r="A542" s="28" t="s">
        <v>1929</v>
      </c>
      <c r="B542" s="18">
        <v>2018</v>
      </c>
      <c r="C542" s="28">
        <v>1</v>
      </c>
      <c r="D542" s="28" t="s">
        <v>115</v>
      </c>
      <c r="E542" s="28">
        <v>55</v>
      </c>
      <c r="F542" s="28">
        <v>65</v>
      </c>
      <c r="G542" s="28">
        <f t="shared" si="8"/>
        <v>120</v>
      </c>
      <c r="H542" s="28" t="s">
        <v>1937</v>
      </c>
    </row>
    <row r="543" spans="1:8" hidden="1" x14ac:dyDescent="0.3">
      <c r="A543" s="28" t="s">
        <v>1929</v>
      </c>
      <c r="B543" s="18">
        <v>2018</v>
      </c>
      <c r="C543" s="28">
        <v>1</v>
      </c>
      <c r="D543" s="28" t="s">
        <v>122</v>
      </c>
      <c r="E543" s="28">
        <v>63</v>
      </c>
      <c r="F543" s="28">
        <v>49</v>
      </c>
      <c r="G543" s="28">
        <f t="shared" si="8"/>
        <v>112</v>
      </c>
      <c r="H543" s="28" t="s">
        <v>1937</v>
      </c>
    </row>
    <row r="544" spans="1:8" hidden="1" x14ac:dyDescent="0.3">
      <c r="A544" s="28" t="s">
        <v>1929</v>
      </c>
      <c r="B544" s="18">
        <v>2018</v>
      </c>
      <c r="C544" s="28">
        <v>1</v>
      </c>
      <c r="D544" s="28" t="s">
        <v>78</v>
      </c>
      <c r="E544" s="28">
        <v>21</v>
      </c>
      <c r="F544" s="28">
        <v>13</v>
      </c>
      <c r="G544" s="28">
        <f t="shared" si="8"/>
        <v>34</v>
      </c>
      <c r="H544" s="28" t="s">
        <v>1937</v>
      </c>
    </row>
    <row r="545" spans="1:8" hidden="1" x14ac:dyDescent="0.3">
      <c r="A545" s="28" t="s">
        <v>1929</v>
      </c>
      <c r="B545" s="18">
        <v>2018</v>
      </c>
      <c r="C545" s="28">
        <v>1</v>
      </c>
      <c r="D545" s="28" t="s">
        <v>81</v>
      </c>
      <c r="E545" s="28">
        <v>10</v>
      </c>
      <c r="F545" s="28">
        <v>10</v>
      </c>
      <c r="G545" s="28">
        <f t="shared" si="8"/>
        <v>20</v>
      </c>
      <c r="H545" s="28" t="s">
        <v>1937</v>
      </c>
    </row>
    <row r="546" spans="1:8" hidden="1" x14ac:dyDescent="0.3">
      <c r="A546" s="28" t="s">
        <v>1929</v>
      </c>
      <c r="B546" s="18">
        <v>2018</v>
      </c>
      <c r="C546" s="28">
        <v>1</v>
      </c>
      <c r="D546" s="28" t="s">
        <v>72</v>
      </c>
      <c r="E546" s="28">
        <v>6</v>
      </c>
      <c r="F546" s="28">
        <v>6</v>
      </c>
      <c r="G546" s="28">
        <f t="shared" si="8"/>
        <v>12</v>
      </c>
      <c r="H546" s="28" t="s">
        <v>1937</v>
      </c>
    </row>
    <row r="547" spans="1:8" hidden="1" x14ac:dyDescent="0.3">
      <c r="A547" s="28" t="s">
        <v>1929</v>
      </c>
      <c r="B547" s="18">
        <v>2018</v>
      </c>
      <c r="C547" s="28">
        <v>1</v>
      </c>
      <c r="D547" s="28" t="s">
        <v>132</v>
      </c>
      <c r="E547" s="28">
        <v>5</v>
      </c>
      <c r="F547" s="28">
        <v>3</v>
      </c>
      <c r="G547" s="28">
        <f t="shared" si="8"/>
        <v>8</v>
      </c>
      <c r="H547" s="28" t="s">
        <v>1937</v>
      </c>
    </row>
    <row r="548" spans="1:8" hidden="1" x14ac:dyDescent="0.3">
      <c r="A548" s="28" t="s">
        <v>1929</v>
      </c>
      <c r="B548" s="18">
        <v>2018</v>
      </c>
      <c r="C548" s="28">
        <v>1</v>
      </c>
      <c r="D548" s="28" t="s">
        <v>230</v>
      </c>
      <c r="E548" s="28">
        <v>0</v>
      </c>
      <c r="F548" s="28">
        <v>4</v>
      </c>
      <c r="G548" s="28">
        <f t="shared" si="8"/>
        <v>4</v>
      </c>
      <c r="H548" s="28" t="s">
        <v>1937</v>
      </c>
    </row>
    <row r="549" spans="1:8" hidden="1" x14ac:dyDescent="0.3">
      <c r="A549" s="28" t="s">
        <v>1929</v>
      </c>
      <c r="B549" s="18">
        <v>2018</v>
      </c>
      <c r="C549" s="28">
        <v>1</v>
      </c>
      <c r="D549" s="28" t="s">
        <v>128</v>
      </c>
      <c r="E549" s="28">
        <v>3</v>
      </c>
      <c r="F549" s="28">
        <v>0</v>
      </c>
      <c r="G549" s="28">
        <f t="shared" si="8"/>
        <v>3</v>
      </c>
      <c r="H549" s="28" t="s">
        <v>1937</v>
      </c>
    </row>
    <row r="550" spans="1:8" hidden="1" x14ac:dyDescent="0.3">
      <c r="A550" s="28" t="s">
        <v>91</v>
      </c>
      <c r="B550" s="18">
        <v>2018</v>
      </c>
      <c r="C550" s="28">
        <v>1</v>
      </c>
      <c r="D550" s="28" t="s">
        <v>56</v>
      </c>
      <c r="E550" s="28">
        <v>1249</v>
      </c>
      <c r="F550" s="28">
        <v>1201</v>
      </c>
      <c r="G550" s="28">
        <f t="shared" si="8"/>
        <v>2450</v>
      </c>
      <c r="H550" s="28" t="s">
        <v>1937</v>
      </c>
    </row>
    <row r="551" spans="1:8" hidden="1" x14ac:dyDescent="0.3">
      <c r="A551" s="28" t="s">
        <v>1929</v>
      </c>
      <c r="B551" s="18">
        <v>2018</v>
      </c>
      <c r="C551" s="28">
        <v>2</v>
      </c>
      <c r="D551" s="28" t="s">
        <v>63</v>
      </c>
      <c r="E551" s="28">
        <v>181</v>
      </c>
      <c r="F551" s="28">
        <v>160</v>
      </c>
      <c r="G551" s="28">
        <f t="shared" si="8"/>
        <v>341</v>
      </c>
      <c r="H551" s="28" t="s">
        <v>1937</v>
      </c>
    </row>
    <row r="552" spans="1:8" hidden="1" x14ac:dyDescent="0.3">
      <c r="A552" s="28" t="s">
        <v>1929</v>
      </c>
      <c r="B552" s="18">
        <v>2018</v>
      </c>
      <c r="C552" s="28">
        <v>2</v>
      </c>
      <c r="D552" s="28" t="s">
        <v>67</v>
      </c>
      <c r="E552" s="28">
        <v>76</v>
      </c>
      <c r="F552" s="28">
        <v>56</v>
      </c>
      <c r="G552" s="28">
        <f t="shared" si="8"/>
        <v>132</v>
      </c>
      <c r="H552" s="28" t="s">
        <v>1937</v>
      </c>
    </row>
    <row r="553" spans="1:8" hidden="1" x14ac:dyDescent="0.3">
      <c r="A553" s="28" t="s">
        <v>1929</v>
      </c>
      <c r="B553" s="18">
        <v>2018</v>
      </c>
      <c r="C553" s="28">
        <v>2</v>
      </c>
      <c r="D553" s="28" t="s">
        <v>115</v>
      </c>
      <c r="E553" s="28">
        <v>44</v>
      </c>
      <c r="F553" s="28">
        <v>12</v>
      </c>
      <c r="G553" s="28">
        <f t="shared" si="8"/>
        <v>56</v>
      </c>
      <c r="H553" s="28" t="s">
        <v>1937</v>
      </c>
    </row>
    <row r="554" spans="1:8" hidden="1" x14ac:dyDescent="0.3">
      <c r="A554" s="28" t="s">
        <v>1929</v>
      </c>
      <c r="B554" s="18">
        <v>2018</v>
      </c>
      <c r="C554" s="28">
        <v>2</v>
      </c>
      <c r="D554" s="28" t="s">
        <v>56</v>
      </c>
      <c r="E554" s="28">
        <v>26</v>
      </c>
      <c r="F554" s="28">
        <v>26</v>
      </c>
      <c r="G554" s="28">
        <f t="shared" si="8"/>
        <v>52</v>
      </c>
      <c r="H554" s="28" t="s">
        <v>1937</v>
      </c>
    </row>
    <row r="555" spans="1:8" hidden="1" x14ac:dyDescent="0.3">
      <c r="A555" s="28" t="s">
        <v>1929</v>
      </c>
      <c r="B555" s="18">
        <v>2018</v>
      </c>
      <c r="C555" s="28">
        <v>2</v>
      </c>
      <c r="D555" s="28" t="s">
        <v>78</v>
      </c>
      <c r="E555" s="28">
        <v>2</v>
      </c>
      <c r="F555" s="28">
        <v>37</v>
      </c>
      <c r="G555" s="28">
        <f t="shared" si="8"/>
        <v>39</v>
      </c>
      <c r="H555" s="28" t="s">
        <v>1937</v>
      </c>
    </row>
    <row r="556" spans="1:8" hidden="1" x14ac:dyDescent="0.3">
      <c r="A556" s="28" t="s">
        <v>1929</v>
      </c>
      <c r="B556" s="18">
        <v>2018</v>
      </c>
      <c r="C556" s="28">
        <v>2</v>
      </c>
      <c r="D556" s="28" t="s">
        <v>122</v>
      </c>
      <c r="E556" s="28">
        <v>14</v>
      </c>
      <c r="F556" s="28">
        <v>14</v>
      </c>
      <c r="G556" s="28">
        <f t="shared" si="8"/>
        <v>28</v>
      </c>
      <c r="H556" s="28" t="s">
        <v>1937</v>
      </c>
    </row>
    <row r="557" spans="1:8" hidden="1" x14ac:dyDescent="0.3">
      <c r="A557" s="28" t="s">
        <v>1929</v>
      </c>
      <c r="B557" s="18">
        <v>2018</v>
      </c>
      <c r="C557" s="28">
        <v>2</v>
      </c>
      <c r="D557" s="28" t="s">
        <v>72</v>
      </c>
      <c r="E557" s="28">
        <v>11</v>
      </c>
      <c r="F557" s="28">
        <v>9</v>
      </c>
      <c r="G557" s="28">
        <f t="shared" si="8"/>
        <v>20</v>
      </c>
      <c r="H557" s="28" t="s">
        <v>1937</v>
      </c>
    </row>
    <row r="558" spans="1:8" hidden="1" x14ac:dyDescent="0.3">
      <c r="A558" s="28" t="s">
        <v>1929</v>
      </c>
      <c r="B558" s="18">
        <v>2018</v>
      </c>
      <c r="C558" s="28">
        <v>2</v>
      </c>
      <c r="D558" s="28" t="s">
        <v>230</v>
      </c>
      <c r="E558" s="28">
        <v>5</v>
      </c>
      <c r="F558" s="28">
        <v>5</v>
      </c>
      <c r="G558" s="28">
        <f t="shared" si="8"/>
        <v>10</v>
      </c>
      <c r="H558" s="28" t="s">
        <v>1937</v>
      </c>
    </row>
    <row r="559" spans="1:8" hidden="1" x14ac:dyDescent="0.3">
      <c r="A559" s="28" t="s">
        <v>1929</v>
      </c>
      <c r="B559" s="18">
        <v>2018</v>
      </c>
      <c r="C559" s="28">
        <v>2</v>
      </c>
      <c r="D559" s="28" t="s">
        <v>81</v>
      </c>
      <c r="E559" s="28">
        <v>4</v>
      </c>
      <c r="F559" s="28">
        <v>4</v>
      </c>
      <c r="G559" s="28">
        <f t="shared" si="8"/>
        <v>8</v>
      </c>
      <c r="H559" s="28" t="s">
        <v>1937</v>
      </c>
    </row>
    <row r="560" spans="1:8" hidden="1" x14ac:dyDescent="0.3">
      <c r="A560" s="28" t="s">
        <v>1929</v>
      </c>
      <c r="B560" s="18">
        <v>2018</v>
      </c>
      <c r="C560" s="28">
        <v>2</v>
      </c>
      <c r="D560" s="28" t="s">
        <v>128</v>
      </c>
      <c r="E560" s="28">
        <v>2</v>
      </c>
      <c r="F560" s="28">
        <v>4</v>
      </c>
      <c r="G560" s="28">
        <f t="shared" si="8"/>
        <v>6</v>
      </c>
      <c r="H560" s="28" t="s">
        <v>1937</v>
      </c>
    </row>
    <row r="561" spans="1:8" hidden="1" x14ac:dyDescent="0.3">
      <c r="A561" s="28" t="s">
        <v>91</v>
      </c>
      <c r="B561" s="18">
        <v>2018</v>
      </c>
      <c r="C561" s="28">
        <v>2</v>
      </c>
      <c r="D561" s="28" t="s">
        <v>56</v>
      </c>
      <c r="E561" s="28">
        <v>1183</v>
      </c>
      <c r="F561" s="28">
        <v>1263</v>
      </c>
      <c r="G561" s="28">
        <f t="shared" si="8"/>
        <v>2446</v>
      </c>
      <c r="H561" s="28" t="s">
        <v>1937</v>
      </c>
    </row>
    <row r="562" spans="1:8" hidden="1" x14ac:dyDescent="0.3">
      <c r="A562" s="28" t="s">
        <v>1929</v>
      </c>
      <c r="B562" s="18">
        <v>2018</v>
      </c>
      <c r="C562" s="28">
        <v>3</v>
      </c>
      <c r="D562" s="28" t="s">
        <v>63</v>
      </c>
      <c r="E562" s="28">
        <v>64</v>
      </c>
      <c r="F562" s="28">
        <v>75</v>
      </c>
      <c r="G562" s="28">
        <f t="shared" si="8"/>
        <v>139</v>
      </c>
      <c r="H562" s="28" t="s">
        <v>1937</v>
      </c>
    </row>
    <row r="563" spans="1:8" hidden="1" x14ac:dyDescent="0.3">
      <c r="A563" s="28" t="s">
        <v>1929</v>
      </c>
      <c r="B563" s="18">
        <v>2018</v>
      </c>
      <c r="C563" s="28">
        <v>3</v>
      </c>
      <c r="D563" s="28" t="s">
        <v>67</v>
      </c>
      <c r="E563" s="28">
        <v>83</v>
      </c>
      <c r="F563" s="28">
        <v>54</v>
      </c>
      <c r="G563" s="28">
        <f t="shared" si="8"/>
        <v>137</v>
      </c>
      <c r="H563" s="28" t="s">
        <v>1937</v>
      </c>
    </row>
    <row r="564" spans="1:8" hidden="1" x14ac:dyDescent="0.3">
      <c r="A564" s="28" t="s">
        <v>1929</v>
      </c>
      <c r="B564" s="18">
        <v>2018</v>
      </c>
      <c r="C564" s="28">
        <v>3</v>
      </c>
      <c r="D564" s="28" t="s">
        <v>122</v>
      </c>
      <c r="E564" s="28">
        <v>37</v>
      </c>
      <c r="F564" s="28">
        <v>56</v>
      </c>
      <c r="G564" s="28">
        <f t="shared" si="8"/>
        <v>93</v>
      </c>
      <c r="H564" s="28" t="s">
        <v>1937</v>
      </c>
    </row>
    <row r="565" spans="1:8" hidden="1" x14ac:dyDescent="0.3">
      <c r="A565" s="28" t="s">
        <v>1929</v>
      </c>
      <c r="B565" s="18">
        <v>2018</v>
      </c>
      <c r="C565" s="28">
        <v>3</v>
      </c>
      <c r="D565" s="28" t="s">
        <v>1396</v>
      </c>
      <c r="E565" s="28">
        <v>33</v>
      </c>
      <c r="F565" s="28">
        <v>37</v>
      </c>
      <c r="G565" s="28">
        <f t="shared" si="8"/>
        <v>70</v>
      </c>
      <c r="H565" s="28" t="s">
        <v>1937</v>
      </c>
    </row>
    <row r="566" spans="1:8" hidden="1" x14ac:dyDescent="0.3">
      <c r="A566" s="28" t="s">
        <v>1929</v>
      </c>
      <c r="B566" s="18">
        <v>2018</v>
      </c>
      <c r="C566" s="28">
        <v>3</v>
      </c>
      <c r="D566" s="28" t="s">
        <v>115</v>
      </c>
      <c r="E566" s="28">
        <v>34</v>
      </c>
      <c r="F566" s="28">
        <v>24</v>
      </c>
      <c r="G566" s="28">
        <f t="shared" si="8"/>
        <v>58</v>
      </c>
      <c r="H566" s="28" t="s">
        <v>1937</v>
      </c>
    </row>
    <row r="567" spans="1:8" hidden="1" x14ac:dyDescent="0.3">
      <c r="A567" s="28" t="s">
        <v>1929</v>
      </c>
      <c r="B567" s="18">
        <v>2018</v>
      </c>
      <c r="C567" s="28">
        <v>3</v>
      </c>
      <c r="D567" s="28" t="s">
        <v>78</v>
      </c>
      <c r="E567" s="28">
        <v>25</v>
      </c>
      <c r="F567" s="28">
        <v>4</v>
      </c>
      <c r="G567" s="28">
        <f t="shared" si="8"/>
        <v>29</v>
      </c>
      <c r="H567" s="28" t="s">
        <v>1937</v>
      </c>
    </row>
    <row r="568" spans="1:8" hidden="1" x14ac:dyDescent="0.3">
      <c r="A568" s="28" t="s">
        <v>1929</v>
      </c>
      <c r="B568" s="18">
        <v>2018</v>
      </c>
      <c r="C568" s="28">
        <v>3</v>
      </c>
      <c r="D568" s="28" t="s">
        <v>56</v>
      </c>
      <c r="E568" s="28">
        <v>0</v>
      </c>
      <c r="F568" s="28">
        <v>8</v>
      </c>
      <c r="G568" s="28">
        <f t="shared" si="8"/>
        <v>8</v>
      </c>
      <c r="H568" s="28" t="s">
        <v>1937</v>
      </c>
    </row>
    <row r="569" spans="1:8" hidden="1" x14ac:dyDescent="0.3">
      <c r="A569" s="28" t="s">
        <v>1929</v>
      </c>
      <c r="B569" s="18">
        <v>2018</v>
      </c>
      <c r="C569" s="28">
        <v>3</v>
      </c>
      <c r="D569" s="28" t="s">
        <v>1354</v>
      </c>
      <c r="E569" s="28">
        <v>5</v>
      </c>
      <c r="F569" s="28">
        <v>2</v>
      </c>
      <c r="G569" s="28">
        <f t="shared" si="8"/>
        <v>7</v>
      </c>
      <c r="H569" s="28" t="s">
        <v>1937</v>
      </c>
    </row>
    <row r="570" spans="1:8" hidden="1" x14ac:dyDescent="0.3">
      <c r="A570" s="28" t="s">
        <v>1929</v>
      </c>
      <c r="B570" s="18">
        <v>2018</v>
      </c>
      <c r="C570" s="28">
        <v>3</v>
      </c>
      <c r="D570" s="28" t="s">
        <v>72</v>
      </c>
      <c r="E570" s="28">
        <v>5</v>
      </c>
      <c r="F570" s="28">
        <v>0</v>
      </c>
      <c r="G570" s="28">
        <f t="shared" si="8"/>
        <v>5</v>
      </c>
      <c r="H570" s="28" t="s">
        <v>1937</v>
      </c>
    </row>
    <row r="571" spans="1:8" hidden="1" x14ac:dyDescent="0.3">
      <c r="A571" s="28" t="s">
        <v>1929</v>
      </c>
      <c r="B571" s="18">
        <v>2018</v>
      </c>
      <c r="C571" s="28">
        <v>3</v>
      </c>
      <c r="D571" s="28" t="s">
        <v>536</v>
      </c>
      <c r="E571" s="28">
        <v>0</v>
      </c>
      <c r="F571" s="28">
        <v>3</v>
      </c>
      <c r="G571" s="28">
        <f t="shared" si="8"/>
        <v>3</v>
      </c>
      <c r="H571" s="28" t="s">
        <v>1937</v>
      </c>
    </row>
    <row r="572" spans="1:8" hidden="1" x14ac:dyDescent="0.3">
      <c r="A572" s="28" t="s">
        <v>91</v>
      </c>
      <c r="B572" s="18">
        <v>2018</v>
      </c>
      <c r="C572" s="28">
        <v>3</v>
      </c>
      <c r="D572" s="28" t="s">
        <v>56</v>
      </c>
      <c r="E572" s="28">
        <v>1615</v>
      </c>
      <c r="F572" s="28">
        <v>1599</v>
      </c>
      <c r="G572" s="28">
        <f t="shared" si="8"/>
        <v>3214</v>
      </c>
      <c r="H572" s="28" t="s">
        <v>1937</v>
      </c>
    </row>
    <row r="573" spans="1:8" hidden="1" x14ac:dyDescent="0.3">
      <c r="A573" s="28" t="s">
        <v>1929</v>
      </c>
      <c r="B573" s="18">
        <v>2018</v>
      </c>
      <c r="C573" s="28">
        <v>4</v>
      </c>
      <c r="D573" s="28" t="s">
        <v>67</v>
      </c>
      <c r="E573" s="28">
        <v>102</v>
      </c>
      <c r="F573" s="28">
        <v>91</v>
      </c>
      <c r="G573" s="28">
        <f t="shared" si="8"/>
        <v>193</v>
      </c>
      <c r="H573" s="28" t="s">
        <v>1937</v>
      </c>
    </row>
    <row r="574" spans="1:8" hidden="1" x14ac:dyDescent="0.3">
      <c r="A574" s="28" t="s">
        <v>1929</v>
      </c>
      <c r="B574" s="18">
        <v>2018</v>
      </c>
      <c r="C574" s="28">
        <v>4</v>
      </c>
      <c r="D574" s="28" t="s">
        <v>63</v>
      </c>
      <c r="E574" s="28">
        <v>71</v>
      </c>
      <c r="F574" s="28">
        <v>62</v>
      </c>
      <c r="G574" s="28">
        <f t="shared" si="8"/>
        <v>133</v>
      </c>
      <c r="H574" s="28" t="s">
        <v>1937</v>
      </c>
    </row>
    <row r="575" spans="1:8" hidden="1" x14ac:dyDescent="0.3">
      <c r="A575" s="28" t="s">
        <v>1929</v>
      </c>
      <c r="B575" s="18">
        <v>2018</v>
      </c>
      <c r="C575" s="28">
        <v>4</v>
      </c>
      <c r="D575" s="28" t="s">
        <v>78</v>
      </c>
      <c r="E575" s="28">
        <v>41</v>
      </c>
      <c r="F575" s="28">
        <v>40</v>
      </c>
      <c r="G575" s="28">
        <f t="shared" si="8"/>
        <v>81</v>
      </c>
      <c r="H575" s="28" t="s">
        <v>1937</v>
      </c>
    </row>
    <row r="576" spans="1:8" hidden="1" x14ac:dyDescent="0.3">
      <c r="A576" s="28" t="s">
        <v>1929</v>
      </c>
      <c r="B576" s="18">
        <v>2018</v>
      </c>
      <c r="C576" s="28">
        <v>4</v>
      </c>
      <c r="D576" s="28" t="s">
        <v>115</v>
      </c>
      <c r="E576" s="28">
        <v>35</v>
      </c>
      <c r="F576" s="28">
        <v>41</v>
      </c>
      <c r="G576" s="28">
        <f t="shared" si="8"/>
        <v>76</v>
      </c>
      <c r="H576" s="28" t="s">
        <v>1937</v>
      </c>
    </row>
    <row r="577" spans="1:8" hidden="1" x14ac:dyDescent="0.3">
      <c r="A577" s="28" t="s">
        <v>1929</v>
      </c>
      <c r="B577" s="18">
        <v>2018</v>
      </c>
      <c r="C577" s="28">
        <v>4</v>
      </c>
      <c r="D577" s="28" t="s">
        <v>81</v>
      </c>
      <c r="E577" s="28">
        <v>23</v>
      </c>
      <c r="F577" s="28">
        <v>11</v>
      </c>
      <c r="G577" s="28">
        <f t="shared" si="8"/>
        <v>34</v>
      </c>
      <c r="H577" s="28" t="s">
        <v>1937</v>
      </c>
    </row>
    <row r="578" spans="1:8" hidden="1" x14ac:dyDescent="0.3">
      <c r="A578" s="28" t="s">
        <v>1929</v>
      </c>
      <c r="B578" s="18">
        <v>2018</v>
      </c>
      <c r="C578" s="28">
        <v>4</v>
      </c>
      <c r="D578" s="28" t="s">
        <v>122</v>
      </c>
      <c r="E578" s="28">
        <v>18</v>
      </c>
      <c r="F578" s="28">
        <v>10</v>
      </c>
      <c r="G578" s="28">
        <f t="shared" ref="G578:G592" si="9">SUM(E578+F578)</f>
        <v>28</v>
      </c>
      <c r="H578" s="28" t="s">
        <v>1937</v>
      </c>
    </row>
    <row r="579" spans="1:8" hidden="1" x14ac:dyDescent="0.3">
      <c r="A579" s="28" t="s">
        <v>1929</v>
      </c>
      <c r="B579" s="18">
        <v>2018</v>
      </c>
      <c r="C579" s="28">
        <v>4</v>
      </c>
      <c r="D579" s="28" t="s">
        <v>72</v>
      </c>
      <c r="E579" s="28">
        <v>13</v>
      </c>
      <c r="F579" s="28">
        <v>8</v>
      </c>
      <c r="G579" s="28">
        <f t="shared" si="9"/>
        <v>21</v>
      </c>
      <c r="H579" s="28" t="s">
        <v>1937</v>
      </c>
    </row>
    <row r="580" spans="1:8" hidden="1" x14ac:dyDescent="0.3">
      <c r="A580" s="28" t="s">
        <v>1929</v>
      </c>
      <c r="B580" s="18">
        <v>2018</v>
      </c>
      <c r="C580" s="28">
        <v>4</v>
      </c>
      <c r="D580" s="28" t="s">
        <v>56</v>
      </c>
      <c r="E580" s="28">
        <v>6</v>
      </c>
      <c r="F580" s="28">
        <v>3</v>
      </c>
      <c r="G580" s="28">
        <f t="shared" si="9"/>
        <v>9</v>
      </c>
      <c r="H580" s="28" t="s">
        <v>1937</v>
      </c>
    </row>
    <row r="581" spans="1:8" hidden="1" x14ac:dyDescent="0.3">
      <c r="A581" s="28" t="s">
        <v>1929</v>
      </c>
      <c r="B581" s="18">
        <v>2018</v>
      </c>
      <c r="C581" s="28">
        <v>4</v>
      </c>
      <c r="D581" s="28" t="s">
        <v>132</v>
      </c>
      <c r="E581" s="28">
        <v>4</v>
      </c>
      <c r="F581" s="28">
        <v>2</v>
      </c>
      <c r="G581" s="28">
        <f t="shared" si="9"/>
        <v>6</v>
      </c>
      <c r="H581" s="28" t="s">
        <v>1937</v>
      </c>
    </row>
    <row r="582" spans="1:8" hidden="1" x14ac:dyDescent="0.3">
      <c r="A582" s="28" t="s">
        <v>1929</v>
      </c>
      <c r="B582" s="18">
        <v>2018</v>
      </c>
      <c r="C582" s="28">
        <v>4</v>
      </c>
      <c r="D582" s="28" t="s">
        <v>128</v>
      </c>
      <c r="E582" s="28">
        <v>2</v>
      </c>
      <c r="F582" s="28">
        <v>3</v>
      </c>
      <c r="G582" s="28">
        <f t="shared" si="9"/>
        <v>5</v>
      </c>
      <c r="H582" s="28" t="s">
        <v>1937</v>
      </c>
    </row>
    <row r="583" spans="1:8" hidden="1" x14ac:dyDescent="0.3">
      <c r="A583" s="28" t="s">
        <v>91</v>
      </c>
      <c r="B583" s="18">
        <v>2018</v>
      </c>
      <c r="C583" s="28">
        <v>4</v>
      </c>
      <c r="D583" s="28" t="s">
        <v>56</v>
      </c>
      <c r="E583" s="28">
        <v>1580</v>
      </c>
      <c r="F583" s="28">
        <v>1531</v>
      </c>
      <c r="G583" s="28">
        <f t="shared" si="9"/>
        <v>3111</v>
      </c>
      <c r="H583" s="28" t="s">
        <v>1937</v>
      </c>
    </row>
    <row r="584" spans="1:8" hidden="1" x14ac:dyDescent="0.3">
      <c r="A584" s="28" t="s">
        <v>1929</v>
      </c>
      <c r="B584" s="18">
        <v>2018</v>
      </c>
      <c r="C584" s="28">
        <v>5</v>
      </c>
      <c r="D584" s="28" t="s">
        <v>67</v>
      </c>
      <c r="E584" s="28">
        <v>85</v>
      </c>
      <c r="F584" s="28">
        <v>76</v>
      </c>
      <c r="G584" s="28">
        <f t="shared" si="9"/>
        <v>161</v>
      </c>
      <c r="H584" s="28" t="s">
        <v>1937</v>
      </c>
    </row>
    <row r="585" spans="1:8" hidden="1" x14ac:dyDescent="0.3">
      <c r="A585" s="28" t="s">
        <v>1929</v>
      </c>
      <c r="B585" s="18">
        <v>2018</v>
      </c>
      <c r="C585" s="28">
        <v>5</v>
      </c>
      <c r="D585" s="28" t="s">
        <v>115</v>
      </c>
      <c r="E585" s="28">
        <v>75</v>
      </c>
      <c r="F585" s="28">
        <v>53</v>
      </c>
      <c r="G585" s="28">
        <f t="shared" si="9"/>
        <v>128</v>
      </c>
      <c r="H585" s="28" t="s">
        <v>1937</v>
      </c>
    </row>
    <row r="586" spans="1:8" hidden="1" x14ac:dyDescent="0.3">
      <c r="A586" s="28" t="s">
        <v>1929</v>
      </c>
      <c r="B586" s="18">
        <v>2018</v>
      </c>
      <c r="C586" s="28">
        <v>5</v>
      </c>
      <c r="D586" s="28" t="s">
        <v>63</v>
      </c>
      <c r="E586" s="28">
        <v>83</v>
      </c>
      <c r="F586" s="28">
        <v>43</v>
      </c>
      <c r="G586" s="28">
        <f t="shared" si="9"/>
        <v>126</v>
      </c>
      <c r="H586" s="28" t="s">
        <v>1937</v>
      </c>
    </row>
    <row r="587" spans="1:8" hidden="1" x14ac:dyDescent="0.3">
      <c r="A587" s="28" t="s">
        <v>1929</v>
      </c>
      <c r="B587" s="18">
        <v>2018</v>
      </c>
      <c r="C587" s="28">
        <v>5</v>
      </c>
      <c r="D587" s="28" t="s">
        <v>81</v>
      </c>
      <c r="E587" s="28">
        <v>36</v>
      </c>
      <c r="F587" s="28">
        <v>54</v>
      </c>
      <c r="G587" s="28">
        <f t="shared" si="9"/>
        <v>90</v>
      </c>
      <c r="H587" s="28" t="s">
        <v>1937</v>
      </c>
    </row>
    <row r="588" spans="1:8" hidden="1" x14ac:dyDescent="0.3">
      <c r="A588" s="28" t="s">
        <v>1929</v>
      </c>
      <c r="B588" s="18">
        <v>2018</v>
      </c>
      <c r="C588" s="28">
        <v>5</v>
      </c>
      <c r="D588" s="28" t="s">
        <v>72</v>
      </c>
      <c r="E588" s="28">
        <v>27</v>
      </c>
      <c r="F588" s="28">
        <v>13</v>
      </c>
      <c r="G588" s="28">
        <f t="shared" si="9"/>
        <v>40</v>
      </c>
      <c r="H588" s="28" t="s">
        <v>1937</v>
      </c>
    </row>
    <row r="589" spans="1:8" hidden="1" x14ac:dyDescent="0.3">
      <c r="A589" s="28" t="s">
        <v>1929</v>
      </c>
      <c r="B589" s="18">
        <v>2018</v>
      </c>
      <c r="C589" s="28">
        <v>5</v>
      </c>
      <c r="D589" s="28" t="s">
        <v>78</v>
      </c>
      <c r="E589" s="28">
        <v>10</v>
      </c>
      <c r="F589" s="28">
        <v>8</v>
      </c>
      <c r="G589" s="28">
        <f t="shared" si="9"/>
        <v>18</v>
      </c>
      <c r="H589" s="28" t="s">
        <v>1937</v>
      </c>
    </row>
    <row r="590" spans="1:8" hidden="1" x14ac:dyDescent="0.3">
      <c r="A590" s="28" t="s">
        <v>1929</v>
      </c>
      <c r="B590" s="18">
        <v>2018</v>
      </c>
      <c r="C590" s="28">
        <v>5</v>
      </c>
      <c r="D590" s="28" t="s">
        <v>1599</v>
      </c>
      <c r="E590" s="28">
        <v>11</v>
      </c>
      <c r="F590" s="28">
        <v>5</v>
      </c>
      <c r="G590" s="28">
        <f t="shared" si="9"/>
        <v>16</v>
      </c>
      <c r="H590" s="28" t="s">
        <v>1937</v>
      </c>
    </row>
    <row r="591" spans="1:8" hidden="1" x14ac:dyDescent="0.3">
      <c r="A591" s="28" t="s">
        <v>1929</v>
      </c>
      <c r="B591" s="18">
        <v>2018</v>
      </c>
      <c r="C591" s="28">
        <v>5</v>
      </c>
      <c r="D591" s="28" t="s">
        <v>56</v>
      </c>
      <c r="E591" s="28">
        <v>10</v>
      </c>
      <c r="F591" s="28">
        <v>4</v>
      </c>
      <c r="G591" s="28">
        <f t="shared" si="9"/>
        <v>14</v>
      </c>
      <c r="H591" s="28" t="s">
        <v>1937</v>
      </c>
    </row>
    <row r="592" spans="1:8" hidden="1" x14ac:dyDescent="0.3">
      <c r="A592" s="28" t="s">
        <v>91</v>
      </c>
      <c r="B592" s="18">
        <v>2018</v>
      </c>
      <c r="C592" s="28">
        <v>5</v>
      </c>
      <c r="D592" s="28" t="s">
        <v>56</v>
      </c>
      <c r="E592" s="28">
        <v>1541</v>
      </c>
      <c r="F592" s="28">
        <v>1494</v>
      </c>
      <c r="G592" s="28">
        <f t="shared" si="9"/>
        <v>3035</v>
      </c>
      <c r="H592" s="28" t="s">
        <v>1937</v>
      </c>
    </row>
    <row r="593" spans="1:8" x14ac:dyDescent="0.3">
      <c r="A593"/>
      <c r="B593"/>
      <c r="C593"/>
      <c r="D593"/>
      <c r="E593"/>
      <c r="F593"/>
      <c r="G593"/>
      <c r="H593"/>
    </row>
    <row r="594" spans="1:8" x14ac:dyDescent="0.3">
      <c r="A594"/>
      <c r="B594"/>
      <c r="C594"/>
      <c r="D594"/>
      <c r="E594"/>
      <c r="F594"/>
      <c r="G594"/>
      <c r="H594"/>
    </row>
    <row r="595" spans="1:8" x14ac:dyDescent="0.3">
      <c r="A595"/>
      <c r="B595"/>
      <c r="C595"/>
      <c r="D595"/>
      <c r="E595"/>
      <c r="F595"/>
      <c r="G595"/>
      <c r="H595"/>
    </row>
    <row r="596" spans="1:8" x14ac:dyDescent="0.3">
      <c r="A596"/>
      <c r="B596"/>
      <c r="C596"/>
      <c r="D596"/>
      <c r="E596"/>
      <c r="F596"/>
      <c r="G596"/>
      <c r="H596"/>
    </row>
    <row r="597" spans="1:8" x14ac:dyDescent="0.3">
      <c r="A597"/>
      <c r="B597"/>
      <c r="C597"/>
      <c r="D597"/>
      <c r="E597"/>
      <c r="F597"/>
      <c r="G597"/>
      <c r="H597"/>
    </row>
    <row r="598" spans="1:8" x14ac:dyDescent="0.3">
      <c r="A598"/>
      <c r="B598"/>
      <c r="C598"/>
      <c r="D598"/>
      <c r="E598"/>
      <c r="F598"/>
      <c r="G598"/>
      <c r="H598"/>
    </row>
    <row r="599" spans="1:8" x14ac:dyDescent="0.3">
      <c r="A599"/>
      <c r="B599"/>
      <c r="C599"/>
      <c r="D599"/>
      <c r="E599"/>
      <c r="F599"/>
      <c r="G599"/>
      <c r="H599"/>
    </row>
    <row r="600" spans="1:8" x14ac:dyDescent="0.3">
      <c r="A600"/>
      <c r="B600"/>
      <c r="C600"/>
      <c r="D600"/>
      <c r="E600"/>
      <c r="F600"/>
      <c r="G600"/>
      <c r="H600"/>
    </row>
    <row r="601" spans="1:8" x14ac:dyDescent="0.3">
      <c r="A601" s="28" t="s">
        <v>57</v>
      </c>
      <c r="B601" s="28">
        <v>2014</v>
      </c>
      <c r="C601" s="28">
        <v>3</v>
      </c>
      <c r="D601" s="28" t="s">
        <v>81</v>
      </c>
      <c r="G601" s="28">
        <f>SUM(E601+F601)</f>
        <v>0</v>
      </c>
      <c r="H601" s="28" t="s">
        <v>1937</v>
      </c>
    </row>
    <row r="602" spans="1:8" x14ac:dyDescent="0.3">
      <c r="A602"/>
      <c r="B602"/>
      <c r="C602"/>
      <c r="D602"/>
      <c r="E602"/>
      <c r="F602"/>
      <c r="G602"/>
      <c r="H602"/>
    </row>
    <row r="603" spans="1:8" x14ac:dyDescent="0.3">
      <c r="A603"/>
      <c r="B603"/>
      <c r="C603"/>
      <c r="D603"/>
      <c r="E603"/>
      <c r="F603"/>
      <c r="G603"/>
      <c r="H603"/>
    </row>
    <row r="604" spans="1:8" x14ac:dyDescent="0.3">
      <c r="A604" s="28" t="s">
        <v>57</v>
      </c>
      <c r="B604" s="28">
        <v>2014</v>
      </c>
      <c r="C604" s="28">
        <v>4</v>
      </c>
      <c r="D604" s="28" t="s">
        <v>78</v>
      </c>
      <c r="G604" s="28">
        <f>SUM(E604+F604)</f>
        <v>0</v>
      </c>
      <c r="H604" s="28" t="s">
        <v>1937</v>
      </c>
    </row>
    <row r="605" spans="1:8" x14ac:dyDescent="0.3">
      <c r="A605" s="28" t="s">
        <v>57</v>
      </c>
      <c r="B605" s="28">
        <v>2014</v>
      </c>
      <c r="C605" s="28">
        <v>4</v>
      </c>
      <c r="D605" s="28" t="s">
        <v>81</v>
      </c>
      <c r="G605" s="28">
        <f>SUM(E605+F605)</f>
        <v>0</v>
      </c>
      <c r="H605" s="28" t="s">
        <v>1937</v>
      </c>
    </row>
    <row r="606" spans="1:8" x14ac:dyDescent="0.3">
      <c r="A606"/>
      <c r="B606"/>
      <c r="C606"/>
      <c r="D606"/>
      <c r="E606"/>
      <c r="F606"/>
      <c r="G606"/>
      <c r="H606"/>
    </row>
    <row r="607" spans="1:8" x14ac:dyDescent="0.3">
      <c r="A607"/>
      <c r="B607"/>
      <c r="C607"/>
      <c r="D607"/>
      <c r="E607"/>
      <c r="F607"/>
      <c r="G607"/>
      <c r="H607"/>
    </row>
    <row r="608" spans="1:8" x14ac:dyDescent="0.3">
      <c r="A608"/>
      <c r="B608"/>
      <c r="C608"/>
      <c r="D608"/>
      <c r="E608"/>
      <c r="F608"/>
      <c r="G608"/>
      <c r="H608"/>
    </row>
    <row r="609" spans="1:8" x14ac:dyDescent="0.3">
      <c r="A609"/>
      <c r="B609"/>
      <c r="C609"/>
      <c r="D609"/>
      <c r="E609"/>
      <c r="F609"/>
      <c r="G609"/>
      <c r="H609"/>
    </row>
    <row r="610" spans="1:8" x14ac:dyDescent="0.3">
      <c r="A610"/>
      <c r="B610"/>
      <c r="C610"/>
      <c r="D610"/>
      <c r="E610"/>
      <c r="F610"/>
      <c r="G610"/>
      <c r="H610"/>
    </row>
    <row r="611" spans="1:8" x14ac:dyDescent="0.3">
      <c r="A611"/>
      <c r="B611"/>
      <c r="C611"/>
      <c r="D611"/>
      <c r="E611"/>
      <c r="F611"/>
      <c r="G611"/>
      <c r="H611"/>
    </row>
    <row r="612" spans="1:8" x14ac:dyDescent="0.3">
      <c r="A612"/>
      <c r="B612"/>
      <c r="C612"/>
      <c r="D612"/>
      <c r="E612"/>
      <c r="F612"/>
      <c r="G612"/>
      <c r="H612"/>
    </row>
    <row r="613" spans="1:8" x14ac:dyDescent="0.3">
      <c r="A613"/>
      <c r="B613"/>
      <c r="C613"/>
      <c r="D613"/>
      <c r="E613"/>
      <c r="F613"/>
      <c r="G613"/>
      <c r="H613"/>
    </row>
    <row r="614" spans="1:8" x14ac:dyDescent="0.3">
      <c r="A614"/>
      <c r="B614"/>
      <c r="C614"/>
      <c r="D614"/>
      <c r="E614"/>
      <c r="F614"/>
      <c r="G614"/>
      <c r="H614"/>
    </row>
    <row r="615" spans="1:8" x14ac:dyDescent="0.3">
      <c r="A615"/>
      <c r="B615"/>
      <c r="C615"/>
      <c r="D615"/>
      <c r="E615"/>
      <c r="F615"/>
      <c r="G615"/>
      <c r="H615"/>
    </row>
    <row r="616" spans="1:8" x14ac:dyDescent="0.3">
      <c r="A616"/>
      <c r="B616"/>
      <c r="C616"/>
      <c r="D616"/>
      <c r="E616"/>
      <c r="F616"/>
      <c r="G616"/>
      <c r="H616"/>
    </row>
    <row r="617" spans="1:8" x14ac:dyDescent="0.3">
      <c r="A617"/>
      <c r="B617"/>
      <c r="C617"/>
      <c r="D617"/>
      <c r="E617"/>
      <c r="F617"/>
      <c r="G617"/>
      <c r="H617"/>
    </row>
    <row r="618" spans="1:8" x14ac:dyDescent="0.3">
      <c r="A618"/>
      <c r="B618"/>
      <c r="C618"/>
      <c r="D618"/>
      <c r="E618"/>
      <c r="F618"/>
      <c r="G618"/>
      <c r="H618"/>
    </row>
    <row r="619" spans="1:8" x14ac:dyDescent="0.3">
      <c r="A619"/>
      <c r="B619"/>
      <c r="C619"/>
      <c r="D619"/>
      <c r="E619"/>
      <c r="F619"/>
      <c r="G619"/>
      <c r="H619"/>
    </row>
    <row r="620" spans="1:8" x14ac:dyDescent="0.3">
      <c r="A620"/>
      <c r="B620"/>
      <c r="C620"/>
      <c r="D620"/>
      <c r="E620"/>
      <c r="F620"/>
      <c r="G620"/>
      <c r="H620"/>
    </row>
    <row r="621" spans="1:8" x14ac:dyDescent="0.3">
      <c r="A621"/>
      <c r="B621"/>
      <c r="C621"/>
      <c r="D621"/>
      <c r="E621"/>
      <c r="F621"/>
      <c r="G621"/>
      <c r="H621"/>
    </row>
    <row r="622" spans="1:8" x14ac:dyDescent="0.3">
      <c r="A622"/>
      <c r="B622"/>
      <c r="C622"/>
      <c r="D622"/>
      <c r="E622"/>
      <c r="F622"/>
      <c r="G622"/>
      <c r="H622"/>
    </row>
    <row r="623" spans="1:8" x14ac:dyDescent="0.3">
      <c r="A623"/>
      <c r="B623"/>
      <c r="C623"/>
      <c r="D623"/>
      <c r="E623"/>
      <c r="F623"/>
      <c r="G623"/>
      <c r="H623"/>
    </row>
    <row r="624" spans="1:8" x14ac:dyDescent="0.3">
      <c r="A624"/>
      <c r="B624"/>
      <c r="C624"/>
      <c r="D624"/>
      <c r="E624"/>
      <c r="F624"/>
      <c r="G624"/>
      <c r="H624"/>
    </row>
    <row r="625" spans="1:8" x14ac:dyDescent="0.3">
      <c r="A625"/>
      <c r="B625"/>
      <c r="C625"/>
      <c r="D625"/>
      <c r="E625"/>
      <c r="F625"/>
      <c r="G625"/>
      <c r="H625"/>
    </row>
    <row r="626" spans="1:8" x14ac:dyDescent="0.3">
      <c r="A626"/>
      <c r="B626"/>
      <c r="C626"/>
      <c r="D626"/>
      <c r="E626"/>
      <c r="F626"/>
      <c r="G626"/>
      <c r="H626"/>
    </row>
    <row r="627" spans="1:8" x14ac:dyDescent="0.3">
      <c r="A627"/>
      <c r="B627"/>
      <c r="C627"/>
      <c r="D627"/>
      <c r="E627"/>
      <c r="F627"/>
      <c r="G627"/>
      <c r="H627"/>
    </row>
    <row r="628" spans="1:8" x14ac:dyDescent="0.3">
      <c r="A628"/>
      <c r="B628"/>
      <c r="C628"/>
      <c r="D628"/>
      <c r="E628"/>
      <c r="F628"/>
      <c r="G628"/>
      <c r="H628"/>
    </row>
    <row r="629" spans="1:8" x14ac:dyDescent="0.3">
      <c r="A629"/>
      <c r="B629"/>
      <c r="C629"/>
      <c r="D629"/>
      <c r="E629"/>
      <c r="F629"/>
      <c r="G629"/>
      <c r="H629"/>
    </row>
    <row r="630" spans="1:8" x14ac:dyDescent="0.3">
      <c r="A630"/>
      <c r="B630"/>
      <c r="C630"/>
      <c r="D630"/>
      <c r="E630"/>
      <c r="F630"/>
      <c r="G630"/>
      <c r="H630"/>
    </row>
    <row r="631" spans="1:8" x14ac:dyDescent="0.3">
      <c r="A631"/>
      <c r="B631"/>
      <c r="C631"/>
      <c r="D631"/>
      <c r="E631"/>
      <c r="F631"/>
      <c r="G631"/>
      <c r="H631"/>
    </row>
    <row r="632" spans="1:8" x14ac:dyDescent="0.3">
      <c r="A632"/>
      <c r="B632"/>
      <c r="C632"/>
      <c r="D632"/>
      <c r="E632"/>
      <c r="F632"/>
      <c r="G632"/>
      <c r="H632"/>
    </row>
    <row r="633" spans="1:8" x14ac:dyDescent="0.3">
      <c r="A633"/>
      <c r="B633"/>
      <c r="C633"/>
      <c r="D633"/>
      <c r="E633"/>
      <c r="F633"/>
      <c r="G633"/>
      <c r="H633"/>
    </row>
    <row r="634" spans="1:8" x14ac:dyDescent="0.3">
      <c r="A634"/>
      <c r="B634"/>
      <c r="C634"/>
      <c r="D634"/>
      <c r="E634"/>
      <c r="F634"/>
      <c r="G634"/>
      <c r="H634"/>
    </row>
    <row r="635" spans="1:8" x14ac:dyDescent="0.3">
      <c r="A635"/>
      <c r="B635"/>
      <c r="C635"/>
      <c r="D635"/>
      <c r="E635"/>
      <c r="F635"/>
      <c r="G635"/>
      <c r="H635"/>
    </row>
    <row r="636" spans="1:8" x14ac:dyDescent="0.3">
      <c r="A636"/>
      <c r="B636"/>
      <c r="C636"/>
      <c r="D636"/>
      <c r="E636"/>
      <c r="F636"/>
      <c r="G636"/>
      <c r="H636"/>
    </row>
    <row r="637" spans="1:8" x14ac:dyDescent="0.3">
      <c r="A637"/>
      <c r="B637"/>
      <c r="C637"/>
      <c r="D637"/>
      <c r="E637"/>
      <c r="F637"/>
      <c r="G637"/>
      <c r="H637"/>
    </row>
    <row r="638" spans="1:8" x14ac:dyDescent="0.3">
      <c r="A638"/>
      <c r="B638"/>
      <c r="C638"/>
      <c r="D638"/>
      <c r="E638"/>
      <c r="F638"/>
      <c r="G638"/>
      <c r="H638"/>
    </row>
    <row r="639" spans="1:8" x14ac:dyDescent="0.3">
      <c r="A639"/>
      <c r="B639"/>
      <c r="C639"/>
      <c r="D639"/>
      <c r="E639"/>
      <c r="F639"/>
      <c r="G639"/>
      <c r="H639"/>
    </row>
    <row r="640" spans="1:8" x14ac:dyDescent="0.3">
      <c r="A640"/>
      <c r="B640"/>
      <c r="C640"/>
      <c r="D640"/>
      <c r="E640"/>
      <c r="F640"/>
      <c r="G640"/>
      <c r="H640"/>
    </row>
    <row r="641" spans="1:8" x14ac:dyDescent="0.3">
      <c r="A641"/>
      <c r="B641"/>
      <c r="C641"/>
      <c r="D641"/>
      <c r="E641"/>
      <c r="F641"/>
      <c r="G641"/>
      <c r="H641"/>
    </row>
    <row r="642" spans="1:8" x14ac:dyDescent="0.3">
      <c r="A642"/>
      <c r="B642"/>
      <c r="C642"/>
      <c r="D642"/>
      <c r="E642"/>
      <c r="F642"/>
      <c r="G642"/>
      <c r="H642"/>
    </row>
    <row r="643" spans="1:8" x14ac:dyDescent="0.3">
      <c r="A643"/>
      <c r="B643"/>
      <c r="C643"/>
      <c r="D643"/>
      <c r="E643"/>
      <c r="F643"/>
      <c r="G643"/>
      <c r="H643"/>
    </row>
    <row r="644" spans="1:8" x14ac:dyDescent="0.3">
      <c r="A644"/>
      <c r="B644"/>
      <c r="C644"/>
      <c r="D644"/>
      <c r="E644"/>
      <c r="F644"/>
      <c r="G644"/>
      <c r="H644"/>
    </row>
    <row r="645" spans="1:8" x14ac:dyDescent="0.3">
      <c r="A645"/>
      <c r="B645"/>
      <c r="C645"/>
      <c r="D645"/>
      <c r="E645"/>
      <c r="F645"/>
      <c r="G645"/>
      <c r="H645"/>
    </row>
    <row r="646" spans="1:8" x14ac:dyDescent="0.3">
      <c r="A646"/>
      <c r="B646"/>
      <c r="C646"/>
      <c r="D646"/>
      <c r="E646"/>
      <c r="F646"/>
      <c r="G646"/>
      <c r="H646"/>
    </row>
    <row r="647" spans="1:8" x14ac:dyDescent="0.3">
      <c r="A647"/>
      <c r="B647"/>
      <c r="C647"/>
      <c r="D647"/>
      <c r="E647"/>
      <c r="F647"/>
      <c r="G647"/>
      <c r="H647"/>
    </row>
    <row r="648" spans="1:8" x14ac:dyDescent="0.3">
      <c r="A648"/>
      <c r="B648"/>
      <c r="C648"/>
      <c r="D648"/>
      <c r="E648"/>
      <c r="F648"/>
      <c r="G648"/>
      <c r="H648"/>
    </row>
    <row r="649" spans="1:8" x14ac:dyDescent="0.3">
      <c r="A649"/>
      <c r="B649"/>
      <c r="C649"/>
      <c r="D649"/>
      <c r="E649"/>
      <c r="F649"/>
      <c r="G649"/>
      <c r="H649"/>
    </row>
    <row r="650" spans="1:8" x14ac:dyDescent="0.3">
      <c r="A650"/>
      <c r="B650"/>
      <c r="C650"/>
      <c r="D650"/>
      <c r="E650"/>
      <c r="F650"/>
      <c r="G650"/>
      <c r="H650"/>
    </row>
    <row r="651" spans="1:8" x14ac:dyDescent="0.3">
      <c r="A651"/>
      <c r="B651"/>
      <c r="C651"/>
      <c r="D651"/>
      <c r="E651"/>
      <c r="F651"/>
      <c r="G651"/>
      <c r="H651"/>
    </row>
    <row r="652" spans="1:8" x14ac:dyDescent="0.3">
      <c r="A652"/>
      <c r="B652"/>
      <c r="C652"/>
      <c r="D652"/>
      <c r="E652"/>
      <c r="F652"/>
      <c r="G652"/>
      <c r="H652"/>
    </row>
    <row r="653" spans="1:8" x14ac:dyDescent="0.3">
      <c r="A653"/>
      <c r="B653"/>
      <c r="C653"/>
      <c r="D653"/>
      <c r="E653"/>
      <c r="F653"/>
      <c r="G653"/>
      <c r="H653"/>
    </row>
    <row r="654" spans="1:8" x14ac:dyDescent="0.3">
      <c r="A654"/>
      <c r="B654"/>
      <c r="C654"/>
      <c r="D654"/>
      <c r="E654"/>
      <c r="F654"/>
      <c r="G654"/>
      <c r="H654"/>
    </row>
    <row r="655" spans="1:8" x14ac:dyDescent="0.3">
      <c r="A655"/>
      <c r="B655"/>
      <c r="C655"/>
      <c r="D655"/>
      <c r="E655"/>
      <c r="F655"/>
      <c r="G655"/>
      <c r="H655"/>
    </row>
    <row r="656" spans="1:8" x14ac:dyDescent="0.3">
      <c r="A656"/>
      <c r="B656"/>
      <c r="C656"/>
      <c r="D656"/>
      <c r="E656"/>
      <c r="F656"/>
      <c r="G656"/>
      <c r="H656"/>
    </row>
    <row r="657" spans="1:8" x14ac:dyDescent="0.3">
      <c r="A657"/>
      <c r="B657"/>
      <c r="C657"/>
      <c r="D657"/>
      <c r="E657"/>
      <c r="F657"/>
      <c r="G657"/>
      <c r="H657"/>
    </row>
    <row r="658" spans="1:8" x14ac:dyDescent="0.3">
      <c r="A658"/>
      <c r="B658"/>
      <c r="C658"/>
      <c r="D658"/>
      <c r="E658"/>
      <c r="F658"/>
      <c r="G658"/>
      <c r="H658"/>
    </row>
    <row r="659" spans="1:8" x14ac:dyDescent="0.3">
      <c r="A659"/>
      <c r="B659"/>
      <c r="C659"/>
      <c r="D659"/>
      <c r="E659"/>
      <c r="F659"/>
      <c r="G659"/>
      <c r="H659"/>
    </row>
    <row r="660" spans="1:8" x14ac:dyDescent="0.3">
      <c r="A660"/>
      <c r="B660"/>
      <c r="C660"/>
      <c r="D660"/>
      <c r="E660"/>
      <c r="F660"/>
      <c r="G660"/>
      <c r="H660"/>
    </row>
    <row r="661" spans="1:8" x14ac:dyDescent="0.3">
      <c r="A661"/>
      <c r="B661"/>
      <c r="C661"/>
      <c r="D661"/>
      <c r="E661"/>
      <c r="F661"/>
      <c r="G661"/>
      <c r="H661"/>
    </row>
    <row r="662" spans="1:8" x14ac:dyDescent="0.3">
      <c r="A662"/>
      <c r="B662"/>
      <c r="C662"/>
      <c r="D662"/>
      <c r="E662"/>
      <c r="F662"/>
      <c r="G662"/>
      <c r="H662"/>
    </row>
    <row r="663" spans="1:8" x14ac:dyDescent="0.3">
      <c r="A663"/>
      <c r="B663"/>
      <c r="C663"/>
      <c r="D663"/>
      <c r="E663"/>
      <c r="F663"/>
      <c r="G663"/>
      <c r="H663"/>
    </row>
    <row r="664" spans="1:8" x14ac:dyDescent="0.3">
      <c r="A664"/>
      <c r="B664"/>
      <c r="C664"/>
      <c r="D664"/>
      <c r="E664"/>
      <c r="F664"/>
      <c r="G664"/>
      <c r="H664"/>
    </row>
    <row r="665" spans="1:8" x14ac:dyDescent="0.3">
      <c r="A665"/>
      <c r="B665"/>
      <c r="C665"/>
      <c r="D665"/>
      <c r="E665"/>
      <c r="F665"/>
      <c r="G665"/>
      <c r="H665"/>
    </row>
    <row r="666" spans="1:8" x14ac:dyDescent="0.3">
      <c r="A666"/>
      <c r="B666"/>
      <c r="C666"/>
      <c r="D666"/>
      <c r="E666"/>
      <c r="F666"/>
      <c r="G666"/>
      <c r="H666"/>
    </row>
    <row r="667" spans="1:8" x14ac:dyDescent="0.3">
      <c r="A667"/>
      <c r="B667"/>
      <c r="C667"/>
      <c r="D667"/>
      <c r="E667"/>
      <c r="F667"/>
      <c r="G667"/>
      <c r="H667"/>
    </row>
    <row r="668" spans="1:8" x14ac:dyDescent="0.3">
      <c r="A668"/>
      <c r="B668"/>
      <c r="C668"/>
      <c r="D668"/>
      <c r="E668"/>
      <c r="F668"/>
      <c r="G668"/>
      <c r="H668"/>
    </row>
    <row r="669" spans="1:8" x14ac:dyDescent="0.3">
      <c r="A669"/>
      <c r="B669"/>
      <c r="C669"/>
      <c r="D669"/>
      <c r="E669"/>
      <c r="F669"/>
      <c r="G669"/>
      <c r="H669"/>
    </row>
    <row r="670" spans="1:8" x14ac:dyDescent="0.3">
      <c r="A670"/>
      <c r="B670"/>
      <c r="C670"/>
      <c r="D670"/>
      <c r="E670"/>
      <c r="F670"/>
      <c r="G670"/>
      <c r="H670"/>
    </row>
    <row r="671" spans="1:8" x14ac:dyDescent="0.3">
      <c r="A671"/>
      <c r="B671"/>
      <c r="C671"/>
      <c r="D671"/>
      <c r="E671"/>
      <c r="F671"/>
      <c r="G671"/>
      <c r="H671"/>
    </row>
    <row r="672" spans="1:8" x14ac:dyDescent="0.3">
      <c r="A672"/>
      <c r="B672"/>
      <c r="C672"/>
      <c r="D672"/>
      <c r="E672"/>
      <c r="F672"/>
      <c r="G672"/>
      <c r="H672"/>
    </row>
    <row r="673" spans="1:8" x14ac:dyDescent="0.3">
      <c r="A673"/>
      <c r="B673"/>
      <c r="C673"/>
      <c r="D673"/>
      <c r="E673"/>
      <c r="F673"/>
      <c r="G673"/>
      <c r="H673"/>
    </row>
    <row r="674" spans="1:8" x14ac:dyDescent="0.3">
      <c r="A674"/>
      <c r="B674"/>
      <c r="C674"/>
      <c r="D674"/>
      <c r="E674"/>
      <c r="F674"/>
      <c r="G674"/>
      <c r="H674"/>
    </row>
    <row r="675" spans="1:8" x14ac:dyDescent="0.3">
      <c r="A675"/>
      <c r="B675"/>
      <c r="C675"/>
      <c r="D675"/>
      <c r="E675"/>
      <c r="F675"/>
      <c r="G675"/>
      <c r="H675"/>
    </row>
    <row r="676" spans="1:8" x14ac:dyDescent="0.3">
      <c r="A676"/>
      <c r="B676"/>
      <c r="C676"/>
      <c r="D676"/>
      <c r="E676"/>
      <c r="F676"/>
      <c r="G676"/>
      <c r="H676"/>
    </row>
    <row r="677" spans="1:8" x14ac:dyDescent="0.3">
      <c r="A677"/>
      <c r="B677"/>
      <c r="C677"/>
      <c r="D677"/>
      <c r="E677"/>
      <c r="F677"/>
      <c r="G677"/>
      <c r="H677"/>
    </row>
    <row r="678" spans="1:8" x14ac:dyDescent="0.3">
      <c r="A678"/>
      <c r="B678"/>
      <c r="C678"/>
      <c r="D678"/>
      <c r="E678"/>
      <c r="F678"/>
      <c r="G678"/>
      <c r="H678"/>
    </row>
    <row r="679" spans="1:8" x14ac:dyDescent="0.3">
      <c r="A679"/>
      <c r="B679"/>
      <c r="C679"/>
      <c r="D679"/>
      <c r="E679"/>
      <c r="F679"/>
      <c r="G679"/>
      <c r="H679"/>
    </row>
    <row r="680" spans="1:8" x14ac:dyDescent="0.3">
      <c r="A680"/>
      <c r="B680"/>
      <c r="C680"/>
      <c r="D680"/>
      <c r="E680"/>
      <c r="F680"/>
      <c r="G680"/>
      <c r="H680"/>
    </row>
    <row r="681" spans="1:8" x14ac:dyDescent="0.3">
      <c r="A681"/>
      <c r="B681"/>
      <c r="C681"/>
      <c r="D681"/>
      <c r="E681"/>
      <c r="F681"/>
      <c r="G681"/>
      <c r="H681"/>
    </row>
    <row r="682" spans="1:8" x14ac:dyDescent="0.3">
      <c r="A682"/>
      <c r="B682"/>
      <c r="C682"/>
      <c r="D682"/>
      <c r="E682"/>
      <c r="F682"/>
      <c r="G682"/>
      <c r="H682"/>
    </row>
    <row r="683" spans="1:8" x14ac:dyDescent="0.3">
      <c r="A683"/>
      <c r="B683"/>
      <c r="C683"/>
      <c r="D683"/>
      <c r="E683"/>
      <c r="F683"/>
      <c r="G683"/>
      <c r="H683"/>
    </row>
    <row r="684" spans="1:8" x14ac:dyDescent="0.3">
      <c r="A684"/>
      <c r="B684"/>
      <c r="C684"/>
      <c r="D684"/>
      <c r="E684"/>
      <c r="F684"/>
      <c r="G684"/>
      <c r="H684"/>
    </row>
    <row r="685" spans="1:8" x14ac:dyDescent="0.3">
      <c r="A685"/>
      <c r="B685"/>
      <c r="C685"/>
      <c r="D685"/>
      <c r="E685"/>
      <c r="F685"/>
      <c r="G685"/>
      <c r="H685"/>
    </row>
    <row r="686" spans="1:8" x14ac:dyDescent="0.3">
      <c r="A686"/>
      <c r="B686"/>
      <c r="C686"/>
      <c r="D686"/>
      <c r="E686"/>
      <c r="F686"/>
      <c r="G686"/>
      <c r="H686"/>
    </row>
    <row r="687" spans="1:8" x14ac:dyDescent="0.3">
      <c r="A687"/>
      <c r="B687"/>
      <c r="C687"/>
      <c r="D687"/>
      <c r="E687"/>
      <c r="F687"/>
      <c r="G687"/>
      <c r="H687"/>
    </row>
    <row r="688" spans="1:8" x14ac:dyDescent="0.3">
      <c r="A688"/>
      <c r="B688"/>
      <c r="C688"/>
      <c r="D688"/>
      <c r="E688"/>
      <c r="F688"/>
      <c r="G688"/>
      <c r="H688"/>
    </row>
    <row r="689" spans="1:8" x14ac:dyDescent="0.3">
      <c r="A689"/>
      <c r="B689"/>
      <c r="C689"/>
      <c r="D689"/>
      <c r="E689"/>
      <c r="F689"/>
      <c r="G689"/>
      <c r="H689"/>
    </row>
    <row r="690" spans="1:8" x14ac:dyDescent="0.3">
      <c r="A690"/>
      <c r="B690"/>
      <c r="C690"/>
      <c r="D690"/>
      <c r="E690"/>
      <c r="F690"/>
      <c r="G690"/>
      <c r="H690"/>
    </row>
    <row r="691" spans="1:8" x14ac:dyDescent="0.3">
      <c r="A691"/>
      <c r="B691"/>
      <c r="C691"/>
      <c r="D691"/>
      <c r="E691"/>
      <c r="F691"/>
      <c r="G691"/>
      <c r="H691"/>
    </row>
    <row r="692" spans="1:8" x14ac:dyDescent="0.3">
      <c r="A692"/>
      <c r="B692"/>
      <c r="C692"/>
      <c r="D692"/>
      <c r="E692"/>
      <c r="F692"/>
      <c r="G692"/>
      <c r="H692"/>
    </row>
    <row r="693" spans="1:8" x14ac:dyDescent="0.3">
      <c r="A693"/>
      <c r="B693"/>
      <c r="C693"/>
      <c r="D693"/>
      <c r="E693"/>
      <c r="F693"/>
      <c r="G693"/>
      <c r="H693"/>
    </row>
    <row r="694" spans="1:8" x14ac:dyDescent="0.3">
      <c r="A694"/>
      <c r="B694"/>
      <c r="C694"/>
      <c r="D694"/>
      <c r="E694"/>
      <c r="F694"/>
      <c r="G694"/>
      <c r="H694"/>
    </row>
    <row r="695" spans="1:8" x14ac:dyDescent="0.3">
      <c r="A695"/>
      <c r="B695"/>
      <c r="C695"/>
      <c r="D695"/>
      <c r="E695"/>
      <c r="F695"/>
      <c r="G695"/>
      <c r="H695"/>
    </row>
    <row r="696" spans="1:8" x14ac:dyDescent="0.3">
      <c r="A696"/>
      <c r="B696"/>
      <c r="C696"/>
      <c r="D696"/>
      <c r="E696"/>
      <c r="F696"/>
      <c r="G696"/>
      <c r="H696"/>
    </row>
    <row r="697" spans="1:8" x14ac:dyDescent="0.3">
      <c r="A697"/>
      <c r="B697"/>
      <c r="C697"/>
      <c r="D697"/>
      <c r="E697"/>
      <c r="F697"/>
      <c r="G697"/>
      <c r="H697"/>
    </row>
    <row r="698" spans="1:8" x14ac:dyDescent="0.3">
      <c r="A698"/>
      <c r="B698"/>
      <c r="C698"/>
      <c r="D698"/>
      <c r="E698"/>
      <c r="F698"/>
      <c r="G698"/>
      <c r="H698"/>
    </row>
    <row r="699" spans="1:8" x14ac:dyDescent="0.3">
      <c r="A699"/>
      <c r="B699"/>
      <c r="C699"/>
      <c r="D699"/>
      <c r="E699"/>
      <c r="F699"/>
      <c r="G699"/>
      <c r="H699"/>
    </row>
    <row r="700" spans="1:8" x14ac:dyDescent="0.3">
      <c r="A700"/>
      <c r="B700"/>
      <c r="C700"/>
      <c r="D700"/>
      <c r="E700"/>
      <c r="F700"/>
      <c r="G700"/>
      <c r="H700"/>
    </row>
    <row r="701" spans="1:8" x14ac:dyDescent="0.3">
      <c r="A701"/>
      <c r="B701"/>
      <c r="C701"/>
      <c r="D701"/>
      <c r="E701"/>
      <c r="F701"/>
      <c r="G701"/>
      <c r="H701"/>
    </row>
    <row r="702" spans="1:8" x14ac:dyDescent="0.3">
      <c r="A702"/>
      <c r="B702"/>
      <c r="C702"/>
      <c r="D702"/>
      <c r="E702"/>
      <c r="F702"/>
      <c r="G702"/>
      <c r="H702"/>
    </row>
    <row r="703" spans="1:8" x14ac:dyDescent="0.3">
      <c r="A703"/>
      <c r="B703"/>
      <c r="C703"/>
      <c r="D703"/>
      <c r="E703"/>
      <c r="F703"/>
      <c r="G703"/>
      <c r="H703"/>
    </row>
    <row r="704" spans="1:8" x14ac:dyDescent="0.3">
      <c r="A704"/>
      <c r="B704"/>
      <c r="C704"/>
      <c r="D704"/>
      <c r="E704"/>
      <c r="F704"/>
      <c r="G704"/>
      <c r="H704"/>
    </row>
    <row r="705" spans="1:8" x14ac:dyDescent="0.3">
      <c r="A705"/>
      <c r="B705"/>
      <c r="C705"/>
      <c r="D705"/>
      <c r="E705"/>
      <c r="F705"/>
      <c r="G705"/>
      <c r="H705"/>
    </row>
    <row r="706" spans="1:8" x14ac:dyDescent="0.3">
      <c r="A706"/>
      <c r="B706"/>
      <c r="C706"/>
      <c r="D706"/>
      <c r="E706"/>
      <c r="F706"/>
      <c r="G706"/>
      <c r="H706"/>
    </row>
    <row r="707" spans="1:8" x14ac:dyDescent="0.3">
      <c r="A707"/>
      <c r="B707"/>
      <c r="C707"/>
      <c r="D707"/>
      <c r="E707"/>
      <c r="F707"/>
      <c r="G707"/>
      <c r="H707"/>
    </row>
    <row r="708" spans="1:8" x14ac:dyDescent="0.3">
      <c r="A708"/>
      <c r="B708"/>
      <c r="C708"/>
      <c r="D708"/>
      <c r="E708"/>
      <c r="F708"/>
      <c r="G708"/>
      <c r="H708"/>
    </row>
    <row r="709" spans="1:8" x14ac:dyDescent="0.3">
      <c r="A709"/>
      <c r="B709"/>
      <c r="C709"/>
      <c r="D709"/>
      <c r="E709"/>
      <c r="F709"/>
      <c r="G709"/>
      <c r="H709"/>
    </row>
    <row r="710" spans="1:8" x14ac:dyDescent="0.3">
      <c r="A710"/>
      <c r="B710"/>
      <c r="C710"/>
      <c r="D710"/>
      <c r="E710"/>
      <c r="F710"/>
      <c r="G710"/>
      <c r="H710"/>
    </row>
    <row r="711" spans="1:8" x14ac:dyDescent="0.3">
      <c r="A711"/>
      <c r="B711"/>
      <c r="C711"/>
      <c r="D711"/>
      <c r="E711"/>
      <c r="F711"/>
      <c r="G711"/>
      <c r="H711"/>
    </row>
    <row r="712" spans="1:8" x14ac:dyDescent="0.3">
      <c r="A712"/>
      <c r="B712"/>
      <c r="C712"/>
      <c r="D712"/>
      <c r="E712"/>
      <c r="F712"/>
      <c r="G712"/>
      <c r="H712"/>
    </row>
    <row r="713" spans="1:8" x14ac:dyDescent="0.3">
      <c r="A713"/>
      <c r="B713"/>
      <c r="C713"/>
      <c r="D713"/>
      <c r="E713"/>
      <c r="F713"/>
      <c r="G713"/>
      <c r="H713"/>
    </row>
    <row r="714" spans="1:8" x14ac:dyDescent="0.3">
      <c r="A714"/>
      <c r="B714"/>
      <c r="C714"/>
      <c r="D714"/>
      <c r="E714"/>
      <c r="F714"/>
      <c r="G714"/>
      <c r="H714"/>
    </row>
    <row r="715" spans="1:8" x14ac:dyDescent="0.3">
      <c r="A715"/>
      <c r="B715"/>
      <c r="C715"/>
      <c r="D715"/>
      <c r="E715"/>
      <c r="F715"/>
      <c r="G715"/>
      <c r="H715"/>
    </row>
    <row r="716" spans="1:8" x14ac:dyDescent="0.3">
      <c r="A716"/>
      <c r="B716"/>
      <c r="C716"/>
      <c r="D716"/>
      <c r="E716"/>
      <c r="F716"/>
      <c r="G716"/>
      <c r="H716"/>
    </row>
    <row r="717" spans="1:8" x14ac:dyDescent="0.3">
      <c r="A717"/>
      <c r="B717"/>
      <c r="C717"/>
      <c r="D717"/>
      <c r="E717"/>
      <c r="F717"/>
      <c r="G717"/>
      <c r="H717"/>
    </row>
    <row r="718" spans="1:8" x14ac:dyDescent="0.3">
      <c r="A718"/>
      <c r="B718"/>
      <c r="C718"/>
      <c r="D718"/>
      <c r="E718"/>
      <c r="F718"/>
      <c r="G718"/>
      <c r="H718"/>
    </row>
    <row r="719" spans="1:8" x14ac:dyDescent="0.3">
      <c r="A719"/>
      <c r="B719"/>
      <c r="C719"/>
      <c r="D719"/>
      <c r="E719"/>
      <c r="F719"/>
      <c r="G719"/>
      <c r="H719"/>
    </row>
    <row r="720" spans="1:8" x14ac:dyDescent="0.3">
      <c r="A720"/>
      <c r="B720"/>
      <c r="C720"/>
      <c r="D720"/>
      <c r="E720"/>
      <c r="F720"/>
      <c r="G720"/>
      <c r="H720"/>
    </row>
    <row r="721" spans="1:8" x14ac:dyDescent="0.3">
      <c r="A721"/>
      <c r="B721"/>
      <c r="C721"/>
      <c r="D721"/>
      <c r="E721"/>
      <c r="F721"/>
      <c r="G721"/>
      <c r="H721"/>
    </row>
    <row r="722" spans="1:8" x14ac:dyDescent="0.3">
      <c r="A722"/>
      <c r="B722"/>
      <c r="C722"/>
      <c r="D722"/>
      <c r="E722"/>
      <c r="F722"/>
      <c r="G722"/>
      <c r="H722"/>
    </row>
    <row r="723" spans="1:8" x14ac:dyDescent="0.3">
      <c r="A723"/>
      <c r="B723"/>
      <c r="C723"/>
      <c r="D723"/>
      <c r="E723"/>
      <c r="F723"/>
      <c r="G723"/>
      <c r="H723"/>
    </row>
    <row r="724" spans="1:8" x14ac:dyDescent="0.3">
      <c r="A724"/>
      <c r="B724"/>
      <c r="C724"/>
      <c r="D724"/>
      <c r="E724"/>
      <c r="F724"/>
      <c r="G724"/>
      <c r="H724"/>
    </row>
    <row r="725" spans="1:8" x14ac:dyDescent="0.3">
      <c r="A725"/>
      <c r="B725"/>
      <c r="C725"/>
      <c r="D725"/>
      <c r="E725"/>
      <c r="F725"/>
      <c r="G725"/>
      <c r="H725"/>
    </row>
    <row r="726" spans="1:8" x14ac:dyDescent="0.3">
      <c r="A726"/>
      <c r="B726"/>
      <c r="C726"/>
      <c r="D726"/>
      <c r="E726"/>
      <c r="F726"/>
      <c r="G726"/>
      <c r="H726"/>
    </row>
    <row r="727" spans="1:8" x14ac:dyDescent="0.3">
      <c r="A727"/>
      <c r="B727"/>
      <c r="C727"/>
      <c r="D727"/>
      <c r="E727"/>
      <c r="F727"/>
      <c r="G727"/>
      <c r="H727"/>
    </row>
    <row r="728" spans="1:8" x14ac:dyDescent="0.3">
      <c r="A728"/>
      <c r="B728"/>
      <c r="C728"/>
      <c r="D728"/>
      <c r="E728"/>
      <c r="F728"/>
      <c r="G728"/>
      <c r="H728"/>
    </row>
    <row r="729" spans="1:8" x14ac:dyDescent="0.3">
      <c r="A729"/>
      <c r="B729"/>
      <c r="C729"/>
      <c r="D729"/>
      <c r="E729"/>
      <c r="F729"/>
      <c r="G729"/>
      <c r="H729"/>
    </row>
    <row r="730" spans="1:8" x14ac:dyDescent="0.3">
      <c r="A730"/>
      <c r="B730"/>
      <c r="C730"/>
      <c r="D730"/>
      <c r="E730"/>
      <c r="F730"/>
      <c r="G730"/>
      <c r="H730"/>
    </row>
    <row r="731" spans="1:8" x14ac:dyDescent="0.3">
      <c r="A731"/>
      <c r="B731"/>
      <c r="C731"/>
      <c r="D731"/>
      <c r="E731"/>
      <c r="F731"/>
      <c r="G731"/>
      <c r="H731"/>
    </row>
    <row r="732" spans="1:8" x14ac:dyDescent="0.3">
      <c r="A732"/>
      <c r="B732"/>
      <c r="C732"/>
      <c r="D732"/>
      <c r="E732"/>
      <c r="F732"/>
      <c r="G732"/>
      <c r="H732"/>
    </row>
    <row r="733" spans="1:8" x14ac:dyDescent="0.3">
      <c r="A733"/>
      <c r="B733"/>
      <c r="C733"/>
      <c r="D733"/>
      <c r="E733"/>
      <c r="F733"/>
      <c r="G733"/>
      <c r="H733"/>
    </row>
    <row r="734" spans="1:8" x14ac:dyDescent="0.3">
      <c r="A734"/>
      <c r="B734"/>
      <c r="C734"/>
      <c r="D734"/>
      <c r="E734"/>
      <c r="F734"/>
      <c r="G734"/>
      <c r="H734"/>
    </row>
    <row r="735" spans="1:8" x14ac:dyDescent="0.3">
      <c r="A735"/>
      <c r="B735"/>
      <c r="C735"/>
      <c r="D735"/>
      <c r="E735"/>
      <c r="F735"/>
      <c r="G735"/>
      <c r="H735"/>
    </row>
    <row r="736" spans="1:8" x14ac:dyDescent="0.3">
      <c r="A736"/>
      <c r="B736"/>
      <c r="C736"/>
      <c r="D736"/>
      <c r="E736"/>
      <c r="F736"/>
      <c r="G736"/>
      <c r="H736"/>
    </row>
    <row r="737" spans="1:8" x14ac:dyDescent="0.3">
      <c r="A737"/>
      <c r="B737"/>
      <c r="C737"/>
      <c r="D737"/>
      <c r="E737"/>
      <c r="F737"/>
      <c r="G737"/>
      <c r="H737"/>
    </row>
    <row r="738" spans="1:8" x14ac:dyDescent="0.3">
      <c r="A738"/>
      <c r="B738"/>
      <c r="C738"/>
      <c r="D738"/>
      <c r="E738"/>
      <c r="F738"/>
      <c r="G738"/>
      <c r="H738"/>
    </row>
    <row r="739" spans="1:8" x14ac:dyDescent="0.3">
      <c r="A739"/>
      <c r="B739"/>
      <c r="C739"/>
      <c r="D739"/>
      <c r="E739"/>
      <c r="F739"/>
      <c r="G739"/>
      <c r="H739"/>
    </row>
    <row r="740" spans="1:8" x14ac:dyDescent="0.3">
      <c r="A740"/>
      <c r="B740"/>
      <c r="C740"/>
      <c r="D740"/>
      <c r="E740"/>
      <c r="F740"/>
      <c r="G740"/>
      <c r="H740"/>
    </row>
    <row r="741" spans="1:8" x14ac:dyDescent="0.3">
      <c r="A741"/>
      <c r="B741"/>
      <c r="C741"/>
      <c r="D741"/>
      <c r="E741"/>
      <c r="F741"/>
      <c r="G741"/>
      <c r="H741"/>
    </row>
    <row r="742" spans="1:8" x14ac:dyDescent="0.3">
      <c r="A742"/>
      <c r="B742"/>
      <c r="C742"/>
      <c r="D742"/>
      <c r="E742"/>
      <c r="F742"/>
      <c r="G742"/>
      <c r="H742"/>
    </row>
    <row r="743" spans="1:8" x14ac:dyDescent="0.3">
      <c r="A743"/>
      <c r="B743"/>
      <c r="C743"/>
      <c r="D743"/>
      <c r="E743"/>
      <c r="F743"/>
      <c r="G743"/>
      <c r="H743"/>
    </row>
    <row r="744" spans="1:8" x14ac:dyDescent="0.3">
      <c r="A744"/>
      <c r="B744"/>
      <c r="C744"/>
      <c r="D744"/>
      <c r="E744"/>
      <c r="F744"/>
      <c r="G744"/>
      <c r="H744"/>
    </row>
    <row r="745" spans="1:8" x14ac:dyDescent="0.3">
      <c r="A745"/>
      <c r="B745"/>
      <c r="C745"/>
      <c r="D745"/>
      <c r="E745"/>
      <c r="F745"/>
      <c r="G745"/>
      <c r="H745"/>
    </row>
    <row r="746" spans="1:8" x14ac:dyDescent="0.3">
      <c r="A746"/>
      <c r="B746"/>
      <c r="C746"/>
      <c r="D746"/>
      <c r="E746"/>
      <c r="F746"/>
      <c r="G746"/>
      <c r="H746"/>
    </row>
    <row r="747" spans="1:8" x14ac:dyDescent="0.3">
      <c r="A747"/>
      <c r="B747"/>
      <c r="C747"/>
      <c r="D747"/>
      <c r="E747"/>
      <c r="F747"/>
      <c r="G747"/>
      <c r="H747"/>
    </row>
    <row r="748" spans="1:8" x14ac:dyDescent="0.3">
      <c r="A748"/>
      <c r="B748"/>
      <c r="C748"/>
      <c r="D748"/>
      <c r="E748"/>
      <c r="F748"/>
      <c r="G748"/>
      <c r="H748"/>
    </row>
    <row r="749" spans="1:8" x14ac:dyDescent="0.3">
      <c r="A749"/>
      <c r="B749"/>
      <c r="C749"/>
      <c r="D749"/>
      <c r="E749"/>
      <c r="F749"/>
      <c r="G749"/>
      <c r="H749"/>
    </row>
    <row r="750" spans="1:8" x14ac:dyDescent="0.3">
      <c r="A750"/>
      <c r="B750"/>
      <c r="C750"/>
      <c r="D750"/>
      <c r="E750"/>
      <c r="F750"/>
      <c r="G750"/>
      <c r="H750"/>
    </row>
    <row r="751" spans="1:8" x14ac:dyDescent="0.3">
      <c r="A751"/>
      <c r="B751"/>
      <c r="C751"/>
      <c r="D751"/>
      <c r="E751"/>
      <c r="F751"/>
      <c r="G751"/>
      <c r="H751"/>
    </row>
    <row r="752" spans="1:8" x14ac:dyDescent="0.3">
      <c r="A752"/>
      <c r="B752"/>
      <c r="C752"/>
      <c r="D752"/>
      <c r="E752"/>
      <c r="F752"/>
      <c r="G752"/>
      <c r="H752"/>
    </row>
    <row r="753" spans="1:8" x14ac:dyDescent="0.3">
      <c r="A753"/>
      <c r="B753"/>
      <c r="C753"/>
      <c r="D753"/>
      <c r="E753"/>
      <c r="F753"/>
      <c r="G753"/>
      <c r="H753"/>
    </row>
    <row r="754" spans="1:8" x14ac:dyDescent="0.3">
      <c r="A754"/>
      <c r="B754"/>
      <c r="C754"/>
      <c r="D754"/>
      <c r="E754"/>
      <c r="F754"/>
      <c r="G754"/>
      <c r="H754"/>
    </row>
    <row r="755" spans="1:8" x14ac:dyDescent="0.3">
      <c r="A755"/>
      <c r="B755"/>
      <c r="C755"/>
      <c r="D755"/>
      <c r="E755"/>
      <c r="F755"/>
      <c r="G755"/>
      <c r="H755"/>
    </row>
    <row r="756" spans="1:8" x14ac:dyDescent="0.3">
      <c r="A756"/>
      <c r="B756"/>
      <c r="C756"/>
      <c r="D756"/>
      <c r="E756"/>
      <c r="F756"/>
      <c r="G756"/>
      <c r="H756"/>
    </row>
    <row r="757" spans="1:8" x14ac:dyDescent="0.3">
      <c r="A757"/>
      <c r="B757"/>
      <c r="C757"/>
      <c r="D757"/>
      <c r="E757"/>
      <c r="F757"/>
      <c r="G757"/>
      <c r="H757"/>
    </row>
    <row r="758" spans="1:8" x14ac:dyDescent="0.3">
      <c r="A758"/>
      <c r="B758"/>
      <c r="C758"/>
      <c r="D758"/>
      <c r="E758"/>
      <c r="F758"/>
      <c r="G758"/>
      <c r="H758"/>
    </row>
    <row r="759" spans="1:8" x14ac:dyDescent="0.3">
      <c r="A759"/>
      <c r="B759"/>
      <c r="C759"/>
      <c r="D759"/>
      <c r="E759"/>
      <c r="F759"/>
      <c r="G759"/>
      <c r="H759"/>
    </row>
    <row r="760" spans="1:8" x14ac:dyDescent="0.3">
      <c r="A760"/>
      <c r="B760"/>
      <c r="C760"/>
      <c r="D760"/>
      <c r="E760"/>
      <c r="F760"/>
      <c r="G760"/>
      <c r="H760"/>
    </row>
    <row r="761" spans="1:8" x14ac:dyDescent="0.3">
      <c r="A761"/>
      <c r="B761"/>
      <c r="C761"/>
      <c r="D761"/>
      <c r="E761"/>
      <c r="F761"/>
      <c r="G761"/>
      <c r="H761"/>
    </row>
    <row r="762" spans="1:8" x14ac:dyDescent="0.3">
      <c r="A762"/>
      <c r="B762"/>
      <c r="C762"/>
      <c r="D762"/>
      <c r="E762"/>
      <c r="F762"/>
      <c r="G762"/>
      <c r="H762"/>
    </row>
    <row r="763" spans="1:8" x14ac:dyDescent="0.3">
      <c r="A763"/>
      <c r="B763"/>
      <c r="C763"/>
      <c r="D763"/>
      <c r="E763"/>
      <c r="F763"/>
      <c r="G763"/>
      <c r="H763"/>
    </row>
    <row r="764" spans="1:8" x14ac:dyDescent="0.3">
      <c r="A764"/>
      <c r="B764"/>
      <c r="C764"/>
      <c r="D764"/>
      <c r="E764"/>
      <c r="F764"/>
      <c r="G764"/>
      <c r="H764"/>
    </row>
    <row r="765" spans="1:8" x14ac:dyDescent="0.3">
      <c r="A765"/>
      <c r="B765"/>
      <c r="C765"/>
      <c r="D765"/>
      <c r="E765"/>
      <c r="F765"/>
      <c r="G765"/>
      <c r="H765"/>
    </row>
    <row r="766" spans="1:8" x14ac:dyDescent="0.3">
      <c r="A766"/>
      <c r="B766"/>
      <c r="C766"/>
      <c r="D766"/>
      <c r="E766"/>
      <c r="F766"/>
      <c r="G766"/>
      <c r="H766"/>
    </row>
    <row r="767" spans="1:8" x14ac:dyDescent="0.3">
      <c r="A767"/>
      <c r="B767"/>
      <c r="C767"/>
      <c r="D767"/>
      <c r="E767"/>
      <c r="F767"/>
      <c r="G767" s="28">
        <f>SUM(E767+F767)</f>
        <v>0</v>
      </c>
      <c r="H767" s="28" t="s">
        <v>1937</v>
      </c>
    </row>
    <row r="768" spans="1:8" x14ac:dyDescent="0.3">
      <c r="A768"/>
      <c r="B768"/>
      <c r="C768"/>
      <c r="D768"/>
      <c r="E768"/>
      <c r="F768"/>
    </row>
    <row r="3031" spans="1:6" x14ac:dyDescent="0.3">
      <c r="A3031"/>
      <c r="B3031"/>
      <c r="C3031"/>
      <c r="D3031"/>
      <c r="E3031"/>
      <c r="F3031"/>
    </row>
    <row r="3330" spans="1:6" x14ac:dyDescent="0.3">
      <c r="A3330"/>
      <c r="B3330"/>
      <c r="C3330"/>
      <c r="D3330"/>
      <c r="E3330"/>
      <c r="F3330"/>
    </row>
  </sheetData>
  <autoFilter ref="A1:H592" xr:uid="{00000000-0009-0000-0000-000007000000}">
    <filterColumn colId="0">
      <filters>
        <filter val="SUNRISE AIRWAYS"/>
      </filters>
    </filterColumn>
    <filterColumn colId="1">
      <filters>
        <filter val="2017"/>
      </filters>
    </filterColumn>
    <filterColumn colId="3">
      <filters>
        <filter val="CAP"/>
      </filters>
    </filterColumn>
  </autoFilter>
  <sortState xmlns:xlrd2="http://schemas.microsoft.com/office/spreadsheetml/2017/richdata2" ref="A2:H592">
    <sortCondition ref="B2:B592"/>
    <sortCondition ref="C2:C592"/>
    <sortCondition ref="A2:A59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354"/>
  <sheetViews>
    <sheetView topLeftCell="A233" zoomScale="85" zoomScaleNormal="85" workbookViewId="0">
      <selection activeCell="D262" sqref="D262"/>
    </sheetView>
  </sheetViews>
  <sheetFormatPr defaultColWidth="15.33203125" defaultRowHeight="14.4" x14ac:dyDescent="0.3"/>
  <cols>
    <col min="1" max="1" width="15.33203125" style="335"/>
    <col min="2" max="2" width="7.88671875" style="335" bestFit="1" customWidth="1"/>
    <col min="3" max="3" width="9.6640625" style="335" bestFit="1" customWidth="1"/>
    <col min="4" max="4" width="15.109375" style="335" bestFit="1" customWidth="1"/>
    <col min="5" max="16384" width="15.33203125" style="335"/>
  </cols>
  <sheetData>
    <row r="1" spans="1:7" x14ac:dyDescent="0.3">
      <c r="A1" s="335" t="s">
        <v>1927</v>
      </c>
      <c r="B1" s="335" t="s">
        <v>1928</v>
      </c>
      <c r="C1" s="335" t="s">
        <v>1926</v>
      </c>
      <c r="D1" s="335" t="s">
        <v>1932</v>
      </c>
      <c r="E1" s="335" t="s">
        <v>1930</v>
      </c>
      <c r="F1" s="335" t="s">
        <v>1931</v>
      </c>
      <c r="G1" s="336" t="s">
        <v>84</v>
      </c>
    </row>
    <row r="2" spans="1:7" x14ac:dyDescent="0.3">
      <c r="A2" s="335" t="s">
        <v>994</v>
      </c>
      <c r="B2" s="335">
        <v>2016</v>
      </c>
      <c r="C2" s="335">
        <v>3</v>
      </c>
      <c r="D2" s="335" t="s">
        <v>113</v>
      </c>
      <c r="E2" s="335">
        <v>20</v>
      </c>
      <c r="F2" s="335">
        <v>9</v>
      </c>
      <c r="G2" s="335">
        <f t="shared" ref="G2:G65" si="0">SUM(F2+E2)</f>
        <v>29</v>
      </c>
    </row>
    <row r="3" spans="1:7" x14ac:dyDescent="0.3">
      <c r="A3" s="335" t="s">
        <v>994</v>
      </c>
      <c r="B3" s="335">
        <v>2016</v>
      </c>
      <c r="C3" s="335">
        <v>4</v>
      </c>
      <c r="D3" s="335" t="s">
        <v>113</v>
      </c>
      <c r="E3" s="335">
        <v>310</v>
      </c>
      <c r="F3" s="335">
        <v>331</v>
      </c>
      <c r="G3" s="335">
        <f t="shared" si="0"/>
        <v>641</v>
      </c>
    </row>
    <row r="4" spans="1:7" x14ac:dyDescent="0.3">
      <c r="A4" s="335" t="s">
        <v>994</v>
      </c>
      <c r="B4" s="335">
        <v>2016</v>
      </c>
      <c r="C4" s="335">
        <v>5</v>
      </c>
      <c r="D4" s="335" t="s">
        <v>113</v>
      </c>
      <c r="E4" s="335">
        <v>326</v>
      </c>
      <c r="F4" s="335">
        <v>321</v>
      </c>
      <c r="G4" s="335">
        <f t="shared" si="0"/>
        <v>647</v>
      </c>
    </row>
    <row r="5" spans="1:7" x14ac:dyDescent="0.3">
      <c r="A5" s="335" t="s">
        <v>994</v>
      </c>
      <c r="B5" s="335">
        <v>2016</v>
      </c>
      <c r="C5" s="335">
        <v>6</v>
      </c>
      <c r="D5" s="335" t="s">
        <v>113</v>
      </c>
      <c r="E5" s="335">
        <v>380</v>
      </c>
      <c r="F5" s="335">
        <v>394</v>
      </c>
      <c r="G5" s="335">
        <f t="shared" si="0"/>
        <v>774</v>
      </c>
    </row>
    <row r="6" spans="1:7" x14ac:dyDescent="0.3">
      <c r="A6" s="335" t="s">
        <v>994</v>
      </c>
      <c r="B6" s="335">
        <v>2016</v>
      </c>
      <c r="C6" s="335">
        <v>6</v>
      </c>
      <c r="D6" s="335" t="s">
        <v>475</v>
      </c>
      <c r="E6" s="335">
        <v>12</v>
      </c>
      <c r="F6" s="335">
        <v>13</v>
      </c>
      <c r="G6" s="335">
        <f t="shared" si="0"/>
        <v>25</v>
      </c>
    </row>
    <row r="7" spans="1:7" x14ac:dyDescent="0.3">
      <c r="A7" s="335" t="s">
        <v>994</v>
      </c>
      <c r="B7" s="335">
        <v>2016</v>
      </c>
      <c r="C7" s="335">
        <v>7</v>
      </c>
      <c r="D7" s="335" t="s">
        <v>113</v>
      </c>
      <c r="E7" s="335">
        <v>377</v>
      </c>
      <c r="F7" s="335">
        <v>390</v>
      </c>
      <c r="G7" s="335">
        <f t="shared" si="0"/>
        <v>767</v>
      </c>
    </row>
    <row r="8" spans="1:7" x14ac:dyDescent="0.3">
      <c r="A8" s="335" t="s">
        <v>994</v>
      </c>
      <c r="B8" s="335">
        <v>2016</v>
      </c>
      <c r="C8" s="335">
        <v>8</v>
      </c>
      <c r="D8" s="335" t="s">
        <v>113</v>
      </c>
      <c r="E8" s="335">
        <v>484</v>
      </c>
      <c r="F8" s="335">
        <v>433</v>
      </c>
      <c r="G8" s="335">
        <f t="shared" si="0"/>
        <v>917</v>
      </c>
    </row>
    <row r="9" spans="1:7" x14ac:dyDescent="0.3">
      <c r="A9" s="335" t="s">
        <v>994</v>
      </c>
      <c r="B9" s="335">
        <v>2016</v>
      </c>
      <c r="C9" s="335">
        <v>9</v>
      </c>
      <c r="D9" s="335" t="s">
        <v>113</v>
      </c>
      <c r="E9" s="335">
        <v>463</v>
      </c>
      <c r="F9" s="335">
        <v>492</v>
      </c>
      <c r="G9" s="335">
        <f t="shared" si="0"/>
        <v>955</v>
      </c>
    </row>
    <row r="10" spans="1:7" x14ac:dyDescent="0.3">
      <c r="A10" s="335" t="s">
        <v>994</v>
      </c>
      <c r="B10" s="335">
        <v>2016</v>
      </c>
      <c r="C10" s="335">
        <v>10</v>
      </c>
      <c r="D10" s="335" t="s">
        <v>113</v>
      </c>
      <c r="E10" s="335">
        <v>394</v>
      </c>
      <c r="F10" s="335">
        <v>430</v>
      </c>
      <c r="G10" s="335">
        <f t="shared" si="0"/>
        <v>824</v>
      </c>
    </row>
    <row r="11" spans="1:7" x14ac:dyDescent="0.3">
      <c r="A11" s="335" t="s">
        <v>994</v>
      </c>
      <c r="B11" s="335">
        <v>2016</v>
      </c>
      <c r="C11" s="335">
        <v>11</v>
      </c>
      <c r="D11" s="335" t="s">
        <v>113</v>
      </c>
      <c r="E11" s="335">
        <v>493</v>
      </c>
      <c r="F11" s="335">
        <v>459</v>
      </c>
      <c r="G11" s="335">
        <f t="shared" si="0"/>
        <v>952</v>
      </c>
    </row>
    <row r="12" spans="1:7" x14ac:dyDescent="0.3">
      <c r="A12" s="335" t="s">
        <v>994</v>
      </c>
      <c r="B12" s="335">
        <v>2016</v>
      </c>
      <c r="C12" s="335">
        <v>12</v>
      </c>
      <c r="D12" s="335" t="s">
        <v>93</v>
      </c>
      <c r="E12" s="335">
        <v>4</v>
      </c>
      <c r="F12" s="335">
        <v>16</v>
      </c>
      <c r="G12" s="335">
        <f t="shared" si="0"/>
        <v>20</v>
      </c>
    </row>
    <row r="13" spans="1:7" x14ac:dyDescent="0.3">
      <c r="A13" s="335" t="s">
        <v>994</v>
      </c>
      <c r="B13" s="335">
        <v>2016</v>
      </c>
      <c r="C13" s="335">
        <v>12</v>
      </c>
      <c r="D13" s="335" t="s">
        <v>113</v>
      </c>
      <c r="E13" s="335">
        <v>459</v>
      </c>
      <c r="F13" s="335">
        <f>489+16</f>
        <v>505</v>
      </c>
      <c r="G13" s="335">
        <f t="shared" si="0"/>
        <v>964</v>
      </c>
    </row>
    <row r="14" spans="1:7" x14ac:dyDescent="0.3">
      <c r="A14" s="335" t="s">
        <v>994</v>
      </c>
      <c r="B14" s="335">
        <v>2017</v>
      </c>
      <c r="C14" s="335">
        <v>1</v>
      </c>
      <c r="D14" s="335" t="s">
        <v>113</v>
      </c>
      <c r="E14" s="335">
        <v>481</v>
      </c>
      <c r="F14" s="335">
        <v>375</v>
      </c>
      <c r="G14" s="335">
        <f t="shared" si="0"/>
        <v>856</v>
      </c>
    </row>
    <row r="15" spans="1:7" x14ac:dyDescent="0.3">
      <c r="A15" s="335" t="s">
        <v>994</v>
      </c>
      <c r="B15" s="335">
        <v>2017</v>
      </c>
      <c r="C15" s="335">
        <v>3</v>
      </c>
      <c r="D15" s="335" t="s">
        <v>113</v>
      </c>
      <c r="E15" s="335">
        <v>489</v>
      </c>
      <c r="F15" s="335">
        <v>462</v>
      </c>
      <c r="G15" s="335">
        <f t="shared" si="0"/>
        <v>951</v>
      </c>
    </row>
    <row r="16" spans="1:7" x14ac:dyDescent="0.3">
      <c r="A16" s="335" t="s">
        <v>994</v>
      </c>
      <c r="B16" s="335">
        <v>2017</v>
      </c>
      <c r="C16" s="335">
        <v>4</v>
      </c>
      <c r="D16" s="335" t="s">
        <v>113</v>
      </c>
      <c r="E16" s="335">
        <v>472</v>
      </c>
      <c r="F16" s="335">
        <v>488</v>
      </c>
      <c r="G16" s="335">
        <f t="shared" si="0"/>
        <v>960</v>
      </c>
    </row>
    <row r="17" spans="1:7" x14ac:dyDescent="0.3">
      <c r="A17" s="335" t="s">
        <v>994</v>
      </c>
      <c r="B17" s="335">
        <v>2017</v>
      </c>
      <c r="C17" s="335">
        <v>5</v>
      </c>
      <c r="D17" s="335" t="s">
        <v>113</v>
      </c>
      <c r="E17" s="335">
        <v>521</v>
      </c>
      <c r="F17" s="335">
        <v>562</v>
      </c>
      <c r="G17" s="335">
        <f t="shared" si="0"/>
        <v>1083</v>
      </c>
    </row>
    <row r="18" spans="1:7" x14ac:dyDescent="0.3">
      <c r="A18" s="335" t="s">
        <v>994</v>
      </c>
      <c r="B18" s="335">
        <v>2017</v>
      </c>
      <c r="C18" s="335">
        <v>6</v>
      </c>
      <c r="D18" s="335" t="s">
        <v>113</v>
      </c>
      <c r="E18" s="335">
        <v>523</v>
      </c>
      <c r="F18" s="335">
        <v>598</v>
      </c>
      <c r="G18" s="335">
        <f t="shared" si="0"/>
        <v>1121</v>
      </c>
    </row>
    <row r="19" spans="1:7" x14ac:dyDescent="0.3">
      <c r="A19" s="335" t="s">
        <v>994</v>
      </c>
      <c r="B19" s="335">
        <v>2017</v>
      </c>
      <c r="C19" s="335">
        <v>7</v>
      </c>
      <c r="D19" s="335" t="s">
        <v>113</v>
      </c>
      <c r="E19" s="335">
        <v>451</v>
      </c>
      <c r="F19" s="335">
        <v>477</v>
      </c>
      <c r="G19" s="335">
        <f t="shared" si="0"/>
        <v>928</v>
      </c>
    </row>
    <row r="20" spans="1:7" x14ac:dyDescent="0.3">
      <c r="A20" s="335" t="s">
        <v>994</v>
      </c>
      <c r="B20" s="335">
        <v>2017</v>
      </c>
      <c r="C20" s="335">
        <v>8</v>
      </c>
      <c r="D20" s="335" t="s">
        <v>113</v>
      </c>
      <c r="E20" s="335">
        <v>331</v>
      </c>
      <c r="F20" s="335">
        <v>246</v>
      </c>
      <c r="G20" s="335">
        <f t="shared" si="0"/>
        <v>577</v>
      </c>
    </row>
    <row r="21" spans="1:7" x14ac:dyDescent="0.3">
      <c r="A21" s="335" t="s">
        <v>994</v>
      </c>
      <c r="B21" s="335">
        <v>2017</v>
      </c>
      <c r="C21" s="335">
        <v>9</v>
      </c>
      <c r="D21" s="335" t="s">
        <v>113</v>
      </c>
      <c r="E21" s="335">
        <v>414</v>
      </c>
      <c r="F21" s="335">
        <v>419</v>
      </c>
      <c r="G21" s="335">
        <f t="shared" si="0"/>
        <v>833</v>
      </c>
    </row>
    <row r="22" spans="1:7" x14ac:dyDescent="0.3">
      <c r="A22" s="335" t="s">
        <v>994</v>
      </c>
      <c r="B22" s="335">
        <v>2017</v>
      </c>
      <c r="C22" s="335">
        <v>10</v>
      </c>
      <c r="D22" s="335" t="s">
        <v>113</v>
      </c>
      <c r="E22" s="335">
        <v>414</v>
      </c>
      <c r="F22" s="335">
        <v>419</v>
      </c>
      <c r="G22" s="335">
        <f t="shared" si="0"/>
        <v>833</v>
      </c>
    </row>
    <row r="23" spans="1:7" x14ac:dyDescent="0.3">
      <c r="A23" s="335" t="s">
        <v>994</v>
      </c>
      <c r="B23" s="335">
        <v>2017</v>
      </c>
      <c r="C23" s="335">
        <v>11</v>
      </c>
      <c r="D23" s="335" t="s">
        <v>113</v>
      </c>
      <c r="E23" s="335">
        <v>550</v>
      </c>
      <c r="F23" s="335">
        <v>527</v>
      </c>
      <c r="G23" s="335">
        <f t="shared" si="0"/>
        <v>1077</v>
      </c>
    </row>
    <row r="24" spans="1:7" x14ac:dyDescent="0.3">
      <c r="A24" s="335" t="s">
        <v>994</v>
      </c>
      <c r="B24" s="335">
        <v>2017</v>
      </c>
      <c r="C24" s="335">
        <v>12</v>
      </c>
      <c r="D24" s="335" t="s">
        <v>113</v>
      </c>
      <c r="E24" s="335">
        <v>456</v>
      </c>
      <c r="F24" s="335">
        <v>544</v>
      </c>
      <c r="G24" s="335">
        <f t="shared" si="0"/>
        <v>1000</v>
      </c>
    </row>
    <row r="25" spans="1:7" x14ac:dyDescent="0.3">
      <c r="A25" s="335" t="s">
        <v>994</v>
      </c>
      <c r="B25" s="335">
        <v>2017</v>
      </c>
      <c r="D25" s="335" t="s">
        <v>113</v>
      </c>
      <c r="E25" s="335">
        <v>438</v>
      </c>
      <c r="F25" s="335">
        <v>440</v>
      </c>
      <c r="G25" s="335">
        <f t="shared" si="0"/>
        <v>878</v>
      </c>
    </row>
    <row r="26" spans="1:7" x14ac:dyDescent="0.3">
      <c r="A26" s="335" t="s">
        <v>994</v>
      </c>
      <c r="B26" s="335">
        <v>2018</v>
      </c>
      <c r="C26" s="335">
        <v>1</v>
      </c>
      <c r="D26" s="335" t="s">
        <v>113</v>
      </c>
      <c r="E26" s="335">
        <v>473</v>
      </c>
      <c r="F26" s="335">
        <v>427</v>
      </c>
      <c r="G26" s="335">
        <f t="shared" si="0"/>
        <v>900</v>
      </c>
    </row>
    <row r="27" spans="1:7" x14ac:dyDescent="0.3">
      <c r="A27" s="335" t="s">
        <v>994</v>
      </c>
      <c r="B27" s="335">
        <v>2018</v>
      </c>
      <c r="C27" s="335">
        <v>2</v>
      </c>
      <c r="D27" s="335" t="s">
        <v>113</v>
      </c>
      <c r="E27" s="335">
        <v>474</v>
      </c>
      <c r="F27" s="335">
        <v>438</v>
      </c>
      <c r="G27" s="335">
        <f t="shared" si="0"/>
        <v>912</v>
      </c>
    </row>
    <row r="28" spans="1:7" x14ac:dyDescent="0.3">
      <c r="A28" s="335" t="s">
        <v>994</v>
      </c>
      <c r="B28" s="335">
        <v>2018</v>
      </c>
      <c r="C28" s="335">
        <v>3</v>
      </c>
      <c r="D28" s="335" t="s">
        <v>113</v>
      </c>
      <c r="E28" s="335">
        <v>482</v>
      </c>
      <c r="F28" s="335">
        <v>542</v>
      </c>
      <c r="G28" s="335">
        <f t="shared" si="0"/>
        <v>1024</v>
      </c>
    </row>
    <row r="29" spans="1:7" x14ac:dyDescent="0.3">
      <c r="A29" s="335" t="s">
        <v>994</v>
      </c>
      <c r="B29" s="335">
        <v>2018</v>
      </c>
      <c r="C29" s="335">
        <v>4</v>
      </c>
      <c r="D29" s="335" t="s">
        <v>113</v>
      </c>
      <c r="E29" s="335">
        <v>576</v>
      </c>
      <c r="F29" s="335">
        <v>537</v>
      </c>
      <c r="G29" s="335">
        <f t="shared" si="0"/>
        <v>1113</v>
      </c>
    </row>
    <row r="30" spans="1:7" x14ac:dyDescent="0.3">
      <c r="A30" s="335" t="s">
        <v>994</v>
      </c>
      <c r="B30" s="335">
        <v>2018</v>
      </c>
      <c r="C30" s="335">
        <v>5</v>
      </c>
      <c r="D30" s="335" t="s">
        <v>113</v>
      </c>
      <c r="E30" s="335">
        <v>569</v>
      </c>
      <c r="F30" s="335">
        <v>539</v>
      </c>
      <c r="G30" s="335">
        <f t="shared" si="0"/>
        <v>1108</v>
      </c>
    </row>
    <row r="31" spans="1:7" x14ac:dyDescent="0.3">
      <c r="A31" s="335" t="s">
        <v>1092</v>
      </c>
      <c r="B31" s="335">
        <v>2017</v>
      </c>
      <c r="C31" s="335">
        <v>1</v>
      </c>
      <c r="D31" s="335" t="s">
        <v>108</v>
      </c>
      <c r="E31" s="335">
        <f>353+77</f>
        <v>430</v>
      </c>
      <c r="F31" s="335">
        <f>346+58</f>
        <v>404</v>
      </c>
      <c r="G31" s="335">
        <f t="shared" si="0"/>
        <v>834</v>
      </c>
    </row>
    <row r="32" spans="1:7" x14ac:dyDescent="0.3">
      <c r="A32" s="335" t="s">
        <v>1092</v>
      </c>
      <c r="B32" s="335">
        <v>2017</v>
      </c>
      <c r="C32" s="335">
        <v>2</v>
      </c>
      <c r="D32" s="335" t="s">
        <v>108</v>
      </c>
      <c r="E32" s="335">
        <v>511</v>
      </c>
      <c r="F32" s="335">
        <v>584</v>
      </c>
      <c r="G32" s="335">
        <f t="shared" si="0"/>
        <v>1095</v>
      </c>
    </row>
    <row r="33" spans="1:7" x14ac:dyDescent="0.3">
      <c r="A33" s="335" t="s">
        <v>1092</v>
      </c>
      <c r="B33" s="335">
        <v>2017</v>
      </c>
      <c r="C33" s="335">
        <v>3</v>
      </c>
      <c r="D33" s="335" t="s">
        <v>108</v>
      </c>
      <c r="E33" s="335">
        <v>637</v>
      </c>
      <c r="F33" s="335">
        <v>525</v>
      </c>
      <c r="G33" s="335">
        <f t="shared" si="0"/>
        <v>1162</v>
      </c>
    </row>
    <row r="34" spans="1:7" x14ac:dyDescent="0.3">
      <c r="A34" s="335" t="s">
        <v>1092</v>
      </c>
      <c r="B34" s="335">
        <v>2017</v>
      </c>
      <c r="C34" s="335">
        <v>4</v>
      </c>
      <c r="D34" s="335" t="s">
        <v>108</v>
      </c>
      <c r="E34" s="335">
        <v>526</v>
      </c>
      <c r="F34" s="335">
        <v>445</v>
      </c>
      <c r="G34" s="335">
        <f t="shared" si="0"/>
        <v>971</v>
      </c>
    </row>
    <row r="35" spans="1:7" x14ac:dyDescent="0.3">
      <c r="A35" s="335" t="s">
        <v>1092</v>
      </c>
      <c r="B35" s="335">
        <v>2017</v>
      </c>
      <c r="C35" s="335">
        <v>5</v>
      </c>
      <c r="D35" s="335" t="s">
        <v>108</v>
      </c>
      <c r="E35" s="335">
        <v>445</v>
      </c>
      <c r="F35" s="335">
        <v>486</v>
      </c>
      <c r="G35" s="335">
        <f t="shared" si="0"/>
        <v>931</v>
      </c>
    </row>
    <row r="36" spans="1:7" x14ac:dyDescent="0.3">
      <c r="A36" s="335" t="s">
        <v>1092</v>
      </c>
      <c r="B36" s="335">
        <v>2017</v>
      </c>
      <c r="C36" s="335">
        <v>6</v>
      </c>
      <c r="D36" s="335" t="s">
        <v>108</v>
      </c>
      <c r="E36" s="335">
        <v>265</v>
      </c>
      <c r="F36" s="335">
        <v>226</v>
      </c>
      <c r="G36" s="335">
        <f t="shared" si="0"/>
        <v>491</v>
      </c>
    </row>
    <row r="37" spans="1:7" x14ac:dyDescent="0.3">
      <c r="A37" s="335" t="s">
        <v>1092</v>
      </c>
      <c r="B37" s="335">
        <v>2017</v>
      </c>
      <c r="C37" s="335">
        <v>7</v>
      </c>
      <c r="D37" s="335" t="s">
        <v>108</v>
      </c>
      <c r="E37" s="335">
        <v>265</v>
      </c>
      <c r="F37" s="335">
        <v>171</v>
      </c>
      <c r="G37" s="335">
        <f t="shared" si="0"/>
        <v>436</v>
      </c>
    </row>
    <row r="38" spans="1:7" x14ac:dyDescent="0.3">
      <c r="A38" s="335" t="s">
        <v>1092</v>
      </c>
      <c r="B38" s="335">
        <v>2017</v>
      </c>
      <c r="C38" s="335">
        <v>8</v>
      </c>
      <c r="D38" s="335" t="s">
        <v>108</v>
      </c>
      <c r="E38" s="335">
        <v>88</v>
      </c>
      <c r="F38" s="335">
        <v>105</v>
      </c>
      <c r="G38" s="335">
        <f t="shared" si="0"/>
        <v>193</v>
      </c>
    </row>
    <row r="39" spans="1:7" x14ac:dyDescent="0.3">
      <c r="A39" s="335" t="s">
        <v>130</v>
      </c>
      <c r="B39" s="335">
        <v>2014</v>
      </c>
      <c r="C39" s="335">
        <v>1</v>
      </c>
      <c r="D39" s="337" t="s">
        <v>113</v>
      </c>
      <c r="E39" s="335">
        <v>696</v>
      </c>
      <c r="F39" s="338">
        <v>587</v>
      </c>
      <c r="G39" s="335">
        <f t="shared" si="0"/>
        <v>1283</v>
      </c>
    </row>
    <row r="40" spans="1:7" x14ac:dyDescent="0.3">
      <c r="A40" s="335" t="s">
        <v>130</v>
      </c>
      <c r="B40" s="335">
        <v>2014</v>
      </c>
      <c r="C40" s="335">
        <v>2</v>
      </c>
      <c r="D40" s="337" t="s">
        <v>113</v>
      </c>
      <c r="E40" s="335">
        <v>541</v>
      </c>
      <c r="F40" s="338">
        <v>491</v>
      </c>
      <c r="G40" s="335">
        <f t="shared" si="0"/>
        <v>1032</v>
      </c>
    </row>
    <row r="41" spans="1:7" x14ac:dyDescent="0.3">
      <c r="A41" s="335" t="s">
        <v>130</v>
      </c>
      <c r="B41" s="335">
        <v>2014</v>
      </c>
      <c r="C41" s="335">
        <v>3</v>
      </c>
      <c r="D41" s="337" t="s">
        <v>113</v>
      </c>
      <c r="E41" s="335">
        <v>682</v>
      </c>
      <c r="F41" s="338">
        <v>629</v>
      </c>
      <c r="G41" s="335">
        <f t="shared" si="0"/>
        <v>1311</v>
      </c>
    </row>
    <row r="42" spans="1:7" x14ac:dyDescent="0.3">
      <c r="A42" s="335" t="s">
        <v>130</v>
      </c>
      <c r="B42" s="335">
        <v>2014</v>
      </c>
      <c r="C42" s="335">
        <v>4</v>
      </c>
      <c r="D42" s="337" t="s">
        <v>113</v>
      </c>
      <c r="E42" s="335">
        <v>433</v>
      </c>
      <c r="F42" s="338">
        <v>463</v>
      </c>
      <c r="G42" s="335">
        <f t="shared" si="0"/>
        <v>896</v>
      </c>
    </row>
    <row r="43" spans="1:7" x14ac:dyDescent="0.3">
      <c r="A43" s="335" t="s">
        <v>130</v>
      </c>
      <c r="B43" s="335">
        <v>2014</v>
      </c>
      <c r="C43" s="335">
        <v>5</v>
      </c>
      <c r="D43" s="337" t="s">
        <v>113</v>
      </c>
      <c r="E43" s="335">
        <v>540</v>
      </c>
      <c r="F43" s="338">
        <v>527</v>
      </c>
      <c r="G43" s="335">
        <f t="shared" si="0"/>
        <v>1067</v>
      </c>
    </row>
    <row r="44" spans="1:7" x14ac:dyDescent="0.3">
      <c r="A44" s="335" t="s">
        <v>130</v>
      </c>
      <c r="B44" s="335">
        <v>2014</v>
      </c>
      <c r="C44" s="335">
        <v>6</v>
      </c>
      <c r="D44" s="337" t="s">
        <v>113</v>
      </c>
      <c r="E44" s="335">
        <v>627</v>
      </c>
      <c r="F44" s="338">
        <v>571</v>
      </c>
      <c r="G44" s="335">
        <f t="shared" si="0"/>
        <v>1198</v>
      </c>
    </row>
    <row r="45" spans="1:7" x14ac:dyDescent="0.3">
      <c r="A45" s="335" t="s">
        <v>130</v>
      </c>
      <c r="B45" s="335">
        <v>2014</v>
      </c>
      <c r="C45" s="335">
        <v>7</v>
      </c>
      <c r="D45" s="337" t="s">
        <v>113</v>
      </c>
      <c r="E45" s="335">
        <v>580</v>
      </c>
      <c r="F45" s="338">
        <v>588</v>
      </c>
      <c r="G45" s="335">
        <f t="shared" si="0"/>
        <v>1168</v>
      </c>
    </row>
    <row r="46" spans="1:7" x14ac:dyDescent="0.3">
      <c r="A46" s="335" t="s">
        <v>130</v>
      </c>
      <c r="B46" s="335">
        <v>2014</v>
      </c>
      <c r="C46" s="335">
        <v>7</v>
      </c>
      <c r="D46" s="335" t="s">
        <v>139</v>
      </c>
      <c r="E46" s="336">
        <f>15+28</f>
        <v>43</v>
      </c>
      <c r="F46" s="338">
        <v>0</v>
      </c>
      <c r="G46" s="335">
        <f t="shared" si="0"/>
        <v>43</v>
      </c>
    </row>
    <row r="47" spans="1:7" x14ac:dyDescent="0.3">
      <c r="A47" s="335" t="s">
        <v>130</v>
      </c>
      <c r="B47" s="335">
        <v>2014</v>
      </c>
      <c r="C47" s="335">
        <v>8</v>
      </c>
      <c r="D47" s="337" t="s">
        <v>113</v>
      </c>
      <c r="E47" s="335">
        <v>557</v>
      </c>
      <c r="F47" s="338">
        <v>609</v>
      </c>
      <c r="G47" s="335">
        <f t="shared" si="0"/>
        <v>1166</v>
      </c>
    </row>
    <row r="48" spans="1:7" x14ac:dyDescent="0.3">
      <c r="A48" s="335" t="s">
        <v>130</v>
      </c>
      <c r="B48" s="335">
        <v>2014</v>
      </c>
      <c r="C48" s="335">
        <v>9</v>
      </c>
      <c r="D48" s="337" t="s">
        <v>113</v>
      </c>
      <c r="E48" s="335">
        <v>638</v>
      </c>
      <c r="F48" s="338">
        <v>542</v>
      </c>
      <c r="G48" s="335">
        <f t="shared" si="0"/>
        <v>1180</v>
      </c>
    </row>
    <row r="49" spans="1:7" x14ac:dyDescent="0.3">
      <c r="A49" s="335" t="s">
        <v>130</v>
      </c>
      <c r="B49" s="335">
        <v>2014</v>
      </c>
      <c r="C49" s="335">
        <v>10</v>
      </c>
      <c r="D49" s="337" t="s">
        <v>113</v>
      </c>
      <c r="E49" s="335">
        <v>703</v>
      </c>
      <c r="F49" s="338">
        <v>713</v>
      </c>
      <c r="G49" s="335">
        <f t="shared" si="0"/>
        <v>1416</v>
      </c>
    </row>
    <row r="50" spans="1:7" x14ac:dyDescent="0.3">
      <c r="A50" s="335" t="s">
        <v>130</v>
      </c>
      <c r="B50" s="335">
        <v>2014</v>
      </c>
      <c r="C50" s="335">
        <v>11</v>
      </c>
      <c r="D50" s="337" t="s">
        <v>113</v>
      </c>
      <c r="E50" s="335">
        <v>731</v>
      </c>
      <c r="F50" s="338">
        <v>679</v>
      </c>
      <c r="G50" s="335">
        <f t="shared" si="0"/>
        <v>1410</v>
      </c>
    </row>
    <row r="51" spans="1:7" x14ac:dyDescent="0.3">
      <c r="A51" s="335" t="s">
        <v>130</v>
      </c>
      <c r="B51" s="335">
        <v>2014</v>
      </c>
      <c r="C51" s="335">
        <v>12</v>
      </c>
      <c r="D51" s="337" t="s">
        <v>113</v>
      </c>
      <c r="E51" s="335">
        <v>567</v>
      </c>
      <c r="F51" s="338">
        <v>642</v>
      </c>
      <c r="G51" s="335">
        <f t="shared" si="0"/>
        <v>1209</v>
      </c>
    </row>
    <row r="52" spans="1:7" x14ac:dyDescent="0.3">
      <c r="A52" s="335" t="s">
        <v>130</v>
      </c>
      <c r="B52" s="335">
        <v>2015</v>
      </c>
      <c r="C52" s="335">
        <v>1</v>
      </c>
      <c r="D52" s="335" t="s">
        <v>113</v>
      </c>
      <c r="E52" s="335">
        <v>602</v>
      </c>
      <c r="F52" s="335">
        <v>556</v>
      </c>
      <c r="G52" s="335">
        <f t="shared" si="0"/>
        <v>1158</v>
      </c>
    </row>
    <row r="53" spans="1:7" x14ac:dyDescent="0.3">
      <c r="A53" s="335" t="s">
        <v>130</v>
      </c>
      <c r="B53" s="335">
        <v>2015</v>
      </c>
      <c r="C53" s="335">
        <v>2</v>
      </c>
      <c r="D53" s="335" t="s">
        <v>113</v>
      </c>
      <c r="E53" s="335">
        <v>603</v>
      </c>
      <c r="F53" s="335">
        <v>602</v>
      </c>
      <c r="G53" s="335">
        <f t="shared" si="0"/>
        <v>1205</v>
      </c>
    </row>
    <row r="54" spans="1:7" x14ac:dyDescent="0.3">
      <c r="A54" s="335" t="s">
        <v>130</v>
      </c>
      <c r="B54" s="335">
        <v>2015</v>
      </c>
      <c r="C54" s="335">
        <v>3</v>
      </c>
      <c r="D54" s="335" t="s">
        <v>113</v>
      </c>
      <c r="E54" s="335">
        <v>641</v>
      </c>
      <c r="F54" s="335">
        <v>645</v>
      </c>
      <c r="G54" s="335">
        <f t="shared" si="0"/>
        <v>1286</v>
      </c>
    </row>
    <row r="55" spans="1:7" x14ac:dyDescent="0.3">
      <c r="A55" s="335" t="s">
        <v>130</v>
      </c>
      <c r="B55" s="335">
        <v>2015</v>
      </c>
      <c r="C55" s="335">
        <v>4</v>
      </c>
      <c r="D55" s="335" t="s">
        <v>113</v>
      </c>
      <c r="E55" s="335">
        <v>666</v>
      </c>
      <c r="F55" s="335">
        <v>610</v>
      </c>
      <c r="G55" s="335">
        <f t="shared" si="0"/>
        <v>1276</v>
      </c>
    </row>
    <row r="56" spans="1:7" x14ac:dyDescent="0.3">
      <c r="A56" s="335" t="s">
        <v>130</v>
      </c>
      <c r="B56" s="335">
        <v>2015</v>
      </c>
      <c r="C56" s="335">
        <v>5</v>
      </c>
      <c r="D56" s="335" t="s">
        <v>113</v>
      </c>
      <c r="E56" s="335">
        <v>667</v>
      </c>
      <c r="F56" s="335">
        <v>625</v>
      </c>
      <c r="G56" s="335">
        <f t="shared" si="0"/>
        <v>1292</v>
      </c>
    </row>
    <row r="57" spans="1:7" x14ac:dyDescent="0.3">
      <c r="A57" s="335" t="s">
        <v>130</v>
      </c>
      <c r="B57" s="335">
        <v>2015</v>
      </c>
      <c r="C57" s="335">
        <v>6</v>
      </c>
      <c r="D57" s="335" t="s">
        <v>113</v>
      </c>
      <c r="E57" s="335">
        <v>712</v>
      </c>
      <c r="F57" s="335">
        <v>646</v>
      </c>
      <c r="G57" s="335">
        <f t="shared" si="0"/>
        <v>1358</v>
      </c>
    </row>
    <row r="58" spans="1:7" x14ac:dyDescent="0.3">
      <c r="A58" s="335" t="s">
        <v>130</v>
      </c>
      <c r="B58" s="335">
        <v>2015</v>
      </c>
      <c r="C58" s="335">
        <v>7</v>
      </c>
      <c r="D58" s="335" t="s">
        <v>113</v>
      </c>
      <c r="E58" s="335">
        <v>669</v>
      </c>
      <c r="F58" s="335">
        <v>649</v>
      </c>
      <c r="G58" s="335">
        <f t="shared" si="0"/>
        <v>1318</v>
      </c>
    </row>
    <row r="59" spans="1:7" x14ac:dyDescent="0.3">
      <c r="A59" s="335" t="s">
        <v>130</v>
      </c>
      <c r="B59" s="335">
        <v>2015</v>
      </c>
      <c r="C59" s="335">
        <v>8</v>
      </c>
      <c r="D59" s="335" t="s">
        <v>113</v>
      </c>
      <c r="E59" s="335">
        <v>619</v>
      </c>
      <c r="F59" s="335">
        <v>574</v>
      </c>
      <c r="G59" s="335">
        <f t="shared" si="0"/>
        <v>1193</v>
      </c>
    </row>
    <row r="60" spans="1:7" x14ac:dyDescent="0.3">
      <c r="A60" s="335" t="s">
        <v>130</v>
      </c>
      <c r="B60" s="335">
        <v>2015</v>
      </c>
      <c r="C60" s="335">
        <v>9</v>
      </c>
      <c r="D60" s="335" t="s">
        <v>113</v>
      </c>
      <c r="E60" s="335">
        <v>359</v>
      </c>
      <c r="F60" s="335">
        <v>648</v>
      </c>
      <c r="G60" s="335">
        <f t="shared" si="0"/>
        <v>1007</v>
      </c>
    </row>
    <row r="61" spans="1:7" x14ac:dyDescent="0.3">
      <c r="A61" s="335" t="s">
        <v>130</v>
      </c>
      <c r="B61" s="335">
        <v>2015</v>
      </c>
      <c r="C61" s="335">
        <v>10</v>
      </c>
      <c r="D61" s="335" t="s">
        <v>113</v>
      </c>
      <c r="E61" s="335">
        <v>726</v>
      </c>
      <c r="F61" s="335">
        <v>759</v>
      </c>
      <c r="G61" s="335">
        <f t="shared" si="0"/>
        <v>1485</v>
      </c>
    </row>
    <row r="62" spans="1:7" x14ac:dyDescent="0.3">
      <c r="A62" s="335" t="s">
        <v>130</v>
      </c>
      <c r="B62" s="335">
        <v>2015</v>
      </c>
      <c r="C62" s="335">
        <v>11</v>
      </c>
      <c r="D62" s="335" t="s">
        <v>113</v>
      </c>
      <c r="E62" s="335">
        <v>701</v>
      </c>
      <c r="F62" s="335">
        <v>626</v>
      </c>
      <c r="G62" s="335">
        <f t="shared" si="0"/>
        <v>1327</v>
      </c>
    </row>
    <row r="63" spans="1:7" x14ac:dyDescent="0.3">
      <c r="A63" s="335" t="s">
        <v>130</v>
      </c>
      <c r="B63" s="335">
        <v>2015</v>
      </c>
      <c r="C63" s="335">
        <v>12</v>
      </c>
      <c r="D63" s="335" t="s">
        <v>113</v>
      </c>
      <c r="E63" s="335">
        <v>546</v>
      </c>
      <c r="F63" s="335">
        <v>644</v>
      </c>
      <c r="G63" s="335">
        <f t="shared" si="0"/>
        <v>1190</v>
      </c>
    </row>
    <row r="64" spans="1:7" x14ac:dyDescent="0.3">
      <c r="A64" s="335" t="s">
        <v>91</v>
      </c>
      <c r="B64" s="335">
        <v>2014</v>
      </c>
      <c r="C64" s="335">
        <v>1</v>
      </c>
      <c r="D64" s="336" t="s">
        <v>113</v>
      </c>
      <c r="E64" s="335">
        <v>90</v>
      </c>
      <c r="F64" s="335">
        <f>127+19</f>
        <v>146</v>
      </c>
      <c r="G64" s="335">
        <f t="shared" si="0"/>
        <v>236</v>
      </c>
    </row>
    <row r="65" spans="1:7" x14ac:dyDescent="0.3">
      <c r="A65" s="335" t="s">
        <v>91</v>
      </c>
      <c r="B65" s="335">
        <v>2014</v>
      </c>
      <c r="C65" s="335">
        <v>1</v>
      </c>
      <c r="D65" s="335" t="s">
        <v>64</v>
      </c>
      <c r="E65" s="339">
        <v>6</v>
      </c>
      <c r="F65" s="339">
        <v>0</v>
      </c>
      <c r="G65" s="335">
        <f t="shared" si="0"/>
        <v>6</v>
      </c>
    </row>
    <row r="66" spans="1:7" x14ac:dyDescent="0.3">
      <c r="A66" s="335" t="s">
        <v>91</v>
      </c>
      <c r="B66" s="335">
        <v>2014</v>
      </c>
      <c r="C66" s="335">
        <v>1</v>
      </c>
      <c r="D66" s="337" t="s">
        <v>102</v>
      </c>
      <c r="E66" s="335">
        <v>16</v>
      </c>
      <c r="F66" s="335">
        <v>0</v>
      </c>
      <c r="G66" s="335">
        <f t="shared" ref="G66:G129" si="1">SUM(F66+E66)</f>
        <v>16</v>
      </c>
    </row>
    <row r="67" spans="1:7" x14ac:dyDescent="0.3">
      <c r="A67" s="335" t="s">
        <v>91</v>
      </c>
      <c r="B67" s="335">
        <v>2014</v>
      </c>
      <c r="C67" s="335">
        <v>2</v>
      </c>
      <c r="D67" s="336" t="s">
        <v>113</v>
      </c>
      <c r="E67" s="335">
        <v>327</v>
      </c>
      <c r="F67" s="335">
        <v>356</v>
      </c>
      <c r="G67" s="335">
        <f t="shared" si="1"/>
        <v>683</v>
      </c>
    </row>
    <row r="68" spans="1:7" x14ac:dyDescent="0.3">
      <c r="A68" s="335" t="s">
        <v>91</v>
      </c>
      <c r="B68" s="335">
        <v>2014</v>
      </c>
      <c r="C68" s="335">
        <v>2</v>
      </c>
      <c r="D68" s="337" t="s">
        <v>85</v>
      </c>
      <c r="E68" s="335">
        <v>8</v>
      </c>
      <c r="F68" s="335">
        <v>18</v>
      </c>
      <c r="G68" s="335">
        <f t="shared" si="1"/>
        <v>26</v>
      </c>
    </row>
    <row r="69" spans="1:7" x14ac:dyDescent="0.3">
      <c r="A69" s="335" t="s">
        <v>91</v>
      </c>
      <c r="B69" s="335">
        <v>2014</v>
      </c>
      <c r="C69" s="335">
        <v>3</v>
      </c>
      <c r="D69" s="336" t="s">
        <v>113</v>
      </c>
      <c r="E69" s="335">
        <v>452</v>
      </c>
      <c r="F69" s="335">
        <v>435</v>
      </c>
      <c r="G69" s="335">
        <f t="shared" si="1"/>
        <v>887</v>
      </c>
    </row>
    <row r="70" spans="1:7" x14ac:dyDescent="0.3">
      <c r="A70" s="335" t="s">
        <v>91</v>
      </c>
      <c r="B70" s="335">
        <v>2014</v>
      </c>
      <c r="C70" s="335">
        <v>3</v>
      </c>
      <c r="D70" s="337" t="s">
        <v>85</v>
      </c>
      <c r="E70" s="335">
        <v>14</v>
      </c>
      <c r="F70" s="335">
        <v>3</v>
      </c>
      <c r="G70" s="335">
        <f t="shared" si="1"/>
        <v>17</v>
      </c>
    </row>
    <row r="71" spans="1:7" x14ac:dyDescent="0.3">
      <c r="A71" s="335" t="s">
        <v>91</v>
      </c>
      <c r="B71" s="335">
        <v>2014</v>
      </c>
      <c r="C71" s="335">
        <v>4</v>
      </c>
      <c r="D71" s="336" t="s">
        <v>113</v>
      </c>
      <c r="E71" s="335">
        <v>458</v>
      </c>
      <c r="F71" s="335">
        <v>467</v>
      </c>
      <c r="G71" s="335">
        <f t="shared" si="1"/>
        <v>925</v>
      </c>
    </row>
    <row r="72" spans="1:7" x14ac:dyDescent="0.3">
      <c r="A72" s="335" t="s">
        <v>91</v>
      </c>
      <c r="B72" s="335">
        <v>2014</v>
      </c>
      <c r="C72" s="335">
        <v>4</v>
      </c>
      <c r="D72" s="337" t="s">
        <v>85</v>
      </c>
      <c r="E72" s="335">
        <v>17</v>
      </c>
      <c r="F72" s="335">
        <v>10</v>
      </c>
      <c r="G72" s="335">
        <f t="shared" si="1"/>
        <v>27</v>
      </c>
    </row>
    <row r="73" spans="1:7" x14ac:dyDescent="0.3">
      <c r="A73" s="335" t="s">
        <v>91</v>
      </c>
      <c r="B73" s="335">
        <v>2014</v>
      </c>
      <c r="C73" s="335">
        <v>5</v>
      </c>
      <c r="D73" s="336" t="s">
        <v>113</v>
      </c>
      <c r="E73" s="335">
        <v>535</v>
      </c>
      <c r="F73" s="335">
        <v>540</v>
      </c>
      <c r="G73" s="335">
        <f t="shared" si="1"/>
        <v>1075</v>
      </c>
    </row>
    <row r="74" spans="1:7" x14ac:dyDescent="0.3">
      <c r="A74" s="335" t="s">
        <v>91</v>
      </c>
      <c r="B74" s="335">
        <v>2014</v>
      </c>
      <c r="C74" s="335">
        <v>5</v>
      </c>
      <c r="D74" s="335" t="s">
        <v>108</v>
      </c>
      <c r="E74" s="339">
        <v>0</v>
      </c>
      <c r="F74" s="339">
        <v>18</v>
      </c>
      <c r="G74" s="335">
        <f t="shared" si="1"/>
        <v>18</v>
      </c>
    </row>
    <row r="75" spans="1:7" x14ac:dyDescent="0.3">
      <c r="A75" s="335" t="s">
        <v>91</v>
      </c>
      <c r="B75" s="335">
        <v>2014</v>
      </c>
      <c r="C75" s="335">
        <v>6</v>
      </c>
      <c r="D75" s="336" t="s">
        <v>113</v>
      </c>
      <c r="E75" s="335">
        <v>425</v>
      </c>
      <c r="F75" s="335">
        <v>430</v>
      </c>
      <c r="G75" s="335">
        <f t="shared" si="1"/>
        <v>855</v>
      </c>
    </row>
    <row r="76" spans="1:7" x14ac:dyDescent="0.3">
      <c r="A76" s="335" t="s">
        <v>91</v>
      </c>
      <c r="B76" s="335">
        <v>2014</v>
      </c>
      <c r="C76" s="335">
        <v>7</v>
      </c>
      <c r="D76" s="336" t="s">
        <v>113</v>
      </c>
      <c r="E76" s="335">
        <v>522</v>
      </c>
      <c r="F76" s="335">
        <v>450</v>
      </c>
      <c r="G76" s="335">
        <f t="shared" si="1"/>
        <v>972</v>
      </c>
    </row>
    <row r="77" spans="1:7" x14ac:dyDescent="0.3">
      <c r="A77" s="335" t="s">
        <v>91</v>
      </c>
      <c r="B77" s="335">
        <v>2014</v>
      </c>
      <c r="C77" s="335">
        <v>8</v>
      </c>
      <c r="D77" s="335" t="s">
        <v>358</v>
      </c>
      <c r="E77" s="339">
        <v>19</v>
      </c>
      <c r="F77" s="339">
        <v>19</v>
      </c>
      <c r="G77" s="335">
        <f t="shared" si="1"/>
        <v>38</v>
      </c>
    </row>
    <row r="78" spans="1:7" x14ac:dyDescent="0.3">
      <c r="A78" s="335" t="s">
        <v>91</v>
      </c>
      <c r="B78" s="335">
        <v>2014</v>
      </c>
      <c r="C78" s="335">
        <v>8</v>
      </c>
      <c r="D78" s="336" t="s">
        <v>113</v>
      </c>
      <c r="E78" s="335">
        <v>356</v>
      </c>
      <c r="F78" s="335">
        <v>419</v>
      </c>
      <c r="G78" s="335">
        <f t="shared" si="1"/>
        <v>775</v>
      </c>
    </row>
    <row r="79" spans="1:7" x14ac:dyDescent="0.3">
      <c r="A79" s="335" t="s">
        <v>91</v>
      </c>
      <c r="B79" s="335">
        <v>2014</v>
      </c>
      <c r="C79" s="335">
        <v>8</v>
      </c>
      <c r="D79" s="337" t="s">
        <v>89</v>
      </c>
      <c r="E79" s="335">
        <v>0</v>
      </c>
      <c r="F79" s="335">
        <v>15</v>
      </c>
      <c r="G79" s="335">
        <f t="shared" si="1"/>
        <v>15</v>
      </c>
    </row>
    <row r="80" spans="1:7" x14ac:dyDescent="0.3">
      <c r="A80" s="335" t="s">
        <v>91</v>
      </c>
      <c r="B80" s="335">
        <v>2014</v>
      </c>
      <c r="C80" s="335">
        <v>9</v>
      </c>
      <c r="D80" s="336" t="s">
        <v>113</v>
      </c>
      <c r="E80" s="335">
        <v>387</v>
      </c>
      <c r="F80" s="335">
        <v>405</v>
      </c>
      <c r="G80" s="335">
        <f t="shared" si="1"/>
        <v>792</v>
      </c>
    </row>
    <row r="81" spans="1:7" x14ac:dyDescent="0.3">
      <c r="A81" s="335" t="s">
        <v>91</v>
      </c>
      <c r="B81" s="335">
        <v>2014</v>
      </c>
      <c r="C81" s="335">
        <v>10</v>
      </c>
      <c r="D81" s="336" t="s">
        <v>113</v>
      </c>
      <c r="E81" s="335">
        <v>619</v>
      </c>
      <c r="F81" s="335">
        <v>694</v>
      </c>
      <c r="G81" s="335">
        <f t="shared" si="1"/>
        <v>1313</v>
      </c>
    </row>
    <row r="82" spans="1:7" x14ac:dyDescent="0.3">
      <c r="A82" s="335" t="s">
        <v>91</v>
      </c>
      <c r="B82" s="335">
        <v>2014</v>
      </c>
      <c r="C82" s="335">
        <v>10</v>
      </c>
      <c r="D82" s="335" t="s">
        <v>557</v>
      </c>
      <c r="E82" s="339">
        <v>3</v>
      </c>
      <c r="F82" s="339">
        <v>18</v>
      </c>
      <c r="G82" s="335">
        <f t="shared" si="1"/>
        <v>21</v>
      </c>
    </row>
    <row r="83" spans="1:7" x14ac:dyDescent="0.3">
      <c r="A83" s="335" t="s">
        <v>91</v>
      </c>
      <c r="B83" s="335">
        <v>2014</v>
      </c>
      <c r="C83" s="335">
        <v>11</v>
      </c>
      <c r="D83" s="336" t="s">
        <v>113</v>
      </c>
      <c r="E83" s="335">
        <v>610</v>
      </c>
      <c r="F83" s="335">
        <v>607</v>
      </c>
      <c r="G83" s="335">
        <f t="shared" si="1"/>
        <v>1217</v>
      </c>
    </row>
    <row r="84" spans="1:7" x14ac:dyDescent="0.3">
      <c r="A84" s="335" t="s">
        <v>91</v>
      </c>
      <c r="B84" s="335">
        <v>2014</v>
      </c>
      <c r="C84" s="335">
        <v>11</v>
      </c>
      <c r="D84" s="335" t="s">
        <v>557</v>
      </c>
      <c r="E84" s="339">
        <v>77</v>
      </c>
      <c r="F84" s="339">
        <v>127</v>
      </c>
      <c r="G84" s="335">
        <f t="shared" si="1"/>
        <v>204</v>
      </c>
    </row>
    <row r="85" spans="1:7" x14ac:dyDescent="0.3">
      <c r="A85" s="335" t="s">
        <v>91</v>
      </c>
      <c r="B85" s="335">
        <v>2014</v>
      </c>
      <c r="C85" s="335">
        <v>12</v>
      </c>
      <c r="D85" s="336" t="s">
        <v>113</v>
      </c>
      <c r="E85" s="335">
        <v>609</v>
      </c>
      <c r="F85" s="335">
        <v>679</v>
      </c>
      <c r="G85" s="335">
        <f t="shared" si="1"/>
        <v>1288</v>
      </c>
    </row>
    <row r="86" spans="1:7" x14ac:dyDescent="0.3">
      <c r="A86" s="335" t="s">
        <v>91</v>
      </c>
      <c r="B86" s="335">
        <v>2014</v>
      </c>
      <c r="C86" s="335">
        <v>12</v>
      </c>
      <c r="D86" s="335" t="s">
        <v>89</v>
      </c>
      <c r="E86" s="339">
        <v>148</v>
      </c>
      <c r="F86" s="339">
        <v>198</v>
      </c>
      <c r="G86" s="335">
        <f t="shared" si="1"/>
        <v>346</v>
      </c>
    </row>
    <row r="87" spans="1:7" x14ac:dyDescent="0.3">
      <c r="A87" s="335" t="s">
        <v>91</v>
      </c>
      <c r="B87" s="335">
        <v>2014</v>
      </c>
      <c r="C87" s="335">
        <v>12</v>
      </c>
      <c r="D87" s="337" t="s">
        <v>108</v>
      </c>
      <c r="E87" s="335">
        <v>0</v>
      </c>
      <c r="F87" s="335">
        <v>16</v>
      </c>
      <c r="G87" s="335">
        <f t="shared" si="1"/>
        <v>16</v>
      </c>
    </row>
    <row r="88" spans="1:7" x14ac:dyDescent="0.3">
      <c r="A88" s="335" t="s">
        <v>91</v>
      </c>
      <c r="B88" s="335">
        <v>2015</v>
      </c>
      <c r="C88" s="335">
        <v>1</v>
      </c>
      <c r="D88" s="335" t="s">
        <v>113</v>
      </c>
      <c r="E88" s="335">
        <v>575</v>
      </c>
      <c r="F88" s="335">
        <f>544+14</f>
        <v>558</v>
      </c>
      <c r="G88" s="335">
        <f t="shared" si="1"/>
        <v>1133</v>
      </c>
    </row>
    <row r="89" spans="1:7" x14ac:dyDescent="0.3">
      <c r="A89" s="335" t="s">
        <v>91</v>
      </c>
      <c r="B89" s="335">
        <v>2015</v>
      </c>
      <c r="C89" s="335">
        <v>1</v>
      </c>
      <c r="D89" s="335" t="s">
        <v>89</v>
      </c>
      <c r="E89" s="335">
        <v>205</v>
      </c>
      <c r="F89" s="335">
        <v>163</v>
      </c>
      <c r="G89" s="335">
        <f t="shared" si="1"/>
        <v>368</v>
      </c>
    </row>
    <row r="90" spans="1:7" x14ac:dyDescent="0.3">
      <c r="A90" s="335" t="s">
        <v>91</v>
      </c>
      <c r="B90" s="335">
        <v>2015</v>
      </c>
      <c r="C90" s="335">
        <v>2</v>
      </c>
      <c r="D90" s="335" t="s">
        <v>113</v>
      </c>
      <c r="E90" s="335">
        <v>554</v>
      </c>
      <c r="F90" s="335">
        <v>583</v>
      </c>
      <c r="G90" s="335">
        <f t="shared" si="1"/>
        <v>1137</v>
      </c>
    </row>
    <row r="91" spans="1:7" x14ac:dyDescent="0.3">
      <c r="A91" s="335" t="s">
        <v>91</v>
      </c>
      <c r="B91" s="335">
        <v>2015</v>
      </c>
      <c r="C91" s="335">
        <v>2</v>
      </c>
      <c r="D91" s="335" t="s">
        <v>89</v>
      </c>
      <c r="E91" s="335">
        <v>177</v>
      </c>
      <c r="F91" s="335">
        <v>208</v>
      </c>
      <c r="G91" s="335">
        <f t="shared" si="1"/>
        <v>385</v>
      </c>
    </row>
    <row r="92" spans="1:7" x14ac:dyDescent="0.3">
      <c r="A92" s="335" t="s">
        <v>91</v>
      </c>
      <c r="B92" s="335">
        <v>2015</v>
      </c>
      <c r="C92" s="335">
        <v>3</v>
      </c>
      <c r="D92" s="335" t="s">
        <v>113</v>
      </c>
      <c r="E92" s="335">
        <v>609</v>
      </c>
      <c r="F92" s="335">
        <v>618</v>
      </c>
      <c r="G92" s="335">
        <f t="shared" si="1"/>
        <v>1227</v>
      </c>
    </row>
    <row r="93" spans="1:7" x14ac:dyDescent="0.3">
      <c r="A93" s="335" t="s">
        <v>91</v>
      </c>
      <c r="B93" s="335">
        <v>2015</v>
      </c>
      <c r="C93" s="335">
        <v>3</v>
      </c>
      <c r="D93" s="335" t="s">
        <v>85</v>
      </c>
      <c r="E93" s="335">
        <v>84</v>
      </c>
      <c r="F93" s="335">
        <v>84</v>
      </c>
      <c r="G93" s="335">
        <f t="shared" si="1"/>
        <v>168</v>
      </c>
    </row>
    <row r="94" spans="1:7" x14ac:dyDescent="0.3">
      <c r="A94" s="335" t="s">
        <v>91</v>
      </c>
      <c r="B94" s="335">
        <v>2015</v>
      </c>
      <c r="C94" s="335">
        <v>3</v>
      </c>
      <c r="D94" s="335" t="s">
        <v>89</v>
      </c>
      <c r="E94" s="335">
        <v>184</v>
      </c>
      <c r="F94" s="335">
        <v>229</v>
      </c>
      <c r="G94" s="335">
        <f t="shared" si="1"/>
        <v>413</v>
      </c>
    </row>
    <row r="95" spans="1:7" x14ac:dyDescent="0.3">
      <c r="A95" s="335" t="s">
        <v>91</v>
      </c>
      <c r="B95" s="335">
        <v>2015</v>
      </c>
      <c r="C95" s="335">
        <v>4</v>
      </c>
      <c r="D95" s="335" t="s">
        <v>113</v>
      </c>
      <c r="E95" s="335">
        <v>548</v>
      </c>
      <c r="F95" s="335">
        <v>597</v>
      </c>
      <c r="G95" s="335">
        <f t="shared" si="1"/>
        <v>1145</v>
      </c>
    </row>
    <row r="96" spans="1:7" x14ac:dyDescent="0.3">
      <c r="A96" s="335" t="s">
        <v>91</v>
      </c>
      <c r="B96" s="335">
        <v>2015</v>
      </c>
      <c r="C96" s="335">
        <v>4</v>
      </c>
      <c r="D96" s="335" t="s">
        <v>89</v>
      </c>
      <c r="E96" s="335">
        <v>223</v>
      </c>
      <c r="F96" s="335">
        <v>235</v>
      </c>
      <c r="G96" s="335">
        <f t="shared" si="1"/>
        <v>458</v>
      </c>
    </row>
    <row r="97" spans="1:7" x14ac:dyDescent="0.3">
      <c r="A97" s="335" t="s">
        <v>91</v>
      </c>
      <c r="B97" s="335">
        <v>2015</v>
      </c>
      <c r="C97" s="335">
        <v>5</v>
      </c>
      <c r="D97" s="335" t="s">
        <v>113</v>
      </c>
      <c r="E97" s="335">
        <v>593</v>
      </c>
      <c r="F97" s="335">
        <v>570</v>
      </c>
      <c r="G97" s="335">
        <f t="shared" si="1"/>
        <v>1163</v>
      </c>
    </row>
    <row r="98" spans="1:7" x14ac:dyDescent="0.3">
      <c r="A98" s="335" t="s">
        <v>91</v>
      </c>
      <c r="B98" s="335">
        <v>2015</v>
      </c>
      <c r="C98" s="335">
        <v>5</v>
      </c>
      <c r="D98" s="335" t="s">
        <v>89</v>
      </c>
      <c r="E98" s="335">
        <v>259</v>
      </c>
      <c r="F98" s="335">
        <v>282</v>
      </c>
      <c r="G98" s="335">
        <f t="shared" si="1"/>
        <v>541</v>
      </c>
    </row>
    <row r="99" spans="1:7" x14ac:dyDescent="0.3">
      <c r="A99" s="335" t="s">
        <v>91</v>
      </c>
      <c r="B99" s="335">
        <v>2015</v>
      </c>
      <c r="C99" s="335">
        <v>6</v>
      </c>
      <c r="D99" s="335" t="s">
        <v>113</v>
      </c>
      <c r="E99" s="335">
        <v>576</v>
      </c>
      <c r="F99" s="335">
        <v>575</v>
      </c>
      <c r="G99" s="335">
        <f t="shared" si="1"/>
        <v>1151</v>
      </c>
    </row>
    <row r="100" spans="1:7" x14ac:dyDescent="0.3">
      <c r="A100" s="335" t="s">
        <v>91</v>
      </c>
      <c r="B100" s="335">
        <v>2015</v>
      </c>
      <c r="C100" s="335">
        <v>6</v>
      </c>
      <c r="D100" s="335" t="s">
        <v>89</v>
      </c>
      <c r="E100" s="335">
        <v>307</v>
      </c>
      <c r="F100" s="335">
        <v>296</v>
      </c>
      <c r="G100" s="335">
        <f t="shared" si="1"/>
        <v>603</v>
      </c>
    </row>
    <row r="101" spans="1:7" x14ac:dyDescent="0.3">
      <c r="A101" s="335" t="s">
        <v>91</v>
      </c>
      <c r="B101" s="335">
        <v>2015</v>
      </c>
      <c r="C101" s="335">
        <v>7</v>
      </c>
      <c r="D101" s="335" t="s">
        <v>113</v>
      </c>
      <c r="E101" s="335">
        <v>601</v>
      </c>
      <c r="F101" s="335">
        <v>654</v>
      </c>
      <c r="G101" s="335">
        <f t="shared" si="1"/>
        <v>1255</v>
      </c>
    </row>
    <row r="102" spans="1:7" x14ac:dyDescent="0.3">
      <c r="A102" s="335" t="s">
        <v>91</v>
      </c>
      <c r="B102" s="335">
        <v>2015</v>
      </c>
      <c r="C102" s="335">
        <v>7</v>
      </c>
      <c r="D102" s="335" t="s">
        <v>89</v>
      </c>
      <c r="E102" s="335">
        <v>385</v>
      </c>
      <c r="F102" s="335">
        <v>415</v>
      </c>
      <c r="G102" s="335">
        <f t="shared" si="1"/>
        <v>800</v>
      </c>
    </row>
    <row r="103" spans="1:7" x14ac:dyDescent="0.3">
      <c r="A103" s="335" t="s">
        <v>91</v>
      </c>
      <c r="B103" s="335">
        <v>2015</v>
      </c>
      <c r="C103" s="335">
        <v>8</v>
      </c>
      <c r="D103" s="335" t="s">
        <v>113</v>
      </c>
      <c r="E103" s="335">
        <v>655</v>
      </c>
      <c r="F103" s="335">
        <v>628</v>
      </c>
      <c r="G103" s="335">
        <f t="shared" si="1"/>
        <v>1283</v>
      </c>
    </row>
    <row r="104" spans="1:7" x14ac:dyDescent="0.3">
      <c r="A104" s="335" t="s">
        <v>91</v>
      </c>
      <c r="B104" s="335">
        <v>2015</v>
      </c>
      <c r="C104" s="335">
        <v>8</v>
      </c>
      <c r="D104" s="335" t="s">
        <v>89</v>
      </c>
      <c r="E104" s="335">
        <f>19+385</f>
        <v>404</v>
      </c>
      <c r="F104" s="335">
        <v>341</v>
      </c>
      <c r="G104" s="335">
        <f t="shared" si="1"/>
        <v>745</v>
      </c>
    </row>
    <row r="105" spans="1:7" x14ac:dyDescent="0.3">
      <c r="A105" s="335" t="s">
        <v>91</v>
      </c>
      <c r="B105" s="335">
        <v>2015</v>
      </c>
      <c r="C105" s="335">
        <v>9</v>
      </c>
      <c r="D105" s="335" t="s">
        <v>113</v>
      </c>
      <c r="E105" s="335">
        <v>554</v>
      </c>
      <c r="F105" s="335">
        <v>547</v>
      </c>
      <c r="G105" s="335">
        <f t="shared" si="1"/>
        <v>1101</v>
      </c>
    </row>
    <row r="106" spans="1:7" x14ac:dyDescent="0.3">
      <c r="A106" s="335" t="s">
        <v>91</v>
      </c>
      <c r="B106" s="335">
        <v>2015</v>
      </c>
      <c r="C106" s="335">
        <v>9</v>
      </c>
      <c r="D106" s="335" t="s">
        <v>89</v>
      </c>
      <c r="E106" s="335">
        <v>401</v>
      </c>
      <c r="F106" s="335">
        <v>396</v>
      </c>
      <c r="G106" s="335">
        <f t="shared" si="1"/>
        <v>797</v>
      </c>
    </row>
    <row r="107" spans="1:7" x14ac:dyDescent="0.3">
      <c r="A107" s="335" t="s">
        <v>91</v>
      </c>
      <c r="B107" s="335">
        <v>2015</v>
      </c>
      <c r="C107" s="335">
        <v>10</v>
      </c>
      <c r="D107" s="335" t="s">
        <v>113</v>
      </c>
      <c r="E107" s="335">
        <v>561</v>
      </c>
      <c r="F107" s="335">
        <v>643</v>
      </c>
      <c r="G107" s="335">
        <f t="shared" si="1"/>
        <v>1204</v>
      </c>
    </row>
    <row r="108" spans="1:7" x14ac:dyDescent="0.3">
      <c r="A108" s="335" t="s">
        <v>91</v>
      </c>
      <c r="B108" s="335">
        <v>2015</v>
      </c>
      <c r="C108" s="335">
        <v>10</v>
      </c>
      <c r="D108" s="335" t="s">
        <v>89</v>
      </c>
      <c r="E108" s="335">
        <v>340</v>
      </c>
      <c r="F108" s="335">
        <f>339+15</f>
        <v>354</v>
      </c>
      <c r="G108" s="335">
        <f t="shared" si="1"/>
        <v>694</v>
      </c>
    </row>
    <row r="109" spans="1:7" x14ac:dyDescent="0.3">
      <c r="A109" s="335" t="s">
        <v>91</v>
      </c>
      <c r="B109" s="335">
        <v>2015</v>
      </c>
      <c r="C109" s="335">
        <v>11</v>
      </c>
      <c r="D109" s="335" t="s">
        <v>113</v>
      </c>
      <c r="E109" s="335">
        <v>543</v>
      </c>
      <c r="F109" s="335">
        <v>544</v>
      </c>
      <c r="G109" s="335">
        <f t="shared" si="1"/>
        <v>1087</v>
      </c>
    </row>
    <row r="110" spans="1:7" x14ac:dyDescent="0.3">
      <c r="A110" s="335" t="s">
        <v>91</v>
      </c>
      <c r="B110" s="335">
        <v>2015</v>
      </c>
      <c r="C110" s="335">
        <v>11</v>
      </c>
      <c r="D110" s="335" t="s">
        <v>89</v>
      </c>
      <c r="E110" s="335">
        <v>348</v>
      </c>
      <c r="F110" s="335">
        <v>362</v>
      </c>
      <c r="G110" s="335">
        <f t="shared" si="1"/>
        <v>710</v>
      </c>
    </row>
    <row r="111" spans="1:7" x14ac:dyDescent="0.3">
      <c r="A111" s="335" t="s">
        <v>91</v>
      </c>
      <c r="B111" s="335">
        <v>2015</v>
      </c>
      <c r="C111" s="335">
        <v>12</v>
      </c>
      <c r="D111" s="335" t="s">
        <v>113</v>
      </c>
      <c r="E111" s="335">
        <v>457</v>
      </c>
      <c r="F111" s="335">
        <v>535</v>
      </c>
      <c r="G111" s="335">
        <f t="shared" si="1"/>
        <v>992</v>
      </c>
    </row>
    <row r="112" spans="1:7" x14ac:dyDescent="0.3">
      <c r="A112" s="335" t="s">
        <v>91</v>
      </c>
      <c r="B112" s="335">
        <v>2015</v>
      </c>
      <c r="C112" s="335">
        <v>12</v>
      </c>
      <c r="D112" s="335" t="s">
        <v>89</v>
      </c>
      <c r="E112" s="335">
        <v>366</v>
      </c>
      <c r="F112" s="335">
        <v>437</v>
      </c>
      <c r="G112" s="335">
        <f t="shared" si="1"/>
        <v>803</v>
      </c>
    </row>
    <row r="113" spans="1:7" x14ac:dyDescent="0.3">
      <c r="A113" s="335" t="s">
        <v>91</v>
      </c>
      <c r="B113" s="335">
        <v>2016</v>
      </c>
      <c r="C113" s="335">
        <v>1</v>
      </c>
      <c r="D113" s="335" t="s">
        <v>113</v>
      </c>
      <c r="E113" s="335">
        <v>819</v>
      </c>
      <c r="F113" s="335">
        <v>734</v>
      </c>
      <c r="G113" s="335">
        <f t="shared" si="1"/>
        <v>1553</v>
      </c>
    </row>
    <row r="114" spans="1:7" x14ac:dyDescent="0.3">
      <c r="A114" s="335" t="s">
        <v>91</v>
      </c>
      <c r="B114" s="335">
        <v>2016</v>
      </c>
      <c r="C114" s="335">
        <v>1</v>
      </c>
      <c r="D114" s="335" t="s">
        <v>89</v>
      </c>
      <c r="E114" s="335">
        <v>412</v>
      </c>
      <c r="F114" s="335">
        <v>292</v>
      </c>
      <c r="G114" s="335">
        <f t="shared" si="1"/>
        <v>704</v>
      </c>
    </row>
    <row r="115" spans="1:7" x14ac:dyDescent="0.3">
      <c r="A115" s="335" t="s">
        <v>91</v>
      </c>
      <c r="B115" s="335">
        <v>2016</v>
      </c>
      <c r="C115" s="335">
        <v>2</v>
      </c>
      <c r="D115" s="335" t="s">
        <v>137</v>
      </c>
      <c r="E115" s="335">
        <v>5</v>
      </c>
      <c r="F115" s="335">
        <v>12</v>
      </c>
      <c r="G115" s="335">
        <f t="shared" si="1"/>
        <v>17</v>
      </c>
    </row>
    <row r="116" spans="1:7" x14ac:dyDescent="0.3">
      <c r="A116" s="335" t="s">
        <v>91</v>
      </c>
      <c r="B116" s="335">
        <v>2016</v>
      </c>
      <c r="C116" s="335">
        <v>2</v>
      </c>
      <c r="D116" s="335" t="s">
        <v>113</v>
      </c>
      <c r="E116" s="335">
        <v>862</v>
      </c>
      <c r="F116" s="335">
        <v>908</v>
      </c>
      <c r="G116" s="335">
        <f t="shared" si="1"/>
        <v>1770</v>
      </c>
    </row>
    <row r="117" spans="1:7" x14ac:dyDescent="0.3">
      <c r="A117" s="335" t="s">
        <v>91</v>
      </c>
      <c r="B117" s="335">
        <v>2016</v>
      </c>
      <c r="C117" s="335">
        <v>2</v>
      </c>
      <c r="D117" s="335" t="s">
        <v>89</v>
      </c>
      <c r="E117" s="335">
        <v>437</v>
      </c>
      <c r="F117" s="335">
        <v>403</v>
      </c>
      <c r="G117" s="335">
        <f t="shared" si="1"/>
        <v>840</v>
      </c>
    </row>
    <row r="118" spans="1:7" x14ac:dyDescent="0.3">
      <c r="A118" s="335" t="s">
        <v>91</v>
      </c>
      <c r="B118" s="335">
        <v>2016</v>
      </c>
      <c r="C118" s="335">
        <v>3</v>
      </c>
      <c r="D118" s="335" t="s">
        <v>137</v>
      </c>
      <c r="E118" s="335">
        <v>12</v>
      </c>
      <c r="F118" s="335">
        <v>64</v>
      </c>
      <c r="G118" s="335">
        <f t="shared" si="1"/>
        <v>76</v>
      </c>
    </row>
    <row r="119" spans="1:7" x14ac:dyDescent="0.3">
      <c r="A119" s="335" t="s">
        <v>91</v>
      </c>
      <c r="B119" s="335">
        <v>2016</v>
      </c>
      <c r="C119" s="335">
        <v>3</v>
      </c>
      <c r="D119" s="335" t="s">
        <v>113</v>
      </c>
      <c r="E119" s="335">
        <v>793</v>
      </c>
      <c r="F119" s="335">
        <v>834</v>
      </c>
      <c r="G119" s="335">
        <f t="shared" si="1"/>
        <v>1627</v>
      </c>
    </row>
    <row r="120" spans="1:7" x14ac:dyDescent="0.3">
      <c r="A120" s="335" t="s">
        <v>91</v>
      </c>
      <c r="B120" s="335">
        <v>2016</v>
      </c>
      <c r="C120" s="335">
        <v>3</v>
      </c>
      <c r="D120" s="335" t="s">
        <v>89</v>
      </c>
      <c r="E120" s="335">
        <v>665</v>
      </c>
      <c r="F120" s="335">
        <v>564</v>
      </c>
      <c r="G120" s="335">
        <f t="shared" si="1"/>
        <v>1229</v>
      </c>
    </row>
    <row r="121" spans="1:7" x14ac:dyDescent="0.3">
      <c r="A121" s="335" t="s">
        <v>91</v>
      </c>
      <c r="B121" s="335">
        <v>2016</v>
      </c>
      <c r="C121" s="335">
        <v>4</v>
      </c>
      <c r="D121" s="335" t="s">
        <v>137</v>
      </c>
      <c r="E121" s="335">
        <v>92</v>
      </c>
      <c r="F121" s="335">
        <v>49</v>
      </c>
      <c r="G121" s="335">
        <f t="shared" si="1"/>
        <v>141</v>
      </c>
    </row>
    <row r="122" spans="1:7" x14ac:dyDescent="0.3">
      <c r="A122" s="335" t="s">
        <v>91</v>
      </c>
      <c r="B122" s="335">
        <v>2016</v>
      </c>
      <c r="C122" s="335">
        <v>4</v>
      </c>
      <c r="D122" s="335" t="s">
        <v>113</v>
      </c>
      <c r="E122" s="335">
        <v>886</v>
      </c>
      <c r="F122" s="335">
        <v>1018</v>
      </c>
      <c r="G122" s="335">
        <f t="shared" si="1"/>
        <v>1904</v>
      </c>
    </row>
    <row r="123" spans="1:7" x14ac:dyDescent="0.3">
      <c r="A123" s="335" t="s">
        <v>91</v>
      </c>
      <c r="B123" s="335">
        <v>2016</v>
      </c>
      <c r="C123" s="335">
        <v>4</v>
      </c>
      <c r="D123" s="335" t="s">
        <v>89</v>
      </c>
      <c r="E123" s="335">
        <v>491</v>
      </c>
      <c r="F123" s="335">
        <v>478</v>
      </c>
      <c r="G123" s="335">
        <f t="shared" si="1"/>
        <v>969</v>
      </c>
    </row>
    <row r="124" spans="1:7" x14ac:dyDescent="0.3">
      <c r="A124" s="335" t="s">
        <v>91</v>
      </c>
      <c r="B124" s="335">
        <v>2016</v>
      </c>
      <c r="C124" s="335">
        <v>5</v>
      </c>
      <c r="D124" s="335" t="s">
        <v>137</v>
      </c>
      <c r="E124" s="335">
        <v>111</v>
      </c>
      <c r="F124" s="335">
        <v>78</v>
      </c>
      <c r="G124" s="335">
        <f t="shared" si="1"/>
        <v>189</v>
      </c>
    </row>
    <row r="125" spans="1:7" x14ac:dyDescent="0.3">
      <c r="A125" s="335" t="s">
        <v>91</v>
      </c>
      <c r="B125" s="335">
        <v>2016</v>
      </c>
      <c r="C125" s="335">
        <v>5</v>
      </c>
      <c r="D125" s="335" t="s">
        <v>113</v>
      </c>
      <c r="E125" s="335">
        <v>828</v>
      </c>
      <c r="F125" s="335">
        <f>886+10</f>
        <v>896</v>
      </c>
      <c r="G125" s="335">
        <f t="shared" si="1"/>
        <v>1724</v>
      </c>
    </row>
    <row r="126" spans="1:7" x14ac:dyDescent="0.3">
      <c r="A126" s="335" t="s">
        <v>91</v>
      </c>
      <c r="B126" s="335">
        <v>2016</v>
      </c>
      <c r="C126" s="335">
        <v>5</v>
      </c>
      <c r="D126" s="335" t="s">
        <v>89</v>
      </c>
      <c r="E126" s="335">
        <f>320+18</f>
        <v>338</v>
      </c>
      <c r="F126" s="335">
        <v>451</v>
      </c>
      <c r="G126" s="335">
        <f t="shared" si="1"/>
        <v>789</v>
      </c>
    </row>
    <row r="127" spans="1:7" x14ac:dyDescent="0.3">
      <c r="A127" s="335" t="s">
        <v>91</v>
      </c>
      <c r="B127" s="335">
        <v>2016</v>
      </c>
      <c r="C127" s="335">
        <v>6</v>
      </c>
      <c r="D127" s="335" t="s">
        <v>137</v>
      </c>
      <c r="E127" s="335">
        <v>139</v>
      </c>
      <c r="F127" s="335">
        <v>117</v>
      </c>
      <c r="G127" s="335">
        <f t="shared" si="1"/>
        <v>256</v>
      </c>
    </row>
    <row r="128" spans="1:7" x14ac:dyDescent="0.3">
      <c r="A128" s="335" t="s">
        <v>91</v>
      </c>
      <c r="B128" s="335">
        <v>2016</v>
      </c>
      <c r="C128" s="335">
        <v>6</v>
      </c>
      <c r="D128" s="335" t="s">
        <v>113</v>
      </c>
      <c r="E128" s="335">
        <v>816</v>
      </c>
      <c r="F128" s="335">
        <v>847</v>
      </c>
      <c r="G128" s="335">
        <f t="shared" si="1"/>
        <v>1663</v>
      </c>
    </row>
    <row r="129" spans="1:7" x14ac:dyDescent="0.3">
      <c r="A129" s="335" t="s">
        <v>91</v>
      </c>
      <c r="B129" s="335">
        <v>2016</v>
      </c>
      <c r="C129" s="335">
        <v>6</v>
      </c>
      <c r="D129" s="335" t="s">
        <v>89</v>
      </c>
      <c r="E129" s="335">
        <v>540</v>
      </c>
      <c r="F129" s="335">
        <v>570</v>
      </c>
      <c r="G129" s="335">
        <f t="shared" si="1"/>
        <v>1110</v>
      </c>
    </row>
    <row r="130" spans="1:7" x14ac:dyDescent="0.3">
      <c r="A130" s="335" t="s">
        <v>91</v>
      </c>
      <c r="B130" s="335">
        <v>2016</v>
      </c>
      <c r="C130" s="335">
        <v>7</v>
      </c>
      <c r="D130" s="335" t="s">
        <v>137</v>
      </c>
      <c r="E130" s="335">
        <v>131</v>
      </c>
      <c r="F130" s="335">
        <v>161</v>
      </c>
      <c r="G130" s="335">
        <f t="shared" ref="G130:G193" si="2">SUM(F130+E130)</f>
        <v>292</v>
      </c>
    </row>
    <row r="131" spans="1:7" x14ac:dyDescent="0.3">
      <c r="A131" s="335" t="s">
        <v>91</v>
      </c>
      <c r="B131" s="335">
        <v>2016</v>
      </c>
      <c r="C131" s="335">
        <v>7</v>
      </c>
      <c r="D131" s="335" t="s">
        <v>113</v>
      </c>
      <c r="E131" s="335">
        <v>824</v>
      </c>
      <c r="F131" s="335">
        <v>929</v>
      </c>
      <c r="G131" s="335">
        <f t="shared" si="2"/>
        <v>1753</v>
      </c>
    </row>
    <row r="132" spans="1:7" x14ac:dyDescent="0.3">
      <c r="A132" s="335" t="s">
        <v>91</v>
      </c>
      <c r="B132" s="335">
        <v>2016</v>
      </c>
      <c r="C132" s="335">
        <v>7</v>
      </c>
      <c r="D132" s="335" t="s">
        <v>89</v>
      </c>
      <c r="E132" s="335">
        <v>664</v>
      </c>
      <c r="F132" s="335">
        <v>600</v>
      </c>
      <c r="G132" s="335">
        <f t="shared" si="2"/>
        <v>1264</v>
      </c>
    </row>
    <row r="133" spans="1:7" x14ac:dyDescent="0.3">
      <c r="A133" s="335" t="s">
        <v>91</v>
      </c>
      <c r="B133" s="335">
        <v>2016</v>
      </c>
      <c r="C133" s="335">
        <v>8</v>
      </c>
      <c r="D133" s="335" t="s">
        <v>137</v>
      </c>
      <c r="E133" s="335">
        <v>206</v>
      </c>
      <c r="F133" s="335">
        <v>180</v>
      </c>
      <c r="G133" s="335">
        <f t="shared" si="2"/>
        <v>386</v>
      </c>
    </row>
    <row r="134" spans="1:7" x14ac:dyDescent="0.3">
      <c r="A134" s="335" t="s">
        <v>91</v>
      </c>
      <c r="B134" s="335">
        <v>2016</v>
      </c>
      <c r="C134" s="335">
        <v>8</v>
      </c>
      <c r="D134" s="335" t="s">
        <v>113</v>
      </c>
      <c r="E134" s="335">
        <v>725</v>
      </c>
      <c r="F134" s="335">
        <f>802+19</f>
        <v>821</v>
      </c>
      <c r="G134" s="335">
        <f t="shared" si="2"/>
        <v>1546</v>
      </c>
    </row>
    <row r="135" spans="1:7" x14ac:dyDescent="0.3">
      <c r="A135" s="335" t="s">
        <v>91</v>
      </c>
      <c r="B135" s="335">
        <v>2016</v>
      </c>
      <c r="C135" s="335">
        <v>8</v>
      </c>
      <c r="D135" s="335" t="s">
        <v>89</v>
      </c>
      <c r="E135" s="335">
        <v>552</v>
      </c>
      <c r="F135" s="335">
        <v>535</v>
      </c>
      <c r="G135" s="335">
        <f t="shared" si="2"/>
        <v>1087</v>
      </c>
    </row>
    <row r="136" spans="1:7" x14ac:dyDescent="0.3">
      <c r="A136" s="335" t="s">
        <v>91</v>
      </c>
      <c r="B136" s="335">
        <v>2016</v>
      </c>
      <c r="C136" s="335">
        <v>9</v>
      </c>
      <c r="D136" s="335" t="s">
        <v>137</v>
      </c>
      <c r="E136" s="335">
        <v>224</v>
      </c>
      <c r="F136" s="335">
        <v>226</v>
      </c>
      <c r="G136" s="335">
        <f t="shared" si="2"/>
        <v>450</v>
      </c>
    </row>
    <row r="137" spans="1:7" x14ac:dyDescent="0.3">
      <c r="A137" s="335" t="s">
        <v>91</v>
      </c>
      <c r="B137" s="335">
        <v>2016</v>
      </c>
      <c r="C137" s="335">
        <v>9</v>
      </c>
      <c r="D137" s="335" t="s">
        <v>113</v>
      </c>
      <c r="E137" s="335">
        <f>734+15</f>
        <v>749</v>
      </c>
      <c r="F137" s="335">
        <f>753+34+18</f>
        <v>805</v>
      </c>
      <c r="G137" s="335">
        <f t="shared" si="2"/>
        <v>1554</v>
      </c>
    </row>
    <row r="138" spans="1:7" x14ac:dyDescent="0.3">
      <c r="A138" s="335" t="s">
        <v>91</v>
      </c>
      <c r="B138" s="335">
        <v>2016</v>
      </c>
      <c r="C138" s="335">
        <v>9</v>
      </c>
      <c r="D138" s="335" t="s">
        <v>89</v>
      </c>
      <c r="E138" s="335">
        <v>49</v>
      </c>
      <c r="F138" s="335">
        <v>501</v>
      </c>
      <c r="G138" s="335">
        <f t="shared" si="2"/>
        <v>550</v>
      </c>
    </row>
    <row r="139" spans="1:7" x14ac:dyDescent="0.3">
      <c r="A139" s="335" t="s">
        <v>91</v>
      </c>
      <c r="B139" s="335">
        <v>2016</v>
      </c>
      <c r="C139" s="335">
        <v>10</v>
      </c>
      <c r="D139" s="335" t="s">
        <v>137</v>
      </c>
      <c r="E139" s="335">
        <v>106</v>
      </c>
      <c r="F139" s="335">
        <v>199</v>
      </c>
      <c r="G139" s="335">
        <f t="shared" si="2"/>
        <v>305</v>
      </c>
    </row>
    <row r="140" spans="1:7" x14ac:dyDescent="0.3">
      <c r="A140" s="335" t="s">
        <v>91</v>
      </c>
      <c r="B140" s="335">
        <v>2016</v>
      </c>
      <c r="C140" s="335">
        <v>10</v>
      </c>
      <c r="D140" s="335" t="s">
        <v>113</v>
      </c>
      <c r="E140" s="335">
        <v>584</v>
      </c>
      <c r="F140" s="335">
        <v>675</v>
      </c>
      <c r="G140" s="335">
        <f t="shared" si="2"/>
        <v>1259</v>
      </c>
    </row>
    <row r="141" spans="1:7" x14ac:dyDescent="0.3">
      <c r="A141" s="335" t="s">
        <v>91</v>
      </c>
      <c r="B141" s="335">
        <v>2016</v>
      </c>
      <c r="C141" s="335">
        <v>10</v>
      </c>
      <c r="D141" s="335" t="s">
        <v>89</v>
      </c>
      <c r="E141" s="335">
        <v>242</v>
      </c>
      <c r="F141" s="335">
        <v>256</v>
      </c>
      <c r="G141" s="335">
        <f t="shared" si="2"/>
        <v>498</v>
      </c>
    </row>
    <row r="142" spans="1:7" x14ac:dyDescent="0.3">
      <c r="A142" s="335" t="s">
        <v>91</v>
      </c>
      <c r="B142" s="335">
        <v>2016</v>
      </c>
      <c r="C142" s="335">
        <v>10</v>
      </c>
      <c r="D142" s="335" t="s">
        <v>133</v>
      </c>
      <c r="E142" s="335">
        <v>31</v>
      </c>
      <c r="F142" s="335">
        <v>13</v>
      </c>
      <c r="G142" s="335">
        <f t="shared" si="2"/>
        <v>44</v>
      </c>
    </row>
    <row r="143" spans="1:7" x14ac:dyDescent="0.3">
      <c r="A143" s="335" t="s">
        <v>91</v>
      </c>
      <c r="B143" s="335">
        <v>2016</v>
      </c>
      <c r="C143" s="335">
        <v>11</v>
      </c>
      <c r="D143" s="335" t="s">
        <v>137</v>
      </c>
      <c r="E143" s="335">
        <v>355</v>
      </c>
      <c r="F143" s="335">
        <v>353</v>
      </c>
      <c r="G143" s="335">
        <f t="shared" si="2"/>
        <v>708</v>
      </c>
    </row>
    <row r="144" spans="1:7" x14ac:dyDescent="0.3">
      <c r="A144" s="335" t="s">
        <v>91</v>
      </c>
      <c r="B144" s="335">
        <v>2016</v>
      </c>
      <c r="C144" s="335">
        <v>11</v>
      </c>
      <c r="D144" s="335" t="s">
        <v>113</v>
      </c>
      <c r="E144" s="335">
        <v>696</v>
      </c>
      <c r="F144" s="335">
        <v>673</v>
      </c>
      <c r="G144" s="335">
        <f t="shared" si="2"/>
        <v>1369</v>
      </c>
    </row>
    <row r="145" spans="1:7" x14ac:dyDescent="0.3">
      <c r="A145" s="335" t="s">
        <v>91</v>
      </c>
      <c r="B145" s="335">
        <v>2016</v>
      </c>
      <c r="C145" s="335">
        <v>11</v>
      </c>
      <c r="D145" s="335" t="s">
        <v>89</v>
      </c>
      <c r="E145" s="335">
        <v>554</v>
      </c>
      <c r="F145" s="335">
        <v>508</v>
      </c>
      <c r="G145" s="335">
        <f t="shared" si="2"/>
        <v>1062</v>
      </c>
    </row>
    <row r="146" spans="1:7" x14ac:dyDescent="0.3">
      <c r="A146" s="335" t="s">
        <v>91</v>
      </c>
      <c r="B146" s="335">
        <v>2016</v>
      </c>
      <c r="C146" s="335">
        <v>12</v>
      </c>
      <c r="D146" s="335" t="s">
        <v>137</v>
      </c>
      <c r="E146" s="335">
        <v>542</v>
      </c>
      <c r="F146" s="335">
        <v>557</v>
      </c>
      <c r="G146" s="335">
        <f t="shared" si="2"/>
        <v>1099</v>
      </c>
    </row>
    <row r="147" spans="1:7" x14ac:dyDescent="0.3">
      <c r="A147" s="335" t="s">
        <v>91</v>
      </c>
      <c r="B147" s="335">
        <v>2016</v>
      </c>
      <c r="C147" s="335">
        <v>12</v>
      </c>
      <c r="D147" s="335" t="s">
        <v>113</v>
      </c>
      <c r="E147" s="335">
        <v>632</v>
      </c>
      <c r="F147" s="335">
        <v>732</v>
      </c>
      <c r="G147" s="335">
        <f t="shared" si="2"/>
        <v>1364</v>
      </c>
    </row>
    <row r="148" spans="1:7" x14ac:dyDescent="0.3">
      <c r="A148" s="335" t="s">
        <v>91</v>
      </c>
      <c r="B148" s="335">
        <v>2016</v>
      </c>
      <c r="C148" s="335">
        <v>12</v>
      </c>
      <c r="D148" s="335" t="s">
        <v>89</v>
      </c>
      <c r="E148" s="335">
        <v>833</v>
      </c>
      <c r="F148" s="335">
        <v>1030</v>
      </c>
      <c r="G148" s="335">
        <f t="shared" si="2"/>
        <v>1863</v>
      </c>
    </row>
    <row r="149" spans="1:7" x14ac:dyDescent="0.3">
      <c r="A149" s="335" t="s">
        <v>91</v>
      </c>
      <c r="B149" s="335">
        <v>2016</v>
      </c>
      <c r="C149" s="335">
        <v>12</v>
      </c>
      <c r="D149" s="335" t="s">
        <v>108</v>
      </c>
      <c r="E149" s="335">
        <v>15</v>
      </c>
      <c r="F149" s="335">
        <v>107</v>
      </c>
      <c r="G149" s="335">
        <f t="shared" si="2"/>
        <v>122</v>
      </c>
    </row>
    <row r="150" spans="1:7" x14ac:dyDescent="0.3">
      <c r="A150" s="335" t="s">
        <v>91</v>
      </c>
      <c r="B150" s="335">
        <v>2017</v>
      </c>
      <c r="C150" s="335">
        <v>1</v>
      </c>
      <c r="D150" s="335" t="s">
        <v>137</v>
      </c>
      <c r="E150" s="335">
        <f>305+86</f>
        <v>391</v>
      </c>
      <c r="F150" s="335">
        <f>275+38</f>
        <v>313</v>
      </c>
      <c r="G150" s="335">
        <f t="shared" si="2"/>
        <v>704</v>
      </c>
    </row>
    <row r="151" spans="1:7" x14ac:dyDescent="0.3">
      <c r="A151" s="335" t="s">
        <v>91</v>
      </c>
      <c r="B151" s="335">
        <v>2017</v>
      </c>
      <c r="C151" s="335">
        <v>1</v>
      </c>
      <c r="D151" s="335" t="s">
        <v>113</v>
      </c>
      <c r="E151" s="335">
        <v>728</v>
      </c>
      <c r="F151" s="335">
        <v>679</v>
      </c>
      <c r="G151" s="335">
        <f t="shared" si="2"/>
        <v>1407</v>
      </c>
    </row>
    <row r="152" spans="1:7" x14ac:dyDescent="0.3">
      <c r="A152" s="335" t="s">
        <v>91</v>
      </c>
      <c r="B152" s="335">
        <v>2017</v>
      </c>
      <c r="C152" s="335">
        <v>1</v>
      </c>
      <c r="D152" s="335" t="s">
        <v>89</v>
      </c>
      <c r="E152" s="335">
        <f>626+33</f>
        <v>659</v>
      </c>
      <c r="F152" s="335">
        <v>607</v>
      </c>
      <c r="G152" s="335">
        <f t="shared" si="2"/>
        <v>1266</v>
      </c>
    </row>
    <row r="153" spans="1:7" x14ac:dyDescent="0.3">
      <c r="A153" s="335" t="s">
        <v>91</v>
      </c>
      <c r="B153" s="335">
        <v>2017</v>
      </c>
      <c r="C153" s="335">
        <v>2</v>
      </c>
      <c r="D153" s="335" t="s">
        <v>137</v>
      </c>
      <c r="E153" s="335">
        <v>351</v>
      </c>
      <c r="F153" s="335">
        <v>324</v>
      </c>
      <c r="G153" s="335">
        <f t="shared" si="2"/>
        <v>675</v>
      </c>
    </row>
    <row r="154" spans="1:7" x14ac:dyDescent="0.3">
      <c r="A154" s="335" t="s">
        <v>91</v>
      </c>
      <c r="B154" s="335">
        <v>2017</v>
      </c>
      <c r="C154" s="335">
        <v>2</v>
      </c>
      <c r="D154" s="335" t="s">
        <v>97</v>
      </c>
      <c r="E154" s="335">
        <v>109</v>
      </c>
      <c r="F154" s="335">
        <v>120</v>
      </c>
      <c r="G154" s="335">
        <f t="shared" si="2"/>
        <v>229</v>
      </c>
    </row>
    <row r="155" spans="1:7" x14ac:dyDescent="0.3">
      <c r="A155" s="335" t="s">
        <v>91</v>
      </c>
      <c r="B155" s="335">
        <v>2017</v>
      </c>
      <c r="C155" s="335">
        <v>2</v>
      </c>
      <c r="D155" s="335" t="s">
        <v>113</v>
      </c>
      <c r="E155" s="335">
        <v>607</v>
      </c>
      <c r="F155" s="335">
        <v>692</v>
      </c>
      <c r="G155" s="335">
        <f t="shared" si="2"/>
        <v>1299</v>
      </c>
    </row>
    <row r="156" spans="1:7" x14ac:dyDescent="0.3">
      <c r="A156" s="335" t="s">
        <v>91</v>
      </c>
      <c r="B156" s="335">
        <v>2017</v>
      </c>
      <c r="C156" s="335">
        <v>2</v>
      </c>
      <c r="D156" s="335" t="s">
        <v>89</v>
      </c>
      <c r="E156" s="335">
        <v>671</v>
      </c>
      <c r="F156" s="335">
        <v>821</v>
      </c>
      <c r="G156" s="335">
        <f t="shared" si="2"/>
        <v>1492</v>
      </c>
    </row>
    <row r="157" spans="1:7" x14ac:dyDescent="0.3">
      <c r="A157" s="335" t="s">
        <v>91</v>
      </c>
      <c r="B157" s="335">
        <v>2017</v>
      </c>
      <c r="C157" s="335">
        <v>3</v>
      </c>
      <c r="D157" s="335" t="s">
        <v>137</v>
      </c>
      <c r="E157" s="335">
        <v>394</v>
      </c>
      <c r="F157" s="335">
        <v>448</v>
      </c>
      <c r="G157" s="335">
        <f t="shared" si="2"/>
        <v>842</v>
      </c>
    </row>
    <row r="158" spans="1:7" x14ac:dyDescent="0.3">
      <c r="A158" s="335" t="s">
        <v>91</v>
      </c>
      <c r="B158" s="335">
        <v>2017</v>
      </c>
      <c r="C158" s="335">
        <v>3</v>
      </c>
      <c r="D158" s="335" t="s">
        <v>97</v>
      </c>
      <c r="E158" s="335">
        <v>410</v>
      </c>
      <c r="F158" s="335">
        <v>454</v>
      </c>
      <c r="G158" s="335">
        <f t="shared" si="2"/>
        <v>864</v>
      </c>
    </row>
    <row r="159" spans="1:7" x14ac:dyDescent="0.3">
      <c r="A159" s="335" t="s">
        <v>91</v>
      </c>
      <c r="B159" s="335">
        <v>2017</v>
      </c>
      <c r="C159" s="335">
        <v>3</v>
      </c>
      <c r="D159" s="335" t="s">
        <v>113</v>
      </c>
      <c r="E159" s="335">
        <v>712</v>
      </c>
      <c r="F159" s="335">
        <v>689</v>
      </c>
      <c r="G159" s="335">
        <f t="shared" si="2"/>
        <v>1401</v>
      </c>
    </row>
    <row r="160" spans="1:7" x14ac:dyDescent="0.3">
      <c r="A160" s="335" t="s">
        <v>91</v>
      </c>
      <c r="B160" s="335">
        <v>2017</v>
      </c>
      <c r="C160" s="335">
        <v>3</v>
      </c>
      <c r="D160" s="335" t="s">
        <v>89</v>
      </c>
      <c r="E160" s="335">
        <v>1001</v>
      </c>
      <c r="F160" s="335">
        <v>1074</v>
      </c>
      <c r="G160" s="335">
        <f t="shared" si="2"/>
        <v>2075</v>
      </c>
    </row>
    <row r="161" spans="1:10" x14ac:dyDescent="0.3">
      <c r="A161" s="335" t="s">
        <v>91</v>
      </c>
      <c r="B161" s="335">
        <v>2017</v>
      </c>
      <c r="C161" s="335">
        <v>4</v>
      </c>
      <c r="D161" s="335" t="s">
        <v>137</v>
      </c>
      <c r="E161" s="335">
        <v>693</v>
      </c>
      <c r="F161" s="335">
        <v>634</v>
      </c>
      <c r="G161" s="335">
        <f t="shared" si="2"/>
        <v>1327</v>
      </c>
      <c r="J161" s="335">
        <v>33565</v>
      </c>
    </row>
    <row r="162" spans="1:10" x14ac:dyDescent="0.3">
      <c r="A162" s="335" t="s">
        <v>91</v>
      </c>
      <c r="B162" s="335">
        <v>2017</v>
      </c>
      <c r="C162" s="335">
        <v>4</v>
      </c>
      <c r="D162" s="335" t="s">
        <v>97</v>
      </c>
      <c r="E162" s="335">
        <v>426</v>
      </c>
      <c r="F162" s="335">
        <v>453</v>
      </c>
      <c r="G162" s="335">
        <f t="shared" si="2"/>
        <v>879</v>
      </c>
      <c r="J162" s="335">
        <v>93908</v>
      </c>
    </row>
    <row r="163" spans="1:10" x14ac:dyDescent="0.3">
      <c r="A163" s="335" t="s">
        <v>91</v>
      </c>
      <c r="B163" s="335">
        <v>2017</v>
      </c>
      <c r="C163" s="335">
        <v>4</v>
      </c>
      <c r="D163" s="335" t="s">
        <v>113</v>
      </c>
      <c r="E163" s="335">
        <f>496+18</f>
        <v>514</v>
      </c>
      <c r="F163" s="335">
        <f>534+11</f>
        <v>545</v>
      </c>
      <c r="G163" s="335">
        <f t="shared" si="2"/>
        <v>1059</v>
      </c>
    </row>
    <row r="164" spans="1:10" x14ac:dyDescent="0.3">
      <c r="A164" s="335" t="s">
        <v>91</v>
      </c>
      <c r="B164" s="335">
        <v>2017</v>
      </c>
      <c r="C164" s="335">
        <v>4</v>
      </c>
      <c r="D164" s="335" t="s">
        <v>89</v>
      </c>
      <c r="E164" s="335">
        <v>1039</v>
      </c>
      <c r="F164" s="335">
        <v>925</v>
      </c>
      <c r="G164" s="335">
        <f t="shared" si="2"/>
        <v>1964</v>
      </c>
    </row>
    <row r="165" spans="1:10" x14ac:dyDescent="0.3">
      <c r="A165" s="335" t="s">
        <v>91</v>
      </c>
      <c r="B165" s="335">
        <v>2017</v>
      </c>
      <c r="C165" s="335">
        <v>4</v>
      </c>
      <c r="D165" s="335" t="s">
        <v>133</v>
      </c>
      <c r="E165" s="335">
        <v>15</v>
      </c>
      <c r="F165" s="335">
        <f>19+19</f>
        <v>38</v>
      </c>
      <c r="G165" s="335">
        <f t="shared" si="2"/>
        <v>53</v>
      </c>
    </row>
    <row r="166" spans="1:10" x14ac:dyDescent="0.3">
      <c r="A166" s="335" t="s">
        <v>91</v>
      </c>
      <c r="B166" s="335">
        <v>2017</v>
      </c>
      <c r="C166" s="335">
        <v>5</v>
      </c>
      <c r="D166" s="335" t="s">
        <v>137</v>
      </c>
      <c r="E166" s="335">
        <v>661</v>
      </c>
      <c r="F166" s="335">
        <v>842</v>
      </c>
      <c r="G166" s="335">
        <f t="shared" si="2"/>
        <v>1503</v>
      </c>
    </row>
    <row r="167" spans="1:10" x14ac:dyDescent="0.3">
      <c r="A167" s="335" t="s">
        <v>91</v>
      </c>
      <c r="B167" s="335">
        <v>2017</v>
      </c>
      <c r="C167" s="335">
        <v>5</v>
      </c>
      <c r="D167" s="335" t="s">
        <v>97</v>
      </c>
      <c r="E167" s="335">
        <v>563</v>
      </c>
      <c r="F167" s="335">
        <v>372</v>
      </c>
      <c r="G167" s="335">
        <f t="shared" si="2"/>
        <v>935</v>
      </c>
    </row>
    <row r="168" spans="1:10" x14ac:dyDescent="0.3">
      <c r="A168" s="335" t="s">
        <v>91</v>
      </c>
      <c r="B168" s="335">
        <v>2017</v>
      </c>
      <c r="C168" s="335">
        <v>5</v>
      </c>
      <c r="D168" s="335" t="s">
        <v>113</v>
      </c>
      <c r="E168" s="335">
        <v>627</v>
      </c>
      <c r="F168" s="335">
        <v>668</v>
      </c>
      <c r="G168" s="335">
        <f t="shared" si="2"/>
        <v>1295</v>
      </c>
    </row>
    <row r="169" spans="1:10" x14ac:dyDescent="0.3">
      <c r="A169" s="335" t="s">
        <v>91</v>
      </c>
      <c r="B169" s="335">
        <v>2017</v>
      </c>
      <c r="C169" s="335">
        <v>5</v>
      </c>
      <c r="D169" s="335" t="s">
        <v>164</v>
      </c>
      <c r="E169" s="335">
        <v>19</v>
      </c>
      <c r="F169" s="335">
        <v>0</v>
      </c>
      <c r="G169" s="335">
        <f t="shared" si="2"/>
        <v>19</v>
      </c>
    </row>
    <row r="170" spans="1:10" x14ac:dyDescent="0.3">
      <c r="A170" s="335" t="s">
        <v>91</v>
      </c>
      <c r="B170" s="335">
        <v>2017</v>
      </c>
      <c r="C170" s="335">
        <v>5</v>
      </c>
      <c r="D170" s="335" t="s">
        <v>89</v>
      </c>
      <c r="E170" s="335">
        <v>787</v>
      </c>
      <c r="F170" s="335">
        <v>745</v>
      </c>
      <c r="G170" s="335">
        <f t="shared" si="2"/>
        <v>1532</v>
      </c>
    </row>
    <row r="171" spans="1:10" x14ac:dyDescent="0.3">
      <c r="A171" s="335" t="s">
        <v>91</v>
      </c>
      <c r="B171" s="335">
        <v>2017</v>
      </c>
      <c r="C171" s="335">
        <v>6</v>
      </c>
      <c r="D171" s="335" t="s">
        <v>137</v>
      </c>
      <c r="E171" s="335">
        <v>856</v>
      </c>
      <c r="F171" s="335">
        <v>754</v>
      </c>
      <c r="G171" s="335">
        <f t="shared" si="2"/>
        <v>1610</v>
      </c>
    </row>
    <row r="172" spans="1:10" x14ac:dyDescent="0.3">
      <c r="A172" s="335" t="s">
        <v>91</v>
      </c>
      <c r="B172" s="335">
        <v>2017</v>
      </c>
      <c r="C172" s="335">
        <v>6</v>
      </c>
      <c r="D172" s="335" t="s">
        <v>97</v>
      </c>
      <c r="E172" s="335">
        <v>539</v>
      </c>
      <c r="F172" s="335">
        <v>403</v>
      </c>
      <c r="G172" s="335">
        <f t="shared" si="2"/>
        <v>942</v>
      </c>
    </row>
    <row r="173" spans="1:10" x14ac:dyDescent="0.3">
      <c r="A173" s="335" t="s">
        <v>91</v>
      </c>
      <c r="B173" s="335">
        <v>2017</v>
      </c>
      <c r="C173" s="335">
        <v>6</v>
      </c>
      <c r="D173" s="335" t="s">
        <v>113</v>
      </c>
      <c r="E173" s="335">
        <v>641</v>
      </c>
      <c r="F173" s="335">
        <v>686</v>
      </c>
      <c r="G173" s="335">
        <f t="shared" si="2"/>
        <v>1327</v>
      </c>
    </row>
    <row r="174" spans="1:10" x14ac:dyDescent="0.3">
      <c r="A174" s="335" t="s">
        <v>91</v>
      </c>
      <c r="B174" s="335">
        <v>2017</v>
      </c>
      <c r="C174" s="335">
        <v>6</v>
      </c>
      <c r="D174" s="335" t="s">
        <v>817</v>
      </c>
      <c r="E174" s="335">
        <v>0</v>
      </c>
      <c r="F174" s="335">
        <v>419</v>
      </c>
      <c r="G174" s="335">
        <f t="shared" si="2"/>
        <v>419</v>
      </c>
    </row>
    <row r="175" spans="1:10" x14ac:dyDescent="0.3">
      <c r="A175" s="335" t="s">
        <v>91</v>
      </c>
      <c r="B175" s="335">
        <v>2017</v>
      </c>
      <c r="C175" s="335">
        <v>6</v>
      </c>
      <c r="D175" s="335" t="s">
        <v>1120</v>
      </c>
      <c r="E175" s="335">
        <v>109</v>
      </c>
      <c r="F175" s="335">
        <v>0</v>
      </c>
      <c r="G175" s="335">
        <f t="shared" si="2"/>
        <v>109</v>
      </c>
    </row>
    <row r="176" spans="1:10" x14ac:dyDescent="0.3">
      <c r="A176" s="335" t="s">
        <v>91</v>
      </c>
      <c r="B176" s="335">
        <v>2017</v>
      </c>
      <c r="C176" s="335">
        <v>6</v>
      </c>
      <c r="D176" s="335" t="s">
        <v>89</v>
      </c>
      <c r="E176" s="335">
        <v>1061</v>
      </c>
      <c r="F176" s="335">
        <v>1477</v>
      </c>
      <c r="G176" s="335">
        <f t="shared" si="2"/>
        <v>2538</v>
      </c>
    </row>
    <row r="177" spans="1:7" x14ac:dyDescent="0.3">
      <c r="A177" s="335" t="s">
        <v>91</v>
      </c>
      <c r="B177" s="335">
        <v>2017</v>
      </c>
      <c r="C177" s="335">
        <v>7</v>
      </c>
      <c r="D177" s="335" t="s">
        <v>137</v>
      </c>
      <c r="E177" s="335">
        <v>787</v>
      </c>
      <c r="F177" s="335">
        <v>902</v>
      </c>
      <c r="G177" s="335">
        <f t="shared" si="2"/>
        <v>1689</v>
      </c>
    </row>
    <row r="178" spans="1:7" x14ac:dyDescent="0.3">
      <c r="A178" s="335" t="s">
        <v>91</v>
      </c>
      <c r="B178" s="335">
        <v>2017</v>
      </c>
      <c r="C178" s="335">
        <v>7</v>
      </c>
      <c r="D178" s="335" t="s">
        <v>97</v>
      </c>
      <c r="E178" s="335">
        <v>1007</v>
      </c>
      <c r="F178" s="335">
        <v>855</v>
      </c>
      <c r="G178" s="335">
        <f t="shared" si="2"/>
        <v>1862</v>
      </c>
    </row>
    <row r="179" spans="1:7" x14ac:dyDescent="0.3">
      <c r="A179" s="335" t="s">
        <v>91</v>
      </c>
      <c r="B179" s="335">
        <v>2017</v>
      </c>
      <c r="C179" s="335">
        <v>7</v>
      </c>
      <c r="D179" s="335" t="s">
        <v>113</v>
      </c>
      <c r="E179" s="335">
        <f>11+522</f>
        <v>533</v>
      </c>
      <c r="F179" s="335">
        <f>6+501</f>
        <v>507</v>
      </c>
      <c r="G179" s="335">
        <f t="shared" si="2"/>
        <v>1040</v>
      </c>
    </row>
    <row r="180" spans="1:7" x14ac:dyDescent="0.3">
      <c r="A180" s="335" t="s">
        <v>91</v>
      </c>
      <c r="B180" s="335">
        <v>2017</v>
      </c>
      <c r="C180" s="335">
        <v>7</v>
      </c>
      <c r="D180" s="335" t="s">
        <v>817</v>
      </c>
      <c r="E180" s="335">
        <v>33</v>
      </c>
      <c r="F180" s="335">
        <v>1035</v>
      </c>
      <c r="G180" s="335">
        <f t="shared" si="2"/>
        <v>1068</v>
      </c>
    </row>
    <row r="181" spans="1:7" x14ac:dyDescent="0.3">
      <c r="A181" s="335" t="s">
        <v>91</v>
      </c>
      <c r="B181" s="335">
        <v>2017</v>
      </c>
      <c r="C181" s="335">
        <v>7</v>
      </c>
      <c r="D181" s="335" t="s">
        <v>1120</v>
      </c>
      <c r="E181" s="335">
        <v>110</v>
      </c>
      <c r="F181" s="335">
        <v>139</v>
      </c>
      <c r="G181" s="335">
        <f t="shared" si="2"/>
        <v>249</v>
      </c>
    </row>
    <row r="182" spans="1:7" x14ac:dyDescent="0.3">
      <c r="A182" s="335" t="s">
        <v>91</v>
      </c>
      <c r="B182" s="335">
        <v>2017</v>
      </c>
      <c r="C182" s="335">
        <v>7</v>
      </c>
      <c r="D182" s="335" t="s">
        <v>89</v>
      </c>
      <c r="E182" s="335">
        <v>1175</v>
      </c>
      <c r="F182" s="335">
        <v>1267</v>
      </c>
      <c r="G182" s="335">
        <f t="shared" si="2"/>
        <v>2442</v>
      </c>
    </row>
    <row r="183" spans="1:7" x14ac:dyDescent="0.3">
      <c r="A183" s="335" t="s">
        <v>91</v>
      </c>
      <c r="B183" s="335">
        <v>2017</v>
      </c>
      <c r="C183" s="335">
        <v>8</v>
      </c>
      <c r="D183" s="335" t="s">
        <v>403</v>
      </c>
      <c r="E183" s="335">
        <v>136</v>
      </c>
      <c r="F183" s="335">
        <v>151</v>
      </c>
      <c r="G183" s="335">
        <f t="shared" si="2"/>
        <v>287</v>
      </c>
    </row>
    <row r="184" spans="1:7" x14ac:dyDescent="0.3">
      <c r="A184" s="335" t="s">
        <v>91</v>
      </c>
      <c r="B184" s="335">
        <v>2017</v>
      </c>
      <c r="C184" s="335">
        <v>8</v>
      </c>
      <c r="D184" s="335" t="s">
        <v>137</v>
      </c>
      <c r="E184" s="335">
        <v>1235</v>
      </c>
      <c r="F184" s="335">
        <v>960</v>
      </c>
      <c r="G184" s="335">
        <f t="shared" si="2"/>
        <v>2195</v>
      </c>
    </row>
    <row r="185" spans="1:7" x14ac:dyDescent="0.3">
      <c r="A185" s="335" t="s">
        <v>91</v>
      </c>
      <c r="B185" s="335">
        <v>2017</v>
      </c>
      <c r="C185" s="335">
        <v>8</v>
      </c>
      <c r="D185" s="335" t="s">
        <v>97</v>
      </c>
      <c r="E185" s="335">
        <v>942</v>
      </c>
      <c r="F185" s="335">
        <v>881</v>
      </c>
      <c r="G185" s="335">
        <f t="shared" si="2"/>
        <v>1823</v>
      </c>
    </row>
    <row r="186" spans="1:7" x14ac:dyDescent="0.3">
      <c r="A186" s="335" t="s">
        <v>91</v>
      </c>
      <c r="B186" s="335">
        <v>2017</v>
      </c>
      <c r="C186" s="335">
        <v>8</v>
      </c>
      <c r="D186" s="335" t="s">
        <v>113</v>
      </c>
      <c r="E186" s="335">
        <v>496</v>
      </c>
      <c r="F186" s="335">
        <v>588</v>
      </c>
      <c r="G186" s="335">
        <f t="shared" si="2"/>
        <v>1084</v>
      </c>
    </row>
    <row r="187" spans="1:7" x14ac:dyDescent="0.3">
      <c r="A187" s="335" t="s">
        <v>91</v>
      </c>
      <c r="B187" s="335">
        <v>2017</v>
      </c>
      <c r="C187" s="335">
        <v>8</v>
      </c>
      <c r="D187" s="335" t="s">
        <v>817</v>
      </c>
      <c r="E187" s="335">
        <v>22</v>
      </c>
      <c r="F187" s="335">
        <v>749</v>
      </c>
      <c r="G187" s="335">
        <f t="shared" si="2"/>
        <v>771</v>
      </c>
    </row>
    <row r="188" spans="1:7" x14ac:dyDescent="0.3">
      <c r="A188" s="335" t="s">
        <v>91</v>
      </c>
      <c r="B188" s="335">
        <v>2017</v>
      </c>
      <c r="C188" s="335">
        <v>8</v>
      </c>
      <c r="D188" s="335" t="s">
        <v>89</v>
      </c>
      <c r="E188" s="335">
        <v>1121</v>
      </c>
      <c r="F188" s="335">
        <v>1103</v>
      </c>
      <c r="G188" s="335">
        <f t="shared" si="2"/>
        <v>2224</v>
      </c>
    </row>
    <row r="189" spans="1:7" x14ac:dyDescent="0.3">
      <c r="A189" s="335" t="s">
        <v>91</v>
      </c>
      <c r="B189" s="335">
        <v>2017</v>
      </c>
      <c r="C189" s="335">
        <v>8</v>
      </c>
      <c r="D189" s="335" t="s">
        <v>89</v>
      </c>
      <c r="E189" s="335">
        <v>150</v>
      </c>
      <c r="F189" s="335">
        <v>134</v>
      </c>
      <c r="G189" s="335">
        <f t="shared" si="2"/>
        <v>284</v>
      </c>
    </row>
    <row r="190" spans="1:7" x14ac:dyDescent="0.3">
      <c r="A190" s="335" t="s">
        <v>91</v>
      </c>
      <c r="B190" s="335">
        <v>2017</v>
      </c>
      <c r="C190" s="335">
        <v>9</v>
      </c>
      <c r="D190" s="335" t="s">
        <v>137</v>
      </c>
      <c r="E190" s="335">
        <v>559</v>
      </c>
      <c r="F190" s="335">
        <v>527</v>
      </c>
      <c r="G190" s="335">
        <f t="shared" si="2"/>
        <v>1086</v>
      </c>
    </row>
    <row r="191" spans="1:7" x14ac:dyDescent="0.3">
      <c r="A191" s="335" t="s">
        <v>91</v>
      </c>
      <c r="B191" s="335">
        <v>2017</v>
      </c>
      <c r="C191" s="335">
        <v>9</v>
      </c>
      <c r="D191" s="335" t="s">
        <v>88</v>
      </c>
      <c r="E191" s="335">
        <v>1</v>
      </c>
      <c r="F191" s="335">
        <v>423</v>
      </c>
      <c r="G191" s="335">
        <f t="shared" si="2"/>
        <v>424</v>
      </c>
    </row>
    <row r="192" spans="1:7" x14ac:dyDescent="0.3">
      <c r="A192" s="335" t="s">
        <v>91</v>
      </c>
      <c r="B192" s="335">
        <v>2017</v>
      </c>
      <c r="C192" s="335">
        <v>9</v>
      </c>
      <c r="D192" s="335" t="s">
        <v>97</v>
      </c>
      <c r="E192" s="335">
        <v>772</v>
      </c>
      <c r="F192" s="335">
        <v>627</v>
      </c>
      <c r="G192" s="335">
        <f t="shared" si="2"/>
        <v>1399</v>
      </c>
    </row>
    <row r="193" spans="1:7" x14ac:dyDescent="0.3">
      <c r="A193" s="335" t="s">
        <v>91</v>
      </c>
      <c r="B193" s="335">
        <v>2017</v>
      </c>
      <c r="C193" s="335">
        <v>9</v>
      </c>
      <c r="D193" s="335" t="s">
        <v>113</v>
      </c>
      <c r="E193" s="335">
        <v>15</v>
      </c>
      <c r="F193" s="335">
        <v>19</v>
      </c>
      <c r="G193" s="335">
        <f t="shared" si="2"/>
        <v>34</v>
      </c>
    </row>
    <row r="194" spans="1:7" x14ac:dyDescent="0.3">
      <c r="A194" s="335" t="s">
        <v>91</v>
      </c>
      <c r="B194" s="335">
        <v>2017</v>
      </c>
      <c r="C194" s="335">
        <v>9</v>
      </c>
      <c r="D194" s="335" t="s">
        <v>113</v>
      </c>
      <c r="E194" s="335">
        <v>471</v>
      </c>
      <c r="F194" s="335">
        <v>517</v>
      </c>
      <c r="G194" s="335">
        <f t="shared" ref="G194:G257" si="3">SUM(F194+E194)</f>
        <v>988</v>
      </c>
    </row>
    <row r="195" spans="1:7" x14ac:dyDescent="0.3">
      <c r="A195" s="335" t="s">
        <v>91</v>
      </c>
      <c r="B195" s="335">
        <v>2017</v>
      </c>
      <c r="C195" s="335">
        <v>9</v>
      </c>
      <c r="D195" s="335" t="s">
        <v>89</v>
      </c>
      <c r="E195" s="335">
        <v>738</v>
      </c>
      <c r="F195" s="335">
        <v>928</v>
      </c>
      <c r="G195" s="335">
        <f t="shared" si="3"/>
        <v>1666</v>
      </c>
    </row>
    <row r="196" spans="1:7" x14ac:dyDescent="0.3">
      <c r="A196" s="335" t="s">
        <v>91</v>
      </c>
      <c r="B196" s="335">
        <v>2017</v>
      </c>
      <c r="C196" s="335">
        <v>9</v>
      </c>
      <c r="D196" s="335" t="s">
        <v>108</v>
      </c>
      <c r="E196" s="335">
        <v>17</v>
      </c>
      <c r="F196" s="335">
        <v>0</v>
      </c>
      <c r="G196" s="335">
        <f t="shared" si="3"/>
        <v>17</v>
      </c>
    </row>
    <row r="197" spans="1:7" x14ac:dyDescent="0.3">
      <c r="A197" s="335" t="s">
        <v>91</v>
      </c>
      <c r="B197" s="335">
        <v>2017</v>
      </c>
      <c r="C197" s="335">
        <v>10</v>
      </c>
      <c r="D197" s="335" t="s">
        <v>137</v>
      </c>
      <c r="E197" s="335">
        <v>1039</v>
      </c>
      <c r="F197" s="335">
        <v>855</v>
      </c>
      <c r="G197" s="335">
        <f t="shared" si="3"/>
        <v>1894</v>
      </c>
    </row>
    <row r="198" spans="1:7" x14ac:dyDescent="0.3">
      <c r="A198" s="335" t="s">
        <v>91</v>
      </c>
      <c r="B198" s="335">
        <v>2017</v>
      </c>
      <c r="C198" s="335">
        <v>10</v>
      </c>
      <c r="D198" s="335" t="s">
        <v>88</v>
      </c>
      <c r="E198" s="335">
        <v>138</v>
      </c>
      <c r="F198" s="335">
        <v>1166</v>
      </c>
      <c r="G198" s="335">
        <f t="shared" si="3"/>
        <v>1304</v>
      </c>
    </row>
    <row r="199" spans="1:7" x14ac:dyDescent="0.3">
      <c r="A199" s="335" t="s">
        <v>91</v>
      </c>
      <c r="B199" s="335">
        <v>2017</v>
      </c>
      <c r="C199" s="335">
        <v>10</v>
      </c>
      <c r="D199" s="335" t="s">
        <v>97</v>
      </c>
      <c r="E199" s="335">
        <v>1430</v>
      </c>
      <c r="F199" s="335">
        <v>1395</v>
      </c>
      <c r="G199" s="335">
        <f t="shared" si="3"/>
        <v>2825</v>
      </c>
    </row>
    <row r="200" spans="1:7" x14ac:dyDescent="0.3">
      <c r="A200" s="335" t="s">
        <v>91</v>
      </c>
      <c r="B200" s="335">
        <v>2017</v>
      </c>
      <c r="C200" s="335">
        <v>10</v>
      </c>
      <c r="D200" s="335" t="s">
        <v>113</v>
      </c>
      <c r="E200" s="335">
        <v>577</v>
      </c>
      <c r="F200" s="335">
        <v>610</v>
      </c>
      <c r="G200" s="335">
        <f t="shared" si="3"/>
        <v>1187</v>
      </c>
    </row>
    <row r="201" spans="1:7" x14ac:dyDescent="0.3">
      <c r="A201" s="335" t="s">
        <v>91</v>
      </c>
      <c r="B201" s="335">
        <v>2017</v>
      </c>
      <c r="C201" s="335">
        <v>10</v>
      </c>
      <c r="D201" s="335" t="s">
        <v>429</v>
      </c>
      <c r="E201" s="335">
        <v>144</v>
      </c>
      <c r="F201" s="335">
        <v>233</v>
      </c>
      <c r="G201" s="335">
        <f t="shared" si="3"/>
        <v>377</v>
      </c>
    </row>
    <row r="202" spans="1:7" x14ac:dyDescent="0.3">
      <c r="A202" s="335" t="s">
        <v>91</v>
      </c>
      <c r="B202" s="335">
        <v>2017</v>
      </c>
      <c r="C202" s="335">
        <v>10</v>
      </c>
      <c r="D202" s="335" t="s">
        <v>1120</v>
      </c>
      <c r="E202" s="335">
        <v>14</v>
      </c>
      <c r="F202" s="335">
        <v>919</v>
      </c>
      <c r="G202" s="335">
        <f t="shared" si="3"/>
        <v>933</v>
      </c>
    </row>
    <row r="203" spans="1:7" x14ac:dyDescent="0.3">
      <c r="A203" s="335" t="s">
        <v>91</v>
      </c>
      <c r="B203" s="335">
        <v>2017</v>
      </c>
      <c r="C203" s="335">
        <v>10</v>
      </c>
      <c r="D203" s="335" t="s">
        <v>89</v>
      </c>
      <c r="E203" s="335">
        <v>1191</v>
      </c>
      <c r="F203" s="335">
        <v>1207</v>
      </c>
      <c r="G203" s="335">
        <f t="shared" si="3"/>
        <v>2398</v>
      </c>
    </row>
    <row r="204" spans="1:7" x14ac:dyDescent="0.3">
      <c r="A204" s="335" t="s">
        <v>91</v>
      </c>
      <c r="B204" s="335">
        <v>2017</v>
      </c>
      <c r="C204" s="335">
        <v>11</v>
      </c>
      <c r="D204" s="335" t="s">
        <v>137</v>
      </c>
      <c r="E204" s="335">
        <v>957</v>
      </c>
      <c r="F204" s="335">
        <v>971</v>
      </c>
      <c r="G204" s="335">
        <f t="shared" si="3"/>
        <v>1928</v>
      </c>
    </row>
    <row r="205" spans="1:7" x14ac:dyDescent="0.3">
      <c r="A205" s="335" t="s">
        <v>91</v>
      </c>
      <c r="B205" s="335">
        <v>2017</v>
      </c>
      <c r="C205" s="335">
        <v>11</v>
      </c>
      <c r="D205" s="335" t="s">
        <v>88</v>
      </c>
      <c r="E205" s="335">
        <v>249</v>
      </c>
      <c r="F205" s="335">
        <v>966</v>
      </c>
      <c r="G205" s="335">
        <f t="shared" si="3"/>
        <v>1215</v>
      </c>
    </row>
    <row r="206" spans="1:7" x14ac:dyDescent="0.3">
      <c r="A206" s="335" t="s">
        <v>91</v>
      </c>
      <c r="B206" s="335">
        <v>2017</v>
      </c>
      <c r="C206" s="335">
        <v>11</v>
      </c>
      <c r="D206" s="335" t="s">
        <v>97</v>
      </c>
      <c r="E206" s="335">
        <v>1788</v>
      </c>
      <c r="F206" s="335">
        <v>1563</v>
      </c>
      <c r="G206" s="335">
        <f t="shared" si="3"/>
        <v>3351</v>
      </c>
    </row>
    <row r="207" spans="1:7" x14ac:dyDescent="0.3">
      <c r="A207" s="335" t="s">
        <v>91</v>
      </c>
      <c r="B207" s="335">
        <v>2017</v>
      </c>
      <c r="C207" s="335">
        <v>11</v>
      </c>
      <c r="D207" s="335" t="s">
        <v>113</v>
      </c>
      <c r="E207" s="335">
        <v>549</v>
      </c>
      <c r="F207" s="335">
        <v>523</v>
      </c>
      <c r="G207" s="335">
        <f t="shared" si="3"/>
        <v>1072</v>
      </c>
    </row>
    <row r="208" spans="1:7" x14ac:dyDescent="0.3">
      <c r="A208" s="335" t="s">
        <v>91</v>
      </c>
      <c r="B208" s="335">
        <v>2017</v>
      </c>
      <c r="C208" s="335">
        <v>11</v>
      </c>
      <c r="D208" s="335" t="s">
        <v>429</v>
      </c>
      <c r="E208" s="335">
        <v>513</v>
      </c>
      <c r="F208" s="335">
        <v>465</v>
      </c>
      <c r="G208" s="335">
        <f t="shared" si="3"/>
        <v>978</v>
      </c>
    </row>
    <row r="209" spans="1:7" x14ac:dyDescent="0.3">
      <c r="A209" s="335" t="s">
        <v>91</v>
      </c>
      <c r="B209" s="335">
        <v>2017</v>
      </c>
      <c r="C209" s="335">
        <v>11</v>
      </c>
      <c r="D209" s="335" t="s">
        <v>1120</v>
      </c>
      <c r="E209" s="335">
        <v>13</v>
      </c>
      <c r="F209" s="335">
        <v>171</v>
      </c>
      <c r="G209" s="335">
        <f t="shared" si="3"/>
        <v>184</v>
      </c>
    </row>
    <row r="210" spans="1:7" x14ac:dyDescent="0.3">
      <c r="A210" s="335" t="s">
        <v>91</v>
      </c>
      <c r="B210" s="335">
        <v>2017</v>
      </c>
      <c r="C210" s="335">
        <v>11</v>
      </c>
      <c r="D210" s="335" t="s">
        <v>1120</v>
      </c>
      <c r="E210" s="335">
        <v>26</v>
      </c>
      <c r="F210" s="335">
        <v>1053</v>
      </c>
      <c r="G210" s="335">
        <f t="shared" si="3"/>
        <v>1079</v>
      </c>
    </row>
    <row r="211" spans="1:7" x14ac:dyDescent="0.3">
      <c r="A211" s="335" t="s">
        <v>91</v>
      </c>
      <c r="B211" s="335">
        <v>2017</v>
      </c>
      <c r="C211" s="335">
        <v>11</v>
      </c>
      <c r="D211" s="335" t="s">
        <v>1120</v>
      </c>
      <c r="E211" s="335">
        <v>19</v>
      </c>
      <c r="F211" s="335">
        <v>970</v>
      </c>
      <c r="G211" s="335">
        <f t="shared" si="3"/>
        <v>989</v>
      </c>
    </row>
    <row r="212" spans="1:7" x14ac:dyDescent="0.3">
      <c r="A212" s="335" t="s">
        <v>91</v>
      </c>
      <c r="B212" s="335">
        <v>2017</v>
      </c>
      <c r="C212" s="335">
        <v>11</v>
      </c>
      <c r="D212" s="335" t="s">
        <v>89</v>
      </c>
      <c r="E212" s="335">
        <v>1145</v>
      </c>
      <c r="F212" s="335">
        <v>1320</v>
      </c>
      <c r="G212" s="335">
        <f t="shared" si="3"/>
        <v>2465</v>
      </c>
    </row>
    <row r="213" spans="1:7" x14ac:dyDescent="0.3">
      <c r="A213" s="335" t="s">
        <v>91</v>
      </c>
      <c r="B213" s="335">
        <v>2017</v>
      </c>
      <c r="C213" s="335">
        <v>12</v>
      </c>
      <c r="D213" s="335" t="s">
        <v>137</v>
      </c>
      <c r="E213" s="335">
        <v>850</v>
      </c>
      <c r="F213" s="335">
        <v>1195</v>
      </c>
      <c r="G213" s="335">
        <f t="shared" si="3"/>
        <v>2045</v>
      </c>
    </row>
    <row r="214" spans="1:7" x14ac:dyDescent="0.3">
      <c r="A214" s="335" t="s">
        <v>91</v>
      </c>
      <c r="B214" s="335">
        <v>2017</v>
      </c>
      <c r="C214" s="335">
        <v>12</v>
      </c>
      <c r="D214" s="335" t="s">
        <v>88</v>
      </c>
      <c r="E214" s="335">
        <v>352</v>
      </c>
      <c r="F214" s="335">
        <v>141</v>
      </c>
      <c r="G214" s="335">
        <f t="shared" si="3"/>
        <v>493</v>
      </c>
    </row>
    <row r="215" spans="1:7" x14ac:dyDescent="0.3">
      <c r="A215" s="335" t="s">
        <v>91</v>
      </c>
      <c r="B215" s="335">
        <v>2017</v>
      </c>
      <c r="C215" s="335">
        <v>12</v>
      </c>
      <c r="D215" s="335" t="s">
        <v>97</v>
      </c>
      <c r="E215" s="335">
        <v>1912</v>
      </c>
      <c r="F215" s="335">
        <v>2290</v>
      </c>
      <c r="G215" s="335">
        <f t="shared" si="3"/>
        <v>4202</v>
      </c>
    </row>
    <row r="216" spans="1:7" x14ac:dyDescent="0.3">
      <c r="A216" s="335" t="s">
        <v>91</v>
      </c>
      <c r="B216" s="335">
        <v>2017</v>
      </c>
      <c r="C216" s="335">
        <v>12</v>
      </c>
      <c r="D216" s="335" t="s">
        <v>113</v>
      </c>
      <c r="E216" s="335">
        <v>496</v>
      </c>
      <c r="F216" s="335">
        <v>580</v>
      </c>
      <c r="G216" s="335">
        <f t="shared" si="3"/>
        <v>1076</v>
      </c>
    </row>
    <row r="217" spans="1:7" x14ac:dyDescent="0.3">
      <c r="A217" s="335" t="s">
        <v>91</v>
      </c>
      <c r="B217" s="335">
        <v>2017</v>
      </c>
      <c r="C217" s="335">
        <v>12</v>
      </c>
      <c r="D217" s="335" t="s">
        <v>817</v>
      </c>
      <c r="E217" s="335">
        <v>20</v>
      </c>
      <c r="F217" s="335">
        <v>2062</v>
      </c>
      <c r="G217" s="335">
        <f t="shared" si="3"/>
        <v>2082</v>
      </c>
    </row>
    <row r="218" spans="1:7" x14ac:dyDescent="0.3">
      <c r="A218" s="335" t="s">
        <v>91</v>
      </c>
      <c r="B218" s="335">
        <v>2017</v>
      </c>
      <c r="C218" s="335">
        <v>12</v>
      </c>
      <c r="D218" s="335" t="s">
        <v>429</v>
      </c>
      <c r="E218" s="335">
        <v>1065</v>
      </c>
      <c r="F218" s="335">
        <v>553</v>
      </c>
      <c r="G218" s="335">
        <f t="shared" si="3"/>
        <v>1618</v>
      </c>
    </row>
    <row r="219" spans="1:7" x14ac:dyDescent="0.3">
      <c r="A219" s="335" t="s">
        <v>91</v>
      </c>
      <c r="B219" s="335">
        <v>2017</v>
      </c>
      <c r="C219" s="335">
        <v>12</v>
      </c>
      <c r="D219" s="335" t="s">
        <v>1120</v>
      </c>
      <c r="E219" s="335">
        <v>165</v>
      </c>
      <c r="F219" s="335">
        <v>3399</v>
      </c>
      <c r="G219" s="335">
        <f t="shared" si="3"/>
        <v>3564</v>
      </c>
    </row>
    <row r="220" spans="1:7" x14ac:dyDescent="0.3">
      <c r="A220" s="335" t="s">
        <v>91</v>
      </c>
      <c r="B220" s="335">
        <v>2017</v>
      </c>
      <c r="C220" s="335">
        <v>12</v>
      </c>
      <c r="D220" s="335" t="s">
        <v>89</v>
      </c>
      <c r="E220" s="335">
        <v>1246</v>
      </c>
      <c r="F220" s="335">
        <v>1365</v>
      </c>
      <c r="G220" s="335">
        <f t="shared" si="3"/>
        <v>2611</v>
      </c>
    </row>
    <row r="221" spans="1:7" x14ac:dyDescent="0.3">
      <c r="A221" s="335" t="s">
        <v>91</v>
      </c>
      <c r="B221" s="335">
        <v>2018</v>
      </c>
      <c r="C221" s="335">
        <v>1</v>
      </c>
      <c r="D221" s="335" t="s">
        <v>137</v>
      </c>
      <c r="E221" s="335">
        <v>867</v>
      </c>
      <c r="F221" s="335">
        <v>649</v>
      </c>
      <c r="G221" s="335">
        <f t="shared" si="3"/>
        <v>1516</v>
      </c>
    </row>
    <row r="222" spans="1:7" x14ac:dyDescent="0.3">
      <c r="A222" s="335" t="s">
        <v>91</v>
      </c>
      <c r="B222" s="335">
        <v>2018</v>
      </c>
      <c r="C222" s="335">
        <v>1</v>
      </c>
      <c r="D222" s="336" t="s">
        <v>88</v>
      </c>
      <c r="E222" s="336">
        <v>126</v>
      </c>
      <c r="F222" s="336">
        <v>332</v>
      </c>
      <c r="G222" s="335">
        <f t="shared" si="3"/>
        <v>458</v>
      </c>
    </row>
    <row r="223" spans="1:7" x14ac:dyDescent="0.3">
      <c r="A223" s="335" t="s">
        <v>91</v>
      </c>
      <c r="B223" s="335">
        <v>2018</v>
      </c>
      <c r="C223" s="335">
        <v>1</v>
      </c>
      <c r="D223" s="336" t="s">
        <v>97</v>
      </c>
      <c r="E223" s="336">
        <v>1692</v>
      </c>
      <c r="F223" s="336">
        <v>1329</v>
      </c>
      <c r="G223" s="335">
        <f t="shared" si="3"/>
        <v>3021</v>
      </c>
    </row>
    <row r="224" spans="1:7" x14ac:dyDescent="0.3">
      <c r="A224" s="335" t="s">
        <v>91</v>
      </c>
      <c r="B224" s="335">
        <v>2018</v>
      </c>
      <c r="C224" s="335">
        <v>1</v>
      </c>
      <c r="D224" s="335" t="s">
        <v>113</v>
      </c>
      <c r="E224" s="335">
        <v>582</v>
      </c>
      <c r="F224" s="335">
        <v>564</v>
      </c>
      <c r="G224" s="335">
        <f t="shared" si="3"/>
        <v>1146</v>
      </c>
    </row>
    <row r="225" spans="1:7" x14ac:dyDescent="0.3">
      <c r="A225" s="335" t="s">
        <v>91</v>
      </c>
      <c r="B225" s="335">
        <v>2018</v>
      </c>
      <c r="C225" s="336">
        <v>1</v>
      </c>
      <c r="D225" s="336" t="s">
        <v>429</v>
      </c>
      <c r="E225" s="336">
        <v>288</v>
      </c>
      <c r="F225" s="336">
        <v>939</v>
      </c>
      <c r="G225" s="335">
        <f t="shared" si="3"/>
        <v>1227</v>
      </c>
    </row>
    <row r="226" spans="1:7" x14ac:dyDescent="0.3">
      <c r="A226" s="335" t="s">
        <v>91</v>
      </c>
      <c r="B226" s="335">
        <v>2018</v>
      </c>
      <c r="C226" s="335">
        <v>1</v>
      </c>
      <c r="D226" s="336" t="s">
        <v>1120</v>
      </c>
      <c r="E226" s="336">
        <v>0</v>
      </c>
      <c r="F226" s="336">
        <v>2088</v>
      </c>
      <c r="G226" s="335">
        <f t="shared" si="3"/>
        <v>2088</v>
      </c>
    </row>
    <row r="227" spans="1:7" x14ac:dyDescent="0.3">
      <c r="A227" s="335" t="s">
        <v>91</v>
      </c>
      <c r="B227" s="335">
        <v>2018</v>
      </c>
      <c r="C227" s="336">
        <v>1</v>
      </c>
      <c r="D227" s="336" t="s">
        <v>1120</v>
      </c>
      <c r="E227" s="336">
        <v>176</v>
      </c>
      <c r="F227" s="336">
        <v>3887</v>
      </c>
      <c r="G227" s="335">
        <f t="shared" si="3"/>
        <v>4063</v>
      </c>
    </row>
    <row r="228" spans="1:7" x14ac:dyDescent="0.3">
      <c r="A228" s="335" t="s">
        <v>91</v>
      </c>
      <c r="B228" s="335">
        <v>2018</v>
      </c>
      <c r="C228" s="336">
        <v>1</v>
      </c>
      <c r="D228" s="336" t="s">
        <v>89</v>
      </c>
      <c r="E228" s="335">
        <v>1280</v>
      </c>
      <c r="F228" s="335">
        <v>975</v>
      </c>
      <c r="G228" s="335">
        <f t="shared" si="3"/>
        <v>2255</v>
      </c>
    </row>
    <row r="229" spans="1:7" x14ac:dyDescent="0.3">
      <c r="A229" s="335" t="s">
        <v>91</v>
      </c>
      <c r="B229" s="335">
        <v>2018</v>
      </c>
      <c r="C229" s="335">
        <v>1</v>
      </c>
      <c r="D229" s="336" t="s">
        <v>102</v>
      </c>
      <c r="E229" s="336">
        <v>122</v>
      </c>
      <c r="F229" s="336">
        <v>281</v>
      </c>
      <c r="G229" s="335">
        <f t="shared" si="3"/>
        <v>403</v>
      </c>
    </row>
    <row r="230" spans="1:7" x14ac:dyDescent="0.3">
      <c r="A230" s="335" t="s">
        <v>91</v>
      </c>
      <c r="B230" s="335">
        <v>2018</v>
      </c>
      <c r="C230" s="335">
        <v>2</v>
      </c>
      <c r="D230" s="335" t="s">
        <v>137</v>
      </c>
      <c r="E230" s="335">
        <v>930</v>
      </c>
      <c r="F230" s="335">
        <v>909</v>
      </c>
      <c r="G230" s="335">
        <f t="shared" si="3"/>
        <v>1839</v>
      </c>
    </row>
    <row r="231" spans="1:7" x14ac:dyDescent="0.3">
      <c r="A231" s="335" t="s">
        <v>91</v>
      </c>
      <c r="B231" s="335">
        <v>2018</v>
      </c>
      <c r="C231" s="335">
        <v>2</v>
      </c>
      <c r="D231" s="335" t="s">
        <v>88</v>
      </c>
      <c r="E231" s="335">
        <v>202</v>
      </c>
      <c r="F231" s="335">
        <v>400</v>
      </c>
      <c r="G231" s="335">
        <f t="shared" si="3"/>
        <v>602</v>
      </c>
    </row>
    <row r="232" spans="1:7" x14ac:dyDescent="0.3">
      <c r="A232" s="335" t="s">
        <v>91</v>
      </c>
      <c r="B232" s="335">
        <v>2018</v>
      </c>
      <c r="C232" s="335">
        <v>2</v>
      </c>
      <c r="D232" s="336" t="s">
        <v>636</v>
      </c>
      <c r="E232" s="336">
        <v>0</v>
      </c>
      <c r="F232" s="336">
        <v>188</v>
      </c>
      <c r="G232" s="335">
        <f t="shared" si="3"/>
        <v>188</v>
      </c>
    </row>
    <row r="233" spans="1:7" x14ac:dyDescent="0.3">
      <c r="A233" s="335" t="s">
        <v>91</v>
      </c>
      <c r="B233" s="335">
        <v>2018</v>
      </c>
      <c r="C233" s="335">
        <v>2</v>
      </c>
      <c r="D233" s="335" t="s">
        <v>97</v>
      </c>
      <c r="E233" s="335">
        <v>1973</v>
      </c>
      <c r="F233" s="335">
        <v>2081</v>
      </c>
      <c r="G233" s="335">
        <f t="shared" si="3"/>
        <v>4054</v>
      </c>
    </row>
    <row r="234" spans="1:7" x14ac:dyDescent="0.3">
      <c r="A234" s="335" t="s">
        <v>91</v>
      </c>
      <c r="B234" s="335">
        <v>2018</v>
      </c>
      <c r="C234" s="335">
        <v>2</v>
      </c>
      <c r="D234" s="336" t="s">
        <v>113</v>
      </c>
      <c r="E234" s="336">
        <v>538</v>
      </c>
      <c r="F234" s="336">
        <v>540</v>
      </c>
      <c r="G234" s="335">
        <f t="shared" si="3"/>
        <v>1078</v>
      </c>
    </row>
    <row r="235" spans="1:7" x14ac:dyDescent="0.3">
      <c r="A235" s="335" t="s">
        <v>91</v>
      </c>
      <c r="B235" s="335">
        <v>2018</v>
      </c>
      <c r="C235" s="335">
        <v>2</v>
      </c>
      <c r="D235" s="336" t="s">
        <v>817</v>
      </c>
      <c r="E235" s="336">
        <v>100</v>
      </c>
      <c r="F235" s="336">
        <v>718</v>
      </c>
      <c r="G235" s="335">
        <f t="shared" si="3"/>
        <v>818</v>
      </c>
    </row>
    <row r="236" spans="1:7" x14ac:dyDescent="0.3">
      <c r="A236" s="335" t="s">
        <v>91</v>
      </c>
      <c r="B236" s="335">
        <v>2018</v>
      </c>
      <c r="C236" s="335">
        <v>2</v>
      </c>
      <c r="D236" s="336" t="s">
        <v>429</v>
      </c>
      <c r="E236" s="336">
        <v>154</v>
      </c>
      <c r="F236" s="336">
        <v>149</v>
      </c>
      <c r="G236" s="335">
        <f t="shared" si="3"/>
        <v>303</v>
      </c>
    </row>
    <row r="237" spans="1:7" x14ac:dyDescent="0.3">
      <c r="A237" s="335" t="s">
        <v>91</v>
      </c>
      <c r="B237" s="335">
        <v>2018</v>
      </c>
      <c r="C237" s="335">
        <v>2</v>
      </c>
      <c r="D237" s="336" t="s">
        <v>1120</v>
      </c>
      <c r="E237" s="335">
        <v>3</v>
      </c>
      <c r="F237" s="335">
        <v>424</v>
      </c>
      <c r="G237" s="335">
        <f t="shared" si="3"/>
        <v>427</v>
      </c>
    </row>
    <row r="238" spans="1:7" x14ac:dyDescent="0.3">
      <c r="A238" s="335" t="s">
        <v>91</v>
      </c>
      <c r="B238" s="335">
        <v>2018</v>
      </c>
      <c r="C238" s="335">
        <v>2</v>
      </c>
      <c r="D238" s="336" t="s">
        <v>89</v>
      </c>
      <c r="E238" s="335">
        <v>1360</v>
      </c>
      <c r="F238" s="335">
        <v>1270</v>
      </c>
      <c r="G238" s="335">
        <f t="shared" si="3"/>
        <v>2630</v>
      </c>
    </row>
    <row r="239" spans="1:7" x14ac:dyDescent="0.3">
      <c r="A239" s="335" t="s">
        <v>91</v>
      </c>
      <c r="B239" s="335">
        <v>2018</v>
      </c>
      <c r="C239" s="335">
        <v>2</v>
      </c>
      <c r="D239" s="336" t="s">
        <v>1348</v>
      </c>
      <c r="E239" s="335">
        <v>77</v>
      </c>
      <c r="F239" s="335">
        <v>1051</v>
      </c>
      <c r="G239" s="335">
        <f t="shared" si="3"/>
        <v>1128</v>
      </c>
    </row>
    <row r="240" spans="1:7" x14ac:dyDescent="0.3">
      <c r="A240" s="335" t="s">
        <v>91</v>
      </c>
      <c r="B240" s="335">
        <v>2018</v>
      </c>
      <c r="C240" s="335">
        <v>3</v>
      </c>
      <c r="D240" s="336" t="s">
        <v>137</v>
      </c>
      <c r="E240" s="336">
        <v>929</v>
      </c>
      <c r="F240" s="336">
        <v>989</v>
      </c>
      <c r="G240" s="335">
        <f t="shared" si="3"/>
        <v>1918</v>
      </c>
    </row>
    <row r="241" spans="1:7" x14ac:dyDescent="0.3">
      <c r="A241" s="335" t="s">
        <v>91</v>
      </c>
      <c r="B241" s="335">
        <v>2018</v>
      </c>
      <c r="C241" s="335">
        <v>3</v>
      </c>
      <c r="D241" s="335" t="s">
        <v>88</v>
      </c>
      <c r="E241" s="335">
        <v>329</v>
      </c>
      <c r="F241" s="335">
        <v>371</v>
      </c>
      <c r="G241" s="335">
        <f t="shared" si="3"/>
        <v>700</v>
      </c>
    </row>
    <row r="242" spans="1:7" x14ac:dyDescent="0.3">
      <c r="A242" s="335" t="s">
        <v>91</v>
      </c>
      <c r="B242" s="335">
        <v>2018</v>
      </c>
      <c r="C242" s="335">
        <v>3</v>
      </c>
      <c r="D242" s="336" t="s">
        <v>97</v>
      </c>
      <c r="E242" s="336">
        <v>2582</v>
      </c>
      <c r="F242" s="336">
        <v>2302</v>
      </c>
      <c r="G242" s="335">
        <f t="shared" si="3"/>
        <v>4884</v>
      </c>
    </row>
    <row r="243" spans="1:7" x14ac:dyDescent="0.3">
      <c r="A243" s="335" t="s">
        <v>91</v>
      </c>
      <c r="B243" s="335">
        <v>2018</v>
      </c>
      <c r="C243" s="335">
        <v>3</v>
      </c>
      <c r="D243" s="336" t="s">
        <v>113</v>
      </c>
      <c r="E243" s="336">
        <v>613</v>
      </c>
      <c r="F243" s="336">
        <v>719</v>
      </c>
      <c r="G243" s="335">
        <f t="shared" si="3"/>
        <v>1332</v>
      </c>
    </row>
    <row r="244" spans="1:7" x14ac:dyDescent="0.3">
      <c r="A244" s="335" t="s">
        <v>91</v>
      </c>
      <c r="B244" s="335">
        <v>2018</v>
      </c>
      <c r="C244" s="335">
        <v>3</v>
      </c>
      <c r="D244" s="336" t="s">
        <v>1120</v>
      </c>
      <c r="E244" s="336">
        <v>737</v>
      </c>
      <c r="F244" s="336">
        <v>3233</v>
      </c>
      <c r="G244" s="335">
        <f t="shared" si="3"/>
        <v>3970</v>
      </c>
    </row>
    <row r="245" spans="1:7" x14ac:dyDescent="0.3">
      <c r="A245" s="335" t="s">
        <v>91</v>
      </c>
      <c r="B245" s="335">
        <v>2018</v>
      </c>
      <c r="C245" s="335">
        <v>3</v>
      </c>
      <c r="D245" s="336" t="s">
        <v>89</v>
      </c>
      <c r="E245" s="335">
        <v>1407</v>
      </c>
      <c r="F245" s="335">
        <v>1418</v>
      </c>
      <c r="G245" s="335">
        <f t="shared" si="3"/>
        <v>2825</v>
      </c>
    </row>
    <row r="246" spans="1:7" x14ac:dyDescent="0.3">
      <c r="A246" s="335" t="s">
        <v>91</v>
      </c>
      <c r="B246" s="335">
        <v>2018</v>
      </c>
      <c r="C246" s="335">
        <v>3</v>
      </c>
      <c r="D246" s="336" t="s">
        <v>445</v>
      </c>
      <c r="E246" s="335">
        <v>0</v>
      </c>
      <c r="F246" s="335">
        <v>19</v>
      </c>
      <c r="G246" s="335">
        <f t="shared" si="3"/>
        <v>19</v>
      </c>
    </row>
    <row r="247" spans="1:7" x14ac:dyDescent="0.3">
      <c r="A247" s="335" t="s">
        <v>91</v>
      </c>
      <c r="B247" s="335">
        <v>2018</v>
      </c>
      <c r="C247" s="335">
        <v>3</v>
      </c>
      <c r="D247" s="336" t="s">
        <v>1398</v>
      </c>
      <c r="E247" s="335">
        <v>0</v>
      </c>
      <c r="F247" s="335">
        <v>141</v>
      </c>
      <c r="G247" s="335">
        <f t="shared" si="3"/>
        <v>141</v>
      </c>
    </row>
    <row r="248" spans="1:7" x14ac:dyDescent="0.3">
      <c r="A248" s="335" t="s">
        <v>91</v>
      </c>
      <c r="B248" s="335">
        <v>2018</v>
      </c>
      <c r="C248" s="335">
        <v>4</v>
      </c>
      <c r="D248" s="336" t="s">
        <v>137</v>
      </c>
      <c r="E248" s="335">
        <v>957</v>
      </c>
      <c r="F248" s="335">
        <v>1149</v>
      </c>
      <c r="G248" s="335">
        <f t="shared" si="3"/>
        <v>2106</v>
      </c>
    </row>
    <row r="249" spans="1:7" x14ac:dyDescent="0.3">
      <c r="A249" s="335" t="s">
        <v>91</v>
      </c>
      <c r="B249" s="335">
        <v>2018</v>
      </c>
      <c r="C249" s="335">
        <v>4</v>
      </c>
      <c r="D249" s="335" t="s">
        <v>88</v>
      </c>
      <c r="E249" s="336">
        <v>229</v>
      </c>
      <c r="F249" s="335">
        <v>289</v>
      </c>
      <c r="G249" s="335">
        <f t="shared" si="3"/>
        <v>518</v>
      </c>
    </row>
    <row r="250" spans="1:7" x14ac:dyDescent="0.3">
      <c r="A250" s="335" t="s">
        <v>91</v>
      </c>
      <c r="B250" s="335">
        <v>2018</v>
      </c>
      <c r="C250" s="335">
        <v>4</v>
      </c>
      <c r="D250" s="336" t="s">
        <v>97</v>
      </c>
      <c r="E250" s="336">
        <v>2998</v>
      </c>
      <c r="F250" s="336">
        <v>2855</v>
      </c>
      <c r="G250" s="335">
        <f t="shared" si="3"/>
        <v>5853</v>
      </c>
    </row>
    <row r="251" spans="1:7" x14ac:dyDescent="0.3">
      <c r="A251" s="335" t="s">
        <v>91</v>
      </c>
      <c r="B251" s="335">
        <v>2018</v>
      </c>
      <c r="C251" s="335">
        <v>4</v>
      </c>
      <c r="D251" s="336" t="s">
        <v>113</v>
      </c>
      <c r="E251" s="336">
        <v>668</v>
      </c>
      <c r="F251" s="335">
        <v>645</v>
      </c>
      <c r="G251" s="335">
        <f t="shared" si="3"/>
        <v>1313</v>
      </c>
    </row>
    <row r="252" spans="1:7" x14ac:dyDescent="0.3">
      <c r="A252" s="335" t="s">
        <v>91</v>
      </c>
      <c r="B252" s="335">
        <v>2018</v>
      </c>
      <c r="C252" s="335">
        <v>4</v>
      </c>
      <c r="D252" s="336" t="s">
        <v>1120</v>
      </c>
      <c r="E252" s="336">
        <v>18</v>
      </c>
      <c r="F252" s="336">
        <v>278</v>
      </c>
      <c r="G252" s="335">
        <f t="shared" si="3"/>
        <v>296</v>
      </c>
    </row>
    <row r="253" spans="1:7" x14ac:dyDescent="0.3">
      <c r="A253" s="335" t="s">
        <v>91</v>
      </c>
      <c r="B253" s="335">
        <v>2018</v>
      </c>
      <c r="C253" s="335">
        <v>4</v>
      </c>
      <c r="D253" s="336" t="s">
        <v>89</v>
      </c>
      <c r="E253" s="336">
        <v>2010</v>
      </c>
      <c r="F253" s="336">
        <v>1427</v>
      </c>
      <c r="G253" s="335">
        <f t="shared" si="3"/>
        <v>3437</v>
      </c>
    </row>
    <row r="254" spans="1:7" x14ac:dyDescent="0.3">
      <c r="A254" s="335" t="s">
        <v>91</v>
      </c>
      <c r="B254" s="335">
        <v>2018</v>
      </c>
      <c r="C254" s="335">
        <v>4</v>
      </c>
      <c r="D254" s="336" t="s">
        <v>108</v>
      </c>
      <c r="E254" s="336">
        <v>0</v>
      </c>
      <c r="F254" s="336">
        <v>2</v>
      </c>
      <c r="G254" s="335">
        <f t="shared" si="3"/>
        <v>2</v>
      </c>
    </row>
    <row r="255" spans="1:7" x14ac:dyDescent="0.3">
      <c r="A255" s="335" t="s">
        <v>91</v>
      </c>
      <c r="B255" s="335">
        <v>2018</v>
      </c>
      <c r="C255" s="335">
        <v>5</v>
      </c>
      <c r="D255" s="336" t="s">
        <v>137</v>
      </c>
      <c r="E255" s="335">
        <v>965</v>
      </c>
      <c r="F255" s="335">
        <v>990</v>
      </c>
      <c r="G255" s="335">
        <f t="shared" si="3"/>
        <v>1955</v>
      </c>
    </row>
    <row r="256" spans="1:7" x14ac:dyDescent="0.3">
      <c r="A256" s="335" t="s">
        <v>91</v>
      </c>
      <c r="B256" s="335">
        <v>2018</v>
      </c>
      <c r="C256" s="335">
        <v>5</v>
      </c>
      <c r="D256" s="335" t="s">
        <v>88</v>
      </c>
      <c r="E256" s="336">
        <v>253</v>
      </c>
      <c r="F256" s="335">
        <v>245</v>
      </c>
      <c r="G256" s="335">
        <f t="shared" si="3"/>
        <v>498</v>
      </c>
    </row>
    <row r="257" spans="1:12" x14ac:dyDescent="0.3">
      <c r="A257" s="335" t="s">
        <v>91</v>
      </c>
      <c r="B257" s="335">
        <v>2018</v>
      </c>
      <c r="C257" s="335">
        <v>5</v>
      </c>
      <c r="D257" s="336" t="s">
        <v>97</v>
      </c>
      <c r="E257" s="336">
        <v>2862</v>
      </c>
      <c r="F257" s="336">
        <v>2903</v>
      </c>
      <c r="G257" s="335">
        <f t="shared" si="3"/>
        <v>5765</v>
      </c>
    </row>
    <row r="258" spans="1:12" x14ac:dyDescent="0.3">
      <c r="A258" s="335" t="s">
        <v>91</v>
      </c>
      <c r="B258" s="335">
        <v>2018</v>
      </c>
      <c r="C258" s="335">
        <v>5</v>
      </c>
      <c r="D258" s="336" t="s">
        <v>113</v>
      </c>
      <c r="E258" s="336">
        <v>593</v>
      </c>
      <c r="F258" s="335">
        <v>619</v>
      </c>
      <c r="G258" s="335">
        <f t="shared" ref="G258:G272" si="4">SUM(F258+E258)</f>
        <v>1212</v>
      </c>
      <c r="L258" s="342"/>
    </row>
    <row r="259" spans="1:12" x14ac:dyDescent="0.3">
      <c r="A259" s="335" t="s">
        <v>91</v>
      </c>
      <c r="B259" s="335">
        <v>2018</v>
      </c>
      <c r="C259" s="335">
        <v>5</v>
      </c>
      <c r="D259" s="336" t="s">
        <v>89</v>
      </c>
      <c r="E259" s="336">
        <v>2133</v>
      </c>
      <c r="F259" s="336">
        <v>2057</v>
      </c>
      <c r="G259" s="335">
        <f t="shared" si="4"/>
        <v>4190</v>
      </c>
    </row>
    <row r="260" spans="1:12" x14ac:dyDescent="0.3">
      <c r="A260" s="340" t="s">
        <v>57</v>
      </c>
      <c r="B260" s="335">
        <v>2014</v>
      </c>
      <c r="C260" s="335">
        <v>1</v>
      </c>
      <c r="D260" s="335" t="s">
        <v>113</v>
      </c>
      <c r="E260" s="341">
        <v>611</v>
      </c>
      <c r="F260" s="341">
        <v>584</v>
      </c>
      <c r="G260" s="335">
        <f t="shared" si="4"/>
        <v>1195</v>
      </c>
    </row>
    <row r="261" spans="1:12" x14ac:dyDescent="0.3">
      <c r="A261" s="340" t="s">
        <v>57</v>
      </c>
      <c r="B261" s="335">
        <v>2014</v>
      </c>
      <c r="C261" s="335">
        <v>1</v>
      </c>
      <c r="D261" s="336" t="s">
        <v>107</v>
      </c>
      <c r="E261" s="335">
        <v>24</v>
      </c>
      <c r="F261" s="335">
        <v>54</v>
      </c>
      <c r="G261" s="335">
        <f t="shared" si="4"/>
        <v>78</v>
      </c>
    </row>
    <row r="262" spans="1:12" x14ac:dyDescent="0.3">
      <c r="A262" s="340" t="s">
        <v>57</v>
      </c>
      <c r="B262" s="335">
        <v>2014</v>
      </c>
      <c r="C262" s="335">
        <v>2</v>
      </c>
      <c r="D262" s="335" t="s">
        <v>113</v>
      </c>
      <c r="E262" s="341">
        <v>560</v>
      </c>
      <c r="F262" s="341">
        <v>587</v>
      </c>
      <c r="G262" s="335">
        <f t="shared" si="4"/>
        <v>1147</v>
      </c>
    </row>
    <row r="263" spans="1:12" x14ac:dyDescent="0.3">
      <c r="A263" s="340" t="s">
        <v>57</v>
      </c>
      <c r="B263" s="335">
        <v>2014</v>
      </c>
      <c r="C263" s="335">
        <v>2</v>
      </c>
      <c r="D263" s="336" t="s">
        <v>107</v>
      </c>
      <c r="E263" s="335">
        <v>5</v>
      </c>
      <c r="F263" s="335">
        <v>48</v>
      </c>
      <c r="G263" s="335">
        <f t="shared" si="4"/>
        <v>53</v>
      </c>
    </row>
    <row r="264" spans="1:12" x14ac:dyDescent="0.3">
      <c r="A264" s="340" t="s">
        <v>57</v>
      </c>
      <c r="B264" s="335">
        <v>2014</v>
      </c>
      <c r="C264" s="335">
        <v>3</v>
      </c>
      <c r="D264" s="336" t="s">
        <v>301</v>
      </c>
      <c r="E264" s="335">
        <v>2</v>
      </c>
      <c r="F264" s="335">
        <v>0</v>
      </c>
      <c r="G264" s="335">
        <f t="shared" si="4"/>
        <v>2</v>
      </c>
    </row>
    <row r="265" spans="1:12" x14ac:dyDescent="0.3">
      <c r="A265" s="340" t="s">
        <v>57</v>
      </c>
      <c r="B265" s="335">
        <v>2014</v>
      </c>
      <c r="C265" s="335">
        <v>3</v>
      </c>
      <c r="D265" s="335" t="s">
        <v>113</v>
      </c>
      <c r="E265" s="341">
        <v>520</v>
      </c>
      <c r="F265" s="341">
        <v>559</v>
      </c>
      <c r="G265" s="335">
        <f t="shared" si="4"/>
        <v>1079</v>
      </c>
    </row>
    <row r="266" spans="1:12" x14ac:dyDescent="0.3">
      <c r="A266" s="340" t="s">
        <v>57</v>
      </c>
      <c r="B266" s="335">
        <v>2014</v>
      </c>
      <c r="C266" s="335">
        <v>4</v>
      </c>
      <c r="D266" s="335" t="s">
        <v>113</v>
      </c>
      <c r="E266" s="341">
        <v>507</v>
      </c>
      <c r="F266" s="341">
        <v>541</v>
      </c>
      <c r="G266" s="335">
        <f t="shared" si="4"/>
        <v>1048</v>
      </c>
    </row>
    <row r="267" spans="1:12" x14ac:dyDescent="0.3">
      <c r="A267" s="340" t="s">
        <v>57</v>
      </c>
      <c r="B267" s="335">
        <v>2014</v>
      </c>
      <c r="C267" s="335">
        <v>5</v>
      </c>
      <c r="D267" s="335" t="s">
        <v>113</v>
      </c>
      <c r="E267" s="341">
        <v>485</v>
      </c>
      <c r="F267" s="341">
        <v>520</v>
      </c>
      <c r="G267" s="335">
        <f t="shared" si="4"/>
        <v>1005</v>
      </c>
    </row>
    <row r="268" spans="1:12" x14ac:dyDescent="0.3">
      <c r="A268" s="340" t="s">
        <v>57</v>
      </c>
      <c r="B268" s="335">
        <v>2014</v>
      </c>
      <c r="C268" s="335">
        <v>6</v>
      </c>
      <c r="D268" s="335" t="s">
        <v>113</v>
      </c>
      <c r="E268" s="341">
        <v>390</v>
      </c>
      <c r="F268" s="341">
        <v>450</v>
      </c>
      <c r="G268" s="335">
        <f t="shared" si="4"/>
        <v>840</v>
      </c>
    </row>
    <row r="269" spans="1:12" x14ac:dyDescent="0.3">
      <c r="A269" s="340" t="s">
        <v>57</v>
      </c>
      <c r="B269" s="335">
        <v>2014</v>
      </c>
      <c r="C269" s="335">
        <v>7</v>
      </c>
      <c r="D269" s="335" t="s">
        <v>113</v>
      </c>
      <c r="E269" s="341">
        <v>405</v>
      </c>
      <c r="F269" s="341">
        <v>478</v>
      </c>
      <c r="G269" s="335">
        <f t="shared" si="4"/>
        <v>883</v>
      </c>
    </row>
    <row r="270" spans="1:12" x14ac:dyDescent="0.3">
      <c r="A270" s="340" t="s">
        <v>57</v>
      </c>
      <c r="B270" s="335">
        <v>2014</v>
      </c>
      <c r="C270" s="335">
        <v>7</v>
      </c>
      <c r="D270" s="335" t="s">
        <v>107</v>
      </c>
      <c r="E270" s="341">
        <v>0</v>
      </c>
      <c r="F270" s="341">
        <v>19</v>
      </c>
      <c r="G270" s="335">
        <f t="shared" si="4"/>
        <v>19</v>
      </c>
    </row>
    <row r="271" spans="1:12" x14ac:dyDescent="0.3">
      <c r="A271" s="340" t="s">
        <v>57</v>
      </c>
      <c r="B271" s="335">
        <v>2014</v>
      </c>
      <c r="C271" s="335">
        <v>8</v>
      </c>
      <c r="D271" s="335" t="s">
        <v>113</v>
      </c>
      <c r="E271" s="341">
        <v>368</v>
      </c>
      <c r="F271" s="341">
        <v>459</v>
      </c>
      <c r="G271" s="335">
        <f t="shared" si="4"/>
        <v>827</v>
      </c>
    </row>
    <row r="272" spans="1:12" x14ac:dyDescent="0.3">
      <c r="A272" s="340" t="s">
        <v>57</v>
      </c>
      <c r="B272" s="335">
        <v>2014</v>
      </c>
      <c r="C272" s="335">
        <v>9</v>
      </c>
      <c r="D272" s="335" t="s">
        <v>113</v>
      </c>
      <c r="E272" s="341">
        <v>331</v>
      </c>
      <c r="F272" s="341">
        <v>363</v>
      </c>
      <c r="G272" s="335">
        <f t="shared" si="4"/>
        <v>694</v>
      </c>
    </row>
    <row r="273" spans="1:7" x14ac:dyDescent="0.3">
      <c r="A273"/>
      <c r="B273"/>
      <c r="C273"/>
      <c r="D273"/>
      <c r="E273"/>
      <c r="F273"/>
      <c r="G273"/>
    </row>
    <row r="274" spans="1:7" x14ac:dyDescent="0.3">
      <c r="A274"/>
      <c r="B274"/>
      <c r="C274"/>
      <c r="D274"/>
      <c r="E274"/>
      <c r="F274"/>
      <c r="G274"/>
    </row>
    <row r="275" spans="1:7" x14ac:dyDescent="0.3">
      <c r="A275"/>
      <c r="B275"/>
      <c r="C275"/>
      <c r="D275"/>
      <c r="E275"/>
      <c r="F275"/>
      <c r="G275"/>
    </row>
    <row r="276" spans="1:7" x14ac:dyDescent="0.3">
      <c r="A276"/>
      <c r="B276"/>
      <c r="C276"/>
      <c r="D276"/>
      <c r="E276"/>
      <c r="F276"/>
      <c r="G276"/>
    </row>
    <row r="277" spans="1:7" x14ac:dyDescent="0.3">
      <c r="A277"/>
      <c r="B277"/>
      <c r="C277"/>
      <c r="D277"/>
      <c r="E277"/>
      <c r="F277"/>
      <c r="G277"/>
    </row>
    <row r="278" spans="1:7" x14ac:dyDescent="0.3">
      <c r="A278"/>
      <c r="B278"/>
      <c r="C278"/>
      <c r="D278"/>
      <c r="E278"/>
      <c r="F278"/>
      <c r="G278"/>
    </row>
    <row r="279" spans="1:7" x14ac:dyDescent="0.3">
      <c r="A279"/>
      <c r="B279"/>
      <c r="C279"/>
      <c r="D279"/>
      <c r="E279"/>
      <c r="F279"/>
      <c r="G279"/>
    </row>
    <row r="280" spans="1:7" x14ac:dyDescent="0.3">
      <c r="A280"/>
      <c r="B280"/>
      <c r="C280"/>
      <c r="D280"/>
      <c r="E280"/>
      <c r="F280"/>
      <c r="G280"/>
    </row>
    <row r="281" spans="1:7" x14ac:dyDescent="0.3">
      <c r="A281"/>
      <c r="B281"/>
      <c r="C281"/>
      <c r="D281"/>
      <c r="E281"/>
      <c r="F281"/>
      <c r="G281"/>
    </row>
    <row r="282" spans="1:7" x14ac:dyDescent="0.3">
      <c r="A282"/>
      <c r="B282"/>
      <c r="C282"/>
      <c r="D282"/>
      <c r="E282"/>
      <c r="F282"/>
      <c r="G282"/>
    </row>
    <row r="283" spans="1:7" x14ac:dyDescent="0.3">
      <c r="A283"/>
      <c r="B283"/>
      <c r="C283"/>
      <c r="D283"/>
      <c r="E283"/>
      <c r="F283"/>
      <c r="G283"/>
    </row>
    <row r="284" spans="1:7" x14ac:dyDescent="0.3">
      <c r="A284"/>
      <c r="B284"/>
      <c r="C284"/>
      <c r="D284"/>
      <c r="E284"/>
      <c r="F284"/>
      <c r="G284"/>
    </row>
    <row r="285" spans="1:7" x14ac:dyDescent="0.3">
      <c r="A285"/>
      <c r="B285"/>
      <c r="C285"/>
      <c r="D285"/>
      <c r="E285"/>
      <c r="F285"/>
      <c r="G285"/>
    </row>
    <row r="286" spans="1:7" x14ac:dyDescent="0.3">
      <c r="A286"/>
      <c r="B286"/>
      <c r="C286"/>
      <c r="D286"/>
      <c r="E286"/>
      <c r="F286"/>
      <c r="G286"/>
    </row>
    <row r="287" spans="1:7" x14ac:dyDescent="0.3">
      <c r="A287"/>
      <c r="B287"/>
      <c r="C287"/>
      <c r="D287"/>
      <c r="E287"/>
      <c r="F287"/>
      <c r="G287"/>
    </row>
    <row r="288" spans="1:7" x14ac:dyDescent="0.3">
      <c r="A288"/>
      <c r="B288"/>
      <c r="C288"/>
      <c r="D288"/>
      <c r="E288"/>
      <c r="F288"/>
      <c r="G288"/>
    </row>
    <row r="289" spans="1:7" x14ac:dyDescent="0.3">
      <c r="A289"/>
      <c r="B289"/>
      <c r="C289"/>
      <c r="D289"/>
      <c r="E289"/>
      <c r="F289"/>
      <c r="G289"/>
    </row>
    <row r="290" spans="1:7" x14ac:dyDescent="0.3">
      <c r="A290"/>
      <c r="B290"/>
      <c r="C290"/>
      <c r="D290"/>
      <c r="E290"/>
      <c r="F290"/>
      <c r="G290"/>
    </row>
    <row r="291" spans="1:7" x14ac:dyDescent="0.3">
      <c r="A291"/>
      <c r="B291"/>
      <c r="C291"/>
      <c r="D291"/>
      <c r="E291"/>
      <c r="F291"/>
      <c r="G291"/>
    </row>
    <row r="292" spans="1:7" x14ac:dyDescent="0.3">
      <c r="A292"/>
      <c r="B292"/>
      <c r="C292"/>
      <c r="D292"/>
      <c r="E292"/>
      <c r="F292"/>
      <c r="G292"/>
    </row>
    <row r="293" spans="1:7" x14ac:dyDescent="0.3">
      <c r="A293"/>
      <c r="B293"/>
      <c r="C293"/>
      <c r="D293"/>
      <c r="E293"/>
      <c r="F293"/>
      <c r="G293"/>
    </row>
    <row r="294" spans="1:7" x14ac:dyDescent="0.3">
      <c r="A294"/>
      <c r="B294"/>
      <c r="C294"/>
      <c r="D294"/>
      <c r="E294"/>
      <c r="F294"/>
      <c r="G294"/>
    </row>
    <row r="295" spans="1:7" x14ac:dyDescent="0.3">
      <c r="A295"/>
      <c r="B295"/>
      <c r="C295"/>
      <c r="D295"/>
      <c r="E295"/>
      <c r="F295"/>
      <c r="G295"/>
    </row>
    <row r="296" spans="1:7" x14ac:dyDescent="0.3">
      <c r="A296"/>
      <c r="B296"/>
      <c r="C296"/>
      <c r="D296"/>
      <c r="E296"/>
      <c r="F296"/>
      <c r="G296"/>
    </row>
    <row r="297" spans="1:7" x14ac:dyDescent="0.3">
      <c r="A297"/>
      <c r="B297"/>
      <c r="C297"/>
      <c r="D297"/>
      <c r="E297"/>
      <c r="F297"/>
      <c r="G297"/>
    </row>
    <row r="298" spans="1:7" x14ac:dyDescent="0.3">
      <c r="A298"/>
      <c r="B298"/>
      <c r="C298"/>
      <c r="D298"/>
      <c r="E298"/>
      <c r="F298"/>
      <c r="G298"/>
    </row>
    <row r="299" spans="1:7" x14ac:dyDescent="0.3">
      <c r="A299"/>
      <c r="B299"/>
      <c r="C299"/>
      <c r="D299"/>
      <c r="E299"/>
      <c r="F299"/>
      <c r="G299"/>
    </row>
    <row r="300" spans="1:7" x14ac:dyDescent="0.3">
      <c r="A300"/>
      <c r="B300"/>
      <c r="C300"/>
      <c r="D300"/>
      <c r="E300"/>
      <c r="F300"/>
      <c r="G300"/>
    </row>
    <row r="301" spans="1:7" x14ac:dyDescent="0.3">
      <c r="A301"/>
      <c r="B301"/>
      <c r="C301"/>
      <c r="D301"/>
      <c r="E301"/>
      <c r="F301"/>
      <c r="G301"/>
    </row>
    <row r="302" spans="1:7" x14ac:dyDescent="0.3">
      <c r="A302"/>
      <c r="B302"/>
      <c r="C302"/>
      <c r="D302"/>
      <c r="E302"/>
      <c r="F302"/>
      <c r="G302"/>
    </row>
    <row r="303" spans="1:7" x14ac:dyDescent="0.3">
      <c r="A303"/>
      <c r="B303"/>
      <c r="C303"/>
      <c r="D303"/>
      <c r="E303"/>
      <c r="F303"/>
      <c r="G303"/>
    </row>
    <row r="304" spans="1:7" x14ac:dyDescent="0.3">
      <c r="A304"/>
      <c r="B304"/>
      <c r="C304"/>
      <c r="D304"/>
      <c r="E304"/>
      <c r="F304"/>
      <c r="G304"/>
    </row>
    <row r="305" spans="1:7" x14ac:dyDescent="0.3">
      <c r="A305"/>
      <c r="B305"/>
      <c r="C305"/>
      <c r="D305"/>
      <c r="E305"/>
      <c r="F305"/>
      <c r="G305"/>
    </row>
    <row r="306" spans="1:7" x14ac:dyDescent="0.3">
      <c r="A306"/>
      <c r="B306"/>
      <c r="C306"/>
      <c r="D306"/>
      <c r="E306"/>
      <c r="F306"/>
      <c r="G306"/>
    </row>
    <row r="307" spans="1:7" x14ac:dyDescent="0.3">
      <c r="A307"/>
      <c r="B307"/>
      <c r="C307"/>
      <c r="D307"/>
      <c r="E307"/>
      <c r="F307"/>
      <c r="G307"/>
    </row>
    <row r="308" spans="1:7" x14ac:dyDescent="0.3">
      <c r="A308"/>
      <c r="B308"/>
      <c r="C308"/>
      <c r="D308"/>
      <c r="E308"/>
      <c r="F308"/>
      <c r="G308"/>
    </row>
    <row r="309" spans="1:7" x14ac:dyDescent="0.3">
      <c r="A309"/>
      <c r="B309"/>
      <c r="C309"/>
      <c r="D309"/>
      <c r="E309"/>
      <c r="F309"/>
      <c r="G309"/>
    </row>
    <row r="310" spans="1:7" x14ac:dyDescent="0.3">
      <c r="A310"/>
      <c r="B310"/>
      <c r="C310"/>
      <c r="D310"/>
      <c r="E310"/>
      <c r="F310"/>
      <c r="G310"/>
    </row>
    <row r="311" spans="1:7" x14ac:dyDescent="0.3">
      <c r="A311"/>
      <c r="B311"/>
      <c r="C311"/>
      <c r="D311"/>
      <c r="E311"/>
      <c r="F311"/>
      <c r="G311"/>
    </row>
    <row r="312" spans="1:7" x14ac:dyDescent="0.3">
      <c r="A312"/>
      <c r="B312"/>
      <c r="C312"/>
      <c r="D312"/>
      <c r="E312"/>
      <c r="F312"/>
      <c r="G312"/>
    </row>
    <row r="313" spans="1:7" x14ac:dyDescent="0.3">
      <c r="A313"/>
      <c r="B313"/>
      <c r="C313"/>
      <c r="D313"/>
      <c r="E313"/>
      <c r="F313"/>
      <c r="G313"/>
    </row>
    <row r="314" spans="1:7" x14ac:dyDescent="0.3">
      <c r="A314"/>
      <c r="B314"/>
      <c r="C314"/>
      <c r="D314"/>
      <c r="E314"/>
      <c r="F314"/>
      <c r="G314"/>
    </row>
    <row r="315" spans="1:7" x14ac:dyDescent="0.3">
      <c r="A315"/>
      <c r="B315"/>
      <c r="C315"/>
      <c r="D315"/>
      <c r="E315"/>
      <c r="F315"/>
      <c r="G315"/>
    </row>
    <row r="316" spans="1:7" x14ac:dyDescent="0.3">
      <c r="A316"/>
      <c r="B316"/>
      <c r="C316"/>
      <c r="D316"/>
      <c r="E316"/>
      <c r="F316"/>
      <c r="G316"/>
    </row>
    <row r="317" spans="1:7" x14ac:dyDescent="0.3">
      <c r="A317"/>
      <c r="B317"/>
      <c r="C317"/>
      <c r="D317"/>
      <c r="E317"/>
      <c r="F317"/>
      <c r="G317"/>
    </row>
    <row r="318" spans="1:7" x14ac:dyDescent="0.3">
      <c r="A318"/>
      <c r="B318"/>
      <c r="C318"/>
      <c r="D318"/>
      <c r="E318"/>
      <c r="F318"/>
      <c r="G318"/>
    </row>
    <row r="319" spans="1:7" x14ac:dyDescent="0.3">
      <c r="A319"/>
      <c r="B319"/>
      <c r="C319"/>
      <c r="D319"/>
      <c r="E319"/>
      <c r="F319"/>
      <c r="G319"/>
    </row>
    <row r="320" spans="1:7" x14ac:dyDescent="0.3">
      <c r="A320"/>
      <c r="B320"/>
      <c r="C320"/>
      <c r="D320"/>
      <c r="E320"/>
      <c r="F320"/>
      <c r="G320"/>
    </row>
    <row r="321" spans="1:7" x14ac:dyDescent="0.3">
      <c r="A321"/>
      <c r="B321"/>
      <c r="C321"/>
      <c r="D321"/>
      <c r="E321"/>
      <c r="F321"/>
      <c r="G321"/>
    </row>
    <row r="322" spans="1:7" x14ac:dyDescent="0.3">
      <c r="A322"/>
      <c r="B322"/>
      <c r="C322"/>
      <c r="D322"/>
      <c r="E322"/>
      <c r="F322"/>
      <c r="G322"/>
    </row>
    <row r="323" spans="1:7" x14ac:dyDescent="0.3">
      <c r="A323"/>
      <c r="B323"/>
      <c r="C323"/>
      <c r="D323"/>
      <c r="E323"/>
      <c r="F323"/>
      <c r="G323"/>
    </row>
    <row r="324" spans="1:7" x14ac:dyDescent="0.3">
      <c r="A324"/>
      <c r="B324"/>
      <c r="C324"/>
      <c r="D324"/>
      <c r="E324"/>
      <c r="F324"/>
      <c r="G324"/>
    </row>
    <row r="325" spans="1:7" x14ac:dyDescent="0.3">
      <c r="A325"/>
      <c r="B325"/>
      <c r="C325"/>
      <c r="D325"/>
      <c r="E325"/>
      <c r="F325"/>
      <c r="G325"/>
    </row>
    <row r="326" spans="1:7" x14ac:dyDescent="0.3">
      <c r="A326"/>
      <c r="B326"/>
      <c r="C326"/>
      <c r="D326"/>
      <c r="E326"/>
      <c r="F326"/>
      <c r="G326"/>
    </row>
    <row r="327" spans="1:7" x14ac:dyDescent="0.3">
      <c r="A327"/>
      <c r="B327"/>
      <c r="C327"/>
      <c r="D327"/>
      <c r="E327"/>
      <c r="F327"/>
      <c r="G327"/>
    </row>
    <row r="328" spans="1:7" x14ac:dyDescent="0.3">
      <c r="A328"/>
      <c r="B328"/>
      <c r="C328"/>
      <c r="D328"/>
      <c r="E328"/>
      <c r="F328"/>
      <c r="G328"/>
    </row>
    <row r="329" spans="1:7" x14ac:dyDescent="0.3">
      <c r="A329"/>
      <c r="B329"/>
      <c r="C329"/>
      <c r="D329"/>
      <c r="E329"/>
      <c r="F329"/>
      <c r="G329"/>
    </row>
    <row r="330" spans="1:7" x14ac:dyDescent="0.3">
      <c r="A330"/>
      <c r="B330"/>
      <c r="C330"/>
      <c r="D330"/>
      <c r="E330"/>
      <c r="F330"/>
      <c r="G330"/>
    </row>
    <row r="331" spans="1:7" x14ac:dyDescent="0.3">
      <c r="A331"/>
      <c r="B331"/>
      <c r="C331"/>
      <c r="D331"/>
      <c r="E331"/>
      <c r="F331"/>
      <c r="G331"/>
    </row>
    <row r="332" spans="1:7" x14ac:dyDescent="0.3">
      <c r="A332"/>
      <c r="B332"/>
      <c r="C332"/>
      <c r="D332"/>
      <c r="E332"/>
      <c r="F332"/>
      <c r="G332"/>
    </row>
    <row r="333" spans="1:7" x14ac:dyDescent="0.3">
      <c r="A333"/>
      <c r="B333"/>
      <c r="C333"/>
      <c r="D333"/>
      <c r="E333"/>
      <c r="F333"/>
      <c r="G333"/>
    </row>
    <row r="334" spans="1:7" x14ac:dyDescent="0.3">
      <c r="A334"/>
      <c r="B334"/>
      <c r="C334"/>
      <c r="D334"/>
      <c r="E334"/>
      <c r="F334"/>
      <c r="G334"/>
    </row>
    <row r="335" spans="1:7" x14ac:dyDescent="0.3">
      <c r="A335"/>
      <c r="B335"/>
      <c r="C335"/>
      <c r="D335"/>
      <c r="E335"/>
      <c r="F335"/>
      <c r="G335"/>
    </row>
    <row r="336" spans="1:7" x14ac:dyDescent="0.3">
      <c r="A336"/>
      <c r="B336"/>
      <c r="C336"/>
      <c r="D336"/>
      <c r="E336"/>
      <c r="F336"/>
      <c r="G336"/>
    </row>
    <row r="337" spans="1:7" x14ac:dyDescent="0.3">
      <c r="A337"/>
      <c r="B337"/>
      <c r="C337"/>
      <c r="D337"/>
      <c r="E337"/>
      <c r="F337"/>
      <c r="G337"/>
    </row>
    <row r="338" spans="1:7" x14ac:dyDescent="0.3">
      <c r="A338"/>
      <c r="B338"/>
      <c r="C338"/>
      <c r="D338"/>
      <c r="E338"/>
      <c r="F338"/>
      <c r="G338"/>
    </row>
    <row r="339" spans="1:7" x14ac:dyDescent="0.3">
      <c r="A339"/>
      <c r="B339"/>
      <c r="C339"/>
      <c r="D339"/>
      <c r="E339"/>
      <c r="F339"/>
      <c r="G339"/>
    </row>
    <row r="340" spans="1:7" x14ac:dyDescent="0.3">
      <c r="A340"/>
      <c r="B340"/>
      <c r="C340"/>
      <c r="D340"/>
      <c r="E340"/>
      <c r="F340"/>
      <c r="G340"/>
    </row>
    <row r="341" spans="1:7" x14ac:dyDescent="0.3">
      <c r="A341"/>
      <c r="B341"/>
      <c r="C341"/>
      <c r="D341"/>
      <c r="E341"/>
      <c r="F341"/>
      <c r="G341"/>
    </row>
    <row r="342" spans="1:7" x14ac:dyDescent="0.3">
      <c r="A342"/>
      <c r="B342"/>
      <c r="C342"/>
      <c r="D342"/>
      <c r="E342"/>
      <c r="F342"/>
      <c r="G342"/>
    </row>
    <row r="343" spans="1:7" x14ac:dyDescent="0.3">
      <c r="A343"/>
      <c r="B343"/>
      <c r="C343"/>
      <c r="D343"/>
      <c r="E343"/>
      <c r="F343"/>
      <c r="G343"/>
    </row>
    <row r="344" spans="1:7" x14ac:dyDescent="0.3">
      <c r="A344"/>
      <c r="B344"/>
      <c r="C344"/>
      <c r="D344"/>
      <c r="E344"/>
      <c r="F344"/>
      <c r="G344"/>
    </row>
    <row r="345" spans="1:7" x14ac:dyDescent="0.3">
      <c r="A345"/>
      <c r="B345"/>
      <c r="C345"/>
      <c r="D345"/>
      <c r="E345"/>
      <c r="F345"/>
      <c r="G345"/>
    </row>
    <row r="346" spans="1:7" x14ac:dyDescent="0.3">
      <c r="A346"/>
      <c r="B346"/>
      <c r="C346"/>
      <c r="D346"/>
      <c r="E346"/>
      <c r="F346"/>
      <c r="G346"/>
    </row>
    <row r="347" spans="1:7" x14ac:dyDescent="0.3">
      <c r="A347"/>
      <c r="B347"/>
      <c r="C347"/>
      <c r="D347"/>
      <c r="E347"/>
      <c r="F347"/>
      <c r="G347"/>
    </row>
    <row r="348" spans="1:7" x14ac:dyDescent="0.3">
      <c r="A348"/>
      <c r="B348"/>
      <c r="C348"/>
      <c r="D348"/>
      <c r="E348"/>
      <c r="F348"/>
      <c r="G348"/>
    </row>
    <row r="349" spans="1:7" x14ac:dyDescent="0.3">
      <c r="A349"/>
      <c r="B349"/>
      <c r="C349"/>
      <c r="D349"/>
      <c r="E349"/>
      <c r="F349"/>
      <c r="G349"/>
    </row>
    <row r="350" spans="1:7" x14ac:dyDescent="0.3">
      <c r="A350"/>
      <c r="B350"/>
      <c r="C350"/>
      <c r="D350"/>
      <c r="E350"/>
      <c r="F350"/>
      <c r="G350"/>
    </row>
    <row r="351" spans="1:7" x14ac:dyDescent="0.3">
      <c r="A351"/>
      <c r="B351"/>
      <c r="C351"/>
      <c r="D351"/>
      <c r="E351"/>
      <c r="F351"/>
      <c r="G351"/>
    </row>
    <row r="352" spans="1:7" x14ac:dyDescent="0.3">
      <c r="A352"/>
      <c r="B352"/>
      <c r="C352"/>
      <c r="D352"/>
      <c r="E352"/>
      <c r="F352"/>
      <c r="G352"/>
    </row>
    <row r="353" spans="1:7" x14ac:dyDescent="0.3">
      <c r="A353"/>
      <c r="B353"/>
      <c r="C353"/>
      <c r="D353"/>
      <c r="E353"/>
      <c r="F353"/>
      <c r="G353"/>
    </row>
    <row r="354" spans="1:7" x14ac:dyDescent="0.3">
      <c r="A354"/>
      <c r="B354"/>
      <c r="C354"/>
      <c r="D354"/>
      <c r="E354"/>
      <c r="F354"/>
      <c r="G354"/>
    </row>
  </sheetData>
  <autoFilter ref="A1:G354" xr:uid="{00000000-0009-0000-0000-000008000000}"/>
  <sortState xmlns:xlrd2="http://schemas.microsoft.com/office/spreadsheetml/2017/richdata2" ref="A2:G3576">
    <sortCondition ref="A2:A3576"/>
    <sortCondition ref="B2:B3576"/>
    <sortCondition ref="C2:C3576"/>
    <sortCondition ref="D2:D357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J375"/>
  <sheetViews>
    <sheetView topLeftCell="A325" zoomScale="70" zoomScaleNormal="70" workbookViewId="0">
      <selection activeCell="B346" sqref="B346:C346"/>
    </sheetView>
  </sheetViews>
  <sheetFormatPr defaultRowHeight="14.4" x14ac:dyDescent="0.3"/>
  <sheetData>
    <row r="1" spans="1:62" ht="21" x14ac:dyDescent="0.4">
      <c r="B1" s="261"/>
      <c r="C1" s="184"/>
      <c r="E1" s="329" t="s">
        <v>1873</v>
      </c>
      <c r="O1" s="261"/>
      <c r="P1" s="184"/>
      <c r="R1" s="329" t="s">
        <v>1873</v>
      </c>
      <c r="AA1" s="261"/>
      <c r="AB1" s="184"/>
      <c r="AD1" s="329" t="s">
        <v>1873</v>
      </c>
      <c r="AO1" s="261"/>
      <c r="AP1" s="184"/>
      <c r="AR1" s="329" t="s">
        <v>1873</v>
      </c>
      <c r="AY1" s="28" t="s">
        <v>6</v>
      </c>
      <c r="AZ1" s="28"/>
      <c r="BA1" s="261"/>
      <c r="BB1" s="184"/>
      <c r="BD1" s="329" t="s">
        <v>1873</v>
      </c>
      <c r="BH1" s="258"/>
      <c r="BI1" s="28"/>
      <c r="BJ1" s="28"/>
    </row>
    <row r="2" spans="1:62" x14ac:dyDescent="0.3">
      <c r="C2" t="s">
        <v>1443</v>
      </c>
      <c r="O2" s="385"/>
      <c r="P2" s="385"/>
      <c r="Q2" s="385" t="s">
        <v>1</v>
      </c>
      <c r="R2" s="385"/>
      <c r="S2" s="385"/>
      <c r="T2" s="385"/>
      <c r="AC2" t="s">
        <v>1444</v>
      </c>
      <c r="AO2" s="408" t="s">
        <v>2187</v>
      </c>
      <c r="AP2" s="408"/>
      <c r="AQ2" s="408"/>
      <c r="AR2" s="408"/>
      <c r="AS2" s="408"/>
      <c r="BC2" t="s">
        <v>1445</v>
      </c>
      <c r="BF2" s="28"/>
      <c r="BG2" s="28"/>
      <c r="BH2" s="28"/>
      <c r="BI2" s="28"/>
      <c r="BJ2" s="28"/>
    </row>
    <row r="3" spans="1:62" x14ac:dyDescent="0.3">
      <c r="D3" t="s">
        <v>2</v>
      </c>
      <c r="O3" s="385"/>
      <c r="P3" s="385"/>
      <c r="Q3" s="408" t="s">
        <v>1286</v>
      </c>
      <c r="R3" s="408"/>
      <c r="S3" s="408"/>
      <c r="T3" s="385"/>
      <c r="AC3" t="s">
        <v>9</v>
      </c>
      <c r="AP3" s="408" t="s">
        <v>2120</v>
      </c>
      <c r="AQ3" s="408"/>
      <c r="AR3" s="408"/>
      <c r="AS3" s="408"/>
      <c r="AT3" s="408"/>
      <c r="BD3" t="s">
        <v>2</v>
      </c>
      <c r="BF3" s="28"/>
      <c r="BG3" s="28"/>
      <c r="BH3" s="28"/>
      <c r="BI3" s="28"/>
      <c r="BJ3" s="28"/>
    </row>
    <row r="4" spans="1:62" x14ac:dyDescent="0.3">
      <c r="C4" t="s">
        <v>7</v>
      </c>
      <c r="O4" s="385"/>
      <c r="P4" s="385" t="s">
        <v>1446</v>
      </c>
      <c r="Q4" s="385"/>
      <c r="R4" s="385"/>
      <c r="S4" s="385"/>
      <c r="T4" s="385"/>
      <c r="AC4" t="s">
        <v>11</v>
      </c>
      <c r="AM4" s="408" t="s">
        <v>2188</v>
      </c>
      <c r="AN4" s="408"/>
      <c r="AO4" s="408"/>
      <c r="AP4" s="408"/>
      <c r="AQ4" s="408"/>
      <c r="AR4" s="408"/>
      <c r="AS4" s="408"/>
      <c r="AT4" s="408"/>
      <c r="BB4" t="s">
        <v>1451</v>
      </c>
      <c r="BF4" s="28"/>
      <c r="BG4" s="28"/>
      <c r="BH4" s="28"/>
      <c r="BI4" s="28"/>
      <c r="BJ4" s="28"/>
    </row>
    <row r="5" spans="1:62" x14ac:dyDescent="0.3">
      <c r="A5" s="408"/>
      <c r="B5" s="408"/>
      <c r="C5" s="408"/>
      <c r="D5" s="408" t="s">
        <v>2228</v>
      </c>
      <c r="E5" s="408"/>
      <c r="F5" s="344"/>
      <c r="O5" s="385"/>
      <c r="P5" s="408" t="s">
        <v>2229</v>
      </c>
      <c r="Q5" s="408"/>
      <c r="R5" s="408"/>
      <c r="S5" s="408"/>
      <c r="T5" s="385"/>
      <c r="AB5" s="408" t="s">
        <v>2230</v>
      </c>
      <c r="AC5" s="408"/>
      <c r="AD5" s="408"/>
      <c r="AE5" s="408"/>
      <c r="AF5" s="408"/>
      <c r="AO5" s="408" t="s">
        <v>2228</v>
      </c>
      <c r="AP5" s="408"/>
      <c r="AQ5" s="408"/>
      <c r="AR5" s="408"/>
      <c r="AS5" s="408"/>
      <c r="AT5" s="344"/>
      <c r="BB5" s="408" t="s">
        <v>2231</v>
      </c>
      <c r="BC5" s="408"/>
      <c r="BD5" s="408"/>
      <c r="BE5" s="408"/>
      <c r="BF5" s="408"/>
      <c r="BJ5" s="28"/>
    </row>
    <row r="6" spans="1:62" ht="15" thickBot="1" x14ac:dyDescent="0.35">
      <c r="A6" s="410" t="s">
        <v>2076</v>
      </c>
      <c r="B6" s="410"/>
      <c r="C6" s="410"/>
      <c r="D6" s="410"/>
      <c r="E6" s="410"/>
      <c r="F6" s="410"/>
      <c r="G6" s="410"/>
      <c r="H6" s="410"/>
      <c r="I6" s="368" t="s">
        <v>949</v>
      </c>
      <c r="J6" s="344"/>
      <c r="L6" s="328"/>
      <c r="M6" s="328"/>
      <c r="N6" s="328"/>
      <c r="O6" s="410" t="s">
        <v>2076</v>
      </c>
      <c r="P6" s="410"/>
      <c r="Q6" s="410"/>
      <c r="R6" s="410"/>
      <c r="S6" s="410"/>
      <c r="T6" s="410"/>
      <c r="U6" s="410"/>
      <c r="V6" t="s">
        <v>15</v>
      </c>
      <c r="Y6" s="410" t="s">
        <v>2194</v>
      </c>
      <c r="Z6" s="410"/>
      <c r="AA6" s="410"/>
      <c r="AB6" s="410"/>
      <c r="AC6" s="410"/>
      <c r="AD6" s="410"/>
      <c r="AE6" s="410"/>
      <c r="AF6" s="410"/>
      <c r="AG6" s="410"/>
      <c r="AH6" s="386"/>
      <c r="AI6" s="28" t="s">
        <v>25</v>
      </c>
      <c r="AM6" s="328"/>
      <c r="AN6" s="328"/>
      <c r="AO6" s="328"/>
      <c r="AP6" s="328" t="s">
        <v>2195</v>
      </c>
      <c r="AQ6" s="328"/>
      <c r="AR6" s="328"/>
      <c r="AS6" s="328"/>
      <c r="AT6" s="328"/>
      <c r="AU6" s="328"/>
      <c r="AV6" s="194" t="s">
        <v>951</v>
      </c>
      <c r="AY6" s="344"/>
      <c r="AZ6" s="328"/>
      <c r="BA6" s="328"/>
      <c r="BB6" s="328"/>
      <c r="BC6" s="328" t="s">
        <v>2076</v>
      </c>
      <c r="BD6" s="328"/>
      <c r="BE6" s="328"/>
      <c r="BF6" s="328"/>
      <c r="BG6" s="328"/>
      <c r="BH6" s="328"/>
      <c r="BI6" s="369" t="s">
        <v>950</v>
      </c>
      <c r="BJ6" s="28"/>
    </row>
    <row r="7" spans="1:62" ht="15" thickBot="1" x14ac:dyDescent="0.35">
      <c r="A7" s="32" t="s">
        <v>17</v>
      </c>
      <c r="B7" s="34" t="s">
        <v>18</v>
      </c>
      <c r="C7" s="201"/>
      <c r="D7" s="34" t="s">
        <v>19</v>
      </c>
      <c r="E7" s="34"/>
      <c r="F7" s="34"/>
      <c r="G7" s="200"/>
      <c r="H7" s="33" t="s">
        <v>21</v>
      </c>
      <c r="I7" s="34"/>
      <c r="J7" s="35"/>
      <c r="M7" s="32" t="s">
        <v>17</v>
      </c>
      <c r="N7" s="33" t="s">
        <v>22</v>
      </c>
      <c r="O7" s="34"/>
      <c r="P7" s="34" t="s">
        <v>1452</v>
      </c>
      <c r="Q7" s="34" t="s">
        <v>1453</v>
      </c>
      <c r="R7" s="34"/>
      <c r="S7" s="34"/>
      <c r="T7" s="35"/>
      <c r="U7" s="33" t="s">
        <v>21</v>
      </c>
      <c r="V7" s="35"/>
      <c r="Y7" s="33" t="s">
        <v>34</v>
      </c>
      <c r="Z7" s="200" t="s">
        <v>35</v>
      </c>
      <c r="AA7" s="201"/>
      <c r="AB7" s="34" t="s">
        <v>1454</v>
      </c>
      <c r="AC7" s="34" t="s">
        <v>51</v>
      </c>
      <c r="AD7" s="34"/>
      <c r="AE7" s="200" t="s">
        <v>37</v>
      </c>
      <c r="AF7" s="201" t="s">
        <v>1288</v>
      </c>
      <c r="AG7" s="34" t="s">
        <v>30</v>
      </c>
      <c r="AH7" s="200" t="s">
        <v>38</v>
      </c>
      <c r="AI7" s="34"/>
      <c r="AJ7" s="35"/>
      <c r="AM7" s="134" t="s">
        <v>17</v>
      </c>
      <c r="AN7" s="134" t="s">
        <v>39</v>
      </c>
      <c r="AO7" s="136"/>
      <c r="AP7" s="134" t="s">
        <v>29</v>
      </c>
      <c r="AQ7" s="136" t="s">
        <v>30</v>
      </c>
      <c r="AR7" s="135" t="s">
        <v>40</v>
      </c>
      <c r="AS7" s="135"/>
      <c r="AT7" s="135"/>
      <c r="AU7" s="135"/>
      <c r="AV7" s="136"/>
      <c r="AY7" s="195" t="s">
        <v>17</v>
      </c>
      <c r="AZ7" s="134" t="s">
        <v>27</v>
      </c>
      <c r="BA7" s="135"/>
      <c r="BB7" s="134" t="s">
        <v>28</v>
      </c>
      <c r="BC7" s="135"/>
      <c r="BD7" s="136"/>
      <c r="BE7" s="134" t="s">
        <v>1459</v>
      </c>
      <c r="BF7" s="136"/>
      <c r="BG7" s="135" t="s">
        <v>31</v>
      </c>
      <c r="BH7" s="135"/>
      <c r="BI7" s="136"/>
      <c r="BJ7" s="28"/>
    </row>
    <row r="8" spans="1:62" ht="15" thickBot="1" x14ac:dyDescent="0.35">
      <c r="A8" s="41" t="s">
        <v>32</v>
      </c>
      <c r="B8" s="28"/>
      <c r="C8" s="141"/>
      <c r="D8" s="28"/>
      <c r="E8" s="28"/>
      <c r="F8" s="28"/>
      <c r="G8" s="138"/>
      <c r="H8" s="42" t="s">
        <v>33</v>
      </c>
      <c r="I8" s="28"/>
      <c r="J8" s="40"/>
      <c r="M8" s="41"/>
      <c r="N8" s="42" t="s">
        <v>1456</v>
      </c>
      <c r="O8" s="28"/>
      <c r="P8" s="28"/>
      <c r="Q8" s="28"/>
      <c r="R8" s="28"/>
      <c r="S8" s="28" t="s">
        <v>1457</v>
      </c>
      <c r="T8" s="40"/>
      <c r="U8" s="42" t="s">
        <v>33</v>
      </c>
      <c r="V8" s="40"/>
      <c r="Y8" s="47" t="s">
        <v>50</v>
      </c>
      <c r="Z8" s="202" t="s">
        <v>43</v>
      </c>
      <c r="AA8" s="48" t="s">
        <v>44</v>
      </c>
      <c r="AB8" s="169" t="s">
        <v>45</v>
      </c>
      <c r="AC8" s="48" t="s">
        <v>46</v>
      </c>
      <c r="AD8" s="48" t="s">
        <v>52</v>
      </c>
      <c r="AE8" s="202" t="s">
        <v>43</v>
      </c>
      <c r="AF8" s="203" t="s">
        <v>44</v>
      </c>
      <c r="AG8" s="48" t="s">
        <v>43</v>
      </c>
      <c r="AH8" s="202" t="s">
        <v>53</v>
      </c>
      <c r="AI8" s="48"/>
      <c r="AJ8" s="49"/>
      <c r="AM8" s="138" t="s">
        <v>42</v>
      </c>
      <c r="AN8" s="138" t="s">
        <v>43</v>
      </c>
      <c r="AO8" s="141" t="s">
        <v>44</v>
      </c>
      <c r="AP8" s="138" t="s">
        <v>43</v>
      </c>
      <c r="AQ8" s="141" t="s">
        <v>44</v>
      </c>
      <c r="AR8" s="28"/>
      <c r="AS8" s="28"/>
      <c r="AT8" s="28"/>
      <c r="AU8" s="28"/>
      <c r="AV8" s="141"/>
      <c r="AY8" s="196"/>
      <c r="AZ8" s="138"/>
      <c r="BA8" s="28"/>
      <c r="BB8" s="138"/>
      <c r="BC8" s="28"/>
      <c r="BD8" s="141"/>
      <c r="BE8" s="138"/>
      <c r="BF8" s="141"/>
      <c r="BG8" s="28" t="s">
        <v>41</v>
      </c>
      <c r="BH8" s="28"/>
      <c r="BI8" s="141"/>
      <c r="BJ8" s="28"/>
    </row>
    <row r="9" spans="1:62" ht="15" thickBot="1" x14ac:dyDescent="0.35">
      <c r="A9" s="46" t="s">
        <v>42</v>
      </c>
      <c r="B9" s="171" t="s">
        <v>43</v>
      </c>
      <c r="C9" s="172" t="s">
        <v>44</v>
      </c>
      <c r="D9" s="170" t="s">
        <v>45</v>
      </c>
      <c r="E9" s="170" t="s">
        <v>46</v>
      </c>
      <c r="F9" s="170" t="s">
        <v>47</v>
      </c>
      <c r="G9" s="254" t="s">
        <v>1460</v>
      </c>
      <c r="H9" s="47" t="s">
        <v>49</v>
      </c>
      <c r="I9" s="48"/>
      <c r="J9" s="49"/>
      <c r="M9" s="46" t="s">
        <v>50</v>
      </c>
      <c r="N9" s="47" t="s">
        <v>43</v>
      </c>
      <c r="O9" s="48" t="s">
        <v>44</v>
      </c>
      <c r="P9" s="171" t="s">
        <v>51</v>
      </c>
      <c r="Q9" s="170" t="s">
        <v>43</v>
      </c>
      <c r="R9" s="172" t="s">
        <v>44</v>
      </c>
      <c r="S9" s="48" t="s">
        <v>43</v>
      </c>
      <c r="T9" s="49" t="s">
        <v>44</v>
      </c>
      <c r="U9" s="47" t="s">
        <v>49</v>
      </c>
      <c r="V9" s="49"/>
      <c r="Y9" s="33"/>
      <c r="Z9" s="33"/>
      <c r="AA9" s="35"/>
      <c r="AB9" s="34"/>
      <c r="AC9" s="34"/>
      <c r="AD9" s="34"/>
      <c r="AE9" s="33"/>
      <c r="AF9" s="35"/>
      <c r="AG9" s="32"/>
      <c r="AH9" s="33" t="s">
        <v>62</v>
      </c>
      <c r="AI9" s="34"/>
      <c r="AJ9" s="35"/>
      <c r="AM9" s="134"/>
      <c r="AN9" s="134"/>
      <c r="AO9" s="136"/>
      <c r="AP9" s="134"/>
      <c r="AQ9" s="136"/>
      <c r="AR9" s="135"/>
      <c r="AS9" s="135" t="s">
        <v>91</v>
      </c>
      <c r="AT9" s="135"/>
      <c r="AU9" s="135"/>
      <c r="AV9" s="136"/>
      <c r="AY9" s="199" t="s">
        <v>42</v>
      </c>
      <c r="AZ9" s="142" t="s">
        <v>43</v>
      </c>
      <c r="BA9" s="143" t="s">
        <v>44</v>
      </c>
      <c r="BB9" s="142" t="s">
        <v>45</v>
      </c>
      <c r="BC9" s="143" t="s">
        <v>46</v>
      </c>
      <c r="BD9" s="146" t="s">
        <v>52</v>
      </c>
      <c r="BE9" s="142" t="s">
        <v>43</v>
      </c>
      <c r="BF9" s="146" t="s">
        <v>44</v>
      </c>
      <c r="BG9" s="143" t="s">
        <v>54</v>
      </c>
      <c r="BH9" s="143"/>
      <c r="BI9" s="146"/>
      <c r="BJ9" s="28"/>
    </row>
    <row r="10" spans="1:62" x14ac:dyDescent="0.3">
      <c r="A10" s="42"/>
      <c r="B10" s="138"/>
      <c r="C10" s="141"/>
      <c r="D10" s="138"/>
      <c r="E10" s="28"/>
      <c r="F10" s="28"/>
      <c r="G10" s="138"/>
      <c r="H10" s="33" t="s">
        <v>396</v>
      </c>
      <c r="I10" s="34"/>
      <c r="J10" s="35"/>
      <c r="M10" s="42"/>
      <c r="N10" s="138"/>
      <c r="O10" s="196"/>
      <c r="P10" s="138"/>
      <c r="Q10" s="196"/>
      <c r="R10" s="141"/>
      <c r="S10" s="138"/>
      <c r="T10" s="138"/>
      <c r="U10" s="33" t="s">
        <v>396</v>
      </c>
      <c r="V10" s="35"/>
      <c r="Y10" s="42"/>
      <c r="Z10" s="42"/>
      <c r="AA10" s="40"/>
      <c r="AB10" s="28"/>
      <c r="AC10" s="28"/>
      <c r="AD10" s="28"/>
      <c r="AE10" s="42"/>
      <c r="AF10" s="40"/>
      <c r="AG10" s="41"/>
      <c r="AH10" s="42">
        <v>1</v>
      </c>
      <c r="AI10" s="28" t="s">
        <v>1290</v>
      </c>
      <c r="AJ10" s="40"/>
      <c r="AM10" s="138" t="s">
        <v>2031</v>
      </c>
      <c r="AN10" s="138">
        <v>0</v>
      </c>
      <c r="AO10" s="141">
        <v>17</v>
      </c>
      <c r="AP10" s="138"/>
      <c r="AQ10" s="141"/>
      <c r="AR10" s="28"/>
      <c r="AS10" s="43">
        <v>86</v>
      </c>
      <c r="AT10" s="28" t="s">
        <v>1026</v>
      </c>
      <c r="AU10" s="43"/>
      <c r="AV10" s="141"/>
      <c r="AY10" s="195"/>
      <c r="AZ10" s="134"/>
      <c r="BA10" s="136"/>
      <c r="BB10" s="134"/>
      <c r="BC10" s="135"/>
      <c r="BD10" s="136"/>
      <c r="BE10" s="134"/>
      <c r="BF10" s="136"/>
      <c r="BG10" s="134" t="s">
        <v>58</v>
      </c>
      <c r="BH10" s="135"/>
      <c r="BI10" s="136"/>
    </row>
    <row r="11" spans="1:62" x14ac:dyDescent="0.3">
      <c r="A11" s="42" t="s">
        <v>59</v>
      </c>
      <c r="B11" s="212">
        <v>1753</v>
      </c>
      <c r="C11" s="141">
        <v>1791</v>
      </c>
      <c r="D11" s="138">
        <v>0</v>
      </c>
      <c r="E11" s="38">
        <v>0</v>
      </c>
      <c r="F11" s="43">
        <v>0</v>
      </c>
      <c r="G11" s="138">
        <v>1</v>
      </c>
      <c r="H11" s="42">
        <v>10</v>
      </c>
      <c r="I11" s="28" t="s">
        <v>61</v>
      </c>
      <c r="J11" s="40"/>
      <c r="M11" s="42" t="s">
        <v>59</v>
      </c>
      <c r="N11" s="138">
        <v>7382</v>
      </c>
      <c r="O11" s="196">
        <v>43354</v>
      </c>
      <c r="P11" s="138">
        <v>0</v>
      </c>
      <c r="Q11" s="196">
        <v>0</v>
      </c>
      <c r="R11" s="141">
        <v>0</v>
      </c>
      <c r="S11" s="138">
        <v>0</v>
      </c>
      <c r="T11" s="138">
        <v>0</v>
      </c>
      <c r="U11" s="42"/>
      <c r="V11" s="40"/>
      <c r="Y11" s="42" t="s">
        <v>59</v>
      </c>
      <c r="Z11" s="42">
        <v>2457</v>
      </c>
      <c r="AA11" s="40">
        <v>2482</v>
      </c>
      <c r="AB11" s="28">
        <v>0</v>
      </c>
      <c r="AC11" s="43">
        <v>0</v>
      </c>
      <c r="AD11" s="43">
        <v>0</v>
      </c>
      <c r="AE11" s="42">
        <v>840</v>
      </c>
      <c r="AF11" s="40">
        <v>0</v>
      </c>
      <c r="AG11" s="41">
        <v>0</v>
      </c>
      <c r="AH11" s="42">
        <v>9</v>
      </c>
      <c r="AI11" s="28" t="s">
        <v>66</v>
      </c>
      <c r="AJ11" s="40"/>
      <c r="AM11" s="138" t="s">
        <v>56</v>
      </c>
      <c r="AN11" s="138">
        <v>1395</v>
      </c>
      <c r="AO11" s="141">
        <v>1424</v>
      </c>
      <c r="AP11" s="138"/>
      <c r="AQ11" s="141"/>
      <c r="AR11" s="28"/>
      <c r="AS11" s="43">
        <v>15</v>
      </c>
      <c r="AT11" s="28" t="s">
        <v>1292</v>
      </c>
      <c r="AU11" s="43"/>
      <c r="AV11" s="141"/>
      <c r="AY11" s="196"/>
      <c r="AZ11" s="138"/>
      <c r="BA11" s="141"/>
      <c r="BB11" s="138"/>
      <c r="BC11" s="43"/>
      <c r="BD11" s="209"/>
      <c r="BE11" s="138"/>
      <c r="BF11" s="141"/>
      <c r="BG11" s="212">
        <v>10</v>
      </c>
      <c r="BH11" s="28" t="s">
        <v>65</v>
      </c>
      <c r="BI11" s="141"/>
    </row>
    <row r="12" spans="1:62" ht="15" thickBot="1" x14ac:dyDescent="0.35">
      <c r="A12" s="42" t="s">
        <v>6</v>
      </c>
      <c r="B12" s="142"/>
      <c r="C12" s="146"/>
      <c r="D12" s="138"/>
      <c r="E12" s="28"/>
      <c r="F12" s="28"/>
      <c r="G12" s="138"/>
      <c r="H12" s="42"/>
      <c r="I12" s="28"/>
      <c r="J12" s="40">
        <f>SUM(H11)</f>
        <v>10</v>
      </c>
      <c r="M12" s="244"/>
      <c r="N12" s="142"/>
      <c r="O12" s="199"/>
      <c r="P12" s="142"/>
      <c r="Q12" s="199"/>
      <c r="R12" s="146"/>
      <c r="S12" s="142"/>
      <c r="T12" s="142"/>
      <c r="U12" s="244"/>
      <c r="V12" s="245"/>
      <c r="Y12" s="42"/>
      <c r="Z12" s="42"/>
      <c r="AA12" s="40"/>
      <c r="AB12" s="28"/>
      <c r="AC12" s="28"/>
      <c r="AD12" s="28"/>
      <c r="AE12" s="42"/>
      <c r="AF12" s="40"/>
      <c r="AG12" s="41"/>
      <c r="AH12" s="47"/>
      <c r="AI12" s="48"/>
      <c r="AJ12" s="49">
        <f>SUM(AH10:AH11)</f>
        <v>10</v>
      </c>
      <c r="AM12" s="142" t="s">
        <v>84</v>
      </c>
      <c r="AN12" s="142">
        <f>SUM(AN9:AN11)</f>
        <v>1395</v>
      </c>
      <c r="AO12" s="146">
        <f>SUM(AO9:AO11)</f>
        <v>1441</v>
      </c>
      <c r="AP12" s="142"/>
      <c r="AQ12" s="146"/>
      <c r="AR12" s="143"/>
      <c r="AS12" s="143">
        <v>1</v>
      </c>
      <c r="AT12" s="143" t="s">
        <v>1294</v>
      </c>
      <c r="AU12" s="143"/>
      <c r="AV12" s="146">
        <f>SUM(AS10:AS12)</f>
        <v>102</v>
      </c>
      <c r="AY12" s="196" t="s">
        <v>64</v>
      </c>
      <c r="AZ12" s="138">
        <v>80</v>
      </c>
      <c r="BA12" s="141">
        <v>167</v>
      </c>
      <c r="BB12" s="138">
        <v>0</v>
      </c>
      <c r="BC12" s="43">
        <v>0</v>
      </c>
      <c r="BD12" s="209">
        <v>0</v>
      </c>
      <c r="BE12" s="138">
        <v>0</v>
      </c>
      <c r="BF12" s="141">
        <v>0</v>
      </c>
      <c r="BG12" s="138">
        <v>1</v>
      </c>
      <c r="BH12" s="28" t="s">
        <v>69</v>
      </c>
      <c r="BI12" s="141"/>
    </row>
    <row r="13" spans="1:62" x14ac:dyDescent="0.3">
      <c r="A13" s="278"/>
      <c r="B13" s="134"/>
      <c r="C13" s="135"/>
      <c r="D13" s="134"/>
      <c r="E13" s="135"/>
      <c r="F13" s="135"/>
      <c r="G13" s="134"/>
      <c r="H13" s="278" t="s">
        <v>2077</v>
      </c>
      <c r="I13" s="135"/>
      <c r="J13" s="279"/>
      <c r="M13" s="278"/>
      <c r="N13" s="134"/>
      <c r="O13" s="195"/>
      <c r="P13" s="134"/>
      <c r="Q13" s="195"/>
      <c r="R13" s="136"/>
      <c r="S13" s="134"/>
      <c r="T13" s="134"/>
      <c r="U13" s="278"/>
      <c r="V13" s="279"/>
      <c r="Y13" s="32" t="s">
        <v>1435</v>
      </c>
      <c r="Z13" s="33">
        <v>36</v>
      </c>
      <c r="AA13" s="35">
        <v>0</v>
      </c>
      <c r="AB13" s="33">
        <v>0</v>
      </c>
      <c r="AC13" s="34">
        <v>0</v>
      </c>
      <c r="AD13" s="35">
        <v>0</v>
      </c>
      <c r="AE13" s="33">
        <v>0</v>
      </c>
      <c r="AF13" s="35">
        <v>0</v>
      </c>
      <c r="AG13" s="32">
        <v>0</v>
      </c>
      <c r="AH13" s="280" t="s">
        <v>1461</v>
      </c>
      <c r="AI13" s="384"/>
      <c r="AJ13" s="35"/>
      <c r="AM13" s="134"/>
      <c r="AN13" s="134"/>
      <c r="AO13" s="136"/>
      <c r="AP13" s="134"/>
      <c r="AQ13" s="136"/>
      <c r="AR13" s="135"/>
      <c r="AS13" s="135"/>
      <c r="AT13" s="135"/>
      <c r="AU13" s="135"/>
      <c r="AV13" s="136"/>
      <c r="AY13" s="211" t="s">
        <v>84</v>
      </c>
      <c r="AZ13" s="142">
        <f>SUM(AZ10:AZ12)</f>
        <v>80</v>
      </c>
      <c r="BA13" s="146">
        <f>SUM(BA10:BA12)</f>
        <v>167</v>
      </c>
      <c r="BB13" s="142">
        <v>0</v>
      </c>
      <c r="BC13" s="143">
        <v>0</v>
      </c>
      <c r="BD13" s="146">
        <v>0</v>
      </c>
      <c r="BE13" s="142">
        <v>0</v>
      </c>
      <c r="BF13" s="146">
        <v>0</v>
      </c>
      <c r="BG13" s="142"/>
      <c r="BH13" s="143"/>
      <c r="BI13" s="146">
        <f>SUM(BG11:BG12)</f>
        <v>11</v>
      </c>
      <c r="BJ13" s="28"/>
    </row>
    <row r="14" spans="1:62" x14ac:dyDescent="0.3">
      <c r="A14" s="42" t="s">
        <v>74</v>
      </c>
      <c r="B14" s="138">
        <v>1839</v>
      </c>
      <c r="C14" s="28">
        <v>2781</v>
      </c>
      <c r="D14" s="138">
        <v>0</v>
      </c>
      <c r="E14" s="38">
        <v>0</v>
      </c>
      <c r="F14" s="43">
        <v>0</v>
      </c>
      <c r="G14" s="138">
        <v>1</v>
      </c>
      <c r="H14" s="42">
        <v>21</v>
      </c>
      <c r="I14" s="28" t="s">
        <v>436</v>
      </c>
      <c r="J14" s="40"/>
      <c r="M14" s="42"/>
      <c r="N14" s="138"/>
      <c r="O14" s="196"/>
      <c r="P14" s="138"/>
      <c r="Q14" s="196"/>
      <c r="R14" s="141"/>
      <c r="S14" s="138"/>
      <c r="T14" s="138"/>
      <c r="U14" s="42" t="s">
        <v>80</v>
      </c>
      <c r="V14" s="40"/>
      <c r="Y14" s="41" t="s">
        <v>1247</v>
      </c>
      <c r="Z14" s="67">
        <v>62</v>
      </c>
      <c r="AA14" s="40">
        <v>0</v>
      </c>
      <c r="AB14" s="67">
        <v>0</v>
      </c>
      <c r="AC14" s="43">
        <v>0</v>
      </c>
      <c r="AD14" s="40">
        <v>0</v>
      </c>
      <c r="AE14" s="42">
        <v>0</v>
      </c>
      <c r="AF14" s="40">
        <v>0</v>
      </c>
      <c r="AG14" s="41">
        <v>0</v>
      </c>
      <c r="AH14" s="67">
        <v>2</v>
      </c>
      <c r="AI14" s="43" t="s">
        <v>1344</v>
      </c>
      <c r="AJ14" s="40"/>
      <c r="AM14" s="138"/>
      <c r="AN14" s="138"/>
      <c r="AO14" s="141"/>
      <c r="AP14" s="138"/>
      <c r="AQ14" s="141"/>
      <c r="AR14" s="28"/>
      <c r="AS14" s="28" t="s">
        <v>110</v>
      </c>
      <c r="AT14" s="28" t="s">
        <v>111</v>
      </c>
      <c r="AU14" s="28" t="s">
        <v>112</v>
      </c>
      <c r="AV14" s="141"/>
      <c r="AY14" s="195"/>
      <c r="AZ14" s="135"/>
      <c r="BA14" s="136"/>
      <c r="BB14" s="240"/>
      <c r="BC14" s="241"/>
      <c r="BD14" s="242"/>
      <c r="BE14" s="134"/>
      <c r="BF14" s="136"/>
      <c r="BG14" s="135"/>
      <c r="BH14" s="135" t="s">
        <v>92</v>
      </c>
      <c r="BI14" s="136"/>
    </row>
    <row r="15" spans="1:62" x14ac:dyDescent="0.3">
      <c r="A15" s="42"/>
      <c r="B15" s="138"/>
      <c r="C15" s="28"/>
      <c r="D15" s="138"/>
      <c r="E15" s="28"/>
      <c r="F15" s="28"/>
      <c r="G15" s="138"/>
      <c r="H15" s="67"/>
      <c r="I15" s="43"/>
      <c r="J15" s="40"/>
      <c r="M15" s="42" t="s">
        <v>74</v>
      </c>
      <c r="N15" s="138">
        <v>17526</v>
      </c>
      <c r="O15" s="196">
        <v>15986</v>
      </c>
      <c r="P15" s="138">
        <v>0</v>
      </c>
      <c r="Q15" s="196">
        <v>0</v>
      </c>
      <c r="R15" s="141">
        <v>0</v>
      </c>
      <c r="S15" s="138">
        <v>0</v>
      </c>
      <c r="T15" s="138">
        <v>0</v>
      </c>
      <c r="U15" s="42"/>
      <c r="V15" s="40"/>
      <c r="Y15" s="41" t="s">
        <v>99</v>
      </c>
      <c r="Z15" s="42">
        <v>16</v>
      </c>
      <c r="AA15" s="40">
        <v>0</v>
      </c>
      <c r="AB15" s="42">
        <v>0</v>
      </c>
      <c r="AC15" s="28">
        <v>0</v>
      </c>
      <c r="AD15" s="56">
        <v>0</v>
      </c>
      <c r="AE15" s="67">
        <v>0</v>
      </c>
      <c r="AF15" s="56">
        <v>0</v>
      </c>
      <c r="AG15" s="68">
        <v>0</v>
      </c>
      <c r="AH15" s="67">
        <v>3</v>
      </c>
      <c r="AI15" s="43" t="s">
        <v>1296</v>
      </c>
      <c r="AJ15" s="40"/>
      <c r="AM15" s="138" t="s">
        <v>56</v>
      </c>
      <c r="AN15" s="138">
        <v>10</v>
      </c>
      <c r="AO15" s="141">
        <v>0</v>
      </c>
      <c r="AP15" s="138"/>
      <c r="AQ15" s="141"/>
      <c r="AR15" s="43"/>
      <c r="AS15" s="28"/>
      <c r="AT15" s="28"/>
      <c r="AU15" s="28"/>
      <c r="AV15" s="141"/>
      <c r="AY15" s="196"/>
      <c r="AZ15" s="28"/>
      <c r="BA15" s="141"/>
      <c r="BB15" s="138"/>
      <c r="BC15" s="43"/>
      <c r="BD15" s="141"/>
      <c r="BE15" s="138"/>
      <c r="BF15" s="141"/>
      <c r="BG15" s="43">
        <v>4</v>
      </c>
      <c r="BH15" s="43" t="s">
        <v>1297</v>
      </c>
      <c r="BI15" s="141"/>
    </row>
    <row r="16" spans="1:62" x14ac:dyDescent="0.3">
      <c r="A16" s="244"/>
      <c r="B16" s="142"/>
      <c r="C16" s="143"/>
      <c r="D16" s="142"/>
      <c r="E16" s="143"/>
      <c r="F16" s="143"/>
      <c r="G16" s="142"/>
      <c r="H16" s="244"/>
      <c r="I16" s="143"/>
      <c r="J16" s="245">
        <f>SUM(H14)</f>
        <v>21</v>
      </c>
      <c r="M16" s="244"/>
      <c r="N16" s="142"/>
      <c r="O16" s="199"/>
      <c r="P16" s="142"/>
      <c r="Q16" s="199"/>
      <c r="R16" s="146"/>
      <c r="S16" s="142"/>
      <c r="T16" s="142"/>
      <c r="U16" s="244"/>
      <c r="V16" s="245"/>
      <c r="Y16" s="68" t="s">
        <v>107</v>
      </c>
      <c r="Z16" s="42">
        <v>214</v>
      </c>
      <c r="AA16" s="40">
        <v>0</v>
      </c>
      <c r="AB16" s="42">
        <v>0</v>
      </c>
      <c r="AC16" s="28">
        <v>0</v>
      </c>
      <c r="AD16" s="40">
        <v>0</v>
      </c>
      <c r="AE16" s="42">
        <v>0</v>
      </c>
      <c r="AF16" s="40">
        <v>0</v>
      </c>
      <c r="AG16" s="41">
        <v>0</v>
      </c>
      <c r="AH16" s="42">
        <v>1</v>
      </c>
      <c r="AI16" s="43" t="s">
        <v>141</v>
      </c>
      <c r="AJ16" s="40"/>
      <c r="AM16" s="138" t="s">
        <v>2031</v>
      </c>
      <c r="AN16" s="138">
        <v>39</v>
      </c>
      <c r="AO16" s="141">
        <v>25</v>
      </c>
      <c r="AP16" s="138"/>
      <c r="AQ16" s="141"/>
      <c r="AR16" s="28"/>
      <c r="AS16" s="43"/>
      <c r="AT16" s="28"/>
      <c r="AU16" s="28"/>
      <c r="AV16" s="141"/>
      <c r="AY16" s="196"/>
      <c r="AZ16" s="28"/>
      <c r="BA16" s="141"/>
      <c r="BB16" s="212"/>
      <c r="BC16" s="43"/>
      <c r="BD16" s="209"/>
      <c r="BE16" s="212"/>
      <c r="BF16" s="141"/>
      <c r="BG16" s="43">
        <v>18</v>
      </c>
      <c r="BH16" s="43" t="s">
        <v>2168</v>
      </c>
      <c r="BI16" s="141"/>
      <c r="BJ16" s="28"/>
    </row>
    <row r="17" spans="1:62" ht="15" thickBot="1" x14ac:dyDescent="0.35">
      <c r="A17" s="278"/>
      <c r="B17" s="134"/>
      <c r="C17" s="135"/>
      <c r="D17" s="134"/>
      <c r="E17" s="135"/>
      <c r="F17" s="135"/>
      <c r="G17" s="134"/>
      <c r="H17" s="278" t="s">
        <v>87</v>
      </c>
      <c r="I17" s="135"/>
      <c r="J17" s="279"/>
      <c r="M17" s="278"/>
      <c r="N17" s="134"/>
      <c r="O17" s="195"/>
      <c r="P17" s="134"/>
      <c r="Q17" s="195"/>
      <c r="R17" s="136"/>
      <c r="S17" s="134"/>
      <c r="T17" s="134"/>
      <c r="U17" s="278" t="s">
        <v>6</v>
      </c>
      <c r="V17" s="279"/>
      <c r="Y17" s="62" t="s">
        <v>84</v>
      </c>
      <c r="Z17" s="47">
        <f>SUM(Z13:Z16)</f>
        <v>328</v>
      </c>
      <c r="AA17" s="49">
        <f>SUM(AA13:AA16)</f>
        <v>0</v>
      </c>
      <c r="AB17" s="47">
        <v>0</v>
      </c>
      <c r="AC17" s="48">
        <v>0</v>
      </c>
      <c r="AD17" s="49">
        <v>0</v>
      </c>
      <c r="AE17" s="47">
        <v>0</v>
      </c>
      <c r="AF17" s="49">
        <v>0</v>
      </c>
      <c r="AG17" s="46">
        <v>0</v>
      </c>
      <c r="AH17" s="47"/>
      <c r="AI17" s="51"/>
      <c r="AJ17" s="49">
        <f>SUM(AH14:AH16)</f>
        <v>6</v>
      </c>
      <c r="AM17" s="138" t="s">
        <v>78</v>
      </c>
      <c r="AN17" s="138">
        <v>48</v>
      </c>
      <c r="AO17" s="141">
        <v>50</v>
      </c>
      <c r="AP17" s="138"/>
      <c r="AQ17" s="141"/>
      <c r="AR17" s="28"/>
      <c r="AS17" s="28"/>
      <c r="AT17" s="28"/>
      <c r="AU17" s="28"/>
      <c r="AV17" s="141"/>
      <c r="AY17" s="196"/>
      <c r="AZ17" s="43"/>
      <c r="BA17" s="141"/>
      <c r="BB17" s="138"/>
      <c r="BC17" s="43"/>
      <c r="BD17" s="141"/>
      <c r="BE17" s="212"/>
      <c r="BF17" s="141"/>
      <c r="BG17" s="43"/>
      <c r="BH17" s="43"/>
      <c r="BI17" s="141"/>
    </row>
    <row r="18" spans="1:62" x14ac:dyDescent="0.3">
      <c r="A18" s="42" t="s">
        <v>93</v>
      </c>
      <c r="B18" s="138">
        <v>4508</v>
      </c>
      <c r="C18" s="28">
        <v>5785</v>
      </c>
      <c r="D18" s="138">
        <v>0</v>
      </c>
      <c r="E18" s="38">
        <v>0</v>
      </c>
      <c r="F18" s="43">
        <v>0</v>
      </c>
      <c r="G18" s="138">
        <v>1</v>
      </c>
      <c r="H18" s="67">
        <v>22</v>
      </c>
      <c r="I18" s="28" t="s">
        <v>101</v>
      </c>
      <c r="J18" s="40"/>
      <c r="M18" s="42"/>
      <c r="N18" s="138"/>
      <c r="O18" s="196"/>
      <c r="P18" s="138"/>
      <c r="Q18" s="196"/>
      <c r="R18" s="141"/>
      <c r="S18" s="138"/>
      <c r="T18" s="138"/>
      <c r="U18" s="42"/>
      <c r="V18" s="40"/>
      <c r="Y18" s="32"/>
      <c r="Z18" s="34"/>
      <c r="AA18" s="34"/>
      <c r="AB18" s="33"/>
      <c r="AC18" s="34"/>
      <c r="AD18" s="35"/>
      <c r="AE18" s="34"/>
      <c r="AF18" s="34"/>
      <c r="AG18" s="32"/>
      <c r="AH18" s="33" t="s">
        <v>1298</v>
      </c>
      <c r="AI18" s="34"/>
      <c r="AJ18" s="35"/>
      <c r="AM18" s="138" t="s">
        <v>67</v>
      </c>
      <c r="AN18" s="138">
        <v>79</v>
      </c>
      <c r="AO18" s="141">
        <v>79</v>
      </c>
      <c r="AP18" s="138"/>
      <c r="AQ18" s="141"/>
      <c r="AR18" s="28"/>
      <c r="AS18" s="43">
        <v>31</v>
      </c>
      <c r="AT18" s="28" t="s">
        <v>123</v>
      </c>
      <c r="AU18" s="28" t="s">
        <v>6</v>
      </c>
      <c r="AV18" s="141"/>
      <c r="AY18" s="196"/>
      <c r="AZ18" s="28"/>
      <c r="BA18" s="141"/>
      <c r="BB18" s="138"/>
      <c r="BC18" s="43"/>
      <c r="BD18" s="141"/>
      <c r="BE18" s="43"/>
      <c r="BF18" s="141"/>
      <c r="BG18" s="28"/>
      <c r="BH18" s="28"/>
      <c r="BI18" s="141"/>
      <c r="BJ18" s="28"/>
    </row>
    <row r="19" spans="1:62" x14ac:dyDescent="0.3">
      <c r="A19" s="42"/>
      <c r="B19" s="138"/>
      <c r="C19" s="28"/>
      <c r="D19" s="138"/>
      <c r="E19" s="28"/>
      <c r="F19" s="28"/>
      <c r="G19" s="138"/>
      <c r="H19" s="67">
        <v>9</v>
      </c>
      <c r="I19" s="28" t="s">
        <v>958</v>
      </c>
      <c r="J19" s="40">
        <f>SUM(H18:H19)</f>
        <v>31</v>
      </c>
      <c r="M19" s="42"/>
      <c r="N19" s="138"/>
      <c r="O19" s="196"/>
      <c r="P19" s="138"/>
      <c r="Q19" s="196"/>
      <c r="R19" s="141"/>
      <c r="S19" s="138"/>
      <c r="T19" s="138"/>
      <c r="U19" s="42"/>
      <c r="V19" s="40"/>
      <c r="Y19" s="41" t="s">
        <v>107</v>
      </c>
      <c r="Z19">
        <v>317</v>
      </c>
      <c r="AA19">
        <v>395</v>
      </c>
      <c r="AB19" s="42">
        <v>0</v>
      </c>
      <c r="AC19" s="43">
        <v>0</v>
      </c>
      <c r="AD19" s="40">
        <v>0</v>
      </c>
      <c r="AE19" s="43">
        <v>0</v>
      </c>
      <c r="AF19" s="43">
        <v>0</v>
      </c>
      <c r="AG19" s="41">
        <v>0</v>
      </c>
      <c r="AH19" s="42">
        <v>3</v>
      </c>
      <c r="AI19" s="43" t="s">
        <v>145</v>
      </c>
      <c r="AJ19" s="40"/>
      <c r="AM19" s="138" t="s">
        <v>128</v>
      </c>
      <c r="AN19" s="138">
        <v>4</v>
      </c>
      <c r="AO19" s="141">
        <v>0</v>
      </c>
      <c r="AP19" s="138"/>
      <c r="AQ19" s="141"/>
      <c r="AR19" s="28"/>
      <c r="AS19" s="43">
        <v>49</v>
      </c>
      <c r="AT19" s="28" t="s">
        <v>126</v>
      </c>
      <c r="AU19" s="28"/>
      <c r="AV19" s="141"/>
      <c r="AY19" s="196" t="s">
        <v>99</v>
      </c>
      <c r="AZ19" s="43"/>
      <c r="BA19" s="141"/>
      <c r="BB19" s="138"/>
      <c r="BC19" s="43"/>
      <c r="BD19" s="141"/>
      <c r="BE19" s="43">
        <v>70655</v>
      </c>
      <c r="BF19" s="141">
        <v>22000</v>
      </c>
      <c r="BG19" s="43"/>
      <c r="BH19" s="43"/>
      <c r="BI19" s="141"/>
      <c r="BJ19" s="28"/>
    </row>
    <row r="20" spans="1:62" ht="15" thickBot="1" x14ac:dyDescent="0.35">
      <c r="A20" s="278" t="s">
        <v>108</v>
      </c>
      <c r="B20" s="134">
        <v>0</v>
      </c>
      <c r="C20" s="136">
        <v>0</v>
      </c>
      <c r="D20" s="135">
        <v>0</v>
      </c>
      <c r="E20" s="243">
        <v>0</v>
      </c>
      <c r="F20" s="135">
        <v>0</v>
      </c>
      <c r="G20" s="134">
        <v>1</v>
      </c>
      <c r="H20" s="278" t="s">
        <v>104</v>
      </c>
      <c r="I20" s="135"/>
      <c r="J20" s="279"/>
      <c r="M20" s="244"/>
      <c r="N20" s="142"/>
      <c r="O20" s="199"/>
      <c r="P20" s="142"/>
      <c r="Q20" s="199"/>
      <c r="R20" s="146"/>
      <c r="S20" s="142"/>
      <c r="T20" s="142"/>
      <c r="U20" s="244"/>
      <c r="V20" s="245"/>
      <c r="Y20" s="46" t="s">
        <v>84</v>
      </c>
      <c r="Z20" s="48">
        <f>SUM(Z18:Z19)</f>
        <v>317</v>
      </c>
      <c r="AA20" s="48">
        <f>SUM(AA18:AA19)</f>
        <v>395</v>
      </c>
      <c r="AB20" s="47">
        <v>0</v>
      </c>
      <c r="AC20" s="48">
        <v>0</v>
      </c>
      <c r="AD20" s="49">
        <v>0</v>
      </c>
      <c r="AE20" s="48">
        <v>0</v>
      </c>
      <c r="AF20" s="48">
        <v>0</v>
      </c>
      <c r="AG20" s="46">
        <v>0</v>
      </c>
      <c r="AH20" s="47">
        <v>6</v>
      </c>
      <c r="AI20" s="48" t="s">
        <v>141</v>
      </c>
      <c r="AJ20" s="49">
        <f>SUM(AH19:AH20)</f>
        <v>9</v>
      </c>
      <c r="AM20" s="138" t="s">
        <v>115</v>
      </c>
      <c r="AN20" s="138">
        <v>38</v>
      </c>
      <c r="AO20" s="141">
        <v>56</v>
      </c>
      <c r="AP20" s="138"/>
      <c r="AQ20" s="141"/>
      <c r="AR20" s="28"/>
      <c r="AS20" s="43">
        <v>21</v>
      </c>
      <c r="AT20" s="28" t="s">
        <v>129</v>
      </c>
      <c r="AU20" s="28" t="s">
        <v>6</v>
      </c>
      <c r="AV20" s="141"/>
      <c r="AY20" s="239" t="s">
        <v>84</v>
      </c>
      <c r="AZ20" s="43"/>
      <c r="BA20" s="209"/>
      <c r="BB20" s="138"/>
      <c r="BC20" s="43"/>
      <c r="BD20" s="141"/>
      <c r="BE20" s="43">
        <f>SUM(BE14:BE19)</f>
        <v>70655</v>
      </c>
      <c r="BF20" s="209">
        <f>SUM(BF14:BF19)</f>
        <v>22000</v>
      </c>
      <c r="BG20" s="28"/>
      <c r="BH20" s="43"/>
      <c r="BI20" s="141">
        <f>SUM(BG15:BG17)</f>
        <v>22</v>
      </c>
      <c r="BJ20" s="28"/>
    </row>
    <row r="21" spans="1:62" x14ac:dyDescent="0.3">
      <c r="A21" s="42" t="s">
        <v>109</v>
      </c>
      <c r="B21" s="138">
        <v>1907</v>
      </c>
      <c r="C21" s="141">
        <v>2146</v>
      </c>
      <c r="D21" s="28">
        <v>0</v>
      </c>
      <c r="E21" s="343">
        <v>682</v>
      </c>
      <c r="F21" s="43">
        <v>0</v>
      </c>
      <c r="G21" s="138"/>
      <c r="H21" s="67">
        <v>9</v>
      </c>
      <c r="I21" s="28" t="s">
        <v>114</v>
      </c>
      <c r="J21" s="40"/>
      <c r="M21" s="278"/>
      <c r="N21" s="134"/>
      <c r="O21" s="195"/>
      <c r="P21" s="134"/>
      <c r="Q21" s="195"/>
      <c r="R21" s="136"/>
      <c r="S21" s="134"/>
      <c r="T21" s="134"/>
      <c r="U21" s="278" t="s">
        <v>104</v>
      </c>
      <c r="V21" s="279"/>
      <c r="Y21" s="42"/>
      <c r="Z21" s="33"/>
      <c r="AA21" s="35"/>
      <c r="AB21" s="33"/>
      <c r="AC21" s="34"/>
      <c r="AD21" s="35"/>
      <c r="AE21" s="33"/>
      <c r="AF21" s="35"/>
      <c r="AG21" s="43"/>
      <c r="AH21" s="33" t="s">
        <v>90</v>
      </c>
      <c r="AI21" s="34"/>
      <c r="AJ21" s="35"/>
      <c r="AM21" s="138" t="s">
        <v>1396</v>
      </c>
      <c r="AN21" s="138">
        <v>14</v>
      </c>
      <c r="AO21" s="141">
        <v>2</v>
      </c>
      <c r="AP21" s="138"/>
      <c r="AQ21" s="141"/>
      <c r="AR21" s="28"/>
      <c r="AS21" s="28"/>
      <c r="AT21" s="28"/>
      <c r="AU21" s="28"/>
      <c r="AV21" s="141"/>
      <c r="AY21" s="233"/>
      <c r="AZ21" s="134"/>
      <c r="BA21" s="136"/>
      <c r="BB21" s="134"/>
      <c r="BC21" s="135"/>
      <c r="BD21" s="136"/>
      <c r="BE21" s="134"/>
      <c r="BF21" s="136"/>
      <c r="BG21" s="134"/>
      <c r="BH21" s="135" t="s">
        <v>91</v>
      </c>
      <c r="BI21" s="136"/>
      <c r="BJ21" s="28"/>
    </row>
    <row r="22" spans="1:62" x14ac:dyDescent="0.3">
      <c r="A22" s="42" t="s">
        <v>84</v>
      </c>
      <c r="B22" s="138">
        <f>SUM(B20:B21)</f>
        <v>1907</v>
      </c>
      <c r="C22" s="141">
        <f>SUM(C20:C21)</f>
        <v>2146</v>
      </c>
      <c r="D22" s="28">
        <v>0</v>
      </c>
      <c r="E22" s="343">
        <f>SUM(E21)</f>
        <v>682</v>
      </c>
      <c r="F22" s="43">
        <v>0</v>
      </c>
      <c r="G22" s="138"/>
      <c r="H22" s="42"/>
      <c r="I22" s="28"/>
      <c r="J22" s="40"/>
      <c r="M22" s="42" t="s">
        <v>109</v>
      </c>
      <c r="N22" s="138">
        <v>0</v>
      </c>
      <c r="O22" s="196">
        <v>0</v>
      </c>
      <c r="P22" s="138">
        <v>0</v>
      </c>
      <c r="Q22" s="196">
        <v>0</v>
      </c>
      <c r="R22" s="141">
        <v>0</v>
      </c>
      <c r="S22" s="138">
        <v>0</v>
      </c>
      <c r="T22" s="138">
        <v>0</v>
      </c>
      <c r="U22" s="42"/>
      <c r="V22" s="40"/>
      <c r="Y22" s="42"/>
      <c r="Z22" s="42"/>
      <c r="AA22" s="40"/>
      <c r="AB22" s="42"/>
      <c r="AC22" s="43"/>
      <c r="AD22" s="40"/>
      <c r="AE22" s="42"/>
      <c r="AF22" s="40"/>
      <c r="AG22" s="43"/>
      <c r="AH22" s="67">
        <v>1</v>
      </c>
      <c r="AI22" s="28" t="s">
        <v>145</v>
      </c>
      <c r="AJ22" s="40"/>
      <c r="AM22" s="138" t="s">
        <v>1599</v>
      </c>
      <c r="AN22" s="138">
        <v>6</v>
      </c>
      <c r="AO22" s="141">
        <v>0</v>
      </c>
      <c r="AP22" s="138"/>
      <c r="AQ22" s="141"/>
      <c r="AR22" s="28"/>
      <c r="AS22" s="28"/>
      <c r="AT22" s="28"/>
      <c r="AU22" s="28"/>
      <c r="AV22" s="141" t="s">
        <v>6</v>
      </c>
      <c r="AY22" s="196"/>
      <c r="AZ22" s="212"/>
      <c r="BA22" s="141"/>
      <c r="BB22" s="138"/>
      <c r="BC22" s="43"/>
      <c r="BD22" s="141"/>
      <c r="BE22" s="138"/>
      <c r="BF22" s="209"/>
      <c r="BG22" s="212"/>
      <c r="BH22" s="43"/>
      <c r="BI22" s="141"/>
      <c r="BJ22" s="28"/>
    </row>
    <row r="23" spans="1:62" x14ac:dyDescent="0.3">
      <c r="A23" s="42"/>
      <c r="B23" s="138"/>
      <c r="C23" s="141"/>
      <c r="D23" s="28"/>
      <c r="E23" s="28"/>
      <c r="F23" s="28"/>
      <c r="G23" s="138"/>
      <c r="H23" s="42"/>
      <c r="I23" s="28"/>
      <c r="J23" s="40">
        <f>SUM(H21)</f>
        <v>9</v>
      </c>
      <c r="M23" s="244"/>
      <c r="N23" s="142"/>
      <c r="O23" s="199"/>
      <c r="P23" s="142"/>
      <c r="Q23" s="199"/>
      <c r="R23" s="146"/>
      <c r="S23" s="142"/>
      <c r="T23" s="142"/>
      <c r="U23" s="244"/>
      <c r="V23" s="245"/>
      <c r="Y23" s="67" t="s">
        <v>89</v>
      </c>
      <c r="Z23" s="67">
        <v>39</v>
      </c>
      <c r="AA23" s="56">
        <v>42</v>
      </c>
      <c r="AB23" s="42">
        <v>0</v>
      </c>
      <c r="AC23" s="43">
        <v>0</v>
      </c>
      <c r="AD23" s="40">
        <v>0</v>
      </c>
      <c r="AE23" s="42">
        <v>0</v>
      </c>
      <c r="AF23" s="40">
        <v>0</v>
      </c>
      <c r="AG23" s="43">
        <v>0</v>
      </c>
      <c r="AH23" s="67"/>
      <c r="AI23" s="43"/>
      <c r="AJ23" s="40"/>
      <c r="AM23" s="138" t="s">
        <v>122</v>
      </c>
      <c r="AN23" s="138">
        <v>16</v>
      </c>
      <c r="AO23" s="141">
        <v>16</v>
      </c>
      <c r="AP23" s="138"/>
      <c r="AQ23" s="141"/>
      <c r="AR23" s="28"/>
      <c r="AS23" s="28"/>
      <c r="AT23" s="28"/>
      <c r="AU23" s="28"/>
      <c r="AV23" s="141"/>
      <c r="AY23" s="211"/>
      <c r="AZ23" s="212"/>
      <c r="BA23" s="209"/>
      <c r="BB23" s="138"/>
      <c r="BC23" s="43"/>
      <c r="BD23" s="141"/>
      <c r="BE23" s="138"/>
      <c r="BF23" s="209"/>
      <c r="BG23" s="138"/>
      <c r="BH23" s="43"/>
      <c r="BI23" s="141"/>
      <c r="BJ23" s="28"/>
    </row>
    <row r="24" spans="1:62" ht="15" thickBot="1" x14ac:dyDescent="0.35">
      <c r="A24" s="278"/>
      <c r="B24" s="134"/>
      <c r="C24" s="242"/>
      <c r="D24" s="135"/>
      <c r="E24" s="135"/>
      <c r="F24" s="135"/>
      <c r="G24" s="134"/>
      <c r="H24" s="278" t="s">
        <v>118</v>
      </c>
      <c r="I24" s="135"/>
      <c r="J24" s="279"/>
      <c r="M24" s="278" t="s">
        <v>93</v>
      </c>
      <c r="N24" s="134">
        <v>0</v>
      </c>
      <c r="O24" s="195">
        <v>0</v>
      </c>
      <c r="P24" s="134">
        <v>0</v>
      </c>
      <c r="Q24" s="195">
        <v>0</v>
      </c>
      <c r="R24" s="136">
        <v>0</v>
      </c>
      <c r="S24" s="134">
        <v>0</v>
      </c>
      <c r="T24" s="134">
        <v>0</v>
      </c>
      <c r="U24" s="278" t="s">
        <v>116</v>
      </c>
      <c r="V24" s="279"/>
      <c r="Y24" s="42" t="s">
        <v>84</v>
      </c>
      <c r="Z24" s="42">
        <f>SUM(Z21:Z23)</f>
        <v>39</v>
      </c>
      <c r="AA24" s="40">
        <f>SUM(AA21:AA23)</f>
        <v>42</v>
      </c>
      <c r="AB24" s="42">
        <v>0</v>
      </c>
      <c r="AC24" s="28">
        <v>0</v>
      </c>
      <c r="AD24" s="40">
        <v>0</v>
      </c>
      <c r="AE24" s="42">
        <v>0</v>
      </c>
      <c r="AF24" s="40">
        <v>0</v>
      </c>
      <c r="AG24" s="43">
        <v>0</v>
      </c>
      <c r="AH24" s="67"/>
      <c r="AI24" s="28"/>
      <c r="AJ24" s="40">
        <f>SUM(AH22:AH23)</f>
        <v>1</v>
      </c>
      <c r="AM24" s="138" t="s">
        <v>230</v>
      </c>
      <c r="AN24" s="138">
        <v>0</v>
      </c>
      <c r="AO24" s="141">
        <v>0</v>
      </c>
      <c r="AP24" s="138"/>
      <c r="AQ24" s="141"/>
      <c r="AR24" s="28"/>
      <c r="AS24" s="28"/>
      <c r="AT24" s="28"/>
      <c r="AU24" s="28"/>
      <c r="AV24" s="141"/>
      <c r="AY24" s="211"/>
      <c r="AZ24" s="212"/>
      <c r="BA24" s="141"/>
      <c r="BB24" s="138"/>
      <c r="BC24" s="43"/>
      <c r="BD24" s="141"/>
      <c r="BE24" s="138"/>
      <c r="BF24" s="209"/>
      <c r="BG24" s="212"/>
      <c r="BH24" s="28"/>
      <c r="BI24" s="141"/>
      <c r="BJ24" s="28"/>
    </row>
    <row r="25" spans="1:62" x14ac:dyDescent="0.3">
      <c r="A25" s="42" t="s">
        <v>785</v>
      </c>
      <c r="B25" s="138">
        <v>1304</v>
      </c>
      <c r="C25" s="209">
        <v>1409</v>
      </c>
      <c r="D25" s="28">
        <v>0</v>
      </c>
      <c r="E25" s="38">
        <v>0</v>
      </c>
      <c r="F25" s="43">
        <v>0</v>
      </c>
      <c r="G25" s="138">
        <v>1</v>
      </c>
      <c r="H25" s="42">
        <v>87</v>
      </c>
      <c r="I25" s="28" t="s">
        <v>101</v>
      </c>
      <c r="J25" s="40"/>
      <c r="M25" s="42" t="s">
        <v>99</v>
      </c>
      <c r="N25" s="138">
        <v>7835</v>
      </c>
      <c r="O25" s="196">
        <v>11361</v>
      </c>
      <c r="P25" s="138">
        <v>0</v>
      </c>
      <c r="Q25" s="196">
        <v>0</v>
      </c>
      <c r="R25" s="141">
        <v>0</v>
      </c>
      <c r="S25" s="138">
        <v>6174</v>
      </c>
      <c r="T25" s="138">
        <v>192</v>
      </c>
      <c r="U25" s="42"/>
      <c r="V25" s="40"/>
      <c r="Y25" s="33"/>
      <c r="Z25" s="33"/>
      <c r="AA25" s="35"/>
      <c r="AB25" s="34"/>
      <c r="AC25" s="34"/>
      <c r="AD25" s="34"/>
      <c r="AE25" s="33"/>
      <c r="AF25" s="35"/>
      <c r="AG25" s="32"/>
      <c r="AH25" s="34"/>
      <c r="AI25" s="34"/>
      <c r="AJ25" s="35"/>
      <c r="AM25" s="138" t="s">
        <v>63</v>
      </c>
      <c r="AN25" s="138">
        <v>85</v>
      </c>
      <c r="AO25" s="141">
        <v>116</v>
      </c>
      <c r="AP25" s="138"/>
      <c r="AQ25" s="141"/>
      <c r="AR25" s="28"/>
      <c r="AS25" s="28"/>
      <c r="AT25" s="28"/>
      <c r="AU25" s="28"/>
      <c r="AV25" s="141"/>
      <c r="AY25" s="211" t="s">
        <v>137</v>
      </c>
      <c r="AZ25" s="212">
        <v>1331</v>
      </c>
      <c r="BA25" s="209">
        <v>1040</v>
      </c>
      <c r="BB25" s="138">
        <v>0</v>
      </c>
      <c r="BC25" s="43">
        <v>0</v>
      </c>
      <c r="BD25" s="141">
        <v>0</v>
      </c>
      <c r="BE25" s="138">
        <v>0</v>
      </c>
      <c r="BF25" s="209">
        <v>0</v>
      </c>
      <c r="BG25" s="138">
        <v>54</v>
      </c>
      <c r="BH25" s="43" t="s">
        <v>1292</v>
      </c>
      <c r="BI25" s="141"/>
      <c r="BJ25" s="28"/>
    </row>
    <row r="26" spans="1:62" x14ac:dyDescent="0.3">
      <c r="A26" s="42" t="s">
        <v>93</v>
      </c>
      <c r="B26" s="212">
        <v>8101</v>
      </c>
      <c r="C26" s="209">
        <v>9002</v>
      </c>
      <c r="D26" s="28">
        <v>0</v>
      </c>
      <c r="E26" s="38">
        <v>0</v>
      </c>
      <c r="F26" s="43">
        <v>0</v>
      </c>
      <c r="G26" s="212"/>
      <c r="H26" s="42">
        <v>44</v>
      </c>
      <c r="I26" s="28" t="s">
        <v>927</v>
      </c>
      <c r="J26" s="40"/>
      <c r="M26" s="42" t="s">
        <v>120</v>
      </c>
      <c r="N26" s="138">
        <v>0</v>
      </c>
      <c r="O26" s="196">
        <v>0</v>
      </c>
      <c r="P26" s="138">
        <v>0</v>
      </c>
      <c r="Q26" s="196">
        <v>0</v>
      </c>
      <c r="R26" s="141">
        <v>0</v>
      </c>
      <c r="S26" s="138">
        <v>0</v>
      </c>
      <c r="T26" s="138">
        <v>0</v>
      </c>
      <c r="U26" s="42"/>
      <c r="V26" s="40"/>
      <c r="Y26" s="42"/>
      <c r="Z26" s="42"/>
      <c r="AA26" s="40"/>
      <c r="AB26" s="43"/>
      <c r="AC26" s="43"/>
      <c r="AD26" s="43"/>
      <c r="AE26" s="42"/>
      <c r="AF26" s="40"/>
      <c r="AG26" s="41"/>
      <c r="AH26" s="28" t="s">
        <v>953</v>
      </c>
      <c r="AI26" s="28"/>
      <c r="AJ26" s="40"/>
      <c r="AM26" s="142" t="s">
        <v>84</v>
      </c>
      <c r="AN26" s="142">
        <f>SUM(AN13:AN25)</f>
        <v>339</v>
      </c>
      <c r="AO26" s="146">
        <f>SUM(AO13:AO25)</f>
        <v>344</v>
      </c>
      <c r="AP26" s="142"/>
      <c r="AQ26" s="146"/>
      <c r="AR26" s="143"/>
      <c r="AS26" s="143"/>
      <c r="AT26" s="143"/>
      <c r="AU26" s="143"/>
      <c r="AV26" s="146">
        <f>SUM(AS18:AS20)</f>
        <v>101</v>
      </c>
      <c r="AY26" s="211" t="s">
        <v>88</v>
      </c>
      <c r="AZ26" s="212">
        <v>253</v>
      </c>
      <c r="BA26" s="209">
        <v>520</v>
      </c>
      <c r="BB26" s="138">
        <v>0</v>
      </c>
      <c r="BC26" s="43">
        <v>0</v>
      </c>
      <c r="BD26" s="141">
        <v>0</v>
      </c>
      <c r="BE26" s="138">
        <v>0</v>
      </c>
      <c r="BF26" s="209">
        <v>0</v>
      </c>
      <c r="BG26" s="138">
        <v>72</v>
      </c>
      <c r="BH26" s="43" t="s">
        <v>359</v>
      </c>
      <c r="BI26" s="141"/>
      <c r="BJ26" s="28"/>
    </row>
    <row r="27" spans="1:62" x14ac:dyDescent="0.3">
      <c r="A27" s="42" t="s">
        <v>120</v>
      </c>
      <c r="B27" s="138">
        <v>8401</v>
      </c>
      <c r="C27" s="141">
        <v>9293</v>
      </c>
      <c r="D27" s="28">
        <v>0</v>
      </c>
      <c r="E27" s="38">
        <v>0</v>
      </c>
      <c r="F27" s="43">
        <v>0</v>
      </c>
      <c r="G27" s="138"/>
      <c r="H27" s="42">
        <v>27</v>
      </c>
      <c r="I27" s="28" t="s">
        <v>127</v>
      </c>
      <c r="J27" s="40"/>
      <c r="M27" s="244" t="s">
        <v>84</v>
      </c>
      <c r="N27" s="142">
        <f>SUM(N24:N26)</f>
        <v>7835</v>
      </c>
      <c r="O27" s="199">
        <f>SUM(O24:O26)</f>
        <v>11361</v>
      </c>
      <c r="P27" s="142">
        <v>0</v>
      </c>
      <c r="Q27" s="199">
        <v>0</v>
      </c>
      <c r="R27" s="146">
        <v>0</v>
      </c>
      <c r="S27" s="142">
        <f>SUM(S24:S26)</f>
        <v>6174</v>
      </c>
      <c r="T27" s="142">
        <f>SUM(T24:T26)</f>
        <v>192</v>
      </c>
      <c r="U27" s="244"/>
      <c r="V27" s="245"/>
      <c r="Y27" s="42"/>
      <c r="Z27" s="42"/>
      <c r="AA27" s="40"/>
      <c r="AB27" s="43"/>
      <c r="AC27" s="43"/>
      <c r="AD27" s="43"/>
      <c r="AE27" s="42"/>
      <c r="AF27" s="40"/>
      <c r="AG27" s="41"/>
      <c r="AH27" s="43">
        <v>8</v>
      </c>
      <c r="AI27" s="28" t="s">
        <v>141</v>
      </c>
      <c r="AJ27" s="40"/>
      <c r="AM27" s="134"/>
      <c r="AN27" s="134"/>
      <c r="AO27" s="136"/>
      <c r="AP27" s="134"/>
      <c r="AQ27" s="136"/>
      <c r="AR27" s="135"/>
      <c r="AS27" s="135"/>
      <c r="AT27" s="135"/>
      <c r="AU27" s="135"/>
      <c r="AV27" s="136"/>
      <c r="AY27" s="211" t="s">
        <v>97</v>
      </c>
      <c r="AZ27" s="212">
        <v>2500</v>
      </c>
      <c r="BA27" s="209">
        <v>2170</v>
      </c>
      <c r="BB27" s="138">
        <v>0</v>
      </c>
      <c r="BC27" s="43">
        <v>0</v>
      </c>
      <c r="BD27" s="141">
        <v>0</v>
      </c>
      <c r="BE27" s="138">
        <v>0</v>
      </c>
      <c r="BF27" s="209">
        <v>0</v>
      </c>
      <c r="BG27" s="138">
        <v>2</v>
      </c>
      <c r="BH27" s="43" t="s">
        <v>1026</v>
      </c>
      <c r="BI27" s="141"/>
      <c r="BJ27" s="28"/>
    </row>
    <row r="28" spans="1:62" x14ac:dyDescent="0.3">
      <c r="A28" s="67" t="s">
        <v>429</v>
      </c>
      <c r="B28" s="212">
        <v>2023</v>
      </c>
      <c r="C28" s="209">
        <v>2372</v>
      </c>
      <c r="D28" s="43">
        <v>0</v>
      </c>
      <c r="E28" s="38">
        <v>0</v>
      </c>
      <c r="F28" s="43">
        <v>0</v>
      </c>
      <c r="G28" s="138"/>
      <c r="H28" s="42"/>
      <c r="I28" s="28"/>
      <c r="J28" s="40"/>
      <c r="M28" s="278"/>
      <c r="N28" s="134"/>
      <c r="O28" s="195"/>
      <c r="P28" s="134"/>
      <c r="Q28" s="195"/>
      <c r="R28" s="136"/>
      <c r="S28" s="134"/>
      <c r="T28" s="134"/>
      <c r="U28" s="278"/>
      <c r="V28" s="279"/>
      <c r="Y28" s="42" t="s">
        <v>89</v>
      </c>
      <c r="Z28" s="42">
        <v>442</v>
      </c>
      <c r="AA28" s="40">
        <v>349</v>
      </c>
      <c r="AB28" s="43">
        <v>0</v>
      </c>
      <c r="AC28" s="43">
        <v>0</v>
      </c>
      <c r="AD28" s="43">
        <v>0</v>
      </c>
      <c r="AE28" s="42">
        <v>0</v>
      </c>
      <c r="AF28" s="40">
        <v>0</v>
      </c>
      <c r="AG28" s="41">
        <v>0</v>
      </c>
      <c r="AH28" s="43"/>
      <c r="AI28" s="43"/>
      <c r="AJ28" s="40"/>
      <c r="AM28" s="138"/>
      <c r="AN28" s="138"/>
      <c r="AO28" s="141"/>
      <c r="AP28" s="138"/>
      <c r="AQ28" s="141"/>
      <c r="AR28" s="28"/>
      <c r="AS28" s="28"/>
      <c r="AT28" s="28"/>
      <c r="AU28" s="28"/>
      <c r="AV28" s="141"/>
      <c r="AY28" s="211" t="s">
        <v>113</v>
      </c>
      <c r="AZ28" s="212">
        <v>674</v>
      </c>
      <c r="BA28" s="209">
        <v>591</v>
      </c>
      <c r="BB28" s="212">
        <v>0</v>
      </c>
      <c r="BC28" s="43">
        <v>0</v>
      </c>
      <c r="BD28" s="209">
        <v>0</v>
      </c>
      <c r="BE28" s="212">
        <v>0</v>
      </c>
      <c r="BF28" s="209">
        <v>0</v>
      </c>
      <c r="BG28" s="138"/>
      <c r="BH28" s="43"/>
      <c r="BI28" s="141"/>
      <c r="BJ28" s="28"/>
    </row>
    <row r="29" spans="1:62" ht="15" thickBot="1" x14ac:dyDescent="0.35">
      <c r="A29" s="244" t="s">
        <v>84</v>
      </c>
      <c r="B29" s="142">
        <f>SUM(B24:B28)</f>
        <v>19829</v>
      </c>
      <c r="C29" s="146">
        <f>SUM(C24:C28)</f>
        <v>22076</v>
      </c>
      <c r="D29" s="143">
        <v>0</v>
      </c>
      <c r="E29" s="345">
        <v>0</v>
      </c>
      <c r="F29" s="143">
        <v>0</v>
      </c>
      <c r="G29" s="142"/>
      <c r="H29" s="244"/>
      <c r="I29" s="143"/>
      <c r="J29" s="245">
        <f>SUM(H25:H27)</f>
        <v>158</v>
      </c>
      <c r="M29" s="42" t="s">
        <v>105</v>
      </c>
      <c r="N29" s="138">
        <v>737</v>
      </c>
      <c r="O29" s="196">
        <v>0</v>
      </c>
      <c r="P29" s="138">
        <v>0</v>
      </c>
      <c r="Q29" s="196">
        <v>0</v>
      </c>
      <c r="R29" s="141">
        <v>0</v>
      </c>
      <c r="S29" s="138">
        <v>0</v>
      </c>
      <c r="T29" s="138">
        <v>0</v>
      </c>
      <c r="U29" s="42"/>
      <c r="V29" s="40"/>
      <c r="Y29" s="47" t="s">
        <v>84</v>
      </c>
      <c r="Z29" s="72">
        <f>SUM(Z25:Z28)</f>
        <v>442</v>
      </c>
      <c r="AA29" s="49">
        <f>SUM(AA25:AA28)</f>
        <v>349</v>
      </c>
      <c r="AB29" s="51">
        <v>0</v>
      </c>
      <c r="AC29" s="48">
        <v>0</v>
      </c>
      <c r="AD29" s="48">
        <v>0</v>
      </c>
      <c r="AE29" s="47">
        <v>0</v>
      </c>
      <c r="AF29" s="49">
        <v>0</v>
      </c>
      <c r="AG29" s="46">
        <v>0</v>
      </c>
      <c r="AH29" s="48"/>
      <c r="AI29" s="48"/>
      <c r="AJ29" s="49">
        <f>SUM(AH27:AH28)</f>
        <v>8</v>
      </c>
      <c r="AM29" s="138"/>
      <c r="AN29" s="138"/>
      <c r="AO29" s="141"/>
      <c r="AP29" s="138"/>
      <c r="AQ29" s="141"/>
      <c r="AR29" s="28"/>
      <c r="AS29" s="28"/>
      <c r="AT29" s="28"/>
      <c r="AU29" s="28"/>
      <c r="AV29" s="141"/>
      <c r="AY29" s="211" t="s">
        <v>89</v>
      </c>
      <c r="AZ29" s="212">
        <f>2089+63</f>
        <v>2152</v>
      </c>
      <c r="BA29" s="209">
        <v>1645</v>
      </c>
      <c r="BB29" s="138">
        <v>0</v>
      </c>
      <c r="BC29" s="43">
        <v>0</v>
      </c>
      <c r="BD29" s="141">
        <v>0</v>
      </c>
      <c r="BE29" s="138">
        <v>0</v>
      </c>
      <c r="BF29" s="141">
        <v>0</v>
      </c>
      <c r="BG29" s="138"/>
      <c r="BH29" s="28"/>
      <c r="BI29" s="141"/>
      <c r="BJ29" s="28"/>
    </row>
    <row r="30" spans="1:62" x14ac:dyDescent="0.3">
      <c r="A30" s="42" t="s">
        <v>93</v>
      </c>
      <c r="B30" s="138">
        <v>0</v>
      </c>
      <c r="C30" s="209">
        <v>0</v>
      </c>
      <c r="D30" s="138">
        <v>0</v>
      </c>
      <c r="E30" s="38">
        <v>0</v>
      </c>
      <c r="F30" s="43">
        <v>0</v>
      </c>
      <c r="G30" s="138">
        <v>1</v>
      </c>
      <c r="H30" s="42" t="s">
        <v>116</v>
      </c>
      <c r="I30" s="28"/>
      <c r="J30" s="40"/>
      <c r="M30" s="42" t="s">
        <v>99</v>
      </c>
      <c r="N30" s="138">
        <v>0</v>
      </c>
      <c r="O30" s="196">
        <v>0</v>
      </c>
      <c r="P30" s="138">
        <v>0</v>
      </c>
      <c r="Q30" s="196">
        <v>0</v>
      </c>
      <c r="R30" s="141">
        <v>0</v>
      </c>
      <c r="S30" s="138">
        <v>0</v>
      </c>
      <c r="T30" s="138">
        <v>0</v>
      </c>
      <c r="U30" s="42" t="s">
        <v>135</v>
      </c>
      <c r="V30" s="40"/>
      <c r="Y30" s="32"/>
      <c r="Z30" s="33"/>
      <c r="AA30" s="35"/>
      <c r="AB30" s="53"/>
      <c r="AC30" s="123"/>
      <c r="AD30" s="97"/>
      <c r="AE30" s="33"/>
      <c r="AF30" s="35"/>
      <c r="AG30" s="32"/>
      <c r="AH30" s="33" t="s">
        <v>149</v>
      </c>
      <c r="AI30" s="34"/>
      <c r="AJ30" s="35"/>
      <c r="AM30" s="138"/>
      <c r="AN30" s="138"/>
      <c r="AO30" s="141"/>
      <c r="AP30" s="138"/>
      <c r="AQ30" s="141"/>
      <c r="AR30" s="28"/>
      <c r="AS30" s="28"/>
      <c r="AT30" s="28"/>
      <c r="AU30" s="28"/>
      <c r="AV30" s="141"/>
      <c r="AY30" s="211" t="s">
        <v>108</v>
      </c>
      <c r="AZ30" s="138">
        <v>0</v>
      </c>
      <c r="BA30" s="141">
        <v>0</v>
      </c>
      <c r="BB30" s="138">
        <v>0</v>
      </c>
      <c r="BC30" s="43">
        <v>0</v>
      </c>
      <c r="BD30" s="141">
        <v>0</v>
      </c>
      <c r="BE30" s="138">
        <v>0</v>
      </c>
      <c r="BF30" s="141">
        <v>0</v>
      </c>
      <c r="BG30" s="138"/>
      <c r="BH30" s="28"/>
      <c r="BI30" s="141"/>
      <c r="BJ30" s="28"/>
    </row>
    <row r="31" spans="1:62" x14ac:dyDescent="0.3">
      <c r="A31" s="42" t="s">
        <v>99</v>
      </c>
      <c r="B31" s="138">
        <v>13288</v>
      </c>
      <c r="C31" s="209">
        <v>14296</v>
      </c>
      <c r="D31" s="138">
        <v>0</v>
      </c>
      <c r="E31" s="38">
        <v>0</v>
      </c>
      <c r="F31" s="43">
        <v>0</v>
      </c>
      <c r="G31" s="138"/>
      <c r="H31" s="67">
        <v>93</v>
      </c>
      <c r="I31" s="28" t="s">
        <v>188</v>
      </c>
      <c r="J31" s="40"/>
      <c r="M31" s="42"/>
      <c r="N31" s="138"/>
      <c r="O31" s="196"/>
      <c r="P31" s="138"/>
      <c r="Q31" s="196"/>
      <c r="R31" s="141"/>
      <c r="S31" s="138"/>
      <c r="T31" s="138"/>
      <c r="U31" s="42"/>
      <c r="V31" s="40"/>
      <c r="Y31" s="41" t="s">
        <v>99</v>
      </c>
      <c r="Z31" s="42"/>
      <c r="AA31" s="40"/>
      <c r="AB31" s="67">
        <v>0</v>
      </c>
      <c r="AC31" s="43">
        <v>0</v>
      </c>
      <c r="AD31" s="56">
        <v>0</v>
      </c>
      <c r="AE31" s="42">
        <v>17098</v>
      </c>
      <c r="AF31" s="40">
        <v>1326</v>
      </c>
      <c r="AG31" s="41">
        <v>0</v>
      </c>
      <c r="AH31" s="67">
        <v>2</v>
      </c>
      <c r="AI31" s="28" t="s">
        <v>1317</v>
      </c>
      <c r="AJ31" s="40"/>
      <c r="AM31" s="142"/>
      <c r="AN31" s="142"/>
      <c r="AO31" s="146"/>
      <c r="AP31" s="142"/>
      <c r="AQ31" s="146"/>
      <c r="AR31" s="143"/>
      <c r="AS31" s="143"/>
      <c r="AT31" s="143"/>
      <c r="AU31" s="143"/>
      <c r="AV31" s="146"/>
      <c r="AY31" s="211" t="s">
        <v>102</v>
      </c>
      <c r="AZ31" s="142">
        <v>0</v>
      </c>
      <c r="BA31" s="146">
        <v>60</v>
      </c>
      <c r="BB31" s="142">
        <v>0</v>
      </c>
      <c r="BC31" s="224">
        <v>0</v>
      </c>
      <c r="BD31" s="251">
        <v>0</v>
      </c>
      <c r="BE31" s="142">
        <v>0</v>
      </c>
      <c r="BF31" s="146">
        <v>0</v>
      </c>
      <c r="BG31" s="142"/>
      <c r="BH31" s="143"/>
      <c r="BI31" s="146"/>
      <c r="BJ31" s="28"/>
    </row>
    <row r="32" spans="1:62" x14ac:dyDescent="0.3">
      <c r="A32" s="42" t="s">
        <v>120</v>
      </c>
      <c r="B32" s="138">
        <v>0</v>
      </c>
      <c r="C32" s="209">
        <v>0</v>
      </c>
      <c r="D32" s="138">
        <v>0</v>
      </c>
      <c r="E32" s="38">
        <v>0</v>
      </c>
      <c r="F32" s="43">
        <v>0</v>
      </c>
      <c r="G32" s="138"/>
      <c r="H32" s="67"/>
      <c r="I32" s="28"/>
      <c r="J32" s="40"/>
      <c r="M32" s="244" t="s">
        <v>84</v>
      </c>
      <c r="N32" s="142">
        <f>SUM(N29:N30)</f>
        <v>737</v>
      </c>
      <c r="O32" s="199">
        <f>SUM(O29:O30)</f>
        <v>0</v>
      </c>
      <c r="P32" s="142">
        <v>0</v>
      </c>
      <c r="Q32" s="199">
        <v>0</v>
      </c>
      <c r="R32" s="146">
        <v>0</v>
      </c>
      <c r="S32" s="142">
        <f>SUM(S29:S31)</f>
        <v>0</v>
      </c>
      <c r="T32" s="142">
        <f>SUM(T29:T31)</f>
        <v>0</v>
      </c>
      <c r="U32" s="244"/>
      <c r="V32" s="245"/>
      <c r="Y32" s="41" t="s">
        <v>174</v>
      </c>
      <c r="Z32" s="42"/>
      <c r="AA32" s="40"/>
      <c r="AB32" s="67">
        <v>0</v>
      </c>
      <c r="AC32" s="43">
        <v>0</v>
      </c>
      <c r="AD32" s="56">
        <v>0</v>
      </c>
      <c r="AE32" s="42">
        <v>8344</v>
      </c>
      <c r="AF32" s="40">
        <v>0</v>
      </c>
      <c r="AG32" s="41">
        <v>0</v>
      </c>
      <c r="AH32" s="67"/>
      <c r="AI32" s="43"/>
      <c r="AJ32" s="40"/>
      <c r="AM32" s="134"/>
      <c r="AN32" s="134"/>
      <c r="AO32" s="136"/>
      <c r="AP32" s="134"/>
      <c r="AQ32" s="136"/>
      <c r="AR32" s="134"/>
      <c r="AS32" s="135" t="s">
        <v>140</v>
      </c>
      <c r="AT32" s="135"/>
      <c r="AU32" s="135"/>
      <c r="AV32" s="136"/>
      <c r="AY32" s="247" t="s">
        <v>84</v>
      </c>
      <c r="AZ32" s="247">
        <f>SUM(AZ21:AZ31)</f>
        <v>6910</v>
      </c>
      <c r="BA32" s="248">
        <f>SUM(BA21:BA31)</f>
        <v>6026</v>
      </c>
      <c r="BB32" s="197">
        <v>0</v>
      </c>
      <c r="BC32" s="198">
        <v>0</v>
      </c>
      <c r="BD32" s="249">
        <v>0</v>
      </c>
      <c r="BE32" s="197">
        <v>0</v>
      </c>
      <c r="BF32" s="249">
        <v>0</v>
      </c>
      <c r="BG32" s="197"/>
      <c r="BH32" s="198"/>
      <c r="BI32" s="249">
        <f>SUM(BG24:BG27)</f>
        <v>128</v>
      </c>
      <c r="BJ32" s="28"/>
    </row>
    <row r="33" spans="1:62" ht="15" thickBot="1" x14ac:dyDescent="0.35">
      <c r="A33" s="42"/>
      <c r="B33" s="138"/>
      <c r="C33" s="28"/>
      <c r="D33" s="138">
        <v>0</v>
      </c>
      <c r="E33" s="38">
        <v>0</v>
      </c>
      <c r="F33" s="43">
        <v>0</v>
      </c>
      <c r="G33" s="138"/>
      <c r="H33" s="67"/>
      <c r="I33" s="28"/>
      <c r="J33" s="40"/>
      <c r="M33" s="42"/>
      <c r="N33" s="138"/>
      <c r="O33" s="196"/>
      <c r="P33" s="138"/>
      <c r="Q33" s="196"/>
      <c r="R33" s="141"/>
      <c r="S33" s="138"/>
      <c r="T33" s="138"/>
      <c r="U33" s="42"/>
      <c r="V33" s="40"/>
      <c r="Y33" s="62" t="s">
        <v>84</v>
      </c>
      <c r="Z33" s="47"/>
      <c r="AA33" s="49"/>
      <c r="AB33" s="47">
        <v>0</v>
      </c>
      <c r="AC33" s="48">
        <v>0</v>
      </c>
      <c r="AD33" s="49">
        <v>0</v>
      </c>
      <c r="AE33" s="47">
        <f>SUM(AE30:AE32)</f>
        <v>25442</v>
      </c>
      <c r="AF33" s="49">
        <f>SUM(AF30:AF32)</f>
        <v>1326</v>
      </c>
      <c r="AG33" s="46">
        <v>0</v>
      </c>
      <c r="AH33" s="47"/>
      <c r="AI33" s="48"/>
      <c r="AJ33" s="49">
        <f>SUM(AH31:AH32)</f>
        <v>2</v>
      </c>
      <c r="AM33" s="138" t="s">
        <v>56</v>
      </c>
      <c r="AN33" s="212">
        <v>27</v>
      </c>
      <c r="AO33" s="141">
        <v>12</v>
      </c>
      <c r="AP33" s="138"/>
      <c r="AQ33" s="141"/>
      <c r="AR33" s="138"/>
      <c r="AS33" s="43" t="s">
        <v>2140</v>
      </c>
      <c r="AT33" s="43" t="s">
        <v>2232</v>
      </c>
      <c r="AU33" s="43"/>
      <c r="AV33" s="141"/>
      <c r="AY33" s="195"/>
      <c r="AZ33" s="134"/>
      <c r="BA33" s="136"/>
      <c r="BB33" s="134"/>
      <c r="BC33" s="135"/>
      <c r="BD33" s="136"/>
      <c r="BE33" s="134"/>
      <c r="BF33" s="136"/>
      <c r="BG33" s="134" t="s">
        <v>1025</v>
      </c>
      <c r="BH33" s="135"/>
      <c r="BI33" s="136"/>
      <c r="BJ33" s="28"/>
    </row>
    <row r="34" spans="1:62" x14ac:dyDescent="0.3">
      <c r="A34" s="244" t="s">
        <v>84</v>
      </c>
      <c r="B34" s="142">
        <f>SUM(B30:B33)</f>
        <v>13288</v>
      </c>
      <c r="C34" s="143">
        <f>SUM(C30:C33)</f>
        <v>14296</v>
      </c>
      <c r="D34" s="142"/>
      <c r="E34" s="143"/>
      <c r="F34" s="143"/>
      <c r="G34" s="142"/>
      <c r="H34" s="244"/>
      <c r="I34" s="143"/>
      <c r="J34" s="245">
        <f>SUM(H31)</f>
        <v>93</v>
      </c>
      <c r="M34" s="42"/>
      <c r="N34" s="138"/>
      <c r="O34" s="196"/>
      <c r="P34" s="138"/>
      <c r="Q34" s="196"/>
      <c r="R34" s="141"/>
      <c r="S34" s="138"/>
      <c r="T34" s="138"/>
      <c r="U34" s="42"/>
      <c r="V34" s="40"/>
      <c r="Y34" s="32" t="s">
        <v>95</v>
      </c>
      <c r="Z34" s="33"/>
      <c r="AA34" s="35"/>
      <c r="AB34" s="33">
        <v>0</v>
      </c>
      <c r="AC34" s="34">
        <v>0</v>
      </c>
      <c r="AD34" s="35">
        <v>0</v>
      </c>
      <c r="AE34" s="33">
        <v>7390</v>
      </c>
      <c r="AF34" s="35">
        <v>0</v>
      </c>
      <c r="AG34" s="32">
        <v>0</v>
      </c>
      <c r="AH34" s="33" t="s">
        <v>157</v>
      </c>
      <c r="AI34" s="34"/>
      <c r="AJ34" s="35"/>
      <c r="AM34" s="138" t="s">
        <v>72</v>
      </c>
      <c r="AN34" s="212">
        <v>68</v>
      </c>
      <c r="AO34" s="141">
        <v>63</v>
      </c>
      <c r="AP34" s="138"/>
      <c r="AQ34" s="141"/>
      <c r="AR34" s="138"/>
      <c r="AS34" s="43" t="s">
        <v>2233</v>
      </c>
      <c r="AT34" s="43" t="s">
        <v>2182</v>
      </c>
      <c r="AU34" s="43"/>
      <c r="AV34" s="141"/>
      <c r="AY34" s="196" t="s">
        <v>64</v>
      </c>
      <c r="AZ34" s="138">
        <v>61</v>
      </c>
      <c r="BA34" s="141">
        <v>94</v>
      </c>
      <c r="BB34" s="138">
        <v>0</v>
      </c>
      <c r="BC34" s="43">
        <v>0</v>
      </c>
      <c r="BD34" s="209">
        <v>0</v>
      </c>
      <c r="BE34" s="138">
        <v>0</v>
      </c>
      <c r="BF34" s="141">
        <v>0</v>
      </c>
      <c r="BG34" s="138">
        <v>6</v>
      </c>
      <c r="BH34" s="28" t="s">
        <v>1026</v>
      </c>
      <c r="BI34" s="141"/>
      <c r="BJ34" s="28"/>
    </row>
    <row r="35" spans="1:62" x14ac:dyDescent="0.3">
      <c r="A35" s="278" t="s">
        <v>105</v>
      </c>
      <c r="B35" s="134">
        <v>1010</v>
      </c>
      <c r="C35" s="135">
        <v>1398</v>
      </c>
      <c r="D35" s="134">
        <v>0</v>
      </c>
      <c r="E35" s="243">
        <v>675</v>
      </c>
      <c r="F35" s="135">
        <v>0</v>
      </c>
      <c r="G35" s="134">
        <v>1</v>
      </c>
      <c r="H35" s="278" t="s">
        <v>162</v>
      </c>
      <c r="I35" s="135"/>
      <c r="J35" s="279"/>
      <c r="M35" s="42"/>
      <c r="N35" s="138"/>
      <c r="O35" s="196"/>
      <c r="P35" s="138"/>
      <c r="Q35" s="196"/>
      <c r="R35" s="141"/>
      <c r="S35" s="138"/>
      <c r="T35" s="138"/>
      <c r="U35" s="42"/>
      <c r="V35" s="40"/>
      <c r="Y35" s="41" t="s">
        <v>88</v>
      </c>
      <c r="Z35" s="42"/>
      <c r="AA35" s="56"/>
      <c r="AB35" s="67">
        <v>0</v>
      </c>
      <c r="AC35" s="43">
        <v>0</v>
      </c>
      <c r="AD35" s="56">
        <v>0</v>
      </c>
      <c r="AE35" s="42">
        <v>13823</v>
      </c>
      <c r="AF35" s="56">
        <v>0</v>
      </c>
      <c r="AG35" s="41">
        <v>0</v>
      </c>
      <c r="AH35" s="67">
        <v>13</v>
      </c>
      <c r="AI35" s="28" t="s">
        <v>1318</v>
      </c>
      <c r="AJ35" s="40"/>
      <c r="AM35" s="138" t="s">
        <v>78</v>
      </c>
      <c r="AN35" s="212">
        <v>67</v>
      </c>
      <c r="AO35" s="141">
        <v>66</v>
      </c>
      <c r="AP35" s="138"/>
      <c r="AQ35" s="141"/>
      <c r="AR35" s="138"/>
      <c r="AS35" s="43" t="s">
        <v>2234</v>
      </c>
      <c r="AT35" s="43" t="s">
        <v>2202</v>
      </c>
      <c r="AU35" s="43"/>
      <c r="AV35" s="141"/>
      <c r="AY35" s="239" t="s">
        <v>84</v>
      </c>
      <c r="AZ35" s="142">
        <f>SUM(AZ33:AZ34)</f>
        <v>61</v>
      </c>
      <c r="BA35" s="146">
        <f>SUM(BA33:BA34)</f>
        <v>94</v>
      </c>
      <c r="BB35" s="142">
        <v>0</v>
      </c>
      <c r="BC35" s="143">
        <v>0</v>
      </c>
      <c r="BD35" s="146">
        <v>0</v>
      </c>
      <c r="BE35" s="142">
        <v>0</v>
      </c>
      <c r="BF35" s="146">
        <v>0</v>
      </c>
      <c r="BG35" s="142"/>
      <c r="BH35" s="143"/>
      <c r="BI35" s="146">
        <f>SUM(BG34)</f>
        <v>6</v>
      </c>
      <c r="BJ35" s="28"/>
    </row>
    <row r="36" spans="1:62" x14ac:dyDescent="0.3">
      <c r="A36" s="42" t="s">
        <v>99</v>
      </c>
      <c r="B36" s="138">
        <v>662</v>
      </c>
      <c r="C36" s="43">
        <v>1015</v>
      </c>
      <c r="D36" s="138">
        <v>0</v>
      </c>
      <c r="E36" s="343">
        <v>808</v>
      </c>
      <c r="F36" s="43">
        <v>0</v>
      </c>
      <c r="G36" s="138"/>
      <c r="H36" s="42"/>
      <c r="I36" s="28"/>
      <c r="J36" s="40"/>
      <c r="M36" s="42"/>
      <c r="N36" s="138"/>
      <c r="O36" s="196"/>
      <c r="P36" s="138"/>
      <c r="Q36" s="196"/>
      <c r="R36" s="141"/>
      <c r="S36" s="138"/>
      <c r="T36" s="138"/>
      <c r="U36" s="42"/>
      <c r="V36" s="40"/>
      <c r="Y36" s="41" t="s">
        <v>85</v>
      </c>
      <c r="Z36" s="42"/>
      <c r="AA36" s="56"/>
      <c r="AB36" s="67">
        <v>0</v>
      </c>
      <c r="AC36" s="43">
        <v>0</v>
      </c>
      <c r="AD36" s="56">
        <v>0</v>
      </c>
      <c r="AE36" s="42">
        <v>7397</v>
      </c>
      <c r="AF36" s="56">
        <v>20986</v>
      </c>
      <c r="AG36" s="41">
        <v>0</v>
      </c>
      <c r="AH36" s="42"/>
      <c r="AI36" s="28"/>
      <c r="AJ36" s="40"/>
      <c r="AM36" s="138" t="s">
        <v>67</v>
      </c>
      <c r="AN36" s="212">
        <v>23</v>
      </c>
      <c r="AO36" s="141">
        <v>34</v>
      </c>
      <c r="AP36" s="138"/>
      <c r="AQ36" s="141"/>
      <c r="AR36" s="138"/>
      <c r="AS36" s="43" t="s">
        <v>2235</v>
      </c>
      <c r="AT36" s="43" t="s">
        <v>2236</v>
      </c>
      <c r="AU36" s="43"/>
      <c r="AV36" s="141"/>
      <c r="AY36" s="195" t="s">
        <v>113</v>
      </c>
      <c r="AZ36" s="134">
        <v>628</v>
      </c>
      <c r="BA36" s="136">
        <v>461</v>
      </c>
      <c r="BB36" s="134">
        <v>0</v>
      </c>
      <c r="BC36" s="135">
        <v>0</v>
      </c>
      <c r="BD36" s="136">
        <v>0</v>
      </c>
      <c r="BE36" s="134">
        <v>0</v>
      </c>
      <c r="BF36" s="136">
        <v>0</v>
      </c>
      <c r="BG36" s="134" t="s">
        <v>994</v>
      </c>
      <c r="BH36" s="135"/>
      <c r="BI36" s="136"/>
      <c r="BJ36" s="28"/>
    </row>
    <row r="37" spans="1:62" x14ac:dyDescent="0.3">
      <c r="A37" s="42"/>
      <c r="B37" s="138"/>
      <c r="C37" s="28"/>
      <c r="D37" s="138"/>
      <c r="E37" s="343"/>
      <c r="F37" s="43"/>
      <c r="G37" s="138"/>
      <c r="H37" s="67">
        <v>44</v>
      </c>
      <c r="I37" s="28" t="s">
        <v>101</v>
      </c>
      <c r="J37" s="40"/>
      <c r="M37" s="42"/>
      <c r="N37" s="138"/>
      <c r="O37" s="196"/>
      <c r="P37" s="138"/>
      <c r="Q37" s="196"/>
      <c r="R37" s="141"/>
      <c r="S37" s="138"/>
      <c r="T37" s="138"/>
      <c r="U37" s="42"/>
      <c r="V37" s="40"/>
      <c r="Y37" s="68" t="s">
        <v>99</v>
      </c>
      <c r="Z37" s="42"/>
      <c r="AA37" s="56"/>
      <c r="AB37" s="42">
        <v>0</v>
      </c>
      <c r="AC37" s="43">
        <v>0</v>
      </c>
      <c r="AD37" s="40">
        <v>0</v>
      </c>
      <c r="AE37" s="42">
        <v>55427</v>
      </c>
      <c r="AF37" s="56">
        <v>42989</v>
      </c>
      <c r="AG37" s="41">
        <v>0</v>
      </c>
      <c r="AH37" s="42"/>
      <c r="AI37" s="43"/>
      <c r="AJ37" s="40"/>
      <c r="AM37" s="138" t="s">
        <v>115</v>
      </c>
      <c r="AN37" s="212">
        <v>32</v>
      </c>
      <c r="AO37" s="141">
        <v>31</v>
      </c>
      <c r="AP37" s="212"/>
      <c r="AQ37" s="141"/>
      <c r="AR37" s="138"/>
      <c r="AS37" s="43" t="s">
        <v>2237</v>
      </c>
      <c r="AT37" s="43" t="s">
        <v>2238</v>
      </c>
      <c r="AU37" s="43"/>
      <c r="AV37" s="141"/>
      <c r="AY37" s="196" t="s">
        <v>164</v>
      </c>
      <c r="AZ37" s="138">
        <v>29</v>
      </c>
      <c r="BA37" s="141">
        <v>0</v>
      </c>
      <c r="BB37" s="138">
        <v>0</v>
      </c>
      <c r="BC37" s="43">
        <v>0</v>
      </c>
      <c r="BD37" s="209">
        <v>0</v>
      </c>
      <c r="BE37" s="212">
        <v>0</v>
      </c>
      <c r="BF37" s="141">
        <v>0</v>
      </c>
      <c r="BG37" s="212">
        <v>12</v>
      </c>
      <c r="BH37" s="28" t="s">
        <v>1297</v>
      </c>
      <c r="BI37" s="141" t="s">
        <v>2206</v>
      </c>
      <c r="BJ37" s="28"/>
    </row>
    <row r="38" spans="1:62" ht="15" thickBot="1" x14ac:dyDescent="0.35">
      <c r="A38" s="42" t="s">
        <v>84</v>
      </c>
      <c r="B38" s="142">
        <f>SUM(B35:B37)</f>
        <v>1672</v>
      </c>
      <c r="C38" s="143">
        <f>SUM(C35:C37)</f>
        <v>2413</v>
      </c>
      <c r="D38" s="142">
        <v>0</v>
      </c>
      <c r="E38" s="345">
        <f>SUM(E35:E37)</f>
        <v>1483</v>
      </c>
      <c r="F38" s="143">
        <v>0</v>
      </c>
      <c r="G38" s="142"/>
      <c r="H38" s="244"/>
      <c r="I38" s="143"/>
      <c r="J38" s="245">
        <f>SUM(H37)</f>
        <v>44</v>
      </c>
      <c r="M38" s="47" t="s">
        <v>84</v>
      </c>
      <c r="N38" s="202">
        <f>SUM(N11+N15+N27+N32)</f>
        <v>33480</v>
      </c>
      <c r="O38" s="286">
        <f>SUM(R404111+O15+O27+O32+O11)</f>
        <v>70701</v>
      </c>
      <c r="P38" s="202">
        <v>0</v>
      </c>
      <c r="Q38" s="286">
        <v>0</v>
      </c>
      <c r="R38" s="48">
        <v>0</v>
      </c>
      <c r="S38" s="202">
        <f>SUM(S11+S15+S27+S32)</f>
        <v>6174</v>
      </c>
      <c r="T38" s="202">
        <f>SUM(T11+T15+T27+T32)</f>
        <v>192</v>
      </c>
      <c r="U38" s="47"/>
      <c r="V38" s="49"/>
      <c r="Y38" s="68" t="s">
        <v>108</v>
      </c>
      <c r="Z38" s="42"/>
      <c r="AA38" s="56"/>
      <c r="AB38" s="67">
        <v>0</v>
      </c>
      <c r="AC38" s="43">
        <v>0</v>
      </c>
      <c r="AD38" s="56">
        <v>0</v>
      </c>
      <c r="AE38" s="42">
        <v>0</v>
      </c>
      <c r="AF38" s="56">
        <v>11834</v>
      </c>
      <c r="AG38" s="41">
        <v>0</v>
      </c>
      <c r="AH38" s="67"/>
      <c r="AI38" s="28"/>
      <c r="AJ38" s="40"/>
      <c r="AM38" s="138"/>
      <c r="AN38" s="212"/>
      <c r="AO38" s="141"/>
      <c r="AP38" s="138"/>
      <c r="AQ38" s="141"/>
      <c r="AR38" s="138"/>
      <c r="AS38" s="43" t="s">
        <v>2239</v>
      </c>
      <c r="AT38" s="43" t="s">
        <v>2240</v>
      </c>
      <c r="AU38" s="43"/>
      <c r="AV38" s="141"/>
      <c r="AY38" s="196" t="s">
        <v>139</v>
      </c>
      <c r="AZ38" s="138">
        <v>0</v>
      </c>
      <c r="BA38" s="141">
        <v>25</v>
      </c>
      <c r="BB38" s="138">
        <v>0</v>
      </c>
      <c r="BC38" s="43">
        <v>0</v>
      </c>
      <c r="BD38" s="209">
        <v>0</v>
      </c>
      <c r="BE38" s="138">
        <v>0</v>
      </c>
      <c r="BF38" s="141">
        <v>0</v>
      </c>
      <c r="BG38" s="212">
        <v>42</v>
      </c>
      <c r="BH38" s="43" t="s">
        <v>1292</v>
      </c>
      <c r="BI38" s="141"/>
      <c r="BJ38" s="28"/>
    </row>
    <row r="39" spans="1:62" x14ac:dyDescent="0.3">
      <c r="A39" s="287" t="s">
        <v>181</v>
      </c>
      <c r="B39" s="135">
        <v>3960</v>
      </c>
      <c r="C39" s="135">
        <v>4234</v>
      </c>
      <c r="D39" s="134">
        <v>0</v>
      </c>
      <c r="E39" s="243">
        <v>0</v>
      </c>
      <c r="F39" s="136">
        <v>0</v>
      </c>
      <c r="G39" s="134">
        <v>1</v>
      </c>
      <c r="H39" s="278" t="s">
        <v>182</v>
      </c>
      <c r="I39" s="135"/>
      <c r="J39" s="279"/>
      <c r="Y39" s="68" t="s">
        <v>133</v>
      </c>
      <c r="Z39" s="67"/>
      <c r="AA39" s="56"/>
      <c r="AB39" s="42">
        <v>0</v>
      </c>
      <c r="AC39" s="43">
        <v>0</v>
      </c>
      <c r="AD39" s="40">
        <v>0</v>
      </c>
      <c r="AE39" s="67">
        <v>0</v>
      </c>
      <c r="AF39" s="56">
        <v>10433</v>
      </c>
      <c r="AG39" s="41">
        <v>0</v>
      </c>
      <c r="AH39" s="42"/>
      <c r="AI39" s="28"/>
      <c r="AJ39" s="40"/>
      <c r="AM39" s="138" t="s">
        <v>63</v>
      </c>
      <c r="AN39" s="212">
        <v>10</v>
      </c>
      <c r="AO39" s="141">
        <v>9</v>
      </c>
      <c r="AP39" s="138"/>
      <c r="AQ39" s="141"/>
      <c r="AR39" s="138"/>
      <c r="AS39" s="43" t="s">
        <v>1752</v>
      </c>
      <c r="AT39" s="43" t="s">
        <v>2241</v>
      </c>
      <c r="AU39" s="43"/>
      <c r="AV39" s="141"/>
      <c r="AY39" s="239" t="s">
        <v>84</v>
      </c>
      <c r="AZ39" s="263">
        <f>SUM(AZ36:AZ38)</f>
        <v>657</v>
      </c>
      <c r="BA39" s="146">
        <f>SUM(BA36:BA38)</f>
        <v>486</v>
      </c>
      <c r="BB39" s="142">
        <v>0</v>
      </c>
      <c r="BC39" s="388">
        <v>0</v>
      </c>
      <c r="BD39" s="389">
        <v>0</v>
      </c>
      <c r="BE39" s="142">
        <v>0</v>
      </c>
      <c r="BF39" s="146">
        <v>0</v>
      </c>
      <c r="BG39" s="142"/>
      <c r="BH39" s="143"/>
      <c r="BI39" s="146">
        <f>SUM(BG37:BG38)</f>
        <v>54</v>
      </c>
      <c r="BJ39" s="28"/>
    </row>
    <row r="40" spans="1:62" x14ac:dyDescent="0.3">
      <c r="A40" s="288" t="s">
        <v>120</v>
      </c>
      <c r="B40" s="28">
        <v>469</v>
      </c>
      <c r="C40" s="28">
        <v>563</v>
      </c>
      <c r="D40" s="138">
        <v>0</v>
      </c>
      <c r="E40" s="38">
        <v>0</v>
      </c>
      <c r="F40" s="141">
        <v>0</v>
      </c>
      <c r="G40" s="138"/>
      <c r="H40" s="42">
        <v>33</v>
      </c>
      <c r="I40" s="28" t="s">
        <v>188</v>
      </c>
      <c r="J40" s="40"/>
      <c r="Y40" s="68" t="s">
        <v>574</v>
      </c>
      <c r="Z40" s="67"/>
      <c r="AA40" s="56"/>
      <c r="AB40" s="67">
        <v>0</v>
      </c>
      <c r="AC40" s="43">
        <v>0</v>
      </c>
      <c r="AD40" s="56">
        <v>0</v>
      </c>
      <c r="AE40" s="67">
        <v>8518</v>
      </c>
      <c r="AF40" s="56">
        <v>0</v>
      </c>
      <c r="AG40" s="41">
        <v>0</v>
      </c>
      <c r="AH40" s="67"/>
      <c r="AI40" s="28"/>
      <c r="AJ40" s="40"/>
      <c r="AM40" s="138" t="s">
        <v>122</v>
      </c>
      <c r="AN40" s="212">
        <v>16</v>
      </c>
      <c r="AO40" s="141">
        <v>5</v>
      </c>
      <c r="AP40" s="138"/>
      <c r="AQ40" s="141"/>
      <c r="AR40" s="138"/>
      <c r="AS40" s="43" t="s">
        <v>1414</v>
      </c>
      <c r="AT40" s="43" t="s">
        <v>2242</v>
      </c>
      <c r="AU40" s="43"/>
      <c r="AV40" s="141"/>
      <c r="AY40" s="134" t="s">
        <v>133</v>
      </c>
      <c r="AZ40" s="240">
        <v>40</v>
      </c>
      <c r="BA40" s="135">
        <v>17</v>
      </c>
      <c r="BB40" s="134"/>
      <c r="BC40" s="243"/>
      <c r="BD40" s="381"/>
      <c r="BE40" s="135"/>
      <c r="BF40" s="136"/>
      <c r="BG40" s="134" t="s">
        <v>140</v>
      </c>
      <c r="BH40" s="135"/>
      <c r="BI40" s="136"/>
      <c r="BJ40" s="28"/>
    </row>
    <row r="41" spans="1:62" x14ac:dyDescent="0.3">
      <c r="A41" s="288" t="s">
        <v>84</v>
      </c>
      <c r="B41" s="28">
        <f>SUM(B39:B40)</f>
        <v>4429</v>
      </c>
      <c r="C41" s="43">
        <f>SUM(C39:C40)</f>
        <v>4797</v>
      </c>
      <c r="D41" s="138">
        <v>0</v>
      </c>
      <c r="E41" s="38">
        <v>0</v>
      </c>
      <c r="F41" s="141">
        <v>0</v>
      </c>
      <c r="G41" s="138"/>
      <c r="H41" s="42">
        <v>1</v>
      </c>
      <c r="I41" s="28" t="s">
        <v>727</v>
      </c>
      <c r="J41" s="40"/>
      <c r="Y41" s="68" t="s">
        <v>105</v>
      </c>
      <c r="Z41" s="42"/>
      <c r="AA41" s="40"/>
      <c r="AB41" s="42">
        <v>0</v>
      </c>
      <c r="AC41" s="43">
        <v>0</v>
      </c>
      <c r="AD41" s="40">
        <v>0</v>
      </c>
      <c r="AE41" s="42">
        <v>2859</v>
      </c>
      <c r="AF41" s="40">
        <v>0</v>
      </c>
      <c r="AG41" s="41">
        <v>0</v>
      </c>
      <c r="AH41" s="42"/>
      <c r="AI41" s="28"/>
      <c r="AJ41" s="40"/>
      <c r="AM41" s="138" t="s">
        <v>132</v>
      </c>
      <c r="AN41" s="212">
        <v>1</v>
      </c>
      <c r="AO41" s="141">
        <v>1</v>
      </c>
      <c r="AP41" s="138"/>
      <c r="AQ41" s="141"/>
      <c r="AR41" s="138"/>
      <c r="AS41" s="43" t="s">
        <v>2243</v>
      </c>
      <c r="AT41" s="43" t="s">
        <v>1565</v>
      </c>
      <c r="AU41" s="43"/>
      <c r="AV41" s="141"/>
      <c r="AY41" s="138" t="s">
        <v>113</v>
      </c>
      <c r="AZ41" s="212">
        <v>37</v>
      </c>
      <c r="BA41" s="43">
        <v>45</v>
      </c>
      <c r="BB41" s="138"/>
      <c r="BC41" s="43"/>
      <c r="BD41" s="141"/>
      <c r="BE41" s="43"/>
      <c r="BF41" s="141"/>
      <c r="BG41" s="138"/>
      <c r="BH41" s="28"/>
      <c r="BI41" s="141"/>
      <c r="BJ41" s="28"/>
    </row>
    <row r="42" spans="1:62" ht="15" thickBot="1" x14ac:dyDescent="0.35">
      <c r="A42" s="289"/>
      <c r="B42" s="48"/>
      <c r="C42" s="48"/>
      <c r="D42" s="202"/>
      <c r="E42" s="48"/>
      <c r="F42" s="203"/>
      <c r="G42" s="202"/>
      <c r="H42" s="47"/>
      <c r="I42" s="51"/>
      <c r="J42" s="49">
        <f>SUM(H40:H42)</f>
        <v>34</v>
      </c>
      <c r="Y42" s="68" t="s">
        <v>174</v>
      </c>
      <c r="Z42" s="42"/>
      <c r="AA42" s="40"/>
      <c r="AB42" s="42">
        <v>0</v>
      </c>
      <c r="AC42" s="43">
        <v>0</v>
      </c>
      <c r="AD42" s="40">
        <v>0</v>
      </c>
      <c r="AE42" s="42">
        <v>10935</v>
      </c>
      <c r="AF42" s="40">
        <v>0</v>
      </c>
      <c r="AG42" s="41">
        <v>0</v>
      </c>
      <c r="AH42" s="42"/>
      <c r="AI42" s="28"/>
      <c r="AJ42" s="40"/>
      <c r="AM42" s="138" t="s">
        <v>230</v>
      </c>
      <c r="AN42" s="138">
        <v>15</v>
      </c>
      <c r="AO42" s="141">
        <v>4</v>
      </c>
      <c r="AP42" s="138"/>
      <c r="AQ42" s="141"/>
      <c r="AR42" s="138"/>
      <c r="AS42" s="220" t="s">
        <v>2244</v>
      </c>
      <c r="AT42" s="43" t="s">
        <v>603</v>
      </c>
      <c r="AU42" s="371"/>
      <c r="AV42" s="141"/>
      <c r="AY42" s="138" t="s">
        <v>85</v>
      </c>
      <c r="AZ42" s="212">
        <v>9</v>
      </c>
      <c r="BA42" s="43">
        <v>4</v>
      </c>
      <c r="BB42" s="138"/>
      <c r="BC42" s="43"/>
      <c r="BD42" s="141"/>
      <c r="BE42" s="43"/>
      <c r="BF42" s="141"/>
      <c r="BG42" s="138"/>
      <c r="BH42" s="28"/>
      <c r="BI42" s="141"/>
      <c r="BJ42" s="28"/>
    </row>
    <row r="43" spans="1:62" ht="15" thickBot="1" x14ac:dyDescent="0.35">
      <c r="A43" s="254" t="s">
        <v>84</v>
      </c>
      <c r="B43" s="274">
        <f>SUM(B11+B14+B18+B22+B29+B34+B38+B41)</f>
        <v>49225</v>
      </c>
      <c r="C43" s="172">
        <f>SUM(C11+C14+C18+C22+C29+C34+C38+C41)</f>
        <v>56085</v>
      </c>
      <c r="D43" s="275">
        <v>0</v>
      </c>
      <c r="E43" s="210">
        <f>SUM(E22+E38)</f>
        <v>2165</v>
      </c>
      <c r="F43" s="253">
        <v>0</v>
      </c>
      <c r="G43" s="171">
        <v>8</v>
      </c>
      <c r="H43" s="171"/>
      <c r="I43" s="170"/>
      <c r="J43" s="172">
        <f>SUM(J12+J16+J19+J23+J29+J34+J38+J42)</f>
        <v>400</v>
      </c>
      <c r="Y43" s="68" t="s">
        <v>445</v>
      </c>
      <c r="Z43" s="42"/>
      <c r="AA43" s="40"/>
      <c r="AB43" s="42">
        <v>0</v>
      </c>
      <c r="AC43" s="43">
        <v>0</v>
      </c>
      <c r="AD43" s="40">
        <v>0</v>
      </c>
      <c r="AE43" s="42">
        <v>16207</v>
      </c>
      <c r="AF43" s="40">
        <v>0</v>
      </c>
      <c r="AG43" s="41">
        <v>0</v>
      </c>
      <c r="AH43" s="42"/>
      <c r="AI43" s="28"/>
      <c r="AJ43" s="40"/>
      <c r="AM43" s="138" t="s">
        <v>84</v>
      </c>
      <c r="AN43" s="138">
        <f>SUM(AN32:AN42)</f>
        <v>259</v>
      </c>
      <c r="AO43" s="141">
        <f>SUM(AO32:AO42)</f>
        <v>225</v>
      </c>
      <c r="AP43" s="138"/>
      <c r="AQ43" s="141"/>
      <c r="AR43" s="142"/>
      <c r="AS43" s="224" t="s">
        <v>2245</v>
      </c>
      <c r="AT43" s="224"/>
      <c r="AU43" s="143"/>
      <c r="AV43" s="146">
        <v>170</v>
      </c>
      <c r="AY43" s="138" t="s">
        <v>218</v>
      </c>
      <c r="AZ43" s="212">
        <v>2</v>
      </c>
      <c r="BA43" s="43">
        <v>42</v>
      </c>
      <c r="BB43" s="382"/>
      <c r="BC43" s="43"/>
      <c r="BD43" s="141"/>
      <c r="BE43" s="43"/>
      <c r="BF43" s="141"/>
      <c r="BG43" s="212" t="s">
        <v>142</v>
      </c>
      <c r="BH43" s="43"/>
      <c r="BI43" s="209" t="s">
        <v>2246</v>
      </c>
      <c r="BJ43" s="28"/>
    </row>
    <row r="44" spans="1:62" ht="15" thickBot="1" x14ac:dyDescent="0.35">
      <c r="Y44" s="68" t="s">
        <v>2247</v>
      </c>
      <c r="Z44" s="42"/>
      <c r="AA44" s="40"/>
      <c r="AB44" s="42">
        <v>0</v>
      </c>
      <c r="AC44" s="43">
        <v>0</v>
      </c>
      <c r="AD44" s="40">
        <v>0</v>
      </c>
      <c r="AE44" s="42">
        <v>0</v>
      </c>
      <c r="AF44" s="40">
        <v>0</v>
      </c>
      <c r="AG44" s="41">
        <v>0</v>
      </c>
      <c r="AH44" s="42"/>
      <c r="AI44" s="28"/>
      <c r="AJ44" s="40"/>
      <c r="AM44" s="171" t="s">
        <v>84</v>
      </c>
      <c r="AN44" s="171">
        <f>SUM(AN12+AN26+AN43)</f>
        <v>1993</v>
      </c>
      <c r="AO44" s="172">
        <f>SUM(AO12+AO26+AO43)</f>
        <v>2010</v>
      </c>
      <c r="AP44" s="170"/>
      <c r="AQ44" s="172"/>
      <c r="AR44" s="48"/>
      <c r="AS44" s="48"/>
      <c r="AT44" s="48"/>
      <c r="AU44" s="48"/>
      <c r="AV44" s="49">
        <f>SUM(AV12+AV26+AV43)</f>
        <v>373</v>
      </c>
      <c r="AY44" s="138" t="s">
        <v>214</v>
      </c>
      <c r="AZ44" s="212">
        <v>0</v>
      </c>
      <c r="BA44" s="43">
        <v>2</v>
      </c>
      <c r="BB44" s="268"/>
      <c r="BC44" s="255"/>
      <c r="BD44" s="141"/>
      <c r="BE44" s="43"/>
      <c r="BF44" s="141"/>
      <c r="BG44" s="212" t="s">
        <v>146</v>
      </c>
      <c r="BH44" s="43"/>
      <c r="BI44" s="372" t="s">
        <v>2232</v>
      </c>
      <c r="BJ44" s="28"/>
    </row>
    <row r="45" spans="1:62" ht="15" thickBot="1" x14ac:dyDescent="0.35">
      <c r="V45" s="184"/>
      <c r="Y45" s="68" t="s">
        <v>84</v>
      </c>
      <c r="Z45" s="47"/>
      <c r="AA45" s="49"/>
      <c r="AB45" s="72">
        <v>0</v>
      </c>
      <c r="AC45" s="51">
        <v>0</v>
      </c>
      <c r="AD45" s="73">
        <v>0</v>
      </c>
      <c r="AE45" s="47">
        <f>SUM(AE34:AE44)</f>
        <v>122556</v>
      </c>
      <c r="AF45" s="49">
        <f>SUM(AF34:AF44)</f>
        <v>86242</v>
      </c>
      <c r="AG45" s="46">
        <v>0</v>
      </c>
      <c r="AH45" s="72"/>
      <c r="AI45" s="48"/>
      <c r="AJ45" s="49">
        <f>SUM(AH35)</f>
        <v>13</v>
      </c>
      <c r="AM45" s="28"/>
      <c r="AN45" s="28"/>
      <c r="AO45" s="28"/>
      <c r="AP45" s="28"/>
      <c r="AQ45" s="28"/>
      <c r="AR45" s="28"/>
      <c r="AS45" s="43"/>
      <c r="AT45" s="43"/>
      <c r="AU45" s="28"/>
      <c r="AV45" s="28"/>
      <c r="AY45" s="138" t="s">
        <v>93</v>
      </c>
      <c r="AZ45" s="212">
        <v>0</v>
      </c>
      <c r="BA45" s="43">
        <v>2</v>
      </c>
      <c r="BB45" s="268"/>
      <c r="BC45" s="43">
        <v>2</v>
      </c>
      <c r="BD45" s="141">
        <v>0</v>
      </c>
      <c r="BE45" s="43"/>
      <c r="BF45" s="141"/>
      <c r="BG45" s="212"/>
      <c r="BH45" s="43"/>
      <c r="BI45" s="209"/>
      <c r="BJ45" s="28"/>
    </row>
    <row r="46" spans="1:62" x14ac:dyDescent="0.3">
      <c r="Y46" s="32"/>
      <c r="Z46" s="33"/>
      <c r="AA46" s="35"/>
      <c r="AB46" s="33"/>
      <c r="AC46" s="123"/>
      <c r="AD46" s="35"/>
      <c r="AE46" s="33"/>
      <c r="AF46" s="35"/>
      <c r="AG46" s="32"/>
      <c r="AH46" s="33" t="s">
        <v>1326</v>
      </c>
      <c r="AI46" s="34"/>
      <c r="AJ46" s="35"/>
      <c r="AM46" s="28"/>
      <c r="AN46" s="28"/>
      <c r="AO46" s="28"/>
      <c r="AP46" s="28"/>
      <c r="AQ46" s="28"/>
      <c r="AR46" s="28"/>
      <c r="AS46" s="220"/>
      <c r="AT46" s="220"/>
      <c r="AU46" s="28"/>
      <c r="AV46" s="28"/>
      <c r="AY46" s="138" t="s">
        <v>596</v>
      </c>
      <c r="AZ46" s="212">
        <v>1</v>
      </c>
      <c r="BA46" s="43">
        <v>0</v>
      </c>
      <c r="BB46" s="268"/>
      <c r="BC46" s="43"/>
      <c r="BD46" s="141"/>
      <c r="BE46" s="43"/>
      <c r="BF46" s="141"/>
      <c r="BG46" s="212" t="s">
        <v>151</v>
      </c>
      <c r="BH46" s="43"/>
      <c r="BI46" s="209"/>
      <c r="BJ46" s="28"/>
    </row>
    <row r="47" spans="1:62" x14ac:dyDescent="0.3">
      <c r="Y47" s="41" t="s">
        <v>102</v>
      </c>
      <c r="Z47" s="42">
        <v>237</v>
      </c>
      <c r="AA47" s="40">
        <v>469</v>
      </c>
      <c r="AB47" s="67">
        <v>0</v>
      </c>
      <c r="AC47" s="43">
        <v>0</v>
      </c>
      <c r="AD47" s="56">
        <v>0</v>
      </c>
      <c r="AE47" s="42">
        <v>0</v>
      </c>
      <c r="AF47" s="40">
        <v>0</v>
      </c>
      <c r="AG47" s="41">
        <v>0</v>
      </c>
      <c r="AH47" s="43">
        <v>7</v>
      </c>
      <c r="AI47" s="28" t="s">
        <v>145</v>
      </c>
      <c r="AJ47" s="40"/>
      <c r="AM47" s="28"/>
      <c r="AN47" s="28"/>
      <c r="AO47" s="28"/>
      <c r="AP47" s="28"/>
      <c r="AQ47" s="28"/>
      <c r="AR47" s="28"/>
      <c r="AS47" s="43"/>
      <c r="AT47" s="43"/>
      <c r="AU47" s="28"/>
      <c r="AV47" s="28"/>
      <c r="AY47" s="138" t="s">
        <v>169</v>
      </c>
      <c r="AZ47" s="212">
        <v>0</v>
      </c>
      <c r="BA47" s="43">
        <v>3</v>
      </c>
      <c r="BB47" s="268"/>
      <c r="BC47" s="43"/>
      <c r="BD47" s="141"/>
      <c r="BE47" s="43"/>
      <c r="BF47" s="141"/>
      <c r="BG47" s="333" t="s">
        <v>548</v>
      </c>
      <c r="BH47" s="383" t="s">
        <v>1270</v>
      </c>
      <c r="BI47" s="209" t="s">
        <v>2129</v>
      </c>
      <c r="BJ47" s="28"/>
    </row>
    <row r="48" spans="1:62" ht="15" thickBot="1" x14ac:dyDescent="0.35">
      <c r="Y48" s="46" t="s">
        <v>84</v>
      </c>
      <c r="Z48" s="47">
        <f>SUM(Z46:Z47)</f>
        <v>237</v>
      </c>
      <c r="AA48" s="49">
        <f>SUM(AA46:AA47)</f>
        <v>469</v>
      </c>
      <c r="AB48" s="47">
        <v>0</v>
      </c>
      <c r="AC48" s="48">
        <v>0</v>
      </c>
      <c r="AD48" s="49">
        <v>0</v>
      </c>
      <c r="AE48" s="47">
        <v>0</v>
      </c>
      <c r="AF48" s="49">
        <v>0</v>
      </c>
      <c r="AG48" s="46">
        <v>0</v>
      </c>
      <c r="AH48" s="67">
        <v>1</v>
      </c>
      <c r="AI48" s="48" t="s">
        <v>98</v>
      </c>
      <c r="AJ48" s="49">
        <f>SUM(AH47:AH48)</f>
        <v>8</v>
      </c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Y48" s="138" t="s">
        <v>2248</v>
      </c>
      <c r="AZ48" s="212">
        <v>12</v>
      </c>
      <c r="BA48" s="43">
        <v>12</v>
      </c>
      <c r="BB48" s="268"/>
      <c r="BC48" s="43"/>
      <c r="BD48" s="141"/>
      <c r="BE48" s="43"/>
      <c r="BF48" s="141"/>
      <c r="BG48" s="212" t="s">
        <v>741</v>
      </c>
      <c r="BH48" s="220" t="s">
        <v>2249</v>
      </c>
      <c r="BI48" s="209" t="s">
        <v>609</v>
      </c>
      <c r="BJ48" s="28"/>
    </row>
    <row r="49" spans="25:62" ht="15" thickBot="1" x14ac:dyDescent="0.35">
      <c r="Y49" s="254" t="s">
        <v>84</v>
      </c>
      <c r="Z49" s="171">
        <f>SUM(Z11+Z17+Z20+Z24+Z29+Z48)</f>
        <v>3820</v>
      </c>
      <c r="AA49" s="172">
        <f>SUM(AA11+AA17+AA20+AA24+AA29+AA48)</f>
        <v>3737</v>
      </c>
      <c r="AB49" s="271">
        <v>0</v>
      </c>
      <c r="AC49" s="170">
        <v>0</v>
      </c>
      <c r="AD49" s="172">
        <v>0</v>
      </c>
      <c r="AE49" s="47">
        <f>SUM(AE33+AE45+AE11)</f>
        <v>148838</v>
      </c>
      <c r="AF49" s="49">
        <f>SUM(AF33+AF45)</f>
        <v>87568</v>
      </c>
      <c r="AG49" s="46">
        <v>0</v>
      </c>
      <c r="AH49" s="291" t="s">
        <v>199</v>
      </c>
      <c r="AI49" s="170"/>
      <c r="AJ49" s="172">
        <f>SUM(AJ12+AJ17+AJ20+AJ24+AJ29+AJ33+AJ45+AJ48)</f>
        <v>57</v>
      </c>
      <c r="AS49" s="43"/>
      <c r="AT49" s="43"/>
      <c r="AU49" s="43"/>
      <c r="AV49" s="28"/>
      <c r="AY49" s="138" t="s">
        <v>526</v>
      </c>
      <c r="AZ49" s="212">
        <v>0</v>
      </c>
      <c r="BA49" s="43">
        <v>2</v>
      </c>
      <c r="BB49" s="268"/>
      <c r="BC49" s="43"/>
      <c r="BD49" s="141"/>
      <c r="BE49" s="43"/>
      <c r="BF49" s="141"/>
      <c r="BG49" s="212" t="s">
        <v>762</v>
      </c>
      <c r="BH49" s="43" t="s">
        <v>734</v>
      </c>
      <c r="BI49" s="209" t="s">
        <v>698</v>
      </c>
      <c r="BJ49" s="28"/>
    </row>
    <row r="50" spans="25:62" x14ac:dyDescent="0.3">
      <c r="Y50" s="43"/>
      <c r="Z50" s="28"/>
      <c r="AA50" s="28"/>
      <c r="AB50" s="28"/>
      <c r="AC50" s="43"/>
      <c r="AD50" s="28"/>
      <c r="AE50" s="28"/>
      <c r="AF50" s="28"/>
      <c r="AG50" s="28"/>
      <c r="AH50" s="28"/>
      <c r="AI50" s="28"/>
      <c r="AJ50" s="28"/>
      <c r="AO50" s="229"/>
      <c r="AS50" s="28"/>
      <c r="AT50" s="43"/>
      <c r="AU50" s="43"/>
      <c r="AV50" s="28"/>
      <c r="AY50" s="138" t="s">
        <v>657</v>
      </c>
      <c r="AZ50" s="212">
        <v>5</v>
      </c>
      <c r="BA50" s="43">
        <v>2</v>
      </c>
      <c r="BB50" s="268"/>
      <c r="BC50" s="270"/>
      <c r="BD50" s="141"/>
      <c r="BE50" s="43"/>
      <c r="BF50" s="141"/>
      <c r="BG50" s="212" t="s">
        <v>1430</v>
      </c>
      <c r="BH50" s="43" t="s">
        <v>2181</v>
      </c>
      <c r="BI50" s="209" t="s">
        <v>626</v>
      </c>
      <c r="BJ50" s="28"/>
    </row>
    <row r="51" spans="25:62" x14ac:dyDescent="0.3">
      <c r="Y51" s="28"/>
      <c r="Z51" s="28"/>
      <c r="AA51" s="28"/>
      <c r="AB51" s="28"/>
      <c r="AC51" s="43"/>
      <c r="AD51" s="28"/>
      <c r="AE51" s="28"/>
      <c r="AF51" s="28"/>
      <c r="AG51" s="28"/>
      <c r="AH51" s="28"/>
      <c r="AI51" s="28"/>
      <c r="AJ51" s="28"/>
      <c r="AS51" s="43"/>
      <c r="AT51" s="43"/>
      <c r="AU51" s="43"/>
      <c r="AV51" s="28"/>
      <c r="AY51" s="138" t="s">
        <v>2250</v>
      </c>
      <c r="AZ51" s="212">
        <v>4</v>
      </c>
      <c r="BA51" s="43">
        <v>0</v>
      </c>
      <c r="BB51" s="268"/>
      <c r="BC51" s="43"/>
      <c r="BD51" s="141"/>
      <c r="BE51" s="43"/>
      <c r="BF51" s="141"/>
      <c r="BG51" s="212" t="s">
        <v>179</v>
      </c>
      <c r="BH51" s="43" t="s">
        <v>1103</v>
      </c>
      <c r="BI51" s="209" t="s">
        <v>666</v>
      </c>
      <c r="BJ51" s="28"/>
    </row>
    <row r="52" spans="25:62" x14ac:dyDescent="0.3">
      <c r="Y52" s="28"/>
      <c r="Z52" s="28"/>
      <c r="AA52" s="28"/>
      <c r="AB52" s="43"/>
      <c r="AC52" s="43"/>
      <c r="AD52" s="43"/>
      <c r="AE52" s="28"/>
      <c r="AF52" s="28"/>
      <c r="AG52" s="28"/>
      <c r="AH52" s="43"/>
      <c r="AI52" s="28"/>
      <c r="AJ52" s="28"/>
      <c r="AS52" s="43"/>
      <c r="AT52" s="28"/>
      <c r="AU52" s="28"/>
      <c r="AV52" s="28"/>
      <c r="AY52" s="138" t="s">
        <v>200</v>
      </c>
      <c r="AZ52" s="212">
        <v>22</v>
      </c>
      <c r="BA52" s="43">
        <v>11</v>
      </c>
      <c r="BB52" s="268"/>
      <c r="BC52" s="43"/>
      <c r="BD52" s="141"/>
      <c r="BE52" s="43"/>
      <c r="BF52" s="141"/>
      <c r="BG52" s="212" t="s">
        <v>448</v>
      </c>
      <c r="BH52" s="222" t="s">
        <v>265</v>
      </c>
      <c r="BI52" s="209" t="s">
        <v>2251</v>
      </c>
      <c r="BJ52" s="28"/>
    </row>
    <row r="53" spans="25:62" x14ac:dyDescent="0.3">
      <c r="Y53" s="28"/>
      <c r="Z53" s="28"/>
      <c r="AA53" s="28"/>
      <c r="AB53" s="28"/>
      <c r="AC53" s="28"/>
      <c r="AD53" s="28"/>
      <c r="AE53" s="28"/>
      <c r="AF53" s="28"/>
      <c r="AG53" s="28"/>
      <c r="AH53" s="43"/>
      <c r="AI53" s="28"/>
      <c r="AJ53" s="28"/>
      <c r="AS53" s="43"/>
      <c r="AT53" s="28"/>
      <c r="AU53" s="28"/>
      <c r="AV53" s="28"/>
      <c r="AY53" s="138" t="s">
        <v>99</v>
      </c>
      <c r="AZ53" s="212">
        <v>0</v>
      </c>
      <c r="BA53" s="43">
        <v>1</v>
      </c>
      <c r="BB53" s="268"/>
      <c r="BC53" s="270"/>
      <c r="BD53" s="141"/>
      <c r="BE53" s="43"/>
      <c r="BF53" s="141"/>
      <c r="BG53" s="212" t="s">
        <v>1819</v>
      </c>
      <c r="BH53" s="43" t="s">
        <v>1217</v>
      </c>
      <c r="BI53" s="373" t="s">
        <v>2304</v>
      </c>
      <c r="BJ53" s="28"/>
    </row>
    <row r="54" spans="25:62" x14ac:dyDescent="0.3">
      <c r="Y54" s="28"/>
      <c r="Z54" s="28"/>
      <c r="AA54" s="28"/>
      <c r="AB54" s="43"/>
      <c r="AC54" s="28"/>
      <c r="AD54" s="28"/>
      <c r="AE54" s="28"/>
      <c r="AF54" s="28"/>
      <c r="AG54" s="28"/>
      <c r="AH54" s="43"/>
      <c r="AI54" s="28"/>
      <c r="AJ54" s="28"/>
      <c r="AQ54" s="28"/>
      <c r="AS54" s="43"/>
      <c r="AT54" s="28"/>
      <c r="AU54" s="28"/>
      <c r="AV54" s="28"/>
      <c r="AY54" s="138" t="s">
        <v>1590</v>
      </c>
      <c r="AZ54" s="212">
        <v>0</v>
      </c>
      <c r="BA54" s="43">
        <v>1</v>
      </c>
      <c r="BB54" s="268"/>
      <c r="BC54" s="270"/>
      <c r="BD54" s="141"/>
      <c r="BE54" s="43"/>
      <c r="BF54" s="141"/>
      <c r="BG54" s="212" t="s">
        <v>825</v>
      </c>
      <c r="BH54" s="43" t="s">
        <v>2305</v>
      </c>
      <c r="BI54" s="209" t="s">
        <v>1274</v>
      </c>
      <c r="BJ54" s="28"/>
    </row>
    <row r="55" spans="25:62" x14ac:dyDescent="0.3">
      <c r="AQ55" s="28"/>
      <c r="AS55" s="43"/>
      <c r="AT55" s="43"/>
      <c r="AU55" s="43"/>
      <c r="AV55" s="28"/>
      <c r="AY55" s="138" t="s">
        <v>64</v>
      </c>
      <c r="AZ55" s="212">
        <v>13</v>
      </c>
      <c r="BA55" s="43">
        <v>10</v>
      </c>
      <c r="BB55" s="268"/>
      <c r="BC55" s="270"/>
      <c r="BD55" s="141"/>
      <c r="BE55" s="43"/>
      <c r="BF55" s="141"/>
      <c r="BG55" s="212" t="s">
        <v>2306</v>
      </c>
      <c r="BH55" s="43" t="s">
        <v>2307</v>
      </c>
      <c r="BI55" s="209" t="s">
        <v>1800</v>
      </c>
      <c r="BJ55" s="28"/>
    </row>
    <row r="56" spans="25:62" ht="15.6" x14ac:dyDescent="0.3">
      <c r="AE56" s="28"/>
      <c r="AO56" s="28"/>
      <c r="AQ56" s="28"/>
      <c r="AS56" s="43"/>
      <c r="AT56" s="28"/>
      <c r="AU56" s="28"/>
      <c r="AV56" s="28"/>
      <c r="AY56" s="374" t="s">
        <v>164</v>
      </c>
      <c r="AZ56" s="212">
        <v>0</v>
      </c>
      <c r="BA56" s="43">
        <v>1</v>
      </c>
      <c r="BB56" s="268"/>
      <c r="BC56" s="270"/>
      <c r="BD56" s="141"/>
      <c r="BE56" s="43"/>
      <c r="BF56" s="141"/>
      <c r="BG56" s="212" t="s">
        <v>2090</v>
      </c>
      <c r="BH56" s="258"/>
      <c r="BI56" s="373" t="s">
        <v>1500</v>
      </c>
      <c r="BJ56" s="28"/>
    </row>
    <row r="57" spans="25:62" ht="15.6" x14ac:dyDescent="0.3">
      <c r="AO57" s="28"/>
      <c r="AQ57" s="28"/>
      <c r="AY57" s="138" t="s">
        <v>1120</v>
      </c>
      <c r="AZ57" s="212">
        <v>0</v>
      </c>
      <c r="BA57" s="43">
        <v>0</v>
      </c>
      <c r="BB57" s="268"/>
      <c r="BC57" s="270"/>
      <c r="BD57" s="141"/>
      <c r="BE57" s="43"/>
      <c r="BF57" s="141" t="s">
        <v>6</v>
      </c>
      <c r="BG57" s="212"/>
      <c r="BH57" s="258" t="s">
        <v>603</v>
      </c>
      <c r="BI57" s="209" t="s">
        <v>2308</v>
      </c>
      <c r="BJ57" s="28"/>
    </row>
    <row r="58" spans="25:62" x14ac:dyDescent="0.3"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O58" s="28"/>
      <c r="AQ58" s="28"/>
      <c r="AY58" s="138" t="s">
        <v>2309</v>
      </c>
      <c r="AZ58" s="212">
        <v>0</v>
      </c>
      <c r="BA58" s="43">
        <v>0</v>
      </c>
      <c r="BB58" s="268"/>
      <c r="BC58" s="270"/>
      <c r="BD58" s="141"/>
      <c r="BE58" s="43"/>
      <c r="BF58" s="141" t="s">
        <v>150</v>
      </c>
      <c r="BG58" s="212" t="s">
        <v>322</v>
      </c>
      <c r="BH58" s="228" t="s">
        <v>347</v>
      </c>
      <c r="BI58" s="213" t="s">
        <v>1332</v>
      </c>
      <c r="BJ58" s="28"/>
    </row>
    <row r="59" spans="25:62" ht="15.6" x14ac:dyDescent="0.3"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138" t="s">
        <v>158</v>
      </c>
      <c r="AZ59" s="212">
        <v>0</v>
      </c>
      <c r="BA59" s="43">
        <v>0</v>
      </c>
      <c r="BB59" s="268"/>
      <c r="BC59" s="270"/>
      <c r="BD59" s="141"/>
      <c r="BE59" s="43"/>
      <c r="BF59" s="141"/>
      <c r="BG59" s="138" t="s">
        <v>2202</v>
      </c>
      <c r="BH59" s="258" t="s">
        <v>2310</v>
      </c>
      <c r="BI59" s="141"/>
      <c r="BJ59" s="28"/>
    </row>
    <row r="60" spans="25:62" ht="16.2" thickBot="1" x14ac:dyDescent="0.35"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43"/>
      <c r="AX60" s="28"/>
      <c r="AY60" s="138" t="s">
        <v>801</v>
      </c>
      <c r="AZ60" s="263">
        <v>0</v>
      </c>
      <c r="BA60" s="143">
        <v>0</v>
      </c>
      <c r="BB60" s="375"/>
      <c r="BC60" s="376"/>
      <c r="BD60" s="146"/>
      <c r="BE60" s="224"/>
      <c r="BF60" s="146"/>
      <c r="BG60" s="138" t="s">
        <v>279</v>
      </c>
      <c r="BH60" s="258" t="s">
        <v>2311</v>
      </c>
      <c r="BI60" s="141">
        <v>79</v>
      </c>
      <c r="BJ60" s="28"/>
    </row>
    <row r="61" spans="25:62" ht="15" thickBot="1" x14ac:dyDescent="0.35"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71" t="s">
        <v>84</v>
      </c>
      <c r="AZ61" s="72">
        <f>SUM(AZ40:AZ60)</f>
        <v>145</v>
      </c>
      <c r="BA61" s="357">
        <f>SUM(BA40:BA60)</f>
        <v>155</v>
      </c>
      <c r="BB61" s="48" t="s">
        <v>84</v>
      </c>
      <c r="BC61" s="48">
        <f>SUM(BC45)</f>
        <v>2</v>
      </c>
      <c r="BD61" s="48">
        <v>0</v>
      </c>
      <c r="BE61" s="47">
        <f>SUM(BE20)</f>
        <v>70655</v>
      </c>
      <c r="BF61" s="49">
        <f>SUM(BF20)</f>
        <v>22000</v>
      </c>
      <c r="BG61" s="351"/>
      <c r="BH61" s="170"/>
      <c r="BI61" s="172">
        <f>SUM(BI13+BI20+BI32+BI35+BI39+BI60)</f>
        <v>300</v>
      </c>
      <c r="BJ61" s="28"/>
    </row>
    <row r="62" spans="25:62" x14ac:dyDescent="0.3">
      <c r="Y62" s="28"/>
      <c r="Z62" s="28"/>
      <c r="AA62" s="28"/>
      <c r="AB62" s="43"/>
      <c r="AC62" s="43"/>
      <c r="AD62" s="43"/>
      <c r="AE62" s="28"/>
      <c r="AF62" s="28"/>
      <c r="AG62" s="28"/>
      <c r="AH62" s="28"/>
      <c r="AI62" s="28"/>
      <c r="AJ62" s="28"/>
      <c r="AM62" s="28"/>
      <c r="AN62" s="28"/>
      <c r="AO62" s="28"/>
      <c r="AP62" s="28"/>
      <c r="AQ62" s="28"/>
      <c r="AR62" s="28"/>
      <c r="AS62" s="28"/>
      <c r="AT62" s="28"/>
      <c r="AU62" s="43"/>
      <c r="AV62" s="28"/>
      <c r="AW62" s="28"/>
      <c r="AX62" s="28"/>
      <c r="AY62" s="200" t="s">
        <v>223</v>
      </c>
      <c r="AZ62" s="295">
        <f>SUM(AZ13+AZ32+AZ35+AZ39+AZ61)</f>
        <v>7853</v>
      </c>
      <c r="BA62" s="296">
        <f>SUM(BA13+BA32+BA35+BA39+BA61)</f>
        <v>6928</v>
      </c>
      <c r="BB62" s="297"/>
      <c r="BC62" s="34" t="s">
        <v>1503</v>
      </c>
      <c r="BD62" s="34"/>
      <c r="BE62" s="34"/>
      <c r="BF62" s="34"/>
      <c r="BG62" s="298">
        <f>SUM(J43+AJ49+BI61)</f>
        <v>757</v>
      </c>
      <c r="BH62" s="35"/>
      <c r="BI62" s="35"/>
      <c r="BJ62" s="28"/>
    </row>
    <row r="63" spans="25:62" ht="15" thickBot="1" x14ac:dyDescent="0.35"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M63" s="28"/>
      <c r="AN63" s="28"/>
      <c r="AO63" s="28"/>
      <c r="AP63" s="28"/>
      <c r="AQ63" s="43"/>
      <c r="AR63" s="28"/>
      <c r="AS63" s="28"/>
      <c r="AT63" s="28"/>
      <c r="AU63" s="43"/>
      <c r="AV63" s="43"/>
      <c r="AW63" s="28"/>
      <c r="AX63" s="28"/>
      <c r="AY63" s="138" t="s">
        <v>1340</v>
      </c>
      <c r="AZ63" s="28"/>
      <c r="BA63" s="299">
        <v>79</v>
      </c>
      <c r="BB63" s="47"/>
      <c r="BC63" s="48" t="s">
        <v>1504</v>
      </c>
      <c r="BD63" s="48"/>
      <c r="BE63" s="48"/>
      <c r="BF63" s="48"/>
      <c r="BG63" s="300">
        <f>SUM(AV44)</f>
        <v>373</v>
      </c>
      <c r="BH63" s="301">
        <f>SUM(BG62:BG63)</f>
        <v>1130</v>
      </c>
      <c r="BI63" s="40"/>
      <c r="BJ63" s="28"/>
    </row>
    <row r="64" spans="25:62" ht="15" thickBot="1" x14ac:dyDescent="0.35">
      <c r="Y64" s="28"/>
      <c r="Z64" s="28"/>
      <c r="AA64" s="28"/>
      <c r="AB64" s="43"/>
      <c r="AC64" s="43"/>
      <c r="AD64" s="43"/>
      <c r="AE64" s="28"/>
      <c r="AF64" s="28"/>
      <c r="AG64" s="28"/>
      <c r="AH64" s="28"/>
      <c r="AI64" s="28"/>
      <c r="AJ64" s="28"/>
      <c r="AM64" s="43"/>
      <c r="AN64" s="43"/>
      <c r="AO64" s="43"/>
      <c r="AP64" s="28"/>
      <c r="AQ64" s="43"/>
      <c r="AR64" s="28"/>
      <c r="AS64" s="28"/>
      <c r="AT64" s="28"/>
      <c r="AU64" s="43"/>
      <c r="AV64" s="43"/>
      <c r="AW64" s="43"/>
      <c r="AX64" s="28"/>
      <c r="AY64" s="202" t="s">
        <v>229</v>
      </c>
      <c r="AZ64" s="48"/>
      <c r="BA64" s="302">
        <f>2+2</f>
        <v>4</v>
      </c>
      <c r="BB64" s="28"/>
      <c r="BC64" s="28"/>
      <c r="BD64" s="28"/>
      <c r="BE64" s="28"/>
      <c r="BF64" s="42"/>
      <c r="BG64" s="28"/>
      <c r="BH64" s="42"/>
      <c r="BI64" s="40"/>
      <c r="BJ64" s="28"/>
    </row>
    <row r="65" spans="2:62" x14ac:dyDescent="0.3">
      <c r="Y65" s="28"/>
      <c r="Z65" s="28"/>
      <c r="AA65" s="28"/>
      <c r="AB65" s="43"/>
      <c r="AC65" s="43"/>
      <c r="AD65" s="43"/>
      <c r="AE65" s="28"/>
      <c r="AF65" s="28"/>
      <c r="AG65" s="28"/>
      <c r="AH65" s="43"/>
      <c r="AI65" s="28"/>
      <c r="AJ65" s="28"/>
      <c r="AM65" s="28"/>
      <c r="AN65" s="28"/>
      <c r="AO65" s="28"/>
      <c r="AP65" s="28"/>
      <c r="AQ65" s="28"/>
      <c r="AR65" s="28"/>
      <c r="AS65" s="28"/>
      <c r="AT65" s="28"/>
      <c r="AU65" s="43"/>
      <c r="AV65" s="43"/>
      <c r="AW65" s="28"/>
      <c r="AX65" s="28"/>
      <c r="AY65" s="200" t="s">
        <v>232</v>
      </c>
      <c r="AZ65" s="34"/>
      <c r="BA65" s="303" t="s">
        <v>233</v>
      </c>
      <c r="BB65" s="34"/>
      <c r="BC65" s="298">
        <f>SUM(AN44)</f>
        <v>1993</v>
      </c>
      <c r="BD65" s="35"/>
      <c r="BE65" s="33" t="s">
        <v>234</v>
      </c>
      <c r="BF65" s="34"/>
      <c r="BG65" s="34" t="s">
        <v>233</v>
      </c>
      <c r="BH65" s="34"/>
      <c r="BI65" s="304">
        <f>SUM(AZ62)</f>
        <v>7853</v>
      </c>
      <c r="BJ65" s="28"/>
    </row>
    <row r="66" spans="2:62" ht="15" thickBot="1" x14ac:dyDescent="0.35">
      <c r="Y66" s="28"/>
      <c r="Z66" s="28"/>
      <c r="AA66" s="28"/>
      <c r="AB66" s="43"/>
      <c r="AC66" s="43"/>
      <c r="AD66" s="43"/>
      <c r="AE66" s="28"/>
      <c r="AF66" s="28"/>
      <c r="AG66" s="28"/>
      <c r="AH66" s="43"/>
      <c r="AI66" s="43"/>
      <c r="AJ66" s="28"/>
      <c r="AM66" s="28"/>
      <c r="AN66" s="28"/>
      <c r="AO66" s="28"/>
      <c r="AP66" s="28"/>
      <c r="AQ66" s="28"/>
      <c r="AR66" s="28"/>
      <c r="AS66" s="43"/>
      <c r="AT66" s="43"/>
      <c r="AU66" s="28"/>
      <c r="AV66" s="28"/>
      <c r="AW66" s="28"/>
      <c r="AX66" s="28"/>
      <c r="AY66" s="202"/>
      <c r="AZ66" s="48"/>
      <c r="BA66" s="48" t="s">
        <v>236</v>
      </c>
      <c r="BB66" s="48"/>
      <c r="BC66" s="300">
        <f>SUM(AO44)</f>
        <v>2010</v>
      </c>
      <c r="BD66" s="49"/>
      <c r="BE66" s="42"/>
      <c r="BF66" s="28"/>
      <c r="BG66" s="28" t="s">
        <v>236</v>
      </c>
      <c r="BH66" s="28"/>
      <c r="BI66" s="174">
        <f>SUM(BA62)</f>
        <v>6928</v>
      </c>
      <c r="BJ66" s="28"/>
    </row>
    <row r="67" spans="2:62" ht="15" thickBot="1" x14ac:dyDescent="0.35">
      <c r="Y67" s="28"/>
      <c r="Z67" s="43"/>
      <c r="AA67" s="28"/>
      <c r="AB67" s="43"/>
      <c r="AC67" s="28"/>
      <c r="AD67" s="28"/>
      <c r="AE67" s="28"/>
      <c r="AF67" s="28"/>
      <c r="AG67" s="28"/>
      <c r="AH67" s="28"/>
      <c r="AI67" s="28"/>
      <c r="AJ67" s="28"/>
      <c r="AM67" s="28"/>
      <c r="AN67" s="43"/>
      <c r="AO67" s="43"/>
      <c r="AP67" s="28"/>
      <c r="AQ67" s="43"/>
      <c r="AR67" s="28"/>
      <c r="AS67" s="43"/>
      <c r="AT67" s="43"/>
      <c r="AU67" s="28"/>
      <c r="AV67" s="28"/>
      <c r="AW67" s="28"/>
      <c r="AX67" s="28"/>
      <c r="AY67" s="210" t="s">
        <v>238</v>
      </c>
      <c r="AZ67" s="170" t="s">
        <v>239</v>
      </c>
      <c r="BA67" s="172"/>
      <c r="BB67" s="171" t="s">
        <v>240</v>
      </c>
      <c r="BC67" s="170" t="s">
        <v>241</v>
      </c>
      <c r="BD67" s="170"/>
      <c r="BE67" s="171"/>
      <c r="BF67" s="170" t="s">
        <v>242</v>
      </c>
      <c r="BG67" s="305" t="s">
        <v>243</v>
      </c>
      <c r="BH67" s="170"/>
      <c r="BI67" s="172"/>
      <c r="BJ67" s="28"/>
    </row>
    <row r="68" spans="2:62" x14ac:dyDescent="0.3">
      <c r="Y68" s="28"/>
      <c r="Z68" s="28"/>
      <c r="AA68" s="28"/>
      <c r="AB68" s="43"/>
      <c r="AC68" s="43"/>
      <c r="AD68" s="43"/>
      <c r="AE68" s="28"/>
      <c r="AF68" s="28"/>
      <c r="AG68" s="28"/>
      <c r="AH68" s="28"/>
      <c r="AI68" s="28"/>
      <c r="AJ68" s="28"/>
      <c r="AM68" s="28"/>
      <c r="AN68" s="43"/>
      <c r="AO68" s="43"/>
      <c r="AP68" s="28"/>
      <c r="AQ68" s="43"/>
      <c r="AR68" s="28"/>
      <c r="AS68" s="43"/>
      <c r="AT68" s="43"/>
      <c r="AU68" s="28"/>
      <c r="AV68" s="43"/>
      <c r="AW68" s="43"/>
      <c r="AX68" s="28"/>
      <c r="AY68" s="200" t="s">
        <v>233</v>
      </c>
      <c r="AZ68" s="34"/>
      <c r="BA68" s="304">
        <f>SUM(B43)</f>
        <v>49225</v>
      </c>
      <c r="BB68" s="306" t="s">
        <v>233</v>
      </c>
      <c r="BC68" s="28"/>
      <c r="BD68" s="174">
        <f>SUM(Z49)</f>
        <v>3820</v>
      </c>
      <c r="BE68" s="42" t="s">
        <v>233</v>
      </c>
      <c r="BF68" s="28"/>
      <c r="BG68" s="174">
        <f>SUM(AZ62+BD68)</f>
        <v>11673</v>
      </c>
      <c r="BH68" s="28" t="s">
        <v>245</v>
      </c>
      <c r="BI68" s="174">
        <f>SUM(BG68+BA68)</f>
        <v>60898</v>
      </c>
      <c r="BJ68" s="28"/>
    </row>
    <row r="69" spans="2:62" ht="15" thickBot="1" x14ac:dyDescent="0.35">
      <c r="Y69" s="28"/>
      <c r="Z69" s="28"/>
      <c r="AA69" s="28"/>
      <c r="AB69" s="43"/>
      <c r="AC69" s="43"/>
      <c r="AD69" s="43"/>
      <c r="AE69" s="28"/>
      <c r="AF69" s="28"/>
      <c r="AG69" s="28"/>
      <c r="AH69" s="43"/>
      <c r="AI69" s="28"/>
      <c r="AJ69" s="28"/>
      <c r="AM69" s="28"/>
      <c r="AN69" s="43"/>
      <c r="AO69" s="43"/>
      <c r="AP69" s="28"/>
      <c r="AQ69" s="43"/>
      <c r="AR69" s="28"/>
      <c r="AS69" s="43"/>
      <c r="AT69" s="43"/>
      <c r="AU69" s="28"/>
      <c r="AV69" s="43"/>
      <c r="AW69" s="43"/>
      <c r="AX69" s="28"/>
      <c r="AY69" s="202" t="s">
        <v>236</v>
      </c>
      <c r="AZ69" s="48"/>
      <c r="BA69" s="301">
        <f>SUM(C43)</f>
        <v>56085</v>
      </c>
      <c r="BB69" s="307" t="s">
        <v>236</v>
      </c>
      <c r="BC69" s="48"/>
      <c r="BD69" s="301">
        <f>SUM(AA49)</f>
        <v>3737</v>
      </c>
      <c r="BE69" s="42" t="s">
        <v>236</v>
      </c>
      <c r="BF69" s="28"/>
      <c r="BG69" s="174">
        <f>SUM(BD69+BA62)</f>
        <v>10665</v>
      </c>
      <c r="BH69" s="28"/>
      <c r="BI69" s="174">
        <f>SUM(BG69+BA69)</f>
        <v>66750</v>
      </c>
      <c r="BJ69" s="140">
        <f>SUM(BI68:BI69)</f>
        <v>127648</v>
      </c>
    </row>
    <row r="70" spans="2:62" ht="15" thickBot="1" x14ac:dyDescent="0.35">
      <c r="Y70" s="28"/>
      <c r="Z70" s="28"/>
      <c r="AA70" s="28"/>
      <c r="AB70" s="43"/>
      <c r="AC70" s="43"/>
      <c r="AD70" s="43"/>
      <c r="AE70" s="28"/>
      <c r="AF70" s="28"/>
      <c r="AG70" s="28"/>
      <c r="AH70" s="43"/>
      <c r="AI70" s="43"/>
      <c r="AJ70" s="28"/>
      <c r="AM70" s="28"/>
      <c r="AN70" s="43"/>
      <c r="AO70" s="43"/>
      <c r="AP70" s="28"/>
      <c r="AQ70" s="28"/>
      <c r="AR70" s="28"/>
      <c r="AS70" s="43"/>
      <c r="AT70" s="43"/>
      <c r="AU70" s="28"/>
      <c r="AV70" s="28"/>
      <c r="AW70" s="28"/>
      <c r="AX70" s="28"/>
      <c r="AY70" s="377" t="s">
        <v>1505</v>
      </c>
      <c r="AZ70" s="170"/>
      <c r="BA70" s="272"/>
      <c r="BB70" s="271" t="s">
        <v>1506</v>
      </c>
      <c r="BC70" s="170"/>
      <c r="BD70" s="170"/>
      <c r="BE70" s="171"/>
      <c r="BF70" s="170" t="s">
        <v>1507</v>
      </c>
      <c r="BG70" s="170"/>
      <c r="BH70" s="170"/>
      <c r="BI70" s="308"/>
      <c r="BJ70" s="28"/>
    </row>
    <row r="71" spans="2:62" x14ac:dyDescent="0.3">
      <c r="Y71" s="43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378" t="s">
        <v>43</v>
      </c>
      <c r="AZ71" s="34" t="s">
        <v>44</v>
      </c>
      <c r="BA71" s="309"/>
      <c r="BB71" s="123" t="s">
        <v>43</v>
      </c>
      <c r="BC71" s="123" t="s">
        <v>44</v>
      </c>
      <c r="BD71" s="35"/>
      <c r="BE71" s="34"/>
      <c r="BF71" s="298">
        <f>SUM(E43+BC61)</f>
        <v>2167</v>
      </c>
      <c r="BG71" s="298"/>
      <c r="BH71" s="34"/>
      <c r="BI71" s="35"/>
      <c r="BJ71" s="28"/>
    </row>
    <row r="72" spans="2:62" ht="15" thickBot="1" x14ac:dyDescent="0.35"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Y72" s="379">
        <f>SUM(N38+AE49)</f>
        <v>182318</v>
      </c>
      <c r="AZ72" s="300">
        <f>SUM(O38+AF49)</f>
        <v>158269</v>
      </c>
      <c r="BA72" s="311"/>
      <c r="BB72" s="312">
        <f>SUM(S38+BE61)</f>
        <v>76829</v>
      </c>
      <c r="BC72" s="300">
        <f>SUM(T38+BF61)</f>
        <v>22192</v>
      </c>
      <c r="BD72" s="49"/>
      <c r="BE72" s="48"/>
      <c r="BF72" s="48"/>
      <c r="BG72" s="48"/>
      <c r="BH72" s="48"/>
      <c r="BI72" s="49"/>
      <c r="BJ72" s="28"/>
    </row>
    <row r="73" spans="2:62" x14ac:dyDescent="0.3">
      <c r="Y73" s="28"/>
      <c r="Z73" s="28"/>
      <c r="AA73" s="28"/>
      <c r="AB73" s="43"/>
      <c r="AC73" s="43"/>
      <c r="AD73" s="43"/>
      <c r="AE73" s="28"/>
      <c r="AF73" s="28"/>
      <c r="AG73" s="28"/>
      <c r="AH73" s="43"/>
      <c r="AI73" s="28"/>
      <c r="AJ73" s="28"/>
      <c r="AS73" s="43"/>
      <c r="AT73" s="28"/>
      <c r="AU73" s="28"/>
      <c r="AV73" s="28"/>
      <c r="AY73" s="28"/>
      <c r="AZ73" s="43"/>
      <c r="BA73" s="43"/>
      <c r="BB73" s="343"/>
      <c r="BC73" s="43"/>
      <c r="BD73" s="28"/>
      <c r="BE73" s="43"/>
      <c r="BF73" s="28"/>
      <c r="BG73" s="43"/>
      <c r="BH73" s="222"/>
      <c r="BI73" s="43"/>
      <c r="BJ73" s="28"/>
    </row>
    <row r="74" spans="2:62" x14ac:dyDescent="0.3">
      <c r="Y74" s="28"/>
      <c r="Z74" s="28"/>
      <c r="AA74" s="28"/>
      <c r="AB74" s="43"/>
      <c r="AC74" s="43"/>
      <c r="AD74" s="43"/>
      <c r="AE74" s="28"/>
      <c r="AF74" s="28"/>
      <c r="AG74" s="28"/>
      <c r="AH74" s="43"/>
      <c r="AI74" s="28"/>
      <c r="AJ74" s="28"/>
      <c r="AS74" s="43"/>
      <c r="AT74" s="28"/>
      <c r="AU74" s="28"/>
      <c r="AV74" s="28"/>
      <c r="AY74" s="28"/>
      <c r="AZ74" s="43"/>
      <c r="BA74" s="43"/>
      <c r="BB74" s="343"/>
      <c r="BC74" s="43"/>
      <c r="BD74" s="28"/>
      <c r="BE74" s="43"/>
      <c r="BF74" s="28"/>
      <c r="BG74" s="43"/>
      <c r="BH74" s="222"/>
      <c r="BI74" s="43"/>
      <c r="BJ74" s="28"/>
    </row>
    <row r="75" spans="2:62" x14ac:dyDescent="0.3">
      <c r="Y75" s="28"/>
      <c r="Z75" s="28"/>
      <c r="AA75" s="28"/>
      <c r="AB75" s="43"/>
      <c r="AC75" s="43"/>
      <c r="AD75" s="43"/>
      <c r="AE75" s="28"/>
      <c r="AF75" s="28"/>
      <c r="AG75" s="28"/>
      <c r="AH75" s="43"/>
      <c r="AI75" s="28"/>
      <c r="AJ75" s="28"/>
      <c r="AS75" s="43"/>
      <c r="AT75" s="28"/>
      <c r="AU75" s="28"/>
      <c r="AV75" s="28"/>
      <c r="AY75" s="28"/>
      <c r="AZ75" s="43"/>
      <c r="BA75" s="43"/>
      <c r="BB75" s="343"/>
      <c r="BC75" s="43"/>
      <c r="BD75" s="28"/>
      <c r="BE75" s="43"/>
      <c r="BF75" s="28"/>
      <c r="BG75" s="43"/>
      <c r="BH75" s="222"/>
      <c r="BI75" s="43"/>
      <c r="BJ75" s="28"/>
    </row>
    <row r="76" spans="2:62" x14ac:dyDescent="0.3">
      <c r="Y76" s="28"/>
      <c r="Z76" s="28"/>
      <c r="AA76" s="28"/>
      <c r="AB76" s="43"/>
      <c r="AC76" s="43"/>
      <c r="AD76" s="43"/>
      <c r="AE76" s="28"/>
      <c r="AF76" s="28"/>
      <c r="AG76" s="28"/>
      <c r="AH76" s="43"/>
      <c r="AI76" s="28"/>
      <c r="AJ76" s="28"/>
      <c r="AS76" s="43"/>
      <c r="AT76" s="28"/>
      <c r="AU76" s="28"/>
      <c r="AV76" s="28"/>
      <c r="AY76" s="28"/>
      <c r="AZ76" s="43"/>
      <c r="BA76" s="43"/>
      <c r="BB76" s="343"/>
      <c r="BC76" s="43"/>
      <c r="BD76" s="28"/>
      <c r="BE76" s="43"/>
      <c r="BF76" s="28"/>
      <c r="BG76" s="43"/>
      <c r="BH76" s="222"/>
      <c r="BI76" s="43"/>
      <c r="BJ76" s="28"/>
    </row>
    <row r="77" spans="2:62" x14ac:dyDescent="0.3">
      <c r="Y77" s="28"/>
      <c r="Z77" s="28"/>
      <c r="AA77" s="28"/>
      <c r="AB77" s="43"/>
      <c r="AC77" s="43"/>
      <c r="AD77" s="43"/>
      <c r="AE77" s="28"/>
      <c r="AF77" s="28"/>
      <c r="AG77" s="28"/>
      <c r="AH77" s="43"/>
      <c r="AI77" s="28"/>
      <c r="AJ77" s="28"/>
      <c r="AS77" s="43"/>
      <c r="AT77" s="28"/>
      <c r="AU77" s="28"/>
      <c r="AV77" s="28"/>
      <c r="AY77" s="28"/>
      <c r="AZ77" s="43"/>
      <c r="BA77" s="43"/>
      <c r="BB77" s="343"/>
      <c r="BC77" s="43"/>
      <c r="BD77" s="28"/>
      <c r="BE77" s="43"/>
      <c r="BF77" s="28"/>
      <c r="BG77" s="43"/>
      <c r="BH77" s="222"/>
      <c r="BI77" s="43"/>
      <c r="BJ77" s="28"/>
    </row>
    <row r="78" spans="2:62" ht="21" x14ac:dyDescent="0.4">
      <c r="B78" s="261"/>
      <c r="C78" s="184"/>
      <c r="E78" s="329" t="s">
        <v>1873</v>
      </c>
      <c r="O78" s="261"/>
      <c r="P78" s="184"/>
      <c r="R78" s="329" t="s">
        <v>1873</v>
      </c>
      <c r="AA78" s="261"/>
      <c r="AB78" s="184"/>
      <c r="AD78" s="329" t="s">
        <v>1873</v>
      </c>
      <c r="AO78" s="261"/>
      <c r="AP78" s="184"/>
      <c r="AR78" s="329" t="s">
        <v>1873</v>
      </c>
      <c r="AY78" s="28" t="s">
        <v>6</v>
      </c>
      <c r="AZ78" s="28"/>
      <c r="BA78" s="261"/>
      <c r="BB78" s="184"/>
      <c r="BD78" s="329" t="s">
        <v>1873</v>
      </c>
      <c r="BH78" s="258"/>
      <c r="BI78" s="28"/>
      <c r="BJ78" s="28"/>
    </row>
    <row r="79" spans="2:62" x14ac:dyDescent="0.3">
      <c r="C79" t="s">
        <v>1443</v>
      </c>
      <c r="O79" s="385"/>
      <c r="P79" s="385"/>
      <c r="Q79" s="385" t="s">
        <v>1</v>
      </c>
      <c r="R79" s="385"/>
      <c r="S79" s="385"/>
      <c r="T79" s="385"/>
      <c r="AC79" t="s">
        <v>1444</v>
      </c>
      <c r="AO79" s="408" t="s">
        <v>2187</v>
      </c>
      <c r="AP79" s="408"/>
      <c r="AQ79" s="408"/>
      <c r="AR79" s="408"/>
      <c r="AS79" s="408"/>
      <c r="BC79" t="s">
        <v>1445</v>
      </c>
      <c r="BF79" s="28"/>
      <c r="BG79" s="28"/>
      <c r="BH79" s="28"/>
      <c r="BI79" s="28"/>
      <c r="BJ79" s="28"/>
    </row>
    <row r="80" spans="2:62" x14ac:dyDescent="0.3">
      <c r="D80" t="s">
        <v>2</v>
      </c>
      <c r="O80" s="385"/>
      <c r="P80" s="385"/>
      <c r="Q80" s="408" t="s">
        <v>1286</v>
      </c>
      <c r="R80" s="408"/>
      <c r="S80" s="408"/>
      <c r="T80" s="385"/>
      <c r="AC80" t="s">
        <v>9</v>
      </c>
      <c r="AP80" s="408" t="s">
        <v>2120</v>
      </c>
      <c r="AQ80" s="408"/>
      <c r="AR80" s="408"/>
      <c r="AS80" s="408"/>
      <c r="AT80" s="408"/>
      <c r="BD80" t="s">
        <v>2</v>
      </c>
      <c r="BF80" s="28"/>
      <c r="BG80" s="28"/>
      <c r="BH80" s="28"/>
      <c r="BI80" s="28"/>
      <c r="BJ80" s="28"/>
    </row>
    <row r="81" spans="1:62" x14ac:dyDescent="0.3">
      <c r="C81" t="s">
        <v>7</v>
      </c>
      <c r="O81" s="385"/>
      <c r="P81" s="385" t="s">
        <v>1446</v>
      </c>
      <c r="Q81" s="385"/>
      <c r="R81" s="385"/>
      <c r="S81" s="385"/>
      <c r="T81" s="385"/>
      <c r="AC81" t="s">
        <v>11</v>
      </c>
      <c r="AM81" s="408" t="s">
        <v>2188</v>
      </c>
      <c r="AN81" s="408"/>
      <c r="AO81" s="408"/>
      <c r="AP81" s="408"/>
      <c r="AQ81" s="408"/>
      <c r="AR81" s="408"/>
      <c r="AS81" s="408"/>
      <c r="AT81" s="408"/>
      <c r="BB81" t="s">
        <v>1451</v>
      </c>
      <c r="BF81" s="28"/>
      <c r="BG81" s="28"/>
      <c r="BH81" s="28"/>
      <c r="BI81" s="28"/>
      <c r="BJ81" s="28"/>
    </row>
    <row r="82" spans="1:62" x14ac:dyDescent="0.3">
      <c r="A82" s="408"/>
      <c r="B82" s="408"/>
      <c r="C82" s="408"/>
      <c r="D82" s="408" t="s">
        <v>2252</v>
      </c>
      <c r="E82" s="408"/>
      <c r="F82" s="344"/>
      <c r="O82" s="385"/>
      <c r="P82" s="408" t="s">
        <v>2253</v>
      </c>
      <c r="Q82" s="408"/>
      <c r="R82" s="408"/>
      <c r="S82" s="408"/>
      <c r="T82" s="385"/>
      <c r="AB82" s="408" t="s">
        <v>2254</v>
      </c>
      <c r="AC82" s="408"/>
      <c r="AD82" s="408"/>
      <c r="AE82" s="408"/>
      <c r="AF82" s="408"/>
      <c r="AO82" s="408" t="s">
        <v>2252</v>
      </c>
      <c r="AP82" s="408"/>
      <c r="AQ82" s="408"/>
      <c r="AR82" s="408"/>
      <c r="AS82" s="408"/>
      <c r="AT82" s="344"/>
      <c r="BB82" s="408" t="s">
        <v>2255</v>
      </c>
      <c r="BC82" s="408"/>
      <c r="BD82" s="408"/>
      <c r="BE82" s="408"/>
      <c r="BF82" s="408"/>
      <c r="BJ82" s="28"/>
    </row>
    <row r="83" spans="1:62" ht="15" thickBot="1" x14ac:dyDescent="0.35">
      <c r="A83" s="410" t="s">
        <v>2076</v>
      </c>
      <c r="B83" s="410"/>
      <c r="C83" s="410"/>
      <c r="D83" s="410"/>
      <c r="E83" s="410"/>
      <c r="F83" s="410"/>
      <c r="G83" s="410"/>
      <c r="H83" s="410"/>
      <c r="I83" s="368" t="s">
        <v>949</v>
      </c>
      <c r="J83" s="344"/>
      <c r="L83" s="328"/>
      <c r="M83" s="328"/>
      <c r="N83" s="328"/>
      <c r="O83" s="410" t="s">
        <v>2076</v>
      </c>
      <c r="P83" s="410"/>
      <c r="Q83" s="410"/>
      <c r="R83" s="410"/>
      <c r="S83" s="410"/>
      <c r="T83" s="410"/>
      <c r="U83" s="410"/>
      <c r="V83" t="s">
        <v>15</v>
      </c>
      <c r="Y83" s="410" t="s">
        <v>2194</v>
      </c>
      <c r="Z83" s="410"/>
      <c r="AA83" s="410"/>
      <c r="AB83" s="410"/>
      <c r="AC83" s="410"/>
      <c r="AD83" s="410"/>
      <c r="AE83" s="410"/>
      <c r="AF83" s="410"/>
      <c r="AG83" s="410"/>
      <c r="AH83" s="386"/>
      <c r="AI83" s="28" t="s">
        <v>25</v>
      </c>
      <c r="AM83" s="328"/>
      <c r="AN83" s="328"/>
      <c r="AO83" s="328"/>
      <c r="AP83" s="328" t="s">
        <v>2195</v>
      </c>
      <c r="AQ83" s="328"/>
      <c r="AR83" s="328"/>
      <c r="AS83" s="328"/>
      <c r="AT83" s="328"/>
      <c r="AU83" s="328"/>
      <c r="AV83" s="194" t="s">
        <v>951</v>
      </c>
      <c r="AY83" s="344"/>
      <c r="AZ83" s="328"/>
      <c r="BA83" s="328"/>
      <c r="BB83" s="328"/>
      <c r="BC83" s="328" t="s">
        <v>2076</v>
      </c>
      <c r="BD83" s="328"/>
      <c r="BE83" s="328"/>
      <c r="BF83" s="328"/>
      <c r="BG83" s="328"/>
      <c r="BH83" s="328"/>
      <c r="BI83" s="369" t="s">
        <v>950</v>
      </c>
      <c r="BJ83" s="28"/>
    </row>
    <row r="84" spans="1:62" ht="15" thickBot="1" x14ac:dyDescent="0.35">
      <c r="A84" s="32" t="s">
        <v>17</v>
      </c>
      <c r="B84" s="34" t="s">
        <v>18</v>
      </c>
      <c r="C84" s="201"/>
      <c r="D84" s="34" t="s">
        <v>19</v>
      </c>
      <c r="E84" s="34"/>
      <c r="F84" s="34"/>
      <c r="G84" s="200"/>
      <c r="H84" s="33" t="s">
        <v>21</v>
      </c>
      <c r="I84" s="34"/>
      <c r="J84" s="35"/>
      <c r="M84" s="32" t="s">
        <v>17</v>
      </c>
      <c r="N84" s="33" t="s">
        <v>22</v>
      </c>
      <c r="O84" s="34"/>
      <c r="P84" s="34" t="s">
        <v>1452</v>
      </c>
      <c r="Q84" s="34" t="s">
        <v>1453</v>
      </c>
      <c r="R84" s="34"/>
      <c r="S84" s="34"/>
      <c r="T84" s="35"/>
      <c r="U84" s="33" t="s">
        <v>21</v>
      </c>
      <c r="V84" s="35"/>
      <c r="Y84" s="33" t="s">
        <v>34</v>
      </c>
      <c r="Z84" s="200" t="s">
        <v>35</v>
      </c>
      <c r="AA84" s="201"/>
      <c r="AB84" s="34" t="s">
        <v>1454</v>
      </c>
      <c r="AC84" s="34" t="s">
        <v>51</v>
      </c>
      <c r="AD84" s="34"/>
      <c r="AE84" s="200" t="s">
        <v>37</v>
      </c>
      <c r="AF84" s="201" t="s">
        <v>1288</v>
      </c>
      <c r="AG84" s="34" t="s">
        <v>30</v>
      </c>
      <c r="AH84" s="200" t="s">
        <v>38</v>
      </c>
      <c r="AI84" s="34"/>
      <c r="AJ84" s="35"/>
      <c r="AM84" s="134" t="s">
        <v>17</v>
      </c>
      <c r="AN84" s="134" t="s">
        <v>39</v>
      </c>
      <c r="AO84" s="136"/>
      <c r="AP84" s="134" t="s">
        <v>29</v>
      </c>
      <c r="AQ84" s="136" t="s">
        <v>30</v>
      </c>
      <c r="AR84" s="135" t="s">
        <v>40</v>
      </c>
      <c r="AS84" s="135"/>
      <c r="AT84" s="135"/>
      <c r="AU84" s="135"/>
      <c r="AV84" s="136"/>
      <c r="AY84" s="195" t="s">
        <v>17</v>
      </c>
      <c r="AZ84" s="134" t="s">
        <v>27</v>
      </c>
      <c r="BA84" s="135"/>
      <c r="BB84" s="134" t="s">
        <v>28</v>
      </c>
      <c r="BC84" s="135"/>
      <c r="BD84" s="136"/>
      <c r="BE84" s="134" t="s">
        <v>1459</v>
      </c>
      <c r="BF84" s="136"/>
      <c r="BG84" s="135" t="s">
        <v>31</v>
      </c>
      <c r="BH84" s="135"/>
      <c r="BI84" s="136"/>
      <c r="BJ84" s="28"/>
    </row>
    <row r="85" spans="1:62" ht="15" thickBot="1" x14ac:dyDescent="0.35">
      <c r="A85" s="41" t="s">
        <v>32</v>
      </c>
      <c r="B85" s="28"/>
      <c r="C85" s="141"/>
      <c r="D85" s="28"/>
      <c r="E85" s="28"/>
      <c r="F85" s="28"/>
      <c r="G85" s="138"/>
      <c r="H85" s="42" t="s">
        <v>33</v>
      </c>
      <c r="I85" s="28"/>
      <c r="J85" s="40"/>
      <c r="M85" s="41"/>
      <c r="N85" s="42" t="s">
        <v>1456</v>
      </c>
      <c r="O85" s="28"/>
      <c r="P85" s="28"/>
      <c r="Q85" s="28"/>
      <c r="R85" s="28"/>
      <c r="S85" s="28" t="s">
        <v>1457</v>
      </c>
      <c r="T85" s="40"/>
      <c r="U85" s="42" t="s">
        <v>33</v>
      </c>
      <c r="V85" s="40"/>
      <c r="Y85" s="47" t="s">
        <v>50</v>
      </c>
      <c r="Z85" s="202" t="s">
        <v>43</v>
      </c>
      <c r="AA85" s="48" t="s">
        <v>44</v>
      </c>
      <c r="AB85" s="169" t="s">
        <v>45</v>
      </c>
      <c r="AC85" s="48" t="s">
        <v>46</v>
      </c>
      <c r="AD85" s="48" t="s">
        <v>52</v>
      </c>
      <c r="AE85" s="202" t="s">
        <v>43</v>
      </c>
      <c r="AF85" s="203" t="s">
        <v>44</v>
      </c>
      <c r="AG85" s="48" t="s">
        <v>43</v>
      </c>
      <c r="AH85" s="202" t="s">
        <v>53</v>
      </c>
      <c r="AI85" s="48"/>
      <c r="AJ85" s="49"/>
      <c r="AM85" s="138" t="s">
        <v>42</v>
      </c>
      <c r="AN85" s="138" t="s">
        <v>43</v>
      </c>
      <c r="AO85" s="141" t="s">
        <v>44</v>
      </c>
      <c r="AP85" s="138" t="s">
        <v>43</v>
      </c>
      <c r="AQ85" s="141" t="s">
        <v>44</v>
      </c>
      <c r="AR85" s="28"/>
      <c r="AS85" s="28"/>
      <c r="AT85" s="28"/>
      <c r="AU85" s="28"/>
      <c r="AV85" s="141"/>
      <c r="AY85" s="196"/>
      <c r="AZ85" s="138"/>
      <c r="BA85" s="28"/>
      <c r="BB85" s="138"/>
      <c r="BC85" s="28"/>
      <c r="BD85" s="141"/>
      <c r="BE85" s="138"/>
      <c r="BF85" s="141"/>
      <c r="BG85" s="28" t="s">
        <v>41</v>
      </c>
      <c r="BH85" s="28"/>
      <c r="BI85" s="141"/>
      <c r="BJ85" s="28"/>
    </row>
    <row r="86" spans="1:62" ht="15" thickBot="1" x14ac:dyDescent="0.35">
      <c r="A86" s="46" t="s">
        <v>42</v>
      </c>
      <c r="B86" s="171" t="s">
        <v>43</v>
      </c>
      <c r="C86" s="172" t="s">
        <v>44</v>
      </c>
      <c r="D86" s="170" t="s">
        <v>45</v>
      </c>
      <c r="E86" s="170" t="s">
        <v>46</v>
      </c>
      <c r="F86" s="170" t="s">
        <v>47</v>
      </c>
      <c r="G86" s="254" t="s">
        <v>1460</v>
      </c>
      <c r="H86" s="47" t="s">
        <v>49</v>
      </c>
      <c r="I86" s="48"/>
      <c r="J86" s="49"/>
      <c r="M86" s="46" t="s">
        <v>50</v>
      </c>
      <c r="N86" s="47" t="s">
        <v>43</v>
      </c>
      <c r="O86" s="48" t="s">
        <v>44</v>
      </c>
      <c r="P86" s="171" t="s">
        <v>51</v>
      </c>
      <c r="Q86" s="170" t="s">
        <v>43</v>
      </c>
      <c r="R86" s="172" t="s">
        <v>44</v>
      </c>
      <c r="S86" s="48" t="s">
        <v>43</v>
      </c>
      <c r="T86" s="49" t="s">
        <v>44</v>
      </c>
      <c r="U86" s="47" t="s">
        <v>49</v>
      </c>
      <c r="V86" s="49"/>
      <c r="Y86" s="33"/>
      <c r="Z86" s="33"/>
      <c r="AA86" s="35"/>
      <c r="AB86" s="34"/>
      <c r="AC86" s="34"/>
      <c r="AD86" s="34"/>
      <c r="AE86" s="33"/>
      <c r="AF86" s="35"/>
      <c r="AG86" s="32"/>
      <c r="AH86" s="33" t="s">
        <v>62</v>
      </c>
      <c r="AI86" s="34"/>
      <c r="AJ86" s="35"/>
      <c r="AM86" s="134" t="s">
        <v>67</v>
      </c>
      <c r="AN86" s="134">
        <v>4</v>
      </c>
      <c r="AO86" s="136">
        <v>6</v>
      </c>
      <c r="AP86" s="134"/>
      <c r="AQ86" s="136"/>
      <c r="AR86" s="135"/>
      <c r="AS86" s="135" t="s">
        <v>91</v>
      </c>
      <c r="AT86" s="135"/>
      <c r="AU86" s="135"/>
      <c r="AV86" s="136"/>
      <c r="AY86" s="199" t="s">
        <v>42</v>
      </c>
      <c r="AZ86" s="142" t="s">
        <v>43</v>
      </c>
      <c r="BA86" s="143" t="s">
        <v>44</v>
      </c>
      <c r="BB86" s="142" t="s">
        <v>45</v>
      </c>
      <c r="BC86" s="143" t="s">
        <v>46</v>
      </c>
      <c r="BD86" s="146" t="s">
        <v>52</v>
      </c>
      <c r="BE86" s="142" t="s">
        <v>43</v>
      </c>
      <c r="BF86" s="146" t="s">
        <v>44</v>
      </c>
      <c r="BG86" s="143" t="s">
        <v>54</v>
      </c>
      <c r="BH86" s="143"/>
      <c r="BI86" s="146"/>
      <c r="BJ86" s="28"/>
    </row>
    <row r="87" spans="1:62" x14ac:dyDescent="0.3">
      <c r="A87" s="42"/>
      <c r="B87" s="138"/>
      <c r="C87" s="141"/>
      <c r="D87" s="138"/>
      <c r="E87" s="28"/>
      <c r="F87" s="28"/>
      <c r="G87" s="138"/>
      <c r="H87" s="33" t="s">
        <v>396</v>
      </c>
      <c r="I87" s="34"/>
      <c r="J87" s="35"/>
      <c r="M87" s="42"/>
      <c r="N87" s="138"/>
      <c r="O87" s="196"/>
      <c r="P87" s="138"/>
      <c r="Q87" s="196"/>
      <c r="R87" s="141"/>
      <c r="S87" s="138"/>
      <c r="T87" s="138"/>
      <c r="U87" s="33" t="s">
        <v>396</v>
      </c>
      <c r="V87" s="35"/>
      <c r="Y87" s="42"/>
      <c r="Z87" s="42"/>
      <c r="AA87" s="40"/>
      <c r="AB87" s="28"/>
      <c r="AC87" s="28"/>
      <c r="AD87" s="28"/>
      <c r="AE87" s="42"/>
      <c r="AF87" s="40"/>
      <c r="AG87" s="41"/>
      <c r="AH87" s="42">
        <v>3</v>
      </c>
      <c r="AI87" s="28" t="s">
        <v>1290</v>
      </c>
      <c r="AJ87" s="40"/>
      <c r="AM87" s="138" t="s">
        <v>2031</v>
      </c>
      <c r="AN87" s="138">
        <v>68</v>
      </c>
      <c r="AO87" s="141">
        <v>14</v>
      </c>
      <c r="AP87" s="138"/>
      <c r="AQ87" s="141"/>
      <c r="AR87" s="28"/>
      <c r="AS87" s="43">
        <v>82</v>
      </c>
      <c r="AT87" s="28" t="s">
        <v>1026</v>
      </c>
      <c r="AU87" s="43"/>
      <c r="AV87" s="141"/>
      <c r="AY87" s="195"/>
      <c r="AZ87" s="134"/>
      <c r="BA87" s="136"/>
      <c r="BB87" s="134"/>
      <c r="BC87" s="135"/>
      <c r="BD87" s="136"/>
      <c r="BE87" s="134"/>
      <c r="BF87" s="136"/>
      <c r="BG87" s="134" t="s">
        <v>58</v>
      </c>
      <c r="BH87" s="135"/>
      <c r="BI87" s="136"/>
    </row>
    <row r="88" spans="1:62" x14ac:dyDescent="0.3">
      <c r="A88" s="42" t="s">
        <v>59</v>
      </c>
      <c r="B88" s="212">
        <v>525</v>
      </c>
      <c r="C88" s="141">
        <v>701</v>
      </c>
      <c r="D88" s="138">
        <v>0</v>
      </c>
      <c r="E88" s="38"/>
      <c r="F88" s="43">
        <v>0</v>
      </c>
      <c r="G88" s="138">
        <v>1</v>
      </c>
      <c r="H88" s="42">
        <v>5</v>
      </c>
      <c r="I88" s="28" t="s">
        <v>61</v>
      </c>
      <c r="J88" s="40"/>
      <c r="M88" s="42" t="s">
        <v>59</v>
      </c>
      <c r="N88" s="138">
        <v>13475</v>
      </c>
      <c r="O88" s="196">
        <v>1208</v>
      </c>
      <c r="P88" s="138">
        <v>0</v>
      </c>
      <c r="Q88" s="196">
        <v>0</v>
      </c>
      <c r="R88" s="141">
        <v>0</v>
      </c>
      <c r="S88" s="138"/>
      <c r="T88" s="138"/>
      <c r="U88" s="42"/>
      <c r="V88" s="40"/>
      <c r="Y88" s="42" t="s">
        <v>59</v>
      </c>
      <c r="Z88" s="42">
        <v>1146</v>
      </c>
      <c r="AA88" s="40">
        <v>1772</v>
      </c>
      <c r="AB88" s="28">
        <v>0</v>
      </c>
      <c r="AC88" s="43">
        <v>0</v>
      </c>
      <c r="AD88" s="43">
        <v>0</v>
      </c>
      <c r="AE88" s="42">
        <v>1280</v>
      </c>
      <c r="AF88" s="40"/>
      <c r="AG88" s="41">
        <v>0</v>
      </c>
      <c r="AH88" s="42">
        <v>3</v>
      </c>
      <c r="AI88" s="28" t="s">
        <v>66</v>
      </c>
      <c r="AJ88" s="40"/>
      <c r="AM88" s="138" t="s">
        <v>56</v>
      </c>
      <c r="AN88" s="138">
        <v>1017</v>
      </c>
      <c r="AO88" s="141">
        <v>1085</v>
      </c>
      <c r="AP88" s="138"/>
      <c r="AQ88" s="141"/>
      <c r="AR88" s="28"/>
      <c r="AS88" s="43">
        <v>8</v>
      </c>
      <c r="AT88" s="28" t="s">
        <v>1292</v>
      </c>
      <c r="AU88" s="43"/>
      <c r="AV88" s="141"/>
      <c r="AY88" s="196"/>
      <c r="AZ88" s="138"/>
      <c r="BA88" s="141"/>
      <c r="BB88" s="138"/>
      <c r="BC88" s="43"/>
      <c r="BD88" s="209"/>
      <c r="BE88" s="138"/>
      <c r="BF88" s="141"/>
      <c r="BG88" s="212">
        <v>8</v>
      </c>
      <c r="BH88" s="28" t="s">
        <v>65</v>
      </c>
      <c r="BI88" s="141" t="s">
        <v>2256</v>
      </c>
    </row>
    <row r="89" spans="1:62" ht="15" thickBot="1" x14ac:dyDescent="0.35">
      <c r="A89" s="42" t="s">
        <v>6</v>
      </c>
      <c r="B89" s="142"/>
      <c r="C89" s="146"/>
      <c r="D89" s="138"/>
      <c r="E89" s="28"/>
      <c r="F89" s="28"/>
      <c r="G89" s="138"/>
      <c r="H89" s="42"/>
      <c r="I89" s="28"/>
      <c r="J89" s="40">
        <v>5</v>
      </c>
      <c r="M89" s="244"/>
      <c r="N89" s="142"/>
      <c r="O89" s="199"/>
      <c r="P89" s="142"/>
      <c r="Q89" s="199"/>
      <c r="R89" s="146"/>
      <c r="S89" s="142"/>
      <c r="T89" s="142"/>
      <c r="U89" s="244"/>
      <c r="V89" s="245"/>
      <c r="Y89" s="42"/>
      <c r="Z89" s="42"/>
      <c r="AA89" s="40"/>
      <c r="AB89" s="28"/>
      <c r="AC89" s="28"/>
      <c r="AD89" s="28"/>
      <c r="AE89" s="42"/>
      <c r="AF89" s="40"/>
      <c r="AG89" s="41"/>
      <c r="AH89" s="47">
        <v>3</v>
      </c>
      <c r="AI89" s="48" t="s">
        <v>2257</v>
      </c>
      <c r="AJ89" s="49">
        <v>9</v>
      </c>
      <c r="AM89" s="142" t="s">
        <v>84</v>
      </c>
      <c r="AN89" s="142">
        <v>1089</v>
      </c>
      <c r="AO89" s="146">
        <v>1105</v>
      </c>
      <c r="AP89" s="142"/>
      <c r="AQ89" s="146"/>
      <c r="AR89" s="143"/>
      <c r="AS89" s="143">
        <v>4</v>
      </c>
      <c r="AT89" s="143" t="s">
        <v>1294</v>
      </c>
      <c r="AU89" s="143"/>
      <c r="AV89" s="146">
        <v>94</v>
      </c>
      <c r="AY89" s="196" t="s">
        <v>64</v>
      </c>
      <c r="AZ89" s="138">
        <v>60</v>
      </c>
      <c r="BA89" s="141">
        <v>58</v>
      </c>
      <c r="BB89" s="138">
        <v>0</v>
      </c>
      <c r="BC89" s="43">
        <v>0</v>
      </c>
      <c r="BD89" s="209">
        <v>0</v>
      </c>
      <c r="BE89" s="138">
        <v>0</v>
      </c>
      <c r="BF89" s="141">
        <v>0</v>
      </c>
      <c r="BG89" s="138">
        <v>2</v>
      </c>
      <c r="BH89" s="28" t="s">
        <v>69</v>
      </c>
      <c r="BI89" s="141"/>
    </row>
    <row r="90" spans="1:62" x14ac:dyDescent="0.3">
      <c r="A90" s="278"/>
      <c r="B90" s="134"/>
      <c r="C90" s="135"/>
      <c r="D90" s="134"/>
      <c r="E90" s="135"/>
      <c r="F90" s="135"/>
      <c r="G90" s="134"/>
      <c r="H90" s="278" t="s">
        <v>2077</v>
      </c>
      <c r="I90" s="135"/>
      <c r="J90" s="279"/>
      <c r="M90" s="278"/>
      <c r="N90" s="134"/>
      <c r="O90" s="195"/>
      <c r="P90" s="134"/>
      <c r="Q90" s="195"/>
      <c r="R90" s="136"/>
      <c r="S90" s="134"/>
      <c r="T90" s="134"/>
      <c r="U90" s="278"/>
      <c r="V90" s="279"/>
      <c r="Y90" s="32" t="s">
        <v>1435</v>
      </c>
      <c r="Z90" s="33"/>
      <c r="AA90" s="35"/>
      <c r="AB90" s="33">
        <v>0</v>
      </c>
      <c r="AC90" s="34">
        <v>0</v>
      </c>
      <c r="AD90" s="35">
        <v>0</v>
      </c>
      <c r="AE90" s="33"/>
      <c r="AF90" s="35"/>
      <c r="AG90" s="32">
        <v>0</v>
      </c>
      <c r="AH90" s="280" t="s">
        <v>1461</v>
      </c>
      <c r="AI90" s="384"/>
      <c r="AJ90" s="35"/>
      <c r="AM90" s="134"/>
      <c r="AN90" s="134"/>
      <c r="AO90" s="136"/>
      <c r="AP90" s="134"/>
      <c r="AQ90" s="136"/>
      <c r="AR90" s="135"/>
      <c r="AS90" s="135"/>
      <c r="AT90" s="135"/>
      <c r="AU90" s="135"/>
      <c r="AV90" s="136"/>
      <c r="AY90" s="265" t="s">
        <v>84</v>
      </c>
      <c r="AZ90" s="197">
        <v>60</v>
      </c>
      <c r="BA90" s="249">
        <v>58</v>
      </c>
      <c r="BB90" s="197">
        <v>0</v>
      </c>
      <c r="BC90" s="198">
        <v>0</v>
      </c>
      <c r="BD90" s="249">
        <v>0</v>
      </c>
      <c r="BE90" s="197">
        <v>0</v>
      </c>
      <c r="BF90" s="249">
        <v>0</v>
      </c>
      <c r="BG90" s="197"/>
      <c r="BH90" s="198"/>
      <c r="BI90" s="249">
        <v>11</v>
      </c>
      <c r="BJ90" s="28"/>
    </row>
    <row r="91" spans="1:62" x14ac:dyDescent="0.3">
      <c r="A91" s="42" t="s">
        <v>74</v>
      </c>
      <c r="B91" s="138">
        <v>1098</v>
      </c>
      <c r="C91" s="28">
        <v>2292</v>
      </c>
      <c r="D91" s="138">
        <v>0</v>
      </c>
      <c r="E91" s="38"/>
      <c r="F91" s="43">
        <v>0</v>
      </c>
      <c r="G91" s="138">
        <v>1</v>
      </c>
      <c r="H91" s="42">
        <v>16</v>
      </c>
      <c r="I91" s="28" t="s">
        <v>436</v>
      </c>
      <c r="J91" s="40"/>
      <c r="M91" s="42"/>
      <c r="N91" s="138"/>
      <c r="O91" s="196"/>
      <c r="P91" s="138"/>
      <c r="Q91" s="196"/>
      <c r="R91" s="141"/>
      <c r="S91" s="138"/>
      <c r="T91" s="138"/>
      <c r="U91" s="42" t="s">
        <v>80</v>
      </c>
      <c r="V91" s="40"/>
      <c r="Y91" s="41" t="s">
        <v>1247</v>
      </c>
      <c r="Z91" s="67"/>
      <c r="AA91" s="40"/>
      <c r="AB91" s="67">
        <v>0</v>
      </c>
      <c r="AC91" s="43">
        <v>0</v>
      </c>
      <c r="AD91" s="40">
        <v>0</v>
      </c>
      <c r="AE91" s="42"/>
      <c r="AF91" s="40"/>
      <c r="AG91" s="41">
        <v>0</v>
      </c>
      <c r="AH91" s="67"/>
      <c r="AI91" s="43" t="s">
        <v>1344</v>
      </c>
      <c r="AJ91" s="40"/>
      <c r="AM91" s="138"/>
      <c r="AN91" s="138"/>
      <c r="AO91" s="141"/>
      <c r="AP91" s="138"/>
      <c r="AQ91" s="141"/>
      <c r="AR91" s="28"/>
      <c r="AS91" s="28" t="s">
        <v>110</v>
      </c>
      <c r="AT91" s="28" t="s">
        <v>111</v>
      </c>
      <c r="AU91" s="28" t="s">
        <v>112</v>
      </c>
      <c r="AV91" s="141"/>
      <c r="AY91" s="196"/>
      <c r="AZ91" s="28"/>
      <c r="BA91" s="141"/>
      <c r="BB91" s="212"/>
      <c r="BC91" s="43"/>
      <c r="BD91" s="209"/>
      <c r="BE91" s="138"/>
      <c r="BF91" s="141"/>
      <c r="BG91" s="28"/>
      <c r="BH91" s="28" t="s">
        <v>92</v>
      </c>
      <c r="BI91" s="141"/>
    </row>
    <row r="92" spans="1:62" x14ac:dyDescent="0.3">
      <c r="A92" s="42"/>
      <c r="B92" s="138"/>
      <c r="C92" s="28"/>
      <c r="D92" s="138"/>
      <c r="E92" s="28"/>
      <c r="F92" s="28"/>
      <c r="G92" s="138"/>
      <c r="H92" s="67"/>
      <c r="I92" s="43"/>
      <c r="J92" s="40"/>
      <c r="M92" s="42" t="s">
        <v>74</v>
      </c>
      <c r="N92" s="138">
        <v>10871</v>
      </c>
      <c r="O92" s="196">
        <v>6973</v>
      </c>
      <c r="P92" s="138">
        <v>0</v>
      </c>
      <c r="Q92" s="196">
        <v>0</v>
      </c>
      <c r="R92" s="141">
        <v>0</v>
      </c>
      <c r="S92" s="138"/>
      <c r="T92" s="138"/>
      <c r="U92" s="42"/>
      <c r="V92" s="40"/>
      <c r="Y92" s="41" t="s">
        <v>99</v>
      </c>
      <c r="Z92" s="42"/>
      <c r="AA92" s="40"/>
      <c r="AB92" s="42">
        <v>0</v>
      </c>
      <c r="AC92" s="28">
        <v>0</v>
      </c>
      <c r="AD92" s="56">
        <v>0</v>
      </c>
      <c r="AE92" s="67"/>
      <c r="AF92" s="56"/>
      <c r="AG92" s="68">
        <v>0</v>
      </c>
      <c r="AH92" s="67"/>
      <c r="AI92" s="43" t="s">
        <v>1296</v>
      </c>
      <c r="AJ92" s="40"/>
      <c r="AM92" s="138" t="s">
        <v>56</v>
      </c>
      <c r="AN92" s="138">
        <v>0</v>
      </c>
      <c r="AO92" s="141">
        <v>0</v>
      </c>
      <c r="AP92" s="138"/>
      <c r="AQ92" s="141"/>
      <c r="AR92" s="43"/>
      <c r="AS92" s="28"/>
      <c r="AT92" s="28"/>
      <c r="AU92" s="28"/>
      <c r="AV92" s="141"/>
      <c r="AY92" s="196"/>
      <c r="AZ92" s="28"/>
      <c r="BA92" s="141"/>
      <c r="BB92" s="138"/>
      <c r="BC92" s="43"/>
      <c r="BD92" s="141"/>
      <c r="BE92" s="138"/>
      <c r="BF92" s="141"/>
      <c r="BG92" s="43">
        <v>3</v>
      </c>
      <c r="BH92" s="43" t="s">
        <v>1297</v>
      </c>
      <c r="BI92" s="141"/>
    </row>
    <row r="93" spans="1:62" x14ac:dyDescent="0.3">
      <c r="A93" s="244"/>
      <c r="B93" s="142"/>
      <c r="C93" s="143"/>
      <c r="D93" s="142"/>
      <c r="E93" s="143"/>
      <c r="F93" s="143"/>
      <c r="G93" s="142"/>
      <c r="H93" s="244"/>
      <c r="I93" s="143"/>
      <c r="J93" s="245">
        <v>16</v>
      </c>
      <c r="M93" s="244"/>
      <c r="N93" s="142"/>
      <c r="O93" s="199"/>
      <c r="P93" s="142"/>
      <c r="Q93" s="199"/>
      <c r="R93" s="146"/>
      <c r="S93" s="142"/>
      <c r="T93" s="142"/>
      <c r="U93" s="244"/>
      <c r="V93" s="245"/>
      <c r="Y93" s="68" t="s">
        <v>107</v>
      </c>
      <c r="Z93" s="42"/>
      <c r="AA93" s="40"/>
      <c r="AB93" s="42">
        <v>0</v>
      </c>
      <c r="AC93" s="28">
        <v>0</v>
      </c>
      <c r="AD93" s="40">
        <v>0</v>
      </c>
      <c r="AE93" s="42"/>
      <c r="AF93" s="40"/>
      <c r="AG93" s="41">
        <v>0</v>
      </c>
      <c r="AH93" s="42"/>
      <c r="AI93" s="43" t="s">
        <v>141</v>
      </c>
      <c r="AJ93" s="40"/>
      <c r="AM93" s="138" t="s">
        <v>2031</v>
      </c>
      <c r="AN93" s="138">
        <v>6</v>
      </c>
      <c r="AO93" s="141">
        <v>2</v>
      </c>
      <c r="AP93" s="138"/>
      <c r="AQ93" s="141"/>
      <c r="AR93" s="28"/>
      <c r="AS93" s="43"/>
      <c r="AT93" s="28"/>
      <c r="AU93" s="28"/>
      <c r="AV93" s="141"/>
      <c r="AY93" s="196"/>
      <c r="AZ93" s="28"/>
      <c r="BA93" s="141"/>
      <c r="BB93" s="212"/>
      <c r="BC93" s="43"/>
      <c r="BD93" s="209"/>
      <c r="BE93" s="212"/>
      <c r="BF93" s="141"/>
      <c r="BG93" s="43">
        <v>14</v>
      </c>
      <c r="BH93" s="43" t="s">
        <v>2258</v>
      </c>
      <c r="BI93" s="141"/>
      <c r="BJ93" s="28"/>
    </row>
    <row r="94" spans="1:62" ht="15" thickBot="1" x14ac:dyDescent="0.35">
      <c r="A94" s="278"/>
      <c r="B94" s="134"/>
      <c r="C94" s="135"/>
      <c r="D94" s="134"/>
      <c r="E94" s="135"/>
      <c r="F94" s="135"/>
      <c r="G94" s="134"/>
      <c r="H94" s="278" t="s">
        <v>87</v>
      </c>
      <c r="I94" s="135"/>
      <c r="J94" s="279"/>
      <c r="M94" s="278"/>
      <c r="N94" s="134"/>
      <c r="O94" s="195"/>
      <c r="P94" s="134"/>
      <c r="Q94" s="195"/>
      <c r="R94" s="136"/>
      <c r="S94" s="134"/>
      <c r="T94" s="134"/>
      <c r="U94" s="278" t="s">
        <v>6</v>
      </c>
      <c r="V94" s="279"/>
      <c r="Y94" s="62" t="s">
        <v>84</v>
      </c>
      <c r="Z94" s="47">
        <v>0</v>
      </c>
      <c r="AA94" s="49">
        <v>0</v>
      </c>
      <c r="AB94" s="47">
        <v>0</v>
      </c>
      <c r="AC94" s="48">
        <v>0</v>
      </c>
      <c r="AD94" s="49">
        <v>0</v>
      </c>
      <c r="AE94" s="47"/>
      <c r="AF94" s="49"/>
      <c r="AG94" s="46">
        <v>0</v>
      </c>
      <c r="AH94" s="47"/>
      <c r="AI94" s="51"/>
      <c r="AJ94" s="49">
        <v>0</v>
      </c>
      <c r="AM94" s="138" t="s">
        <v>78</v>
      </c>
      <c r="AN94" s="138">
        <v>35</v>
      </c>
      <c r="AO94" s="141">
        <v>12</v>
      </c>
      <c r="AP94" s="138"/>
      <c r="AQ94" s="141"/>
      <c r="AR94" s="28"/>
      <c r="AS94" s="28"/>
      <c r="AT94" s="28"/>
      <c r="AU94" s="28"/>
      <c r="AV94" s="141"/>
      <c r="AY94" s="196"/>
      <c r="AZ94" s="43"/>
      <c r="BA94" s="141"/>
      <c r="BB94" s="138"/>
      <c r="BC94" s="43"/>
      <c r="BD94" s="141"/>
      <c r="BE94" s="212"/>
      <c r="BF94" s="141"/>
      <c r="BG94" s="43"/>
      <c r="BH94" s="43"/>
      <c r="BI94" s="141"/>
    </row>
    <row r="95" spans="1:62" x14ac:dyDescent="0.3">
      <c r="A95" s="42" t="s">
        <v>93</v>
      </c>
      <c r="B95" s="138">
        <v>1937</v>
      </c>
      <c r="C95" s="28">
        <v>3092</v>
      </c>
      <c r="D95" s="138">
        <v>0</v>
      </c>
      <c r="E95" s="38"/>
      <c r="F95" s="43">
        <v>0</v>
      </c>
      <c r="G95" s="138">
        <v>1</v>
      </c>
      <c r="H95" s="67">
        <v>26</v>
      </c>
      <c r="I95" s="28" t="s">
        <v>101</v>
      </c>
      <c r="J95" s="40"/>
      <c r="M95" s="42"/>
      <c r="N95" s="138"/>
      <c r="O95" s="196"/>
      <c r="P95" s="138"/>
      <c r="Q95" s="196"/>
      <c r="R95" s="141"/>
      <c r="S95" s="138"/>
      <c r="T95" s="138"/>
      <c r="U95" s="42"/>
      <c r="V95" s="40"/>
      <c r="Y95" s="32"/>
      <c r="Z95" s="34"/>
      <c r="AA95" s="34"/>
      <c r="AB95" s="33"/>
      <c r="AC95" s="34"/>
      <c r="AD95" s="35"/>
      <c r="AE95" s="34"/>
      <c r="AF95" s="34"/>
      <c r="AG95" s="32"/>
      <c r="AH95" s="33" t="s">
        <v>1298</v>
      </c>
      <c r="AI95" s="34"/>
      <c r="AJ95" s="35"/>
      <c r="AM95" s="138" t="s">
        <v>67</v>
      </c>
      <c r="AN95" s="138">
        <v>26</v>
      </c>
      <c r="AO95" s="141">
        <v>32</v>
      </c>
      <c r="AP95" s="138"/>
      <c r="AQ95" s="141"/>
      <c r="AR95" s="28"/>
      <c r="AS95" s="43">
        <v>29</v>
      </c>
      <c r="AT95" s="28" t="s">
        <v>123</v>
      </c>
      <c r="AU95" s="28" t="s">
        <v>6</v>
      </c>
      <c r="AV95" s="141"/>
      <c r="AY95" s="196" t="s">
        <v>64</v>
      </c>
      <c r="AZ95" s="28"/>
      <c r="BA95" s="141"/>
      <c r="BB95" s="138"/>
      <c r="BC95" s="43"/>
      <c r="BD95" s="141"/>
      <c r="BE95" s="43">
        <v>3409</v>
      </c>
      <c r="BF95" s="141">
        <v>2000</v>
      </c>
      <c r="BG95" s="28"/>
      <c r="BH95" s="28"/>
      <c r="BI95" s="141"/>
      <c r="BJ95" s="28"/>
    </row>
    <row r="96" spans="1:62" x14ac:dyDescent="0.3">
      <c r="A96" s="42"/>
      <c r="B96" s="138"/>
      <c r="C96" s="28"/>
      <c r="D96" s="138"/>
      <c r="E96" s="28"/>
      <c r="F96" s="28"/>
      <c r="G96" s="138"/>
      <c r="H96" s="67">
        <v>1</v>
      </c>
      <c r="I96" s="28" t="s">
        <v>958</v>
      </c>
      <c r="J96" s="40">
        <v>27</v>
      </c>
      <c r="M96" s="42"/>
      <c r="N96" s="138"/>
      <c r="O96" s="196"/>
      <c r="P96" s="138"/>
      <c r="Q96" s="196"/>
      <c r="R96" s="141"/>
      <c r="S96" s="138"/>
      <c r="T96" s="138"/>
      <c r="U96" s="42"/>
      <c r="V96" s="40"/>
      <c r="Y96" s="41" t="s">
        <v>107</v>
      </c>
      <c r="Z96">
        <v>156</v>
      </c>
      <c r="AA96">
        <v>294</v>
      </c>
      <c r="AB96" s="42">
        <v>0</v>
      </c>
      <c r="AC96" s="43">
        <v>0</v>
      </c>
      <c r="AD96" s="40">
        <v>0</v>
      </c>
      <c r="AE96" s="43"/>
      <c r="AF96" s="43"/>
      <c r="AG96" s="41">
        <v>0</v>
      </c>
      <c r="AH96" s="42">
        <v>3</v>
      </c>
      <c r="AI96" s="43" t="s">
        <v>145</v>
      </c>
      <c r="AJ96" s="40" t="s">
        <v>1695</v>
      </c>
      <c r="AM96" s="138" t="s">
        <v>128</v>
      </c>
      <c r="AN96" s="138">
        <v>0</v>
      </c>
      <c r="AO96" s="141">
        <v>0</v>
      </c>
      <c r="AP96" s="138"/>
      <c r="AQ96" s="141"/>
      <c r="AR96" s="28"/>
      <c r="AS96" s="43">
        <v>10</v>
      </c>
      <c r="AT96" s="28" t="s">
        <v>126</v>
      </c>
      <c r="AU96" s="28"/>
      <c r="AV96" s="141"/>
      <c r="AY96" s="196" t="s">
        <v>99</v>
      </c>
      <c r="AZ96" s="43"/>
      <c r="BA96" s="141"/>
      <c r="BB96" s="138"/>
      <c r="BC96" s="43"/>
      <c r="BD96" s="141"/>
      <c r="BE96" s="43">
        <v>47436</v>
      </c>
      <c r="BF96" s="141">
        <v>16272</v>
      </c>
      <c r="BG96" s="43"/>
      <c r="BH96" s="43"/>
      <c r="BI96" s="141"/>
      <c r="BJ96" s="28"/>
    </row>
    <row r="97" spans="1:62" ht="15" thickBot="1" x14ac:dyDescent="0.35">
      <c r="A97" s="278" t="s">
        <v>108</v>
      </c>
      <c r="B97" s="134"/>
      <c r="C97" s="136"/>
      <c r="D97" s="135">
        <v>0</v>
      </c>
      <c r="E97" s="243">
        <v>1182</v>
      </c>
      <c r="F97" s="135">
        <v>0</v>
      </c>
      <c r="G97" s="134">
        <v>1</v>
      </c>
      <c r="H97" s="278" t="s">
        <v>104</v>
      </c>
      <c r="I97" s="135"/>
      <c r="J97" s="279"/>
      <c r="M97" s="244"/>
      <c r="N97" s="142"/>
      <c r="O97" s="199"/>
      <c r="P97" s="142"/>
      <c r="Q97" s="199"/>
      <c r="R97" s="146"/>
      <c r="S97" s="142"/>
      <c r="T97" s="142"/>
      <c r="U97" s="244"/>
      <c r="V97" s="245"/>
      <c r="Y97" s="46" t="s">
        <v>84</v>
      </c>
      <c r="Z97" s="48">
        <v>156</v>
      </c>
      <c r="AA97" s="48">
        <v>294</v>
      </c>
      <c r="AB97" s="47">
        <v>0</v>
      </c>
      <c r="AC97" s="48">
        <v>0</v>
      </c>
      <c r="AD97" s="49">
        <v>0</v>
      </c>
      <c r="AE97" s="48"/>
      <c r="AF97" s="48"/>
      <c r="AG97" s="46">
        <v>0</v>
      </c>
      <c r="AH97" s="47">
        <v>4</v>
      </c>
      <c r="AI97" s="48" t="s">
        <v>141</v>
      </c>
      <c r="AJ97" s="49">
        <v>8</v>
      </c>
      <c r="AM97" s="138" t="s">
        <v>115</v>
      </c>
      <c r="AN97" s="138">
        <v>42</v>
      </c>
      <c r="AO97" s="141">
        <v>12</v>
      </c>
      <c r="AP97" s="138"/>
      <c r="AQ97" s="141"/>
      <c r="AR97" s="28"/>
      <c r="AS97" s="43">
        <v>28</v>
      </c>
      <c r="AT97" s="28" t="s">
        <v>129</v>
      </c>
      <c r="AU97" s="28" t="s">
        <v>6</v>
      </c>
      <c r="AV97" s="141"/>
      <c r="AY97" s="265" t="s">
        <v>84</v>
      </c>
      <c r="AZ97" s="390"/>
      <c r="BA97" s="248"/>
      <c r="BB97" s="197"/>
      <c r="BC97" s="390"/>
      <c r="BD97" s="249"/>
      <c r="BE97" s="390">
        <v>50845</v>
      </c>
      <c r="BF97" s="248">
        <v>18272</v>
      </c>
      <c r="BG97" s="198"/>
      <c r="BH97" s="390"/>
      <c r="BI97" s="249">
        <v>17</v>
      </c>
      <c r="BJ97" s="28"/>
    </row>
    <row r="98" spans="1:62" x14ac:dyDescent="0.3">
      <c r="A98" s="42" t="s">
        <v>109</v>
      </c>
      <c r="B98" s="138">
        <v>814</v>
      </c>
      <c r="C98" s="141">
        <v>1334</v>
      </c>
      <c r="D98" s="28">
        <v>0</v>
      </c>
      <c r="E98" s="343"/>
      <c r="F98" s="43">
        <v>0</v>
      </c>
      <c r="G98" s="138"/>
      <c r="H98" s="67">
        <v>8</v>
      </c>
      <c r="I98" s="28" t="s">
        <v>114</v>
      </c>
      <c r="J98" s="40"/>
      <c r="M98" s="278"/>
      <c r="N98" s="134"/>
      <c r="O98" s="195"/>
      <c r="P98" s="134"/>
      <c r="Q98" s="195"/>
      <c r="R98" s="136"/>
      <c r="S98" s="134"/>
      <c r="T98" s="134"/>
      <c r="U98" s="278" t="s">
        <v>104</v>
      </c>
      <c r="V98" s="279"/>
      <c r="Y98" s="42"/>
      <c r="Z98" s="33"/>
      <c r="AA98" s="35"/>
      <c r="AB98" s="33"/>
      <c r="AC98" s="34"/>
      <c r="AD98" s="35"/>
      <c r="AE98" s="33"/>
      <c r="AF98" s="35"/>
      <c r="AG98" s="43"/>
      <c r="AH98" s="33" t="s">
        <v>90</v>
      </c>
      <c r="AI98" s="34"/>
      <c r="AJ98" s="35"/>
      <c r="AM98" s="138" t="s">
        <v>81</v>
      </c>
      <c r="AN98" s="138">
        <v>7</v>
      </c>
      <c r="AO98" s="141">
        <v>9</v>
      </c>
      <c r="AP98" s="138"/>
      <c r="AQ98" s="141"/>
      <c r="AR98" s="28"/>
      <c r="AS98" s="28"/>
      <c r="AT98" s="28"/>
      <c r="AU98" s="28"/>
      <c r="AV98" s="141"/>
      <c r="AY98" s="211"/>
      <c r="AZ98" s="138"/>
      <c r="BA98" s="141"/>
      <c r="BB98" s="138"/>
      <c r="BC98" s="28"/>
      <c r="BD98" s="141"/>
      <c r="BE98" s="138"/>
      <c r="BF98" s="141"/>
      <c r="BG98" s="138"/>
      <c r="BH98" s="28" t="s">
        <v>91</v>
      </c>
      <c r="BI98" s="141"/>
      <c r="BJ98" s="28"/>
    </row>
    <row r="99" spans="1:62" x14ac:dyDescent="0.3">
      <c r="A99" s="134" t="s">
        <v>84</v>
      </c>
      <c r="B99" s="134">
        <v>814</v>
      </c>
      <c r="C99" s="136">
        <v>1334</v>
      </c>
      <c r="D99" s="135">
        <v>0</v>
      </c>
      <c r="E99" s="243">
        <v>1182</v>
      </c>
      <c r="F99" s="241">
        <v>0</v>
      </c>
      <c r="G99" s="134"/>
      <c r="H99" s="278"/>
      <c r="I99" s="135"/>
      <c r="J99" s="136"/>
      <c r="M99" s="42" t="s">
        <v>109</v>
      </c>
      <c r="N99" s="138"/>
      <c r="O99" s="196"/>
      <c r="P99" s="138">
        <v>0</v>
      </c>
      <c r="Q99" s="196">
        <v>0</v>
      </c>
      <c r="R99" s="141">
        <v>0</v>
      </c>
      <c r="S99" s="138"/>
      <c r="T99" s="138"/>
      <c r="U99" s="42"/>
      <c r="V99" s="40"/>
      <c r="Y99" s="42"/>
      <c r="Z99" s="42"/>
      <c r="AA99" s="40"/>
      <c r="AB99" s="42"/>
      <c r="AC99" s="43"/>
      <c r="AD99" s="40"/>
      <c r="AE99" s="42"/>
      <c r="AF99" s="40"/>
      <c r="AG99" s="43"/>
      <c r="AH99" s="67"/>
      <c r="AI99" s="28" t="s">
        <v>145</v>
      </c>
      <c r="AJ99" s="40"/>
      <c r="AM99" s="138" t="s">
        <v>2259</v>
      </c>
      <c r="AN99" s="138">
        <v>6</v>
      </c>
      <c r="AO99" s="141">
        <v>3</v>
      </c>
      <c r="AP99" s="138"/>
      <c r="AQ99" s="141"/>
      <c r="AR99" s="28"/>
      <c r="AS99" s="28"/>
      <c r="AT99" s="28"/>
      <c r="AU99" s="28"/>
      <c r="AV99" s="141" t="s">
        <v>6</v>
      </c>
      <c r="AY99" s="196"/>
      <c r="AZ99" s="212"/>
      <c r="BA99" s="141"/>
      <c r="BB99" s="138"/>
      <c r="BC99" s="43"/>
      <c r="BD99" s="141"/>
      <c r="BE99" s="138"/>
      <c r="BF99" s="209"/>
      <c r="BG99" s="212"/>
      <c r="BH99" s="43"/>
      <c r="BI99" s="141"/>
      <c r="BJ99" s="28"/>
    </row>
    <row r="100" spans="1:62" x14ac:dyDescent="0.3">
      <c r="A100" s="142"/>
      <c r="B100" s="142"/>
      <c r="C100" s="146"/>
      <c r="D100" s="143"/>
      <c r="E100" s="143"/>
      <c r="F100" s="143"/>
      <c r="G100" s="142"/>
      <c r="H100" s="244"/>
      <c r="I100" s="143"/>
      <c r="J100" s="146">
        <v>8</v>
      </c>
      <c r="M100" s="244"/>
      <c r="N100" s="142"/>
      <c r="O100" s="199"/>
      <c r="P100" s="142"/>
      <c r="Q100" s="199"/>
      <c r="R100" s="146"/>
      <c r="S100" s="142"/>
      <c r="T100" s="142"/>
      <c r="U100" s="244"/>
      <c r="V100" s="245"/>
      <c r="Y100" s="67" t="s">
        <v>89</v>
      </c>
      <c r="Z100" s="67"/>
      <c r="AA100" s="56"/>
      <c r="AB100" s="42">
        <v>0</v>
      </c>
      <c r="AC100" s="43">
        <v>0</v>
      </c>
      <c r="AD100" s="40">
        <v>0</v>
      </c>
      <c r="AE100" s="42"/>
      <c r="AF100" s="40"/>
      <c r="AG100" s="43">
        <v>0</v>
      </c>
      <c r="AH100" s="67"/>
      <c r="AI100" s="43"/>
      <c r="AJ100" s="40"/>
      <c r="AM100" s="138" t="s">
        <v>122</v>
      </c>
      <c r="AN100" s="138">
        <v>4</v>
      </c>
      <c r="AO100" s="141">
        <v>5</v>
      </c>
      <c r="AP100" s="138"/>
      <c r="AQ100" s="141"/>
      <c r="AR100" s="28"/>
      <c r="AS100" s="28"/>
      <c r="AT100" s="28"/>
      <c r="AU100" s="28"/>
      <c r="AV100" s="141"/>
      <c r="AY100" s="211"/>
      <c r="AZ100" s="212"/>
      <c r="BA100" s="209"/>
      <c r="BB100" s="138"/>
      <c r="BC100" s="43"/>
      <c r="BD100" s="141"/>
      <c r="BE100" s="138"/>
      <c r="BF100" s="209"/>
      <c r="BG100" s="138"/>
      <c r="BH100" s="43"/>
      <c r="BI100" s="141"/>
      <c r="BJ100" s="28"/>
    </row>
    <row r="101" spans="1:62" ht="15" thickBot="1" x14ac:dyDescent="0.35">
      <c r="A101" s="278"/>
      <c r="B101" s="134"/>
      <c r="C101" s="242"/>
      <c r="D101" s="135"/>
      <c r="E101" s="135"/>
      <c r="F101" s="135"/>
      <c r="G101" s="134"/>
      <c r="H101" s="278" t="s">
        <v>118</v>
      </c>
      <c r="I101" s="135"/>
      <c r="J101" s="279"/>
      <c r="M101" s="278" t="s">
        <v>93</v>
      </c>
      <c r="N101" s="134"/>
      <c r="O101" s="195"/>
      <c r="P101" s="134">
        <v>0</v>
      </c>
      <c r="Q101" s="195">
        <v>0</v>
      </c>
      <c r="R101" s="136">
        <v>0</v>
      </c>
      <c r="S101" s="134"/>
      <c r="T101" s="134"/>
      <c r="U101" s="278" t="s">
        <v>116</v>
      </c>
      <c r="V101" s="279"/>
      <c r="Y101" s="42" t="s">
        <v>84</v>
      </c>
      <c r="Z101" s="42">
        <v>0</v>
      </c>
      <c r="AA101" s="40">
        <v>0</v>
      </c>
      <c r="AB101" s="42">
        <v>0</v>
      </c>
      <c r="AC101" s="28">
        <v>0</v>
      </c>
      <c r="AD101" s="40">
        <v>0</v>
      </c>
      <c r="AE101" s="42"/>
      <c r="AF101" s="40"/>
      <c r="AG101" s="43">
        <v>0</v>
      </c>
      <c r="AH101" s="67"/>
      <c r="AI101" s="28"/>
      <c r="AJ101" s="40">
        <v>0</v>
      </c>
      <c r="AM101" s="138" t="s">
        <v>230</v>
      </c>
      <c r="AN101" s="138"/>
      <c r="AO101" s="141"/>
      <c r="AP101" s="138"/>
      <c r="AQ101" s="141"/>
      <c r="AR101" s="28"/>
      <c r="AS101" s="28"/>
      <c r="AT101" s="28"/>
      <c r="AU101" s="28"/>
      <c r="AV101" s="141"/>
      <c r="AY101" s="211"/>
      <c r="AZ101" s="212"/>
      <c r="BA101" s="141"/>
      <c r="BB101" s="138"/>
      <c r="BC101" s="43"/>
      <c r="BD101" s="141"/>
      <c r="BE101" s="138"/>
      <c r="BF101" s="209"/>
      <c r="BG101" s="212"/>
      <c r="BH101" s="28"/>
      <c r="BI101" s="141"/>
      <c r="BJ101" s="28"/>
    </row>
    <row r="102" spans="1:62" x14ac:dyDescent="0.3">
      <c r="A102" s="42" t="s">
        <v>785</v>
      </c>
      <c r="B102" s="138">
        <v>527</v>
      </c>
      <c r="C102" s="209">
        <v>841</v>
      </c>
      <c r="D102" s="28">
        <v>0</v>
      </c>
      <c r="E102" s="38"/>
      <c r="F102" s="43">
        <v>0</v>
      </c>
      <c r="G102" s="138">
        <v>1</v>
      </c>
      <c r="H102" s="42">
        <v>90</v>
      </c>
      <c r="I102" s="28" t="s">
        <v>101</v>
      </c>
      <c r="J102" s="40"/>
      <c r="M102" s="42" t="s">
        <v>99</v>
      </c>
      <c r="N102" s="138">
        <v>8920</v>
      </c>
      <c r="O102" s="196">
        <v>17345</v>
      </c>
      <c r="P102" s="138"/>
      <c r="Q102" s="196"/>
      <c r="R102" s="141">
        <v>0</v>
      </c>
      <c r="S102" s="138">
        <v>2975</v>
      </c>
      <c r="T102" s="138">
        <v>213</v>
      </c>
      <c r="U102" s="42"/>
      <c r="V102" s="40"/>
      <c r="Y102" s="33"/>
      <c r="Z102" s="33"/>
      <c r="AA102" s="35"/>
      <c r="AB102" s="34"/>
      <c r="AC102" s="34"/>
      <c r="AD102" s="34"/>
      <c r="AE102" s="33"/>
      <c r="AF102" s="35"/>
      <c r="AG102" s="32"/>
      <c r="AH102" s="34"/>
      <c r="AI102" s="34"/>
      <c r="AJ102" s="35"/>
      <c r="AM102" s="138" t="s">
        <v>63</v>
      </c>
      <c r="AN102" s="138">
        <v>83</v>
      </c>
      <c r="AO102" s="141">
        <v>53</v>
      </c>
      <c r="AP102" s="138"/>
      <c r="AQ102" s="141"/>
      <c r="AR102" s="28"/>
      <c r="AS102" s="28"/>
      <c r="AT102" s="28"/>
      <c r="AU102" s="28"/>
      <c r="AV102" s="141"/>
      <c r="AY102" s="211" t="s">
        <v>137</v>
      </c>
      <c r="AZ102" s="212">
        <v>1333</v>
      </c>
      <c r="BA102" s="209">
        <v>1259</v>
      </c>
      <c r="BB102" s="138">
        <v>0</v>
      </c>
      <c r="BC102" s="43">
        <v>0</v>
      </c>
      <c r="BD102" s="141">
        <v>0</v>
      </c>
      <c r="BE102" s="138">
        <v>0</v>
      </c>
      <c r="BF102" s="209">
        <v>0</v>
      </c>
      <c r="BG102" s="138">
        <v>49</v>
      </c>
      <c r="BH102" s="43" t="s">
        <v>1292</v>
      </c>
      <c r="BI102" s="141"/>
      <c r="BJ102" s="28"/>
    </row>
    <row r="103" spans="1:62" x14ac:dyDescent="0.3">
      <c r="A103" s="42" t="s">
        <v>93</v>
      </c>
      <c r="B103" s="212">
        <v>4550</v>
      </c>
      <c r="C103" s="209">
        <v>6208</v>
      </c>
      <c r="D103" s="28">
        <v>0</v>
      </c>
      <c r="E103" s="38"/>
      <c r="F103" s="43">
        <v>0</v>
      </c>
      <c r="G103" s="212"/>
      <c r="H103" s="42">
        <v>31</v>
      </c>
      <c r="I103" s="28" t="s">
        <v>927</v>
      </c>
      <c r="J103" s="40"/>
      <c r="M103" s="42" t="s">
        <v>120</v>
      </c>
      <c r="N103" s="138"/>
      <c r="O103" s="196"/>
      <c r="P103" s="138">
        <v>0</v>
      </c>
      <c r="Q103" s="196">
        <v>0</v>
      </c>
      <c r="R103" s="141">
        <v>0</v>
      </c>
      <c r="S103" s="138"/>
      <c r="T103" s="138"/>
      <c r="U103" s="42"/>
      <c r="V103" s="40"/>
      <c r="Y103" s="42"/>
      <c r="Z103" s="42"/>
      <c r="AA103" s="40"/>
      <c r="AB103" s="43"/>
      <c r="AC103" s="43"/>
      <c r="AD103" s="43"/>
      <c r="AE103" s="42"/>
      <c r="AF103" s="40"/>
      <c r="AG103" s="41"/>
      <c r="AH103" s="28" t="s">
        <v>953</v>
      </c>
      <c r="AI103" s="28"/>
      <c r="AJ103" s="40"/>
      <c r="AM103" s="142" t="s">
        <v>84</v>
      </c>
      <c r="AN103" s="142">
        <v>209</v>
      </c>
      <c r="AO103" s="146">
        <v>128</v>
      </c>
      <c r="AP103" s="142"/>
      <c r="AQ103" s="146"/>
      <c r="AR103" s="143"/>
      <c r="AS103" s="143"/>
      <c r="AT103" s="143"/>
      <c r="AU103" s="143"/>
      <c r="AV103" s="146">
        <v>67</v>
      </c>
      <c r="AY103" s="211" t="s">
        <v>88</v>
      </c>
      <c r="AZ103" s="212">
        <v>182</v>
      </c>
      <c r="BA103" s="209">
        <v>270</v>
      </c>
      <c r="BB103" s="138">
        <v>0</v>
      </c>
      <c r="BC103" s="43">
        <v>0</v>
      </c>
      <c r="BD103" s="141">
        <v>0</v>
      </c>
      <c r="BE103" s="138">
        <v>0</v>
      </c>
      <c r="BF103" s="209">
        <v>0</v>
      </c>
      <c r="BG103" s="138">
        <v>62</v>
      </c>
      <c r="BH103" s="43" t="s">
        <v>359</v>
      </c>
      <c r="BI103" s="141"/>
      <c r="BJ103" s="28"/>
    </row>
    <row r="104" spans="1:62" x14ac:dyDescent="0.3">
      <c r="A104" s="42" t="s">
        <v>120</v>
      </c>
      <c r="B104" s="138">
        <v>4094</v>
      </c>
      <c r="C104" s="141">
        <v>5373</v>
      </c>
      <c r="D104" s="28">
        <v>0</v>
      </c>
      <c r="E104" s="38"/>
      <c r="F104" s="43">
        <v>0</v>
      </c>
      <c r="G104" s="138"/>
      <c r="H104" s="42">
        <v>23</v>
      </c>
      <c r="I104" s="28" t="s">
        <v>127</v>
      </c>
      <c r="J104" s="40"/>
      <c r="M104" s="244" t="s">
        <v>84</v>
      </c>
      <c r="N104" s="142">
        <v>8920</v>
      </c>
      <c r="O104" s="199">
        <v>17345</v>
      </c>
      <c r="P104" s="142">
        <v>0</v>
      </c>
      <c r="Q104" s="199">
        <v>0</v>
      </c>
      <c r="R104" s="146">
        <v>0</v>
      </c>
      <c r="S104" s="142">
        <v>2975</v>
      </c>
      <c r="T104" s="142">
        <v>213</v>
      </c>
      <c r="U104" s="244"/>
      <c r="V104" s="245"/>
      <c r="Y104" s="42"/>
      <c r="Z104" s="42"/>
      <c r="AA104" s="40"/>
      <c r="AB104" s="43"/>
      <c r="AC104" s="43"/>
      <c r="AD104" s="43"/>
      <c r="AE104" s="42"/>
      <c r="AF104" s="40"/>
      <c r="AG104" s="41"/>
      <c r="AH104" s="43">
        <v>9</v>
      </c>
      <c r="AI104" s="28" t="s">
        <v>141</v>
      </c>
      <c r="AJ104" s="40"/>
      <c r="AM104" s="134"/>
      <c r="AN104" s="134"/>
      <c r="AO104" s="136"/>
      <c r="AP104" s="134"/>
      <c r="AQ104" s="136"/>
      <c r="AR104" s="135"/>
      <c r="AS104" s="135"/>
      <c r="AT104" s="135"/>
      <c r="AU104" s="135"/>
      <c r="AV104" s="136"/>
      <c r="AY104" s="211" t="s">
        <v>97</v>
      </c>
      <c r="AZ104" s="212">
        <v>2069</v>
      </c>
      <c r="BA104" s="209">
        <v>2255</v>
      </c>
      <c r="BB104" s="138">
        <v>0</v>
      </c>
      <c r="BC104" s="43">
        <v>0</v>
      </c>
      <c r="BD104" s="141">
        <v>0</v>
      </c>
      <c r="BE104" s="138">
        <v>0</v>
      </c>
      <c r="BF104" s="209">
        <v>0</v>
      </c>
      <c r="BG104" s="138">
        <v>2</v>
      </c>
      <c r="BH104" s="43" t="s">
        <v>1026</v>
      </c>
      <c r="BI104" s="141"/>
      <c r="BJ104" s="28"/>
    </row>
    <row r="105" spans="1:62" x14ac:dyDescent="0.3">
      <c r="A105" s="67" t="s">
        <v>429</v>
      </c>
      <c r="B105" s="212">
        <v>774</v>
      </c>
      <c r="C105" s="209">
        <v>1017</v>
      </c>
      <c r="D105" s="43">
        <v>0</v>
      </c>
      <c r="E105" s="38"/>
      <c r="F105" s="43">
        <v>0</v>
      </c>
      <c r="G105" s="138"/>
      <c r="H105" s="42"/>
      <c r="I105" s="28"/>
      <c r="J105" s="40"/>
      <c r="M105" s="278"/>
      <c r="N105" s="134"/>
      <c r="O105" s="195"/>
      <c r="P105" s="134"/>
      <c r="Q105" s="195"/>
      <c r="R105" s="136"/>
      <c r="S105" s="134"/>
      <c r="T105" s="134"/>
      <c r="U105" s="278"/>
      <c r="V105" s="279"/>
      <c r="Y105" s="42" t="s">
        <v>89</v>
      </c>
      <c r="Z105" s="42">
        <v>496</v>
      </c>
      <c r="AA105" s="40">
        <v>416</v>
      </c>
      <c r="AB105" s="43">
        <v>0</v>
      </c>
      <c r="AC105" s="43">
        <v>0</v>
      </c>
      <c r="AD105" s="43">
        <v>0</v>
      </c>
      <c r="AE105" s="42"/>
      <c r="AF105" s="40"/>
      <c r="AG105" s="41">
        <v>0</v>
      </c>
      <c r="AH105" s="43"/>
      <c r="AI105" s="43"/>
      <c r="AJ105" s="40"/>
      <c r="AM105" s="138"/>
      <c r="AN105" s="138"/>
      <c r="AO105" s="141"/>
      <c r="AP105" s="138"/>
      <c r="AQ105" s="141"/>
      <c r="AR105" s="28"/>
      <c r="AS105" s="28"/>
      <c r="AT105" s="28"/>
      <c r="AU105" s="28"/>
      <c r="AV105" s="141"/>
      <c r="AY105" s="211" t="s">
        <v>113</v>
      </c>
      <c r="AZ105" s="212">
        <v>458</v>
      </c>
      <c r="BA105" s="209">
        <v>585</v>
      </c>
      <c r="BB105" s="212">
        <v>0</v>
      </c>
      <c r="BC105" s="43">
        <v>0</v>
      </c>
      <c r="BD105" s="209">
        <v>0</v>
      </c>
      <c r="BE105" s="212">
        <v>0</v>
      </c>
      <c r="BF105" s="209">
        <v>0</v>
      </c>
      <c r="BG105" s="138"/>
      <c r="BH105" s="43"/>
      <c r="BI105" s="141"/>
      <c r="BJ105" s="28"/>
    </row>
    <row r="106" spans="1:62" ht="15" thickBot="1" x14ac:dyDescent="0.35">
      <c r="A106" s="197" t="s">
        <v>84</v>
      </c>
      <c r="B106" s="197">
        <v>9945</v>
      </c>
      <c r="C106" s="249">
        <v>13439</v>
      </c>
      <c r="D106" s="198">
        <v>0</v>
      </c>
      <c r="E106" s="391"/>
      <c r="F106" s="198">
        <v>0</v>
      </c>
      <c r="G106" s="197"/>
      <c r="H106" s="392"/>
      <c r="I106" s="198"/>
      <c r="J106" s="249">
        <v>144</v>
      </c>
      <c r="M106" s="42" t="s">
        <v>105</v>
      </c>
      <c r="N106" s="138">
        <v>605</v>
      </c>
      <c r="O106" s="196"/>
      <c r="P106" s="138">
        <v>0</v>
      </c>
      <c r="Q106" s="196">
        <v>0</v>
      </c>
      <c r="R106" s="141">
        <v>0</v>
      </c>
      <c r="S106" s="138"/>
      <c r="T106" s="138"/>
      <c r="U106" s="42"/>
      <c r="V106" s="40"/>
      <c r="Y106" s="47" t="s">
        <v>84</v>
      </c>
      <c r="Z106" s="72">
        <v>496</v>
      </c>
      <c r="AA106" s="49">
        <v>416</v>
      </c>
      <c r="AB106" s="51">
        <v>0</v>
      </c>
      <c r="AC106" s="48">
        <v>0</v>
      </c>
      <c r="AD106" s="48">
        <v>0</v>
      </c>
      <c r="AE106" s="47"/>
      <c r="AF106" s="49"/>
      <c r="AG106" s="46">
        <v>0</v>
      </c>
      <c r="AH106" s="48"/>
      <c r="AI106" s="48"/>
      <c r="AJ106" s="49">
        <v>9</v>
      </c>
      <c r="AM106" s="138"/>
      <c r="AN106" s="138"/>
      <c r="AO106" s="141"/>
      <c r="AP106" s="138"/>
      <c r="AQ106" s="141"/>
      <c r="AR106" s="28"/>
      <c r="AS106" s="28"/>
      <c r="AT106" s="28"/>
      <c r="AU106" s="28"/>
      <c r="AV106" s="141"/>
      <c r="AY106" s="211" t="s">
        <v>89</v>
      </c>
      <c r="AZ106" s="212">
        <v>2086</v>
      </c>
      <c r="BA106" s="209">
        <v>2126</v>
      </c>
      <c r="BB106" s="138">
        <v>0</v>
      </c>
      <c r="BC106" s="43">
        <v>0</v>
      </c>
      <c r="BD106" s="141">
        <v>0</v>
      </c>
      <c r="BE106" s="138">
        <v>0</v>
      </c>
      <c r="BF106" s="141">
        <v>0</v>
      </c>
      <c r="BG106" s="138"/>
      <c r="BH106" s="28"/>
      <c r="BI106" s="141"/>
      <c r="BJ106" s="28"/>
    </row>
    <row r="107" spans="1:62" x14ac:dyDescent="0.3">
      <c r="A107" s="42" t="s">
        <v>93</v>
      </c>
      <c r="B107" s="138"/>
      <c r="C107" s="209"/>
      <c r="D107" s="138">
        <v>0</v>
      </c>
      <c r="E107" s="38"/>
      <c r="F107" s="43">
        <v>0</v>
      </c>
      <c r="G107" s="138">
        <v>1</v>
      </c>
      <c r="H107" s="42" t="s">
        <v>116</v>
      </c>
      <c r="I107" s="28"/>
      <c r="J107" s="40"/>
      <c r="M107" s="42" t="s">
        <v>99</v>
      </c>
      <c r="N107" s="138"/>
      <c r="O107" s="196"/>
      <c r="P107" s="138">
        <v>0</v>
      </c>
      <c r="Q107" s="196">
        <v>0</v>
      </c>
      <c r="R107" s="141">
        <v>0</v>
      </c>
      <c r="S107" s="138"/>
      <c r="T107" s="138"/>
      <c r="U107" s="42" t="s">
        <v>135</v>
      </c>
      <c r="V107" s="40"/>
      <c r="Y107" s="32" t="s">
        <v>113</v>
      </c>
      <c r="Z107" s="33"/>
      <c r="AA107" s="35"/>
      <c r="AB107" s="53"/>
      <c r="AC107" s="123"/>
      <c r="AD107" s="97"/>
      <c r="AE107" s="33">
        <v>8859</v>
      </c>
      <c r="AF107" s="35">
        <v>807</v>
      </c>
      <c r="AG107" s="32"/>
      <c r="AH107" s="33" t="s">
        <v>149</v>
      </c>
      <c r="AI107" s="34"/>
      <c r="AJ107" s="35"/>
      <c r="AM107" s="138"/>
      <c r="AN107" s="138"/>
      <c r="AO107" s="141"/>
      <c r="AP107" s="138"/>
      <c r="AQ107" s="141"/>
      <c r="AR107" s="28"/>
      <c r="AS107" s="28"/>
      <c r="AT107" s="28"/>
      <c r="AU107" s="28"/>
      <c r="AV107" s="141"/>
      <c r="AY107" s="211" t="s">
        <v>214</v>
      </c>
      <c r="AZ107" s="138"/>
      <c r="BA107" s="141">
        <v>5</v>
      </c>
      <c r="BB107" s="138">
        <v>0</v>
      </c>
      <c r="BC107" s="43">
        <v>0</v>
      </c>
      <c r="BD107" s="141">
        <v>0</v>
      </c>
      <c r="BE107" s="138">
        <v>0</v>
      </c>
      <c r="BF107" s="141">
        <v>0</v>
      </c>
      <c r="BG107" s="138"/>
      <c r="BH107" s="28"/>
      <c r="BI107" s="141"/>
      <c r="BJ107" s="28"/>
    </row>
    <row r="108" spans="1:62" x14ac:dyDescent="0.3">
      <c r="A108" s="42" t="s">
        <v>99</v>
      </c>
      <c r="B108" s="138">
        <v>6962</v>
      </c>
      <c r="C108" s="209">
        <v>9433</v>
      </c>
      <c r="D108" s="138">
        <v>0</v>
      </c>
      <c r="E108" s="38"/>
      <c r="F108" s="43">
        <v>0</v>
      </c>
      <c r="G108" s="138"/>
      <c r="H108" s="67">
        <v>83</v>
      </c>
      <c r="I108" s="28" t="s">
        <v>188</v>
      </c>
      <c r="J108" s="40"/>
      <c r="M108" s="42"/>
      <c r="N108" s="138"/>
      <c r="O108" s="196"/>
      <c r="P108" s="138"/>
      <c r="Q108" s="196"/>
      <c r="R108" s="141"/>
      <c r="S108" s="138"/>
      <c r="T108" s="138"/>
      <c r="U108" s="42"/>
      <c r="V108" s="40"/>
      <c r="Y108" s="41" t="s">
        <v>99</v>
      </c>
      <c r="Z108" s="42"/>
      <c r="AA108" s="40"/>
      <c r="AB108" s="67">
        <v>0</v>
      </c>
      <c r="AC108" s="43">
        <v>0</v>
      </c>
      <c r="AD108" s="56">
        <v>0</v>
      </c>
      <c r="AE108" s="42"/>
      <c r="AF108" s="40">
        <v>4585</v>
      </c>
      <c r="AG108" s="41">
        <v>0</v>
      </c>
      <c r="AH108" s="67">
        <v>2</v>
      </c>
      <c r="AI108" s="28" t="s">
        <v>1317</v>
      </c>
      <c r="AJ108" s="40"/>
      <c r="AM108" s="142"/>
      <c r="AN108" s="142"/>
      <c r="AO108" s="146"/>
      <c r="AP108" s="142"/>
      <c r="AQ108" s="146"/>
      <c r="AR108" s="143"/>
      <c r="AS108" s="143"/>
      <c r="AT108" s="143"/>
      <c r="AU108" s="143"/>
      <c r="AV108" s="146"/>
      <c r="AY108" s="211" t="s">
        <v>164</v>
      </c>
      <c r="AZ108" s="142"/>
      <c r="BA108" s="146">
        <v>5</v>
      </c>
      <c r="BB108" s="142">
        <v>0</v>
      </c>
      <c r="BC108" s="224">
        <v>0</v>
      </c>
      <c r="BD108" s="251">
        <v>0</v>
      </c>
      <c r="BE108" s="142">
        <v>0</v>
      </c>
      <c r="BF108" s="146">
        <v>0</v>
      </c>
      <c r="BG108" s="142"/>
      <c r="BH108" s="143"/>
      <c r="BI108" s="146"/>
      <c r="BJ108" s="28"/>
    </row>
    <row r="109" spans="1:62" x14ac:dyDescent="0.3">
      <c r="A109" s="42" t="s">
        <v>120</v>
      </c>
      <c r="B109" s="138"/>
      <c r="C109" s="209"/>
      <c r="D109" s="138">
        <v>0</v>
      </c>
      <c r="E109" s="38"/>
      <c r="F109" s="43">
        <v>0</v>
      </c>
      <c r="G109" s="138"/>
      <c r="H109" s="67"/>
      <c r="I109" s="28"/>
      <c r="J109" s="40"/>
      <c r="M109" s="244" t="s">
        <v>84</v>
      </c>
      <c r="N109" s="142">
        <v>605</v>
      </c>
      <c r="O109" s="199">
        <v>0</v>
      </c>
      <c r="P109" s="142">
        <v>0</v>
      </c>
      <c r="Q109" s="199">
        <v>0</v>
      </c>
      <c r="R109" s="146">
        <v>0</v>
      </c>
      <c r="S109" s="142"/>
      <c r="T109" s="142"/>
      <c r="U109" s="244"/>
      <c r="V109" s="245"/>
      <c r="Y109" s="41" t="s">
        <v>174</v>
      </c>
      <c r="Z109" s="42"/>
      <c r="AA109" s="40"/>
      <c r="AB109" s="67">
        <v>0</v>
      </c>
      <c r="AC109" s="43">
        <v>0</v>
      </c>
      <c r="AD109" s="56">
        <v>0</v>
      </c>
      <c r="AE109" s="42">
        <v>10423</v>
      </c>
      <c r="AF109" s="40"/>
      <c r="AG109" s="41">
        <v>0</v>
      </c>
      <c r="AH109" s="67"/>
      <c r="AI109" s="43"/>
      <c r="AJ109" s="40"/>
      <c r="AM109" s="134" t="s">
        <v>81</v>
      </c>
      <c r="AN109" s="134">
        <v>27</v>
      </c>
      <c r="AO109" s="136">
        <v>15</v>
      </c>
      <c r="AP109" s="134"/>
      <c r="AQ109" s="136"/>
      <c r="AR109" s="134"/>
      <c r="AS109" s="135" t="s">
        <v>140</v>
      </c>
      <c r="AT109" s="135"/>
      <c r="AU109" s="135"/>
      <c r="AV109" s="136"/>
      <c r="AY109" s="247" t="s">
        <v>84</v>
      </c>
      <c r="AZ109" s="247">
        <v>6128</v>
      </c>
      <c r="BA109" s="248">
        <v>6505</v>
      </c>
      <c r="BB109" s="197">
        <v>0</v>
      </c>
      <c r="BC109" s="198">
        <v>0</v>
      </c>
      <c r="BD109" s="249">
        <v>0</v>
      </c>
      <c r="BE109" s="197">
        <v>0</v>
      </c>
      <c r="BF109" s="249">
        <v>0</v>
      </c>
      <c r="BG109" s="197"/>
      <c r="BH109" s="198"/>
      <c r="BI109" s="249">
        <v>113</v>
      </c>
      <c r="BJ109" s="28"/>
    </row>
    <row r="110" spans="1:62" ht="15" thickBot="1" x14ac:dyDescent="0.35">
      <c r="A110" s="42"/>
      <c r="B110" s="138"/>
      <c r="C110" s="28"/>
      <c r="D110" s="138">
        <v>0</v>
      </c>
      <c r="E110" s="38"/>
      <c r="F110" s="43">
        <v>0</v>
      </c>
      <c r="G110" s="138"/>
      <c r="H110" s="67"/>
      <c r="I110" s="28"/>
      <c r="J110" s="40"/>
      <c r="M110" s="42"/>
      <c r="N110" s="138"/>
      <c r="O110" s="196"/>
      <c r="P110" s="138"/>
      <c r="Q110" s="196"/>
      <c r="R110" s="141"/>
      <c r="S110" s="138"/>
      <c r="T110" s="138"/>
      <c r="U110" s="42"/>
      <c r="V110" s="40"/>
      <c r="Y110" s="62" t="s">
        <v>84</v>
      </c>
      <c r="Z110" s="47">
        <v>0</v>
      </c>
      <c r="AA110" s="49">
        <v>0</v>
      </c>
      <c r="AB110" s="47">
        <v>0</v>
      </c>
      <c r="AC110" s="48">
        <v>0</v>
      </c>
      <c r="AD110" s="49">
        <v>0</v>
      </c>
      <c r="AE110" s="47">
        <v>19282</v>
      </c>
      <c r="AF110" s="49">
        <v>5392</v>
      </c>
      <c r="AG110" s="46">
        <v>0</v>
      </c>
      <c r="AH110" s="47"/>
      <c r="AI110" s="48"/>
      <c r="AJ110" s="49">
        <v>2</v>
      </c>
      <c r="AM110" s="138" t="s">
        <v>56</v>
      </c>
      <c r="AN110" s="212">
        <v>8</v>
      </c>
      <c r="AO110" s="141">
        <v>2</v>
      </c>
      <c r="AP110" s="138"/>
      <c r="AQ110" s="141"/>
      <c r="AR110" s="138" t="s">
        <v>2260</v>
      </c>
      <c r="AS110" s="43"/>
      <c r="AT110" s="43" t="s">
        <v>2261</v>
      </c>
      <c r="AU110" s="43" t="s">
        <v>2262</v>
      </c>
      <c r="AV110" s="141"/>
      <c r="AY110" s="195"/>
      <c r="AZ110" s="134"/>
      <c r="BA110" s="136"/>
      <c r="BB110" s="134"/>
      <c r="BC110" s="135"/>
      <c r="BD110" s="136"/>
      <c r="BE110" s="134"/>
      <c r="BF110" s="136"/>
      <c r="BG110" s="134" t="s">
        <v>1025</v>
      </c>
      <c r="BH110" s="135"/>
      <c r="BI110" s="136"/>
      <c r="BJ110" s="28"/>
    </row>
    <row r="111" spans="1:62" x14ac:dyDescent="0.3">
      <c r="A111" s="197" t="s">
        <v>84</v>
      </c>
      <c r="B111" s="197">
        <v>6962</v>
      </c>
      <c r="C111" s="198">
        <v>9433</v>
      </c>
      <c r="D111" s="197"/>
      <c r="E111" s="198"/>
      <c r="F111" s="198"/>
      <c r="G111" s="197"/>
      <c r="H111" s="392"/>
      <c r="I111" s="198"/>
      <c r="J111" s="249">
        <v>83</v>
      </c>
      <c r="M111" s="42"/>
      <c r="N111" s="138"/>
      <c r="O111" s="196"/>
      <c r="P111" s="138"/>
      <c r="Q111" s="196"/>
      <c r="R111" s="141"/>
      <c r="S111" s="138"/>
      <c r="T111" s="138"/>
      <c r="U111" s="42"/>
      <c r="V111" s="40"/>
      <c r="Y111" s="32" t="s">
        <v>95</v>
      </c>
      <c r="Z111" s="33"/>
      <c r="AA111" s="35"/>
      <c r="AB111" s="33">
        <v>0</v>
      </c>
      <c r="AC111" s="34">
        <v>0</v>
      </c>
      <c r="AD111" s="35">
        <v>0</v>
      </c>
      <c r="AE111" s="33"/>
      <c r="AF111" s="35">
        <v>4260</v>
      </c>
      <c r="AG111" s="32">
        <v>0</v>
      </c>
      <c r="AH111" s="33" t="s">
        <v>157</v>
      </c>
      <c r="AI111" s="34"/>
      <c r="AJ111" s="35"/>
      <c r="AM111" s="138" t="s">
        <v>72</v>
      </c>
      <c r="AN111" s="212">
        <v>217</v>
      </c>
      <c r="AO111" s="141">
        <v>82</v>
      </c>
      <c r="AP111" s="138"/>
      <c r="AQ111" s="141"/>
      <c r="AR111" s="138" t="s">
        <v>2263</v>
      </c>
      <c r="AS111" s="43"/>
      <c r="AT111" s="43" t="s">
        <v>2264</v>
      </c>
      <c r="AU111" s="43"/>
      <c r="AV111" s="141"/>
      <c r="AY111" s="196" t="s">
        <v>64</v>
      </c>
      <c r="AZ111" s="138">
        <v>34</v>
      </c>
      <c r="BA111" s="141">
        <v>50</v>
      </c>
      <c r="BB111" s="138">
        <v>0</v>
      </c>
      <c r="BC111" s="43">
        <v>0</v>
      </c>
      <c r="BD111" s="209">
        <v>0</v>
      </c>
      <c r="BE111" s="138">
        <v>0</v>
      </c>
      <c r="BF111" s="141">
        <v>0</v>
      </c>
      <c r="BG111" s="138">
        <v>4</v>
      </c>
      <c r="BH111" s="28" t="s">
        <v>1026</v>
      </c>
      <c r="BI111" s="141"/>
      <c r="BJ111" s="28"/>
    </row>
    <row r="112" spans="1:62" x14ac:dyDescent="0.3">
      <c r="A112" s="278" t="s">
        <v>105</v>
      </c>
      <c r="B112" s="134">
        <v>466</v>
      </c>
      <c r="C112" s="135">
        <v>806</v>
      </c>
      <c r="D112" s="134">
        <v>0</v>
      </c>
      <c r="E112" s="243">
        <v>780</v>
      </c>
      <c r="F112" s="135">
        <v>0</v>
      </c>
      <c r="G112" s="134">
        <v>1</v>
      </c>
      <c r="H112" s="278" t="s">
        <v>162</v>
      </c>
      <c r="I112" s="135"/>
      <c r="J112" s="279"/>
      <c r="M112" s="42"/>
      <c r="N112" s="138"/>
      <c r="O112" s="196"/>
      <c r="P112" s="138"/>
      <c r="Q112" s="196"/>
      <c r="R112" s="141"/>
      <c r="S112" s="138"/>
      <c r="T112" s="138"/>
      <c r="U112" s="42"/>
      <c r="V112" s="40"/>
      <c r="Y112" s="41" t="s">
        <v>88</v>
      </c>
      <c r="Z112" s="42"/>
      <c r="AA112" s="56"/>
      <c r="AB112" s="67">
        <v>0</v>
      </c>
      <c r="AC112" s="43">
        <v>0</v>
      </c>
      <c r="AD112" s="56">
        <v>0</v>
      </c>
      <c r="AE112" s="42">
        <v>56350</v>
      </c>
      <c r="AF112" s="56"/>
      <c r="AG112" s="41">
        <v>0</v>
      </c>
      <c r="AH112" s="67">
        <v>10</v>
      </c>
      <c r="AI112" s="28" t="s">
        <v>1318</v>
      </c>
      <c r="AJ112" s="40"/>
      <c r="AM112" s="138" t="s">
        <v>78</v>
      </c>
      <c r="AN112" s="212">
        <v>247</v>
      </c>
      <c r="AO112" s="141">
        <v>206</v>
      </c>
      <c r="AP112" s="138"/>
      <c r="AQ112" s="141"/>
      <c r="AR112" s="138" t="s">
        <v>2265</v>
      </c>
      <c r="AS112" s="43"/>
      <c r="AT112" s="43" t="s">
        <v>2266</v>
      </c>
      <c r="AU112" s="43"/>
      <c r="AV112" s="141"/>
      <c r="AY112" s="265" t="s">
        <v>84</v>
      </c>
      <c r="AZ112" s="197">
        <v>34</v>
      </c>
      <c r="BA112" s="249">
        <v>50</v>
      </c>
      <c r="BB112" s="197">
        <v>0</v>
      </c>
      <c r="BC112" s="198">
        <v>0</v>
      </c>
      <c r="BD112" s="249">
        <v>0</v>
      </c>
      <c r="BE112" s="197">
        <v>0</v>
      </c>
      <c r="BF112" s="249">
        <v>0</v>
      </c>
      <c r="BG112" s="197"/>
      <c r="BH112" s="198"/>
      <c r="BI112" s="249">
        <v>4</v>
      </c>
      <c r="BJ112" s="28"/>
    </row>
    <row r="113" spans="1:62" x14ac:dyDescent="0.3">
      <c r="A113" s="42" t="s">
        <v>99</v>
      </c>
      <c r="B113" s="138">
        <v>155</v>
      </c>
      <c r="C113" s="43">
        <v>189</v>
      </c>
      <c r="D113" s="138">
        <v>0</v>
      </c>
      <c r="E113" s="343">
        <v>1222</v>
      </c>
      <c r="F113" s="43">
        <v>0</v>
      </c>
      <c r="G113" s="138"/>
      <c r="H113" s="42"/>
      <c r="I113" s="28"/>
      <c r="J113" s="40"/>
      <c r="M113" s="42"/>
      <c r="N113" s="138"/>
      <c r="O113" s="196"/>
      <c r="P113" s="138"/>
      <c r="Q113" s="196"/>
      <c r="R113" s="141"/>
      <c r="S113" s="138"/>
      <c r="T113" s="138"/>
      <c r="U113" s="42"/>
      <c r="V113" s="40"/>
      <c r="Y113" s="41" t="s">
        <v>85</v>
      </c>
      <c r="Z113" s="42"/>
      <c r="AA113" s="56"/>
      <c r="AB113" s="67">
        <v>0</v>
      </c>
      <c r="AC113" s="43">
        <v>0</v>
      </c>
      <c r="AD113" s="56">
        <v>0</v>
      </c>
      <c r="AE113" s="42"/>
      <c r="AF113" s="56">
        <v>1803</v>
      </c>
      <c r="AG113" s="41">
        <v>0</v>
      </c>
      <c r="AH113" s="42"/>
      <c r="AI113" s="28"/>
      <c r="AJ113" s="40"/>
      <c r="AM113" s="138" t="s">
        <v>67</v>
      </c>
      <c r="AN113" s="212">
        <v>41</v>
      </c>
      <c r="AO113" s="141">
        <v>37</v>
      </c>
      <c r="AP113" s="138"/>
      <c r="AQ113" s="141"/>
      <c r="AR113" s="138" t="s">
        <v>2267</v>
      </c>
      <c r="AS113" s="43"/>
      <c r="AT113" s="43" t="s">
        <v>2268</v>
      </c>
      <c r="AU113" s="43"/>
      <c r="AV113" s="141"/>
      <c r="AY113" s="195" t="s">
        <v>113</v>
      </c>
      <c r="AZ113" s="134">
        <v>418</v>
      </c>
      <c r="BA113" s="136">
        <v>633</v>
      </c>
      <c r="BB113" s="134">
        <v>0</v>
      </c>
      <c r="BC113" s="135">
        <v>0</v>
      </c>
      <c r="BD113" s="136">
        <v>0</v>
      </c>
      <c r="BE113" s="134">
        <v>0</v>
      </c>
      <c r="BF113" s="136">
        <v>0</v>
      </c>
      <c r="BG113" s="134" t="s">
        <v>994</v>
      </c>
      <c r="BH113" s="135"/>
      <c r="BI113" s="136"/>
      <c r="BJ113" s="28"/>
    </row>
    <row r="114" spans="1:62" ht="15" thickBot="1" x14ac:dyDescent="0.35">
      <c r="A114" s="42"/>
      <c r="B114" s="138"/>
      <c r="C114" s="28"/>
      <c r="D114" s="138"/>
      <c r="E114" s="343"/>
      <c r="F114" s="43"/>
      <c r="G114" s="138"/>
      <c r="H114" s="67">
        <v>40</v>
      </c>
      <c r="I114" s="28" t="s">
        <v>101</v>
      </c>
      <c r="J114" s="40"/>
      <c r="M114" s="42"/>
      <c r="N114" s="138"/>
      <c r="O114" s="196"/>
      <c r="P114" s="138"/>
      <c r="Q114" s="196"/>
      <c r="R114" s="141"/>
      <c r="S114" s="138"/>
      <c r="T114" s="138"/>
      <c r="U114" s="42"/>
      <c r="V114" s="40"/>
      <c r="Y114" s="68" t="s">
        <v>99</v>
      </c>
      <c r="Z114" s="42"/>
      <c r="AA114" s="56"/>
      <c r="AB114" s="42">
        <v>0</v>
      </c>
      <c r="AC114" s="43">
        <v>0</v>
      </c>
      <c r="AD114" s="40">
        <v>0</v>
      </c>
      <c r="AE114" s="42">
        <v>60292</v>
      </c>
      <c r="AF114" s="56">
        <v>10264</v>
      </c>
      <c r="AG114" s="41">
        <v>0</v>
      </c>
      <c r="AH114" s="42"/>
      <c r="AI114" s="43"/>
      <c r="AJ114" s="40"/>
      <c r="AM114" s="138" t="s">
        <v>115</v>
      </c>
      <c r="AN114" s="212">
        <v>9</v>
      </c>
      <c r="AO114" s="141">
        <v>9</v>
      </c>
      <c r="AP114" s="212"/>
      <c r="AQ114" s="141"/>
      <c r="AR114" s="138" t="s">
        <v>2269</v>
      </c>
      <c r="AS114" s="43"/>
      <c r="AT114" s="43" t="s">
        <v>2202</v>
      </c>
      <c r="AU114" s="43"/>
      <c r="AV114" s="141"/>
      <c r="AY114" s="196" t="s">
        <v>164</v>
      </c>
      <c r="AZ114" s="138"/>
      <c r="BA114" s="141"/>
      <c r="BB114" s="138">
        <v>0</v>
      </c>
      <c r="BC114" s="43">
        <v>0</v>
      </c>
      <c r="BD114" s="209">
        <v>0</v>
      </c>
      <c r="BE114" s="212">
        <v>0</v>
      </c>
      <c r="BF114" s="141">
        <v>0</v>
      </c>
      <c r="BG114" s="212">
        <v>22</v>
      </c>
      <c r="BH114" s="28" t="s">
        <v>1297</v>
      </c>
      <c r="BI114" s="141"/>
      <c r="BJ114" s="28"/>
    </row>
    <row r="115" spans="1:62" ht="15" thickBot="1" x14ac:dyDescent="0.35">
      <c r="A115" s="197" t="s">
        <v>84</v>
      </c>
      <c r="B115" s="197">
        <v>621</v>
      </c>
      <c r="C115" s="198">
        <v>995</v>
      </c>
      <c r="D115" s="197">
        <v>0</v>
      </c>
      <c r="E115" s="391">
        <v>2002</v>
      </c>
      <c r="F115" s="198">
        <v>0</v>
      </c>
      <c r="G115" s="197"/>
      <c r="H115" s="392"/>
      <c r="I115" s="198"/>
      <c r="J115" s="249">
        <v>40</v>
      </c>
      <c r="M115" s="171" t="s">
        <v>84</v>
      </c>
      <c r="N115" s="210">
        <v>33871</v>
      </c>
      <c r="O115" s="206">
        <v>25526</v>
      </c>
      <c r="P115" s="210">
        <v>0</v>
      </c>
      <c r="Q115" s="206">
        <v>0</v>
      </c>
      <c r="R115" s="170">
        <v>0</v>
      </c>
      <c r="S115" s="210">
        <v>2975</v>
      </c>
      <c r="T115" s="210">
        <v>213</v>
      </c>
      <c r="U115" s="171"/>
      <c r="V115" s="172"/>
      <c r="Y115" s="68" t="s">
        <v>108</v>
      </c>
      <c r="Z115" s="42"/>
      <c r="AA115" s="56"/>
      <c r="AB115" s="67">
        <v>0</v>
      </c>
      <c r="AC115" s="43">
        <v>0</v>
      </c>
      <c r="AD115" s="56">
        <v>0</v>
      </c>
      <c r="AE115" s="42"/>
      <c r="AF115" s="56">
        <v>15640</v>
      </c>
      <c r="AG115" s="41">
        <v>0</v>
      </c>
      <c r="AH115" s="67"/>
      <c r="AI115" s="28"/>
      <c r="AJ115" s="40"/>
      <c r="AM115" s="138" t="s">
        <v>2270</v>
      </c>
      <c r="AN115" s="212">
        <v>0</v>
      </c>
      <c r="AO115" s="141">
        <v>3</v>
      </c>
      <c r="AP115" s="138"/>
      <c r="AQ115" s="141"/>
      <c r="AR115" s="138" t="s">
        <v>2271</v>
      </c>
      <c r="AS115" s="43"/>
      <c r="AT115" s="43" t="s">
        <v>2272</v>
      </c>
      <c r="AU115" s="43"/>
      <c r="AV115" s="141"/>
      <c r="AY115" s="196" t="s">
        <v>139</v>
      </c>
      <c r="AZ115" s="138"/>
      <c r="BA115" s="141">
        <v>34</v>
      </c>
      <c r="BB115" s="138">
        <v>0</v>
      </c>
      <c r="BC115" s="43">
        <v>0</v>
      </c>
      <c r="BD115" s="209">
        <v>0</v>
      </c>
      <c r="BE115" s="138">
        <v>0</v>
      </c>
      <c r="BF115" s="141">
        <v>0</v>
      </c>
      <c r="BG115" s="212">
        <v>23</v>
      </c>
      <c r="BH115" s="43" t="s">
        <v>1292</v>
      </c>
      <c r="BI115" s="141"/>
      <c r="BJ115" s="28"/>
    </row>
    <row r="116" spans="1:62" x14ac:dyDescent="0.3">
      <c r="A116" s="287" t="s">
        <v>181</v>
      </c>
      <c r="B116" s="135">
        <v>1576</v>
      </c>
      <c r="C116" s="135">
        <v>2308</v>
      </c>
      <c r="D116" s="134">
        <v>0</v>
      </c>
      <c r="E116" s="243"/>
      <c r="F116" s="136">
        <v>0</v>
      </c>
      <c r="G116" s="134">
        <v>1</v>
      </c>
      <c r="H116" s="278" t="s">
        <v>182</v>
      </c>
      <c r="I116" s="135"/>
      <c r="J116" s="279"/>
      <c r="Y116" s="68" t="s">
        <v>133</v>
      </c>
      <c r="Z116" s="67"/>
      <c r="AA116" s="56"/>
      <c r="AB116" s="42">
        <v>0</v>
      </c>
      <c r="AC116" s="43">
        <v>0</v>
      </c>
      <c r="AD116" s="40">
        <v>0</v>
      </c>
      <c r="AE116" s="67"/>
      <c r="AF116" s="56">
        <v>9009</v>
      </c>
      <c r="AG116" s="41">
        <v>0</v>
      </c>
      <c r="AH116" s="42"/>
      <c r="AI116" s="28"/>
      <c r="AJ116" s="40"/>
      <c r="AM116" s="138" t="s">
        <v>63</v>
      </c>
      <c r="AN116" s="212">
        <v>10</v>
      </c>
      <c r="AO116" s="141">
        <v>14</v>
      </c>
      <c r="AP116" s="138"/>
      <c r="AQ116" s="141"/>
      <c r="AR116" s="138" t="s">
        <v>2273</v>
      </c>
      <c r="AS116" s="43"/>
      <c r="AT116" s="43" t="s">
        <v>2274</v>
      </c>
      <c r="AU116" s="43"/>
      <c r="AV116" s="141"/>
      <c r="AY116" s="265" t="s">
        <v>84</v>
      </c>
      <c r="AZ116" s="247">
        <v>418</v>
      </c>
      <c r="BA116" s="249">
        <v>667</v>
      </c>
      <c r="BB116" s="197">
        <v>0</v>
      </c>
      <c r="BC116" s="393">
        <v>0</v>
      </c>
      <c r="BD116" s="394">
        <v>0</v>
      </c>
      <c r="BE116" s="197">
        <v>0</v>
      </c>
      <c r="BF116" s="249">
        <v>0</v>
      </c>
      <c r="BG116" s="197"/>
      <c r="BH116" s="198"/>
      <c r="BI116" s="249">
        <v>45</v>
      </c>
      <c r="BJ116" s="28"/>
    </row>
    <row r="117" spans="1:62" x14ac:dyDescent="0.3">
      <c r="A117" s="288" t="s">
        <v>120</v>
      </c>
      <c r="B117" s="43">
        <v>204</v>
      </c>
      <c r="C117" s="43">
        <v>286</v>
      </c>
      <c r="D117" s="138">
        <v>0</v>
      </c>
      <c r="E117" s="38"/>
      <c r="F117" s="141">
        <v>0</v>
      </c>
      <c r="G117" s="138"/>
      <c r="H117" s="42">
        <v>32</v>
      </c>
      <c r="I117" s="28" t="s">
        <v>188</v>
      </c>
      <c r="J117" s="40"/>
      <c r="Y117" s="68" t="s">
        <v>1547</v>
      </c>
      <c r="Z117" s="67"/>
      <c r="AA117" s="56"/>
      <c r="AB117" s="67">
        <v>0</v>
      </c>
      <c r="AC117" s="43">
        <v>0</v>
      </c>
      <c r="AD117" s="56">
        <v>0</v>
      </c>
      <c r="AE117" s="67"/>
      <c r="AF117" s="56">
        <v>7430</v>
      </c>
      <c r="AG117" s="41">
        <v>0</v>
      </c>
      <c r="AH117" s="67"/>
      <c r="AI117" s="28"/>
      <c r="AJ117" s="40"/>
      <c r="AM117" s="138" t="s">
        <v>122</v>
      </c>
      <c r="AN117" s="212">
        <v>7</v>
      </c>
      <c r="AO117" s="141">
        <v>16</v>
      </c>
      <c r="AP117" s="138"/>
      <c r="AQ117" s="141"/>
      <c r="AR117" s="138" t="s">
        <v>1327</v>
      </c>
      <c r="AS117" s="43"/>
      <c r="AT117" s="43"/>
      <c r="AU117" s="43"/>
      <c r="AV117" s="141"/>
      <c r="AY117" s="134" t="s">
        <v>133</v>
      </c>
      <c r="AZ117" s="240">
        <v>31</v>
      </c>
      <c r="BA117" s="135">
        <v>17</v>
      </c>
      <c r="BB117" s="134"/>
      <c r="BC117" s="243"/>
      <c r="BD117" s="381"/>
      <c r="BE117" s="135"/>
      <c r="BF117" s="136"/>
      <c r="BG117" s="134" t="s">
        <v>140</v>
      </c>
      <c r="BH117" s="135"/>
      <c r="BI117" s="136"/>
      <c r="BJ117" s="28"/>
    </row>
    <row r="118" spans="1:62" x14ac:dyDescent="0.3">
      <c r="A118" s="195" t="s">
        <v>84</v>
      </c>
      <c r="B118" s="135">
        <v>1780</v>
      </c>
      <c r="C118" s="241">
        <v>2594</v>
      </c>
      <c r="D118" s="134">
        <v>0</v>
      </c>
      <c r="E118" s="395"/>
      <c r="F118" s="136">
        <v>0</v>
      </c>
      <c r="G118" s="134"/>
      <c r="H118" s="278"/>
      <c r="I118" s="135" t="s">
        <v>727</v>
      </c>
      <c r="J118" s="136"/>
      <c r="Y118" s="68" t="s">
        <v>105</v>
      </c>
      <c r="Z118" s="42"/>
      <c r="AA118" s="40"/>
      <c r="AB118" s="42">
        <v>0</v>
      </c>
      <c r="AC118" s="43">
        <v>0</v>
      </c>
      <c r="AD118" s="40">
        <v>0</v>
      </c>
      <c r="AE118" s="42"/>
      <c r="AF118" s="40">
        <v>10081</v>
      </c>
      <c r="AG118" s="41">
        <v>0</v>
      </c>
      <c r="AH118" s="42"/>
      <c r="AI118" s="28"/>
      <c r="AJ118" s="40"/>
      <c r="AM118" s="138" t="s">
        <v>132</v>
      </c>
      <c r="AN118" s="212">
        <v>12</v>
      </c>
      <c r="AO118" s="141">
        <v>6</v>
      </c>
      <c r="AP118" s="138"/>
      <c r="AQ118" s="141"/>
      <c r="AR118" s="138" t="s">
        <v>2275</v>
      </c>
      <c r="AS118" s="43"/>
      <c r="AT118" s="43"/>
      <c r="AU118" s="43"/>
      <c r="AV118" s="141"/>
      <c r="AY118" s="138" t="s">
        <v>113</v>
      </c>
      <c r="AZ118" s="212">
        <v>45</v>
      </c>
      <c r="BA118" s="43">
        <v>103</v>
      </c>
      <c r="BB118" s="138"/>
      <c r="BC118" s="43"/>
      <c r="BD118" s="141"/>
      <c r="BE118" s="43"/>
      <c r="BF118" s="141"/>
      <c r="BG118" s="138"/>
      <c r="BH118" s="28"/>
      <c r="BI118" s="141"/>
      <c r="BJ118" s="28"/>
    </row>
    <row r="119" spans="1:62" x14ac:dyDescent="0.3">
      <c r="A119" s="199"/>
      <c r="B119" s="143"/>
      <c r="C119" s="143"/>
      <c r="D119" s="142"/>
      <c r="E119" s="143"/>
      <c r="F119" s="146"/>
      <c r="G119" s="142"/>
      <c r="H119" s="244"/>
      <c r="I119" s="224"/>
      <c r="J119" s="146">
        <v>32</v>
      </c>
      <c r="Y119" s="68" t="s">
        <v>102</v>
      </c>
      <c r="Z119" s="42"/>
      <c r="AA119" s="40"/>
      <c r="AB119" s="42">
        <v>0</v>
      </c>
      <c r="AC119" s="43">
        <v>0</v>
      </c>
      <c r="AD119" s="40">
        <v>0</v>
      </c>
      <c r="AE119" s="42">
        <v>2336</v>
      </c>
      <c r="AF119" s="40"/>
      <c r="AG119" s="41">
        <v>0</v>
      </c>
      <c r="AH119" s="42"/>
      <c r="AI119" s="28"/>
      <c r="AJ119" s="40"/>
      <c r="AM119" s="138" t="s">
        <v>230</v>
      </c>
      <c r="AN119" s="138">
        <v>327</v>
      </c>
      <c r="AO119" s="141">
        <v>80</v>
      </c>
      <c r="AP119" s="138"/>
      <c r="AQ119" s="141"/>
      <c r="AR119" s="138" t="s">
        <v>2276</v>
      </c>
      <c r="AS119" s="220"/>
      <c r="AT119" s="43"/>
      <c r="AU119" s="371"/>
      <c r="AV119" s="141"/>
      <c r="AY119" s="138" t="s">
        <v>85</v>
      </c>
      <c r="AZ119" s="212">
        <v>0</v>
      </c>
      <c r="BA119" s="43">
        <v>0</v>
      </c>
      <c r="BB119" s="138"/>
      <c r="BC119" s="43"/>
      <c r="BD119" s="141"/>
      <c r="BE119" s="43"/>
      <c r="BF119" s="141"/>
      <c r="BG119" s="138"/>
      <c r="BH119" s="28"/>
      <c r="BI119" s="141"/>
      <c r="BJ119" s="28"/>
    </row>
    <row r="120" spans="1:62" ht="15" thickBot="1" x14ac:dyDescent="0.35">
      <c r="A120" s="46" t="s">
        <v>84</v>
      </c>
      <c r="B120" s="396">
        <v>23682</v>
      </c>
      <c r="C120" s="49">
        <v>33880</v>
      </c>
      <c r="D120" s="397">
        <v>0</v>
      </c>
      <c r="E120" s="202">
        <v>3184</v>
      </c>
      <c r="F120" s="398">
        <v>0</v>
      </c>
      <c r="G120" s="47">
        <v>8</v>
      </c>
      <c r="H120" s="47"/>
      <c r="I120" s="48"/>
      <c r="J120" s="49">
        <v>355</v>
      </c>
      <c r="Y120" s="68" t="s">
        <v>445</v>
      </c>
      <c r="Z120" s="42"/>
      <c r="AA120" s="40"/>
      <c r="AB120" s="42">
        <v>0</v>
      </c>
      <c r="AC120" s="43">
        <v>0</v>
      </c>
      <c r="AD120" s="40">
        <v>0</v>
      </c>
      <c r="AE120" s="42">
        <v>6665</v>
      </c>
      <c r="AF120" s="40"/>
      <c r="AG120" s="41">
        <v>0</v>
      </c>
      <c r="AH120" s="42"/>
      <c r="AI120" s="28"/>
      <c r="AJ120" s="40"/>
      <c r="AM120" s="197" t="s">
        <v>84</v>
      </c>
      <c r="AN120" s="197">
        <v>905</v>
      </c>
      <c r="AO120" s="249">
        <v>470</v>
      </c>
      <c r="AP120" s="197"/>
      <c r="AQ120" s="249"/>
      <c r="AR120" s="142" t="s">
        <v>2277</v>
      </c>
      <c r="AS120" s="224"/>
      <c r="AT120" s="224"/>
      <c r="AU120" s="143"/>
      <c r="AV120" s="146">
        <v>432</v>
      </c>
      <c r="AY120" s="138" t="s">
        <v>218</v>
      </c>
      <c r="AZ120" s="212">
        <v>9</v>
      </c>
      <c r="BA120" s="43">
        <v>15</v>
      </c>
      <c r="BB120" s="382"/>
      <c r="BC120" s="43"/>
      <c r="BD120" s="141"/>
      <c r="BE120" s="43"/>
      <c r="BF120" s="141"/>
      <c r="BG120" s="212" t="s">
        <v>142</v>
      </c>
      <c r="BH120" s="43"/>
      <c r="BI120" s="209" t="s">
        <v>1600</v>
      </c>
      <c r="BJ120" s="28"/>
    </row>
    <row r="121" spans="1:62" ht="15" thickBot="1" x14ac:dyDescent="0.35">
      <c r="Y121" s="68"/>
      <c r="Z121" s="42"/>
      <c r="AA121" s="40"/>
      <c r="AB121" s="42">
        <v>0</v>
      </c>
      <c r="AC121" s="43">
        <v>0</v>
      </c>
      <c r="AD121" s="40">
        <v>0</v>
      </c>
      <c r="AE121" s="42"/>
      <c r="AF121" s="40"/>
      <c r="AG121" s="41">
        <v>0</v>
      </c>
      <c r="AH121" s="42"/>
      <c r="AI121" s="28"/>
      <c r="AJ121" s="40"/>
      <c r="AM121" s="47" t="s">
        <v>84</v>
      </c>
      <c r="AN121" s="47">
        <v>2203</v>
      </c>
      <c r="AO121" s="49">
        <v>1703</v>
      </c>
      <c r="AP121" s="48"/>
      <c r="AQ121" s="49"/>
      <c r="AR121" s="48"/>
      <c r="AS121" s="48"/>
      <c r="AT121" s="48"/>
      <c r="AU121" s="48"/>
      <c r="AV121" s="49">
        <v>593</v>
      </c>
      <c r="AY121" s="138" t="s">
        <v>214</v>
      </c>
      <c r="AZ121" s="212">
        <v>1</v>
      </c>
      <c r="BA121" s="43">
        <v>12</v>
      </c>
      <c r="BB121" s="268"/>
      <c r="BC121" s="255"/>
      <c r="BD121" s="141"/>
      <c r="BE121" s="43"/>
      <c r="BF121" s="141"/>
      <c r="BG121" s="212" t="s">
        <v>146</v>
      </c>
      <c r="BH121" s="43"/>
      <c r="BI121" s="372" t="s">
        <v>2083</v>
      </c>
      <c r="BJ121" s="28"/>
    </row>
    <row r="122" spans="1:62" ht="15" thickBot="1" x14ac:dyDescent="0.35">
      <c r="V122" s="184"/>
      <c r="Y122" s="68" t="s">
        <v>84</v>
      </c>
      <c r="Z122" s="47">
        <v>0</v>
      </c>
      <c r="AA122" s="49">
        <v>0</v>
      </c>
      <c r="AB122" s="72">
        <v>0</v>
      </c>
      <c r="AC122" s="51">
        <v>0</v>
      </c>
      <c r="AD122" s="73">
        <v>0</v>
      </c>
      <c r="AE122" s="47">
        <v>125643</v>
      </c>
      <c r="AF122" s="49">
        <v>58487</v>
      </c>
      <c r="AG122" s="46">
        <v>0</v>
      </c>
      <c r="AH122" s="72"/>
      <c r="AI122" s="48"/>
      <c r="AJ122" s="49">
        <v>10</v>
      </c>
      <c r="AM122" s="28"/>
      <c r="AN122" s="28"/>
      <c r="AO122" s="28"/>
      <c r="AP122" s="28"/>
      <c r="AQ122" s="28"/>
      <c r="AR122" s="28"/>
      <c r="AS122" s="43"/>
      <c r="AT122" s="43"/>
      <c r="AU122" s="28"/>
      <c r="AV122" s="28"/>
      <c r="AY122" s="138" t="s">
        <v>93</v>
      </c>
      <c r="AZ122" s="212">
        <v>2</v>
      </c>
      <c r="BA122" s="43">
        <v>3</v>
      </c>
      <c r="BB122" s="268"/>
      <c r="BC122" s="43"/>
      <c r="BD122" s="141"/>
      <c r="BE122" s="43"/>
      <c r="BF122" s="141"/>
      <c r="BG122" s="212"/>
      <c r="BH122" s="43"/>
      <c r="BI122" s="209"/>
      <c r="BJ122" s="28"/>
    </row>
    <row r="123" spans="1:62" x14ac:dyDescent="0.3">
      <c r="Y123" s="32"/>
      <c r="Z123" s="33"/>
      <c r="AA123" s="35"/>
      <c r="AB123" s="33"/>
      <c r="AC123" s="123"/>
      <c r="AD123" s="35"/>
      <c r="AE123" s="33"/>
      <c r="AF123" s="35"/>
      <c r="AG123" s="32"/>
      <c r="AH123" s="33" t="s">
        <v>1326</v>
      </c>
      <c r="AI123" s="34"/>
      <c r="AJ123" s="35"/>
      <c r="AM123" s="28"/>
      <c r="AN123" s="28"/>
      <c r="AO123" s="28"/>
      <c r="AP123" s="28"/>
      <c r="AQ123" s="28"/>
      <c r="AR123" s="28"/>
      <c r="AS123" s="220"/>
      <c r="AT123" s="220"/>
      <c r="AU123" s="28"/>
      <c r="AV123" s="28"/>
      <c r="AY123" s="138" t="s">
        <v>596</v>
      </c>
      <c r="AZ123" s="212">
        <v>0</v>
      </c>
      <c r="BA123" s="43">
        <v>0</v>
      </c>
      <c r="BB123" s="268"/>
      <c r="BC123" s="43"/>
      <c r="BD123" s="141"/>
      <c r="BE123" s="43"/>
      <c r="BF123" s="141"/>
      <c r="BG123" s="212" t="s">
        <v>151</v>
      </c>
      <c r="BH123" s="43" t="s">
        <v>2278</v>
      </c>
      <c r="BI123" s="209"/>
      <c r="BJ123" s="28"/>
    </row>
    <row r="124" spans="1:62" x14ac:dyDescent="0.3">
      <c r="Y124" s="41" t="s">
        <v>102</v>
      </c>
      <c r="Z124" s="42">
        <v>116</v>
      </c>
      <c r="AA124" s="40">
        <v>204</v>
      </c>
      <c r="AB124" s="67">
        <v>0</v>
      </c>
      <c r="AC124" s="43">
        <v>0</v>
      </c>
      <c r="AD124" s="56">
        <v>0</v>
      </c>
      <c r="AE124" s="42"/>
      <c r="AF124" s="40"/>
      <c r="AG124" s="41">
        <v>0</v>
      </c>
      <c r="AH124" s="43">
        <v>2</v>
      </c>
      <c r="AI124" s="28" t="s">
        <v>145</v>
      </c>
      <c r="AJ124" s="40"/>
      <c r="AM124" s="28"/>
      <c r="AN124" s="28"/>
      <c r="AO124" s="28"/>
      <c r="AP124" s="28"/>
      <c r="AQ124" s="28"/>
      <c r="AR124" s="28"/>
      <c r="AS124" s="43"/>
      <c r="AT124" s="43"/>
      <c r="AU124" s="28"/>
      <c r="AV124" s="28"/>
      <c r="AY124" s="138" t="s">
        <v>169</v>
      </c>
      <c r="AZ124" s="212">
        <v>0</v>
      </c>
      <c r="BA124" s="43">
        <v>2</v>
      </c>
      <c r="BB124" s="268"/>
      <c r="BC124" s="43"/>
      <c r="BD124" s="141"/>
      <c r="BE124" s="43"/>
      <c r="BF124" s="141"/>
      <c r="BG124" s="333" t="s">
        <v>443</v>
      </c>
      <c r="BH124" s="383" t="s">
        <v>515</v>
      </c>
      <c r="BI124" s="209"/>
      <c r="BJ124" s="28"/>
    </row>
    <row r="125" spans="1:62" ht="15" thickBot="1" x14ac:dyDescent="0.35">
      <c r="Y125" s="399" t="s">
        <v>84</v>
      </c>
      <c r="Z125" s="278">
        <v>116</v>
      </c>
      <c r="AA125" s="279">
        <v>204</v>
      </c>
      <c r="AB125" s="278">
        <v>0</v>
      </c>
      <c r="AC125" s="135">
        <v>0</v>
      </c>
      <c r="AD125" s="279">
        <v>0</v>
      </c>
      <c r="AE125" s="278"/>
      <c r="AF125" s="279"/>
      <c r="AG125" s="314">
        <v>0</v>
      </c>
      <c r="AH125" s="400">
        <v>2</v>
      </c>
      <c r="AI125" s="135" t="s">
        <v>141</v>
      </c>
      <c r="AJ125" s="136">
        <v>4</v>
      </c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Y125" s="138" t="s">
        <v>2248</v>
      </c>
      <c r="AZ125" s="212">
        <v>0</v>
      </c>
      <c r="BA125" s="43">
        <v>0</v>
      </c>
      <c r="BB125" s="268"/>
      <c r="BC125" s="43"/>
      <c r="BD125" s="141"/>
      <c r="BE125" s="43"/>
      <c r="BF125" s="141"/>
      <c r="BG125" s="212" t="s">
        <v>462</v>
      </c>
      <c r="BH125" s="220" t="s">
        <v>600</v>
      </c>
      <c r="BI125" s="209"/>
      <c r="BJ125" s="28"/>
    </row>
    <row r="126" spans="1:62" ht="15" thickBot="1" x14ac:dyDescent="0.35">
      <c r="Y126" s="254" t="s">
        <v>84</v>
      </c>
      <c r="Z126" s="171">
        <v>1914</v>
      </c>
      <c r="AA126" s="172">
        <v>2686</v>
      </c>
      <c r="AB126" s="271">
        <v>0</v>
      </c>
      <c r="AC126" s="170">
        <v>0</v>
      </c>
      <c r="AD126" s="172">
        <v>0</v>
      </c>
      <c r="AE126" s="171">
        <v>146205</v>
      </c>
      <c r="AF126" s="172">
        <v>63879</v>
      </c>
      <c r="AG126" s="254">
        <v>0</v>
      </c>
      <c r="AH126" s="291"/>
      <c r="AI126" s="170"/>
      <c r="AJ126" s="172">
        <v>42</v>
      </c>
      <c r="AS126" s="43"/>
      <c r="AT126" s="43"/>
      <c r="AU126" s="43"/>
      <c r="AV126" s="28"/>
      <c r="AY126" s="138" t="s">
        <v>526</v>
      </c>
      <c r="AZ126" s="212">
        <v>0</v>
      </c>
      <c r="BA126" s="43">
        <v>0</v>
      </c>
      <c r="BB126" s="268"/>
      <c r="BC126" s="43"/>
      <c r="BD126" s="141"/>
      <c r="BE126" s="43"/>
      <c r="BF126" s="141"/>
      <c r="BG126" s="212" t="s">
        <v>451</v>
      </c>
      <c r="BH126" s="43" t="s">
        <v>912</v>
      </c>
      <c r="BI126" s="209"/>
      <c r="BJ126" s="28"/>
    </row>
    <row r="127" spans="1:62" x14ac:dyDescent="0.3">
      <c r="Y127" s="43"/>
      <c r="Z127" s="28"/>
      <c r="AA127" s="28"/>
      <c r="AB127" s="28"/>
      <c r="AC127" s="43"/>
      <c r="AD127" s="28"/>
      <c r="AE127" s="28"/>
      <c r="AF127" s="28"/>
      <c r="AG127" s="28"/>
      <c r="AH127" s="28"/>
      <c r="AI127" s="28"/>
      <c r="AJ127" s="28"/>
      <c r="AO127" s="229"/>
      <c r="AS127" s="28"/>
      <c r="AT127" s="43"/>
      <c r="AU127" s="43"/>
      <c r="AV127" s="28"/>
      <c r="AY127" s="138" t="s">
        <v>549</v>
      </c>
      <c r="AZ127" s="212">
        <v>6</v>
      </c>
      <c r="BA127" s="43">
        <v>6</v>
      </c>
      <c r="BB127" s="268"/>
      <c r="BC127" s="270"/>
      <c r="BD127" s="141"/>
      <c r="BE127" s="43"/>
      <c r="BF127" s="141"/>
      <c r="BG127" s="212" t="s">
        <v>660</v>
      </c>
      <c r="BH127" s="43" t="s">
        <v>842</v>
      </c>
      <c r="BI127" s="209"/>
      <c r="BJ127" s="28"/>
    </row>
    <row r="128" spans="1:62" x14ac:dyDescent="0.3">
      <c r="Y128" s="28"/>
      <c r="Z128" s="28"/>
      <c r="AA128" s="28"/>
      <c r="AB128" s="28"/>
      <c r="AC128" s="43"/>
      <c r="AD128" s="28"/>
      <c r="AE128" s="28"/>
      <c r="AF128" s="28"/>
      <c r="AG128" s="28"/>
      <c r="AH128" s="28"/>
      <c r="AI128" s="28"/>
      <c r="AJ128" s="28"/>
      <c r="AS128" s="43"/>
      <c r="AT128" s="43"/>
      <c r="AU128" s="43"/>
      <c r="AV128" s="28"/>
      <c r="AY128" s="138" t="s">
        <v>2250</v>
      </c>
      <c r="AZ128" s="212">
        <v>0</v>
      </c>
      <c r="BA128" s="43">
        <v>0</v>
      </c>
      <c r="BB128" s="268"/>
      <c r="BC128" s="43"/>
      <c r="BD128" s="141"/>
      <c r="BE128" s="43"/>
      <c r="BF128" s="141"/>
      <c r="BG128" s="212" t="s">
        <v>1078</v>
      </c>
      <c r="BH128" s="43" t="s">
        <v>2279</v>
      </c>
      <c r="BI128" s="209"/>
      <c r="BJ128" s="28"/>
    </row>
    <row r="129" spans="25:62" x14ac:dyDescent="0.3">
      <c r="Y129" s="28"/>
      <c r="Z129" s="28"/>
      <c r="AA129" s="28"/>
      <c r="AB129" s="43"/>
      <c r="AC129" s="43"/>
      <c r="AD129" s="43"/>
      <c r="AE129" s="28"/>
      <c r="AF129" s="28"/>
      <c r="AG129" s="28"/>
      <c r="AH129" s="43"/>
      <c r="AI129" s="28"/>
      <c r="AJ129" s="28"/>
      <c r="AS129" s="43"/>
      <c r="AT129" s="28"/>
      <c r="AU129" s="28"/>
      <c r="AV129" s="28"/>
      <c r="AY129" s="138" t="s">
        <v>200</v>
      </c>
      <c r="AZ129" s="212">
        <v>8</v>
      </c>
      <c r="BA129" s="43">
        <v>0</v>
      </c>
      <c r="BB129" s="268"/>
      <c r="BC129" s="43"/>
      <c r="BD129" s="141"/>
      <c r="BE129" s="43"/>
      <c r="BF129" s="141"/>
      <c r="BG129" s="212" t="s">
        <v>943</v>
      </c>
      <c r="BH129" s="222" t="s">
        <v>2280</v>
      </c>
      <c r="BI129" s="209"/>
      <c r="BJ129" s="28"/>
    </row>
    <row r="130" spans="25:62" x14ac:dyDescent="0.3">
      <c r="Y130" s="28"/>
      <c r="Z130" s="28"/>
      <c r="AA130" s="28"/>
      <c r="AB130" s="28"/>
      <c r="AC130" s="28"/>
      <c r="AD130" s="28"/>
      <c r="AE130" s="28"/>
      <c r="AF130" s="28"/>
      <c r="AG130" s="28"/>
      <c r="AH130" s="43"/>
      <c r="AI130" s="28"/>
      <c r="AJ130" s="28"/>
      <c r="AS130" s="43"/>
      <c r="AT130" s="28"/>
      <c r="AU130" s="28"/>
      <c r="AV130" s="28"/>
      <c r="AY130" s="138" t="s">
        <v>99</v>
      </c>
      <c r="AZ130" s="212">
        <v>0</v>
      </c>
      <c r="BA130" s="43">
        <v>9</v>
      </c>
      <c r="BB130" s="268"/>
      <c r="BC130" s="270"/>
      <c r="BD130" s="141"/>
      <c r="BE130" s="43"/>
      <c r="BF130" s="141"/>
      <c r="BG130" s="212" t="s">
        <v>2185</v>
      </c>
      <c r="BH130" s="43" t="s">
        <v>2281</v>
      </c>
      <c r="BI130" s="373"/>
      <c r="BJ130" s="28"/>
    </row>
    <row r="131" spans="25:62" x14ac:dyDescent="0.3">
      <c r="Y131" s="28"/>
      <c r="Z131" s="28"/>
      <c r="AA131" s="28"/>
      <c r="AB131" s="43"/>
      <c r="AC131" s="28"/>
      <c r="AD131" s="28"/>
      <c r="AE131" s="28"/>
      <c r="AF131" s="28"/>
      <c r="AG131" s="28"/>
      <c r="AH131" s="43"/>
      <c r="AI131" s="28"/>
      <c r="AJ131" s="28"/>
      <c r="AQ131" s="28"/>
      <c r="AS131" s="43"/>
      <c r="AT131" s="28"/>
      <c r="AU131" s="28"/>
      <c r="AV131" s="28"/>
      <c r="AY131" s="138" t="s">
        <v>652</v>
      </c>
      <c r="AZ131" s="212">
        <v>5</v>
      </c>
      <c r="BA131" s="43">
        <v>0</v>
      </c>
      <c r="BB131" s="268"/>
      <c r="BC131" s="270"/>
      <c r="BD131" s="141"/>
      <c r="BE131" s="43"/>
      <c r="BF131" s="141"/>
      <c r="BG131" s="212" t="s">
        <v>1086</v>
      </c>
      <c r="BH131" s="43" t="s">
        <v>446</v>
      </c>
      <c r="BI131" s="209"/>
      <c r="BJ131" s="28"/>
    </row>
    <row r="132" spans="25:62" x14ac:dyDescent="0.3">
      <c r="AQ132" s="28"/>
      <c r="AS132" s="43"/>
      <c r="AT132" s="43"/>
      <c r="AU132" s="43"/>
      <c r="AV132" s="28"/>
      <c r="AY132" s="138" t="s">
        <v>64</v>
      </c>
      <c r="AZ132" s="212">
        <v>2</v>
      </c>
      <c r="BA132" s="43">
        <v>0</v>
      </c>
      <c r="BB132" s="268"/>
      <c r="BC132" s="270"/>
      <c r="BD132" s="141"/>
      <c r="BE132" s="43"/>
      <c r="BF132" s="141"/>
      <c r="BG132" s="212" t="s">
        <v>1733</v>
      </c>
      <c r="BH132" s="43" t="s">
        <v>2282</v>
      </c>
      <c r="BI132" s="209"/>
      <c r="BJ132" s="28"/>
    </row>
    <row r="133" spans="25:62" ht="15.6" x14ac:dyDescent="0.3">
      <c r="AE133" s="28"/>
      <c r="AO133" s="28"/>
      <c r="AQ133" s="28"/>
      <c r="AS133" s="43"/>
      <c r="AT133" s="28"/>
      <c r="AU133" s="28"/>
      <c r="AV133" s="28"/>
      <c r="AY133" s="374" t="s">
        <v>164</v>
      </c>
      <c r="AZ133" s="212">
        <v>0</v>
      </c>
      <c r="BA133" s="43">
        <v>0</v>
      </c>
      <c r="BB133" s="268"/>
      <c r="BC133" s="270"/>
      <c r="BD133" s="141"/>
      <c r="BE133" s="43"/>
      <c r="BF133" s="141"/>
      <c r="BG133" s="212" t="s">
        <v>2283</v>
      </c>
      <c r="BH133" s="258" t="s">
        <v>2284</v>
      </c>
      <c r="BI133" s="373"/>
      <c r="BJ133" s="28"/>
    </row>
    <row r="134" spans="25:62" ht="15.6" x14ac:dyDescent="0.3">
      <c r="AO134" s="28"/>
      <c r="AQ134" s="28"/>
      <c r="AY134" s="138" t="s">
        <v>2285</v>
      </c>
      <c r="AZ134" s="212">
        <v>0</v>
      </c>
      <c r="BA134" s="43">
        <v>1</v>
      </c>
      <c r="BB134" s="268"/>
      <c r="BC134" s="270"/>
      <c r="BD134" s="141"/>
      <c r="BE134" s="43"/>
      <c r="BF134" s="141" t="s">
        <v>6</v>
      </c>
      <c r="BG134" s="212" t="s">
        <v>167</v>
      </c>
      <c r="BH134" s="258" t="s">
        <v>2202</v>
      </c>
      <c r="BI134" s="209"/>
      <c r="BJ134" s="28"/>
    </row>
    <row r="135" spans="25:62" x14ac:dyDescent="0.3"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O135" s="28"/>
      <c r="AQ135" s="28"/>
      <c r="AY135" s="138" t="s">
        <v>174</v>
      </c>
      <c r="AZ135" s="212">
        <v>0</v>
      </c>
      <c r="BA135" s="43">
        <v>3</v>
      </c>
      <c r="BB135" s="268"/>
      <c r="BC135" s="270"/>
      <c r="BD135" s="141"/>
      <c r="BE135" s="43"/>
      <c r="BF135" s="141" t="s">
        <v>150</v>
      </c>
      <c r="BG135" s="212" t="s">
        <v>609</v>
      </c>
      <c r="BH135" s="228" t="s">
        <v>482</v>
      </c>
      <c r="BI135" s="213"/>
      <c r="BJ135" s="28"/>
    </row>
    <row r="136" spans="25:62" ht="15.6" x14ac:dyDescent="0.3"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138" t="s">
        <v>158</v>
      </c>
      <c r="AZ136" s="212">
        <v>7</v>
      </c>
      <c r="BA136" s="43">
        <v>10</v>
      </c>
      <c r="BB136" s="268"/>
      <c r="BC136" s="270"/>
      <c r="BD136" s="141"/>
      <c r="BE136" s="43"/>
      <c r="BF136" s="141"/>
      <c r="BG136" s="138" t="s">
        <v>1098</v>
      </c>
      <c r="BH136" s="258" t="s">
        <v>305</v>
      </c>
      <c r="BI136" s="141"/>
      <c r="BJ136" s="28"/>
    </row>
    <row r="137" spans="25:62" ht="16.2" thickBot="1" x14ac:dyDescent="0.35"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43"/>
      <c r="AX137" s="28"/>
      <c r="AY137" s="138" t="s">
        <v>801</v>
      </c>
      <c r="AZ137" s="263">
        <v>0</v>
      </c>
      <c r="BA137" s="143">
        <v>0</v>
      </c>
      <c r="BB137" s="375"/>
      <c r="BC137" s="376"/>
      <c r="BD137" s="146"/>
      <c r="BE137" s="224"/>
      <c r="BF137" s="146"/>
      <c r="BG137" s="138" t="s">
        <v>2286</v>
      </c>
      <c r="BH137" s="258" t="s">
        <v>2287</v>
      </c>
      <c r="BI137" s="141">
        <v>44</v>
      </c>
      <c r="BJ137" s="28"/>
    </row>
    <row r="138" spans="25:62" ht="15" thickBot="1" x14ac:dyDescent="0.35"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71" t="s">
        <v>84</v>
      </c>
      <c r="AZ138" s="72">
        <v>116</v>
      </c>
      <c r="BA138" s="73">
        <v>181</v>
      </c>
      <c r="BB138" s="48" t="s">
        <v>84</v>
      </c>
      <c r="BC138" s="48">
        <v>0</v>
      </c>
      <c r="BD138" s="48">
        <v>0</v>
      </c>
      <c r="BE138" s="47">
        <v>50845</v>
      </c>
      <c r="BF138" s="49">
        <v>18272</v>
      </c>
      <c r="BG138" s="351"/>
      <c r="BH138" s="170"/>
      <c r="BI138" s="172">
        <v>234</v>
      </c>
      <c r="BJ138" s="28"/>
    </row>
    <row r="139" spans="25:62" x14ac:dyDescent="0.3">
      <c r="Y139" s="28"/>
      <c r="Z139" s="28"/>
      <c r="AA139" s="28"/>
      <c r="AB139" s="43"/>
      <c r="AC139" s="43"/>
      <c r="AD139" s="43"/>
      <c r="AE139" s="28"/>
      <c r="AF139" s="28"/>
      <c r="AG139" s="28"/>
      <c r="AH139" s="28"/>
      <c r="AI139" s="28"/>
      <c r="AJ139" s="28"/>
      <c r="AM139" s="28"/>
      <c r="AN139" s="28"/>
      <c r="AO139" s="28"/>
      <c r="AP139" s="28"/>
      <c r="AQ139" s="28"/>
      <c r="AR139" s="28"/>
      <c r="AS139" s="28"/>
      <c r="AT139" s="28"/>
      <c r="AU139" s="43"/>
      <c r="AV139" s="28"/>
      <c r="AW139" s="28"/>
      <c r="AX139" s="28"/>
      <c r="AY139" s="200" t="s">
        <v>223</v>
      </c>
      <c r="AZ139" s="295">
        <v>6756</v>
      </c>
      <c r="BA139" s="296">
        <v>7461</v>
      </c>
      <c r="BB139" s="297"/>
      <c r="BC139" s="34" t="s">
        <v>1503</v>
      </c>
      <c r="BD139" s="34"/>
      <c r="BE139" s="34"/>
      <c r="BF139" s="34"/>
      <c r="BG139" s="298">
        <v>631</v>
      </c>
      <c r="BH139" s="35"/>
      <c r="BI139" s="35"/>
      <c r="BJ139" s="28"/>
    </row>
    <row r="140" spans="25:62" ht="15" thickBot="1" x14ac:dyDescent="0.35"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M140" s="28"/>
      <c r="AN140" s="28"/>
      <c r="AO140" s="28"/>
      <c r="AP140" s="28"/>
      <c r="AQ140" s="43"/>
      <c r="AR140" s="28"/>
      <c r="AS140" s="28"/>
      <c r="AT140" s="28"/>
      <c r="AU140" s="43"/>
      <c r="AV140" s="43"/>
      <c r="AW140" s="28"/>
      <c r="AX140" s="28"/>
      <c r="AY140" s="138" t="s">
        <v>1340</v>
      </c>
      <c r="AZ140" s="28"/>
      <c r="BA140" s="299"/>
      <c r="BB140" s="47"/>
      <c r="BC140" s="48" t="s">
        <v>1504</v>
      </c>
      <c r="BD140" s="48"/>
      <c r="BE140" s="48"/>
      <c r="BF140" s="48"/>
      <c r="BG140" s="300">
        <v>593</v>
      </c>
      <c r="BH140" s="301">
        <v>1224</v>
      </c>
      <c r="BI140" s="40"/>
      <c r="BJ140" s="28"/>
    </row>
    <row r="141" spans="25:62" ht="15" thickBot="1" x14ac:dyDescent="0.35">
      <c r="Y141" s="28"/>
      <c r="Z141" s="28"/>
      <c r="AA141" s="28"/>
      <c r="AB141" s="43"/>
      <c r="AC141" s="43"/>
      <c r="AD141" s="43"/>
      <c r="AE141" s="28"/>
      <c r="AF141" s="28"/>
      <c r="AG141" s="28"/>
      <c r="AH141" s="28"/>
      <c r="AI141" s="28"/>
      <c r="AJ141" s="28"/>
      <c r="AM141" s="43"/>
      <c r="AN141" s="43"/>
      <c r="AO141" s="43"/>
      <c r="AP141" s="28"/>
      <c r="AQ141" s="43"/>
      <c r="AR141" s="28"/>
      <c r="AS141" s="28"/>
      <c r="AT141" s="28"/>
      <c r="AU141" s="43"/>
      <c r="AV141" s="43"/>
      <c r="AW141" s="43"/>
      <c r="AX141" s="28"/>
      <c r="AY141" s="202" t="s">
        <v>229</v>
      </c>
      <c r="AZ141" s="48"/>
      <c r="BA141" s="302">
        <v>5</v>
      </c>
      <c r="BB141" s="28"/>
      <c r="BC141" s="28"/>
      <c r="BD141" s="28"/>
      <c r="BE141" s="28"/>
      <c r="BF141" s="42"/>
      <c r="BG141" s="28"/>
      <c r="BH141" s="42"/>
      <c r="BI141" s="40"/>
      <c r="BJ141" s="28"/>
    </row>
    <row r="142" spans="25:62" x14ac:dyDescent="0.3">
      <c r="Y142" s="28"/>
      <c r="Z142" s="28"/>
      <c r="AA142" s="28"/>
      <c r="AB142" s="43"/>
      <c r="AC142" s="43"/>
      <c r="AD142" s="43"/>
      <c r="AE142" s="28"/>
      <c r="AF142" s="28"/>
      <c r="AG142" s="28"/>
      <c r="AH142" s="43"/>
      <c r="AI142" s="28"/>
      <c r="AJ142" s="28"/>
      <c r="AM142" s="28"/>
      <c r="AN142" s="28"/>
      <c r="AO142" s="28"/>
      <c r="AP142" s="28"/>
      <c r="AQ142" s="28"/>
      <c r="AR142" s="28"/>
      <c r="AS142" s="28"/>
      <c r="AT142" s="28"/>
      <c r="AU142" s="43"/>
      <c r="AV142" s="43"/>
      <c r="AW142" s="28"/>
      <c r="AX142" s="28"/>
      <c r="AY142" s="200" t="s">
        <v>232</v>
      </c>
      <c r="AZ142" s="34"/>
      <c r="BA142" s="303" t="s">
        <v>233</v>
      </c>
      <c r="BB142" s="34"/>
      <c r="BC142" s="298">
        <v>2203</v>
      </c>
      <c r="BD142" s="35"/>
      <c r="BE142" s="33" t="s">
        <v>234</v>
      </c>
      <c r="BF142" s="34"/>
      <c r="BG142" s="34" t="s">
        <v>233</v>
      </c>
      <c r="BH142" s="34"/>
      <c r="BI142" s="304">
        <v>6756</v>
      </c>
      <c r="BJ142" s="28"/>
    </row>
    <row r="143" spans="25:62" ht="15" thickBot="1" x14ac:dyDescent="0.35">
      <c r="Y143" s="28"/>
      <c r="Z143" s="28"/>
      <c r="AA143" s="28"/>
      <c r="AB143" s="43"/>
      <c r="AC143" s="43"/>
      <c r="AD143" s="43"/>
      <c r="AE143" s="28"/>
      <c r="AF143" s="28"/>
      <c r="AG143" s="28"/>
      <c r="AH143" s="43"/>
      <c r="AI143" s="43"/>
      <c r="AJ143" s="28"/>
      <c r="AM143" s="28"/>
      <c r="AN143" s="28"/>
      <c r="AO143" s="28"/>
      <c r="AP143" s="28"/>
      <c r="AQ143" s="28"/>
      <c r="AR143" s="28"/>
      <c r="AS143" s="43"/>
      <c r="AT143" s="43"/>
      <c r="AU143" s="28"/>
      <c r="AV143" s="28"/>
      <c r="AW143" s="28"/>
      <c r="AX143" s="28"/>
      <c r="AY143" s="202"/>
      <c r="AZ143" s="48"/>
      <c r="BA143" s="48" t="s">
        <v>236</v>
      </c>
      <c r="BB143" s="48"/>
      <c r="BC143" s="300">
        <v>1703</v>
      </c>
      <c r="BD143" s="49"/>
      <c r="BE143" s="42"/>
      <c r="BF143" s="28"/>
      <c r="BG143" s="28" t="s">
        <v>236</v>
      </c>
      <c r="BH143" s="28"/>
      <c r="BI143" s="174">
        <v>7461</v>
      </c>
      <c r="BJ143" s="28"/>
    </row>
    <row r="144" spans="25:62" ht="15" thickBot="1" x14ac:dyDescent="0.35">
      <c r="Y144" s="28"/>
      <c r="Z144" s="43"/>
      <c r="AA144" s="28"/>
      <c r="AB144" s="43"/>
      <c r="AC144" s="28"/>
      <c r="AD144" s="28"/>
      <c r="AE144" s="28"/>
      <c r="AF144" s="28"/>
      <c r="AG144" s="28"/>
      <c r="AH144" s="28"/>
      <c r="AI144" s="28"/>
      <c r="AJ144" s="28"/>
      <c r="AM144" s="28"/>
      <c r="AN144" s="43"/>
      <c r="AO144" s="43"/>
      <c r="AP144" s="28"/>
      <c r="AQ144" s="43"/>
      <c r="AR144" s="28"/>
      <c r="AS144" s="43"/>
      <c r="AT144" s="43"/>
      <c r="AU144" s="28"/>
      <c r="AV144" s="28"/>
      <c r="AW144" s="28"/>
      <c r="AX144" s="28"/>
      <c r="AY144" s="210" t="s">
        <v>238</v>
      </c>
      <c r="AZ144" s="170" t="s">
        <v>239</v>
      </c>
      <c r="BA144" s="172"/>
      <c r="BB144" s="171" t="s">
        <v>240</v>
      </c>
      <c r="BC144" s="170" t="s">
        <v>241</v>
      </c>
      <c r="BD144" s="170"/>
      <c r="BE144" s="171"/>
      <c r="BF144" s="170" t="s">
        <v>242</v>
      </c>
      <c r="BG144" s="305" t="s">
        <v>243</v>
      </c>
      <c r="BH144" s="170"/>
      <c r="BI144" s="172"/>
      <c r="BJ144" s="28"/>
    </row>
    <row r="145" spans="1:62" x14ac:dyDescent="0.3">
      <c r="Y145" s="28"/>
      <c r="Z145" s="28"/>
      <c r="AA145" s="28"/>
      <c r="AB145" s="43"/>
      <c r="AC145" s="43"/>
      <c r="AD145" s="43"/>
      <c r="AE145" s="28"/>
      <c r="AF145" s="28"/>
      <c r="AG145" s="28"/>
      <c r="AH145" s="28"/>
      <c r="AI145" s="28"/>
      <c r="AJ145" s="28"/>
      <c r="AM145" s="28"/>
      <c r="AN145" s="43"/>
      <c r="AO145" s="43"/>
      <c r="AP145" s="28"/>
      <c r="AQ145" s="43"/>
      <c r="AR145" s="28"/>
      <c r="AS145" s="43"/>
      <c r="AT145" s="43"/>
      <c r="AU145" s="28"/>
      <c r="AV145" s="43"/>
      <c r="AW145" s="43"/>
      <c r="AX145" s="28"/>
      <c r="AY145" s="200" t="s">
        <v>233</v>
      </c>
      <c r="AZ145" s="34"/>
      <c r="BA145" s="304">
        <v>23682</v>
      </c>
      <c r="BB145" s="306" t="s">
        <v>233</v>
      </c>
      <c r="BC145" s="28"/>
      <c r="BD145" s="174">
        <v>1914</v>
      </c>
      <c r="BE145" s="42" t="s">
        <v>233</v>
      </c>
      <c r="BF145" s="28"/>
      <c r="BG145" s="174">
        <v>8670</v>
      </c>
      <c r="BH145" s="28" t="s">
        <v>245</v>
      </c>
      <c r="BI145" s="174">
        <v>32352</v>
      </c>
      <c r="BJ145" s="28"/>
    </row>
    <row r="146" spans="1:62" ht="15" thickBot="1" x14ac:dyDescent="0.35">
      <c r="Y146" s="28"/>
      <c r="Z146" s="28"/>
      <c r="AA146" s="28"/>
      <c r="AB146" s="43"/>
      <c r="AC146" s="43"/>
      <c r="AD146" s="43"/>
      <c r="AE146" s="28"/>
      <c r="AF146" s="28"/>
      <c r="AG146" s="28"/>
      <c r="AH146" s="43"/>
      <c r="AI146" s="28"/>
      <c r="AJ146" s="28"/>
      <c r="AM146" s="28"/>
      <c r="AN146" s="43"/>
      <c r="AO146" s="43"/>
      <c r="AP146" s="28"/>
      <c r="AQ146" s="43"/>
      <c r="AR146" s="28"/>
      <c r="AS146" s="43"/>
      <c r="AT146" s="43"/>
      <c r="AU146" s="28"/>
      <c r="AV146" s="43"/>
      <c r="AW146" s="43"/>
      <c r="AX146" s="28"/>
      <c r="AY146" s="202" t="s">
        <v>236</v>
      </c>
      <c r="AZ146" s="48"/>
      <c r="BA146" s="301">
        <v>33880</v>
      </c>
      <c r="BB146" s="307" t="s">
        <v>236</v>
      </c>
      <c r="BC146" s="48"/>
      <c r="BD146" s="301">
        <v>2686</v>
      </c>
      <c r="BE146" s="42" t="s">
        <v>236</v>
      </c>
      <c r="BF146" s="28"/>
      <c r="BG146" s="174">
        <v>10147</v>
      </c>
      <c r="BH146" s="28"/>
      <c r="BI146" s="174">
        <v>44027</v>
      </c>
      <c r="BJ146" s="140">
        <v>80285</v>
      </c>
    </row>
    <row r="147" spans="1:62" ht="15" thickBot="1" x14ac:dyDescent="0.35">
      <c r="Y147" s="28"/>
      <c r="Z147" s="28"/>
      <c r="AA147" s="28"/>
      <c r="AB147" s="43"/>
      <c r="AC147" s="43"/>
      <c r="AD147" s="43"/>
      <c r="AE147" s="28"/>
      <c r="AF147" s="28"/>
      <c r="AG147" s="28"/>
      <c r="AH147" s="43"/>
      <c r="AI147" s="43"/>
      <c r="AJ147" s="28"/>
      <c r="AM147" s="28"/>
      <c r="AN147" s="43"/>
      <c r="AO147" s="43"/>
      <c r="AP147" s="28"/>
      <c r="AQ147" s="28"/>
      <c r="AR147" s="28"/>
      <c r="AS147" s="43"/>
      <c r="AT147" s="43"/>
      <c r="AU147" s="28"/>
      <c r="AV147" s="28"/>
      <c r="AW147" s="28"/>
      <c r="AX147" s="28"/>
      <c r="AY147" s="377" t="s">
        <v>1505</v>
      </c>
      <c r="AZ147" s="170"/>
      <c r="BA147" s="272"/>
      <c r="BB147" s="271" t="s">
        <v>1506</v>
      </c>
      <c r="BC147" s="170"/>
      <c r="BD147" s="170"/>
      <c r="BE147" s="171"/>
      <c r="BF147" s="170" t="s">
        <v>1507</v>
      </c>
      <c r="BG147" s="170"/>
      <c r="BH147" s="170"/>
      <c r="BI147" s="308"/>
      <c r="BJ147" s="28"/>
    </row>
    <row r="148" spans="1:62" x14ac:dyDescent="0.3">
      <c r="Y148" s="43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378" t="s">
        <v>43</v>
      </c>
      <c r="AZ148" s="34" t="s">
        <v>44</v>
      </c>
      <c r="BA148" s="309"/>
      <c r="BB148" s="123" t="s">
        <v>43</v>
      </c>
      <c r="BC148" s="123" t="s">
        <v>44</v>
      </c>
      <c r="BD148" s="35"/>
      <c r="BE148" s="34"/>
      <c r="BF148" s="298">
        <v>3184</v>
      </c>
      <c r="BG148" s="298"/>
      <c r="BH148" s="34"/>
      <c r="BI148" s="35"/>
      <c r="BJ148" s="28"/>
    </row>
    <row r="149" spans="1:62" ht="15" thickBot="1" x14ac:dyDescent="0.35"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Y149" s="379">
        <v>180076</v>
      </c>
      <c r="AZ149" s="300">
        <v>89405</v>
      </c>
      <c r="BA149" s="311"/>
      <c r="BB149" s="312">
        <v>53820</v>
      </c>
      <c r="BC149" s="300">
        <v>18485</v>
      </c>
      <c r="BD149" s="49"/>
      <c r="BE149" s="48"/>
      <c r="BF149" s="48"/>
      <c r="BG149" s="48"/>
      <c r="BH149" s="48"/>
      <c r="BI149" s="49"/>
      <c r="BJ149" s="28"/>
    </row>
    <row r="153" spans="1:62" ht="21" x14ac:dyDescent="0.4">
      <c r="B153" s="261"/>
      <c r="C153" s="184"/>
      <c r="E153" s="329" t="s">
        <v>1873</v>
      </c>
      <c r="O153" s="261"/>
      <c r="P153" s="184"/>
      <c r="R153" s="329" t="s">
        <v>1873</v>
      </c>
      <c r="AA153" s="261"/>
      <c r="AB153" s="184"/>
      <c r="AD153" s="329" t="s">
        <v>1873</v>
      </c>
      <c r="AO153" s="261"/>
      <c r="AP153" s="184"/>
      <c r="AR153" s="329" t="s">
        <v>1873</v>
      </c>
      <c r="AY153" s="28" t="s">
        <v>6</v>
      </c>
      <c r="AZ153" s="28"/>
      <c r="BA153" s="261"/>
      <c r="BB153" s="184"/>
      <c r="BD153" s="329" t="s">
        <v>1873</v>
      </c>
      <c r="BH153" s="258"/>
      <c r="BI153" s="28"/>
      <c r="BJ153" s="28"/>
    </row>
    <row r="154" spans="1:62" x14ac:dyDescent="0.3">
      <c r="C154" t="s">
        <v>1443</v>
      </c>
      <c r="O154" s="385"/>
      <c r="P154" s="385"/>
      <c r="Q154" s="385" t="s">
        <v>1</v>
      </c>
      <c r="R154" s="385"/>
      <c r="S154" s="385"/>
      <c r="T154" s="385"/>
      <c r="AC154" t="s">
        <v>1444</v>
      </c>
      <c r="AO154" s="408" t="s">
        <v>2187</v>
      </c>
      <c r="AP154" s="408"/>
      <c r="AQ154" s="408"/>
      <c r="AR154" s="408"/>
      <c r="AS154" s="408"/>
      <c r="BC154" t="s">
        <v>1445</v>
      </c>
      <c r="BF154" s="28"/>
      <c r="BG154" s="28"/>
      <c r="BH154" s="28"/>
      <c r="BI154" s="28"/>
      <c r="BJ154" s="28"/>
    </row>
    <row r="155" spans="1:62" x14ac:dyDescent="0.3">
      <c r="D155" t="s">
        <v>2</v>
      </c>
      <c r="O155" s="385"/>
      <c r="P155" s="385"/>
      <c r="Q155" s="408" t="s">
        <v>1286</v>
      </c>
      <c r="R155" s="408"/>
      <c r="S155" s="408"/>
      <c r="T155" s="385"/>
      <c r="AC155" t="s">
        <v>9</v>
      </c>
      <c r="AP155" s="408" t="s">
        <v>2120</v>
      </c>
      <c r="AQ155" s="408"/>
      <c r="AR155" s="408"/>
      <c r="AS155" s="408"/>
      <c r="AT155" s="408"/>
      <c r="BD155" t="s">
        <v>2</v>
      </c>
      <c r="BF155" s="28"/>
      <c r="BG155" s="28"/>
      <c r="BH155" s="28"/>
      <c r="BI155" s="28"/>
      <c r="BJ155" s="28"/>
    </row>
    <row r="156" spans="1:62" x14ac:dyDescent="0.3">
      <c r="C156" t="s">
        <v>7</v>
      </c>
      <c r="O156" s="385"/>
      <c r="P156" s="385" t="s">
        <v>1446</v>
      </c>
      <c r="Q156" s="385"/>
      <c r="R156" s="385"/>
      <c r="S156" s="385"/>
      <c r="T156" s="385"/>
      <c r="AC156" t="s">
        <v>11</v>
      </c>
      <c r="AM156" s="408" t="s">
        <v>2288</v>
      </c>
      <c r="AN156" s="408"/>
      <c r="AO156" s="408"/>
      <c r="AP156" s="408"/>
      <c r="AQ156" s="408"/>
      <c r="AR156" s="408"/>
      <c r="AS156" s="408"/>
      <c r="AT156" s="408"/>
      <c r="BB156" t="s">
        <v>1451</v>
      </c>
      <c r="BF156" s="28"/>
      <c r="BG156" s="28"/>
      <c r="BH156" s="28"/>
      <c r="BI156" s="28"/>
      <c r="BJ156" s="28"/>
    </row>
    <row r="157" spans="1:62" x14ac:dyDescent="0.3">
      <c r="A157" s="408"/>
      <c r="B157" s="408"/>
      <c r="C157" s="408"/>
      <c r="D157" s="408" t="s">
        <v>2289</v>
      </c>
      <c r="E157" s="408"/>
      <c r="F157" s="344"/>
      <c r="O157" s="385"/>
      <c r="P157" s="408" t="s">
        <v>2290</v>
      </c>
      <c r="Q157" s="408"/>
      <c r="R157" s="408"/>
      <c r="S157" s="408"/>
      <c r="T157" s="385"/>
      <c r="AB157" s="408" t="s">
        <v>2291</v>
      </c>
      <c r="AC157" s="408"/>
      <c r="AD157" s="408"/>
      <c r="AE157" s="408"/>
      <c r="AF157" s="408"/>
      <c r="AO157" s="408" t="s">
        <v>2292</v>
      </c>
      <c r="AP157" s="408"/>
      <c r="AQ157" s="408"/>
      <c r="AR157" s="408"/>
      <c r="AS157" s="408"/>
      <c r="AT157" s="344"/>
      <c r="BB157" s="408" t="s">
        <v>2293</v>
      </c>
      <c r="BC157" s="408"/>
      <c r="BD157" s="408"/>
      <c r="BE157" s="408"/>
      <c r="BF157" s="408"/>
      <c r="BJ157" s="28"/>
    </row>
    <row r="158" spans="1:62" ht="15" thickBot="1" x14ac:dyDescent="0.35">
      <c r="A158" s="410" t="s">
        <v>2076</v>
      </c>
      <c r="B158" s="410"/>
      <c r="C158" s="410"/>
      <c r="D158" s="410"/>
      <c r="E158" s="410"/>
      <c r="F158" s="410"/>
      <c r="G158" s="410"/>
      <c r="H158" s="410"/>
      <c r="I158" s="368" t="s">
        <v>949</v>
      </c>
      <c r="J158" s="344"/>
      <c r="L158" s="328"/>
      <c r="M158" s="328"/>
      <c r="N158" s="328"/>
      <c r="O158" s="410" t="s">
        <v>2076</v>
      </c>
      <c r="P158" s="410"/>
      <c r="Q158" s="410"/>
      <c r="R158" s="410"/>
      <c r="S158" s="410"/>
      <c r="T158" s="410"/>
      <c r="U158" s="410"/>
      <c r="V158" t="s">
        <v>15</v>
      </c>
      <c r="Y158" s="410" t="s">
        <v>2194</v>
      </c>
      <c r="Z158" s="410"/>
      <c r="AA158" s="410"/>
      <c r="AB158" s="410"/>
      <c r="AC158" s="410"/>
      <c r="AD158" s="410"/>
      <c r="AE158" s="410"/>
      <c r="AF158" s="410"/>
      <c r="AG158" s="410"/>
      <c r="AH158" s="386"/>
      <c r="AI158" s="28" t="s">
        <v>25</v>
      </c>
      <c r="AM158" s="328"/>
      <c r="AN158" s="328"/>
      <c r="AO158" s="328"/>
      <c r="AP158" s="328" t="s">
        <v>2195</v>
      </c>
      <c r="AQ158" s="328"/>
      <c r="AR158" s="328"/>
      <c r="AS158" s="328"/>
      <c r="AT158" s="328"/>
      <c r="AU158" s="328"/>
      <c r="AV158" s="194" t="s">
        <v>951</v>
      </c>
      <c r="AY158" s="344"/>
      <c r="AZ158" s="328"/>
      <c r="BA158" s="328"/>
      <c r="BB158" s="328"/>
      <c r="BC158" s="328" t="s">
        <v>2076</v>
      </c>
      <c r="BD158" s="328"/>
      <c r="BE158" s="328"/>
      <c r="BF158" s="328"/>
      <c r="BG158" s="328"/>
      <c r="BH158" s="328"/>
      <c r="BI158" s="369" t="s">
        <v>950</v>
      </c>
      <c r="BJ158" s="28"/>
    </row>
    <row r="159" spans="1:62" ht="15" thickBot="1" x14ac:dyDescent="0.35">
      <c r="A159" s="32" t="s">
        <v>17</v>
      </c>
      <c r="B159" s="34" t="s">
        <v>18</v>
      </c>
      <c r="C159" s="201"/>
      <c r="D159" s="34" t="s">
        <v>19</v>
      </c>
      <c r="E159" s="34"/>
      <c r="F159" s="34"/>
      <c r="G159" s="200"/>
      <c r="H159" s="33" t="s">
        <v>21</v>
      </c>
      <c r="I159" s="34"/>
      <c r="J159" s="35"/>
      <c r="M159" s="32" t="s">
        <v>17</v>
      </c>
      <c r="N159" s="33" t="s">
        <v>22</v>
      </c>
      <c r="O159" s="34"/>
      <c r="P159" s="34" t="s">
        <v>1452</v>
      </c>
      <c r="Q159" s="34" t="s">
        <v>1453</v>
      </c>
      <c r="R159" s="34"/>
      <c r="S159" s="34"/>
      <c r="T159" s="35"/>
      <c r="U159" s="33" t="s">
        <v>21</v>
      </c>
      <c r="V159" s="35"/>
      <c r="Y159" s="33" t="s">
        <v>34</v>
      </c>
      <c r="Z159" s="200" t="s">
        <v>35</v>
      </c>
      <c r="AA159" s="201"/>
      <c r="AB159" s="34" t="s">
        <v>1454</v>
      </c>
      <c r="AC159" s="34" t="s">
        <v>51</v>
      </c>
      <c r="AD159" s="34"/>
      <c r="AE159" s="200" t="s">
        <v>37</v>
      </c>
      <c r="AF159" s="201" t="s">
        <v>1288</v>
      </c>
      <c r="AG159" s="34" t="s">
        <v>30</v>
      </c>
      <c r="AH159" s="200" t="s">
        <v>38</v>
      </c>
      <c r="AI159" s="34"/>
      <c r="AJ159" s="35"/>
      <c r="AM159" s="134" t="s">
        <v>17</v>
      </c>
      <c r="AN159" s="134" t="s">
        <v>39</v>
      </c>
      <c r="AO159" s="136"/>
      <c r="AP159" s="134" t="s">
        <v>29</v>
      </c>
      <c r="AQ159" s="136" t="s">
        <v>30</v>
      </c>
      <c r="AR159" s="135" t="s">
        <v>40</v>
      </c>
      <c r="AS159" s="135"/>
      <c r="AT159" s="135"/>
      <c r="AU159" s="135"/>
      <c r="AV159" s="136"/>
      <c r="AY159" s="195" t="s">
        <v>17</v>
      </c>
      <c r="AZ159" s="134" t="s">
        <v>27</v>
      </c>
      <c r="BA159" s="135"/>
      <c r="BB159" s="134" t="s">
        <v>28</v>
      </c>
      <c r="BC159" s="135"/>
      <c r="BD159" s="136"/>
      <c r="BE159" s="134" t="s">
        <v>1459</v>
      </c>
      <c r="BF159" s="136"/>
      <c r="BG159" s="135" t="s">
        <v>31</v>
      </c>
      <c r="BH159" s="135"/>
      <c r="BI159" s="136"/>
      <c r="BJ159" s="28"/>
    </row>
    <row r="160" spans="1:62" ht="15" thickBot="1" x14ac:dyDescent="0.35">
      <c r="A160" s="41" t="s">
        <v>32</v>
      </c>
      <c r="B160" s="28"/>
      <c r="C160" s="141"/>
      <c r="D160" s="28"/>
      <c r="E160" s="28"/>
      <c r="F160" s="28"/>
      <c r="G160" s="138"/>
      <c r="H160" s="42" t="s">
        <v>33</v>
      </c>
      <c r="I160" s="28"/>
      <c r="J160" s="40"/>
      <c r="M160" s="41"/>
      <c r="N160" s="42" t="s">
        <v>1456</v>
      </c>
      <c r="O160" s="28"/>
      <c r="P160" s="28"/>
      <c r="Q160" s="28"/>
      <c r="R160" s="28"/>
      <c r="S160" s="28" t="s">
        <v>1457</v>
      </c>
      <c r="T160" s="40"/>
      <c r="U160" s="42" t="s">
        <v>33</v>
      </c>
      <c r="V160" s="40"/>
      <c r="Y160" s="47" t="s">
        <v>50</v>
      </c>
      <c r="Z160" s="202" t="s">
        <v>43</v>
      </c>
      <c r="AA160" s="48" t="s">
        <v>44</v>
      </c>
      <c r="AB160" s="169" t="s">
        <v>45</v>
      </c>
      <c r="AC160" s="48" t="s">
        <v>46</v>
      </c>
      <c r="AD160" s="48" t="s">
        <v>52</v>
      </c>
      <c r="AE160" s="202" t="s">
        <v>43</v>
      </c>
      <c r="AF160" s="203" t="s">
        <v>44</v>
      </c>
      <c r="AG160" s="48" t="s">
        <v>43</v>
      </c>
      <c r="AH160" s="202" t="s">
        <v>53</v>
      </c>
      <c r="AI160" s="48"/>
      <c r="AJ160" s="49"/>
      <c r="AM160" s="138" t="s">
        <v>42</v>
      </c>
      <c r="AN160" s="138" t="s">
        <v>43</v>
      </c>
      <c r="AO160" s="141" t="s">
        <v>44</v>
      </c>
      <c r="AP160" s="138" t="s">
        <v>43</v>
      </c>
      <c r="AQ160" s="141" t="s">
        <v>44</v>
      </c>
      <c r="AR160" s="28"/>
      <c r="AS160" s="28"/>
      <c r="AT160" s="28"/>
      <c r="AU160" s="28"/>
      <c r="AV160" s="141"/>
      <c r="AY160" s="196"/>
      <c r="AZ160" s="138"/>
      <c r="BA160" s="28"/>
      <c r="BB160" s="138"/>
      <c r="BC160" s="28"/>
      <c r="BD160" s="141"/>
      <c r="BE160" s="138"/>
      <c r="BF160" s="141"/>
      <c r="BG160" s="28" t="s">
        <v>41</v>
      </c>
      <c r="BH160" s="28"/>
      <c r="BI160" s="141"/>
      <c r="BJ160" s="28"/>
    </row>
    <row r="161" spans="1:62" ht="15" thickBot="1" x14ac:dyDescent="0.35">
      <c r="A161" s="46" t="s">
        <v>42</v>
      </c>
      <c r="B161" s="171" t="s">
        <v>43</v>
      </c>
      <c r="C161" s="172" t="s">
        <v>44</v>
      </c>
      <c r="D161" s="170" t="s">
        <v>45</v>
      </c>
      <c r="E161" s="170" t="s">
        <v>46</v>
      </c>
      <c r="F161" s="170" t="s">
        <v>47</v>
      </c>
      <c r="G161" s="254" t="s">
        <v>1460</v>
      </c>
      <c r="H161" s="47" t="s">
        <v>49</v>
      </c>
      <c r="I161" s="48"/>
      <c r="J161" s="49"/>
      <c r="M161" s="46" t="s">
        <v>50</v>
      </c>
      <c r="N161" s="47" t="s">
        <v>43</v>
      </c>
      <c r="O161" s="48" t="s">
        <v>44</v>
      </c>
      <c r="P161" s="171" t="s">
        <v>51</v>
      </c>
      <c r="Q161" s="170" t="s">
        <v>43</v>
      </c>
      <c r="R161" s="172" t="s">
        <v>44</v>
      </c>
      <c r="S161" s="48" t="s">
        <v>43</v>
      </c>
      <c r="T161" s="49" t="s">
        <v>44</v>
      </c>
      <c r="U161" s="47" t="s">
        <v>49</v>
      </c>
      <c r="V161" s="49"/>
      <c r="Y161" s="33"/>
      <c r="Z161" s="33"/>
      <c r="AA161" s="35"/>
      <c r="AB161" s="34"/>
      <c r="AC161" s="34"/>
      <c r="AD161" s="34"/>
      <c r="AE161" s="33"/>
      <c r="AF161" s="35"/>
      <c r="AG161" s="32"/>
      <c r="AH161" s="33" t="s">
        <v>62</v>
      </c>
      <c r="AI161" s="34"/>
      <c r="AJ161" s="35"/>
      <c r="AM161" s="134" t="s">
        <v>56</v>
      </c>
      <c r="AN161" s="134">
        <v>1267</v>
      </c>
      <c r="AO161" s="136">
        <v>1331</v>
      </c>
      <c r="AP161" s="134"/>
      <c r="AQ161" s="136"/>
      <c r="AR161" s="135"/>
      <c r="AS161" s="135" t="s">
        <v>91</v>
      </c>
      <c r="AT161" s="135"/>
      <c r="AU161" s="135"/>
      <c r="AV161" s="136"/>
      <c r="AY161" s="199" t="s">
        <v>42</v>
      </c>
      <c r="AZ161" s="142" t="s">
        <v>43</v>
      </c>
      <c r="BA161" s="143" t="s">
        <v>44</v>
      </c>
      <c r="BB161" s="142" t="s">
        <v>45</v>
      </c>
      <c r="BC161" s="143" t="s">
        <v>46</v>
      </c>
      <c r="BD161" s="146" t="s">
        <v>52</v>
      </c>
      <c r="BE161" s="142" t="s">
        <v>43</v>
      </c>
      <c r="BF161" s="146" t="s">
        <v>44</v>
      </c>
      <c r="BG161" s="143" t="s">
        <v>54</v>
      </c>
      <c r="BH161" s="143"/>
      <c r="BI161" s="146"/>
      <c r="BJ161" s="28"/>
    </row>
    <row r="162" spans="1:62" x14ac:dyDescent="0.3">
      <c r="A162" s="42"/>
      <c r="B162" s="138"/>
      <c r="C162" s="141"/>
      <c r="D162" s="138"/>
      <c r="E162" s="28"/>
      <c r="F162" s="28"/>
      <c r="G162" s="138"/>
      <c r="H162" s="33" t="s">
        <v>396</v>
      </c>
      <c r="I162" s="34"/>
      <c r="J162" s="35"/>
      <c r="M162" s="42"/>
      <c r="N162" s="138"/>
      <c r="O162" s="196"/>
      <c r="P162" s="138"/>
      <c r="Q162" s="196"/>
      <c r="R162" s="141"/>
      <c r="S162" s="138"/>
      <c r="T162" s="138"/>
      <c r="U162" s="33" t="s">
        <v>396</v>
      </c>
      <c r="V162" s="35"/>
      <c r="Y162" s="42"/>
      <c r="Z162" s="42"/>
      <c r="AA162" s="40"/>
      <c r="AB162" s="28"/>
      <c r="AC162" s="28"/>
      <c r="AD162" s="28"/>
      <c r="AE162" s="42"/>
      <c r="AF162" s="40"/>
      <c r="AG162" s="41"/>
      <c r="AH162" s="42">
        <v>1</v>
      </c>
      <c r="AI162" s="28" t="s">
        <v>1290</v>
      </c>
      <c r="AJ162" s="40"/>
      <c r="AM162" s="138" t="s">
        <v>72</v>
      </c>
      <c r="AN162" s="138">
        <v>0</v>
      </c>
      <c r="AO162" s="141">
        <v>5</v>
      </c>
      <c r="AP162" s="138"/>
      <c r="AQ162" s="141"/>
      <c r="AR162" s="28"/>
      <c r="AS162" s="43">
        <v>71</v>
      </c>
      <c r="AT162" s="28" t="s">
        <v>1026</v>
      </c>
      <c r="AU162" s="43"/>
      <c r="AV162" s="141"/>
      <c r="AY162" s="195"/>
      <c r="AZ162" s="134"/>
      <c r="BA162" s="136"/>
      <c r="BB162" s="134"/>
      <c r="BC162" s="135"/>
      <c r="BD162" s="136"/>
      <c r="BE162" s="134"/>
      <c r="BF162" s="136"/>
      <c r="BG162" s="134" t="s">
        <v>58</v>
      </c>
      <c r="BH162" s="135"/>
      <c r="BI162" s="136"/>
    </row>
    <row r="163" spans="1:62" x14ac:dyDescent="0.3">
      <c r="A163" s="42" t="s">
        <v>59</v>
      </c>
      <c r="B163" s="212">
        <v>0</v>
      </c>
      <c r="C163" s="141">
        <v>0</v>
      </c>
      <c r="D163" s="138">
        <v>0</v>
      </c>
      <c r="E163" s="38">
        <v>0</v>
      </c>
      <c r="F163" s="43">
        <v>0</v>
      </c>
      <c r="G163" s="138">
        <v>1</v>
      </c>
      <c r="H163" s="42"/>
      <c r="I163" s="28" t="s">
        <v>61</v>
      </c>
      <c r="J163" s="40"/>
      <c r="M163" s="42" t="s">
        <v>59</v>
      </c>
      <c r="N163" s="138">
        <v>0</v>
      </c>
      <c r="O163" s="196">
        <v>0</v>
      </c>
      <c r="P163" s="138">
        <v>0</v>
      </c>
      <c r="Q163" s="196">
        <v>0</v>
      </c>
      <c r="R163" s="141">
        <v>0</v>
      </c>
      <c r="S163" s="138">
        <v>0</v>
      </c>
      <c r="T163" s="138">
        <v>0</v>
      </c>
      <c r="U163" s="42"/>
      <c r="V163" s="40"/>
      <c r="Y163" s="42" t="s">
        <v>59</v>
      </c>
      <c r="Z163" s="42">
        <v>1175</v>
      </c>
      <c r="AA163" s="40">
        <v>1425</v>
      </c>
      <c r="AB163" s="28">
        <v>0</v>
      </c>
      <c r="AC163" s="43">
        <v>0</v>
      </c>
      <c r="AD163" s="43">
        <v>0</v>
      </c>
      <c r="AE163" s="42">
        <v>300</v>
      </c>
      <c r="AF163" s="40">
        <v>0</v>
      </c>
      <c r="AG163" s="41">
        <v>0</v>
      </c>
      <c r="AH163" s="42">
        <v>4</v>
      </c>
      <c r="AI163" s="28" t="s">
        <v>66</v>
      </c>
      <c r="AJ163" s="40"/>
      <c r="AM163" s="138" t="s">
        <v>78</v>
      </c>
      <c r="AN163" s="138">
        <v>19</v>
      </c>
      <c r="AO163" s="141">
        <v>0</v>
      </c>
      <c r="AP163" s="138"/>
      <c r="AQ163" s="141"/>
      <c r="AR163" s="28"/>
      <c r="AS163" s="43">
        <v>19</v>
      </c>
      <c r="AT163" s="28" t="s">
        <v>1292</v>
      </c>
      <c r="AU163" s="43"/>
      <c r="AV163" s="141"/>
      <c r="AY163" s="196"/>
      <c r="AZ163" s="138"/>
      <c r="BA163" s="141"/>
      <c r="BB163" s="138"/>
      <c r="BC163" s="43"/>
      <c r="BD163" s="209"/>
      <c r="BE163" s="138"/>
      <c r="BF163" s="141"/>
      <c r="BG163" s="212">
        <v>11</v>
      </c>
      <c r="BH163" s="28" t="s">
        <v>65</v>
      </c>
      <c r="BI163" s="141" t="s">
        <v>2294</v>
      </c>
    </row>
    <row r="164" spans="1:62" ht="15" thickBot="1" x14ac:dyDescent="0.35">
      <c r="A164" s="42" t="s">
        <v>6</v>
      </c>
      <c r="B164" s="142"/>
      <c r="C164" s="146"/>
      <c r="D164" s="138"/>
      <c r="E164" s="28"/>
      <c r="F164" s="28"/>
      <c r="G164" s="138"/>
      <c r="H164" s="42"/>
      <c r="I164" s="28"/>
      <c r="J164" s="40">
        <v>0</v>
      </c>
      <c r="M164" s="244"/>
      <c r="N164" s="142"/>
      <c r="O164" s="199"/>
      <c r="P164" s="142"/>
      <c r="Q164" s="199"/>
      <c r="R164" s="146"/>
      <c r="S164" s="142"/>
      <c r="T164" s="142"/>
      <c r="U164" s="244"/>
      <c r="V164" s="245"/>
      <c r="Y164" s="42"/>
      <c r="Z164" s="42"/>
      <c r="AA164" s="40"/>
      <c r="AB164" s="28"/>
      <c r="AC164" s="28"/>
      <c r="AD164" s="28"/>
      <c r="AE164" s="42"/>
      <c r="AF164" s="40"/>
      <c r="AG164" s="41"/>
      <c r="AH164" s="47">
        <v>1</v>
      </c>
      <c r="AI164" s="48" t="s">
        <v>958</v>
      </c>
      <c r="AJ164" s="49">
        <v>6</v>
      </c>
      <c r="AM164" s="197" t="s">
        <v>84</v>
      </c>
      <c r="AN164" s="197">
        <v>1286</v>
      </c>
      <c r="AO164" s="249">
        <v>1336</v>
      </c>
      <c r="AP164" s="142"/>
      <c r="AQ164" s="146"/>
      <c r="AR164" s="143"/>
      <c r="AS164" s="143">
        <v>1</v>
      </c>
      <c r="AT164" s="143" t="s">
        <v>1294</v>
      </c>
      <c r="AU164" s="143"/>
      <c r="AV164" s="146">
        <v>91</v>
      </c>
      <c r="AY164" s="196" t="s">
        <v>64</v>
      </c>
      <c r="AZ164" s="138">
        <v>116</v>
      </c>
      <c r="BA164" s="141">
        <v>95</v>
      </c>
      <c r="BB164" s="138">
        <v>0</v>
      </c>
      <c r="BC164" s="43">
        <v>0</v>
      </c>
      <c r="BD164" s="209">
        <v>0</v>
      </c>
      <c r="BE164" s="138">
        <v>0</v>
      </c>
      <c r="BF164" s="141">
        <v>0</v>
      </c>
      <c r="BG164" s="138">
        <v>1</v>
      </c>
      <c r="BH164" s="28" t="s">
        <v>69</v>
      </c>
      <c r="BI164" s="141"/>
    </row>
    <row r="165" spans="1:62" x14ac:dyDescent="0.3">
      <c r="A165" s="278"/>
      <c r="B165" s="134"/>
      <c r="C165" s="135"/>
      <c r="D165" s="134"/>
      <c r="E165" s="135"/>
      <c r="F165" s="135"/>
      <c r="G165" s="134"/>
      <c r="H165" s="278" t="s">
        <v>2077</v>
      </c>
      <c r="I165" s="135"/>
      <c r="J165" s="279"/>
      <c r="M165" s="278"/>
      <c r="N165" s="134"/>
      <c r="O165" s="195"/>
      <c r="P165" s="134"/>
      <c r="Q165" s="195"/>
      <c r="R165" s="136"/>
      <c r="S165" s="134"/>
      <c r="T165" s="134"/>
      <c r="U165" s="278"/>
      <c r="V165" s="279"/>
      <c r="Y165" s="32"/>
      <c r="Z165" s="33"/>
      <c r="AA165" s="35"/>
      <c r="AB165" s="33"/>
      <c r="AC165" s="34"/>
      <c r="AD165" s="35"/>
      <c r="AE165" s="33"/>
      <c r="AF165" s="35"/>
      <c r="AG165" s="32">
        <v>0</v>
      </c>
      <c r="AH165" s="280" t="s">
        <v>1461</v>
      </c>
      <c r="AI165" s="384"/>
      <c r="AJ165" s="35"/>
      <c r="AM165" s="134"/>
      <c r="AN165" s="134"/>
      <c r="AO165" s="136"/>
      <c r="AP165" s="134"/>
      <c r="AQ165" s="136"/>
      <c r="AR165" s="135"/>
      <c r="AS165" s="135"/>
      <c r="AT165" s="135"/>
      <c r="AU165" s="135"/>
      <c r="AV165" s="136"/>
      <c r="AY165" s="265" t="s">
        <v>84</v>
      </c>
      <c r="AZ165" s="197">
        <v>116</v>
      </c>
      <c r="BA165" s="249">
        <v>95</v>
      </c>
      <c r="BB165" s="197">
        <v>0</v>
      </c>
      <c r="BC165" s="198">
        <v>0</v>
      </c>
      <c r="BD165" s="249">
        <v>0</v>
      </c>
      <c r="BE165" s="197">
        <v>0</v>
      </c>
      <c r="BF165" s="249">
        <v>0</v>
      </c>
      <c r="BG165" s="197"/>
      <c r="BH165" s="198"/>
      <c r="BI165" s="249">
        <v>13</v>
      </c>
      <c r="BJ165" s="28"/>
    </row>
    <row r="166" spans="1:62" x14ac:dyDescent="0.3">
      <c r="A166" s="42" t="s">
        <v>74</v>
      </c>
      <c r="B166" s="138">
        <v>1551</v>
      </c>
      <c r="C166" s="28">
        <v>2236</v>
      </c>
      <c r="D166" s="138">
        <v>0</v>
      </c>
      <c r="E166" s="38">
        <v>0</v>
      </c>
      <c r="F166" s="43">
        <v>0</v>
      </c>
      <c r="G166" s="138">
        <v>1</v>
      </c>
      <c r="H166" s="42">
        <v>17</v>
      </c>
      <c r="I166" s="28" t="s">
        <v>436</v>
      </c>
      <c r="J166" s="40"/>
      <c r="M166" s="42"/>
      <c r="N166" s="138"/>
      <c r="O166" s="196"/>
      <c r="P166" s="138"/>
      <c r="Q166" s="196"/>
      <c r="R166" s="141"/>
      <c r="S166" s="138"/>
      <c r="T166" s="138"/>
      <c r="U166" s="42" t="s">
        <v>80</v>
      </c>
      <c r="V166" s="40"/>
      <c r="Y166" s="41"/>
      <c r="Z166" s="67"/>
      <c r="AA166" s="40"/>
      <c r="AB166" s="67"/>
      <c r="AC166" s="43"/>
      <c r="AD166" s="40"/>
      <c r="AE166" s="42"/>
      <c r="AF166" s="40"/>
      <c r="AG166" s="41">
        <v>0</v>
      </c>
      <c r="AH166" s="67">
        <v>1</v>
      </c>
      <c r="AI166" s="43" t="s">
        <v>1344</v>
      </c>
      <c r="AJ166" s="40"/>
      <c r="AM166" s="138"/>
      <c r="AN166" s="138"/>
      <c r="AO166" s="141"/>
      <c r="AP166" s="138"/>
      <c r="AQ166" s="141"/>
      <c r="AR166" s="28"/>
      <c r="AS166" s="28" t="s">
        <v>110</v>
      </c>
      <c r="AT166" s="28" t="s">
        <v>111</v>
      </c>
      <c r="AU166" s="28" t="s">
        <v>112</v>
      </c>
      <c r="AV166" s="141"/>
      <c r="AY166" s="196"/>
      <c r="AZ166" s="28"/>
      <c r="BA166" s="141"/>
      <c r="BB166" s="212"/>
      <c r="BC166" s="43"/>
      <c r="BD166" s="209"/>
      <c r="BE166" s="138"/>
      <c r="BF166" s="141"/>
      <c r="BG166" s="28"/>
      <c r="BH166" s="28" t="s">
        <v>92</v>
      </c>
      <c r="BI166" s="141"/>
    </row>
    <row r="167" spans="1:62" x14ac:dyDescent="0.3">
      <c r="A167" s="42"/>
      <c r="B167" s="138"/>
      <c r="C167" s="28"/>
      <c r="D167" s="138"/>
      <c r="E167" s="28"/>
      <c r="F167" s="28"/>
      <c r="G167" s="138"/>
      <c r="H167" s="67"/>
      <c r="I167" s="43"/>
      <c r="J167" s="40"/>
      <c r="M167" s="42" t="s">
        <v>74</v>
      </c>
      <c r="N167" s="138">
        <v>6257</v>
      </c>
      <c r="O167" s="196">
        <v>8455</v>
      </c>
      <c r="P167" s="138">
        <v>0</v>
      </c>
      <c r="Q167" s="196">
        <v>0</v>
      </c>
      <c r="R167" s="141">
        <v>0</v>
      </c>
      <c r="S167" s="138">
        <v>0</v>
      </c>
      <c r="T167" s="138">
        <v>0</v>
      </c>
      <c r="U167" s="42"/>
      <c r="V167" s="40"/>
      <c r="Y167" s="41"/>
      <c r="Z167" s="42"/>
      <c r="AA167" s="40"/>
      <c r="AB167" s="42"/>
      <c r="AC167" s="28"/>
      <c r="AD167" s="56"/>
      <c r="AE167" s="67"/>
      <c r="AF167" s="56"/>
      <c r="AG167" s="68">
        <v>0</v>
      </c>
      <c r="AH167" s="67"/>
      <c r="AI167" s="43"/>
      <c r="AJ167" s="40"/>
      <c r="AM167" s="138"/>
      <c r="AN167" s="138"/>
      <c r="AO167" s="141"/>
      <c r="AP167" s="138"/>
      <c r="AQ167" s="141"/>
      <c r="AR167" s="43"/>
      <c r="AS167" s="28"/>
      <c r="AT167" s="28"/>
      <c r="AU167" s="28"/>
      <c r="AV167" s="141"/>
      <c r="AY167" s="196" t="s">
        <v>85</v>
      </c>
      <c r="AZ167" s="28"/>
      <c r="BA167" s="141"/>
      <c r="BB167" s="138"/>
      <c r="BC167" s="43"/>
      <c r="BD167" s="141"/>
      <c r="BE167" s="138">
        <v>7065</v>
      </c>
      <c r="BF167" s="141">
        <v>0</v>
      </c>
      <c r="BG167" s="43">
        <v>7</v>
      </c>
      <c r="BH167" s="43" t="s">
        <v>1297</v>
      </c>
      <c r="BI167" s="141"/>
    </row>
    <row r="168" spans="1:62" x14ac:dyDescent="0.3">
      <c r="A168" s="244"/>
      <c r="B168" s="142"/>
      <c r="C168" s="143"/>
      <c r="D168" s="142"/>
      <c r="E168" s="143"/>
      <c r="F168" s="143"/>
      <c r="G168" s="142"/>
      <c r="H168" s="244"/>
      <c r="I168" s="143"/>
      <c r="J168" s="245">
        <v>17</v>
      </c>
      <c r="M168" s="244"/>
      <c r="N168" s="142"/>
      <c r="O168" s="199"/>
      <c r="P168" s="142"/>
      <c r="Q168" s="199"/>
      <c r="R168" s="146"/>
      <c r="S168" s="142"/>
      <c r="T168" s="142"/>
      <c r="U168" s="244"/>
      <c r="V168" s="245"/>
      <c r="Y168" s="68" t="s">
        <v>1435</v>
      </c>
      <c r="Z168" s="42">
        <v>39</v>
      </c>
      <c r="AA168" s="40">
        <v>0</v>
      </c>
      <c r="AB168" s="42">
        <v>0</v>
      </c>
      <c r="AC168" s="43">
        <v>0</v>
      </c>
      <c r="AD168" s="40">
        <v>0</v>
      </c>
      <c r="AE168" s="42">
        <v>0</v>
      </c>
      <c r="AF168" s="40">
        <v>0</v>
      </c>
      <c r="AG168" s="41">
        <v>0</v>
      </c>
      <c r="AH168" s="42"/>
      <c r="AI168" s="43"/>
      <c r="AJ168" s="40"/>
      <c r="AM168" s="138" t="s">
        <v>56</v>
      </c>
      <c r="AN168" s="138">
        <v>2</v>
      </c>
      <c r="AO168" s="141">
        <v>29</v>
      </c>
      <c r="AP168" s="138"/>
      <c r="AQ168" s="141"/>
      <c r="AR168" s="28"/>
      <c r="AS168" s="43"/>
      <c r="AT168" s="28"/>
      <c r="AU168" s="28"/>
      <c r="AV168" s="141"/>
      <c r="AY168" s="196" t="s">
        <v>99</v>
      </c>
      <c r="AZ168" s="28"/>
      <c r="BA168" s="141"/>
      <c r="BB168" s="212"/>
      <c r="BC168" s="43"/>
      <c r="BD168" s="209"/>
      <c r="BE168" s="212">
        <v>55265</v>
      </c>
      <c r="BF168" s="141">
        <v>20000</v>
      </c>
      <c r="BG168" s="43">
        <v>15</v>
      </c>
      <c r="BH168" s="43" t="s">
        <v>2258</v>
      </c>
      <c r="BI168" s="141"/>
      <c r="BJ168" s="28"/>
    </row>
    <row r="169" spans="1:62" ht="15" thickBot="1" x14ac:dyDescent="0.35">
      <c r="A169" s="278"/>
      <c r="B169" s="134"/>
      <c r="C169" s="135"/>
      <c r="D169" s="134"/>
      <c r="E169" s="135"/>
      <c r="F169" s="135"/>
      <c r="G169" s="134"/>
      <c r="H169" s="278" t="s">
        <v>87</v>
      </c>
      <c r="I169" s="135"/>
      <c r="J169" s="279"/>
      <c r="M169" s="278"/>
      <c r="N169" s="134"/>
      <c r="O169" s="195"/>
      <c r="P169" s="134"/>
      <c r="Q169" s="195"/>
      <c r="R169" s="136"/>
      <c r="S169" s="134"/>
      <c r="T169" s="134"/>
      <c r="U169" s="278" t="s">
        <v>6</v>
      </c>
      <c r="V169" s="279"/>
      <c r="Y169" s="62" t="s">
        <v>84</v>
      </c>
      <c r="Z169" s="47">
        <v>39</v>
      </c>
      <c r="AA169" s="49">
        <v>0</v>
      </c>
      <c r="AB169" s="47">
        <v>0</v>
      </c>
      <c r="AC169" s="48">
        <v>0</v>
      </c>
      <c r="AD169" s="49">
        <v>0</v>
      </c>
      <c r="AE169" s="47">
        <v>0</v>
      </c>
      <c r="AF169" s="49">
        <v>0</v>
      </c>
      <c r="AG169" s="46">
        <v>0</v>
      </c>
      <c r="AH169" s="47"/>
      <c r="AI169" s="51"/>
      <c r="AJ169" s="49">
        <v>1</v>
      </c>
      <c r="AM169" s="138" t="s">
        <v>2031</v>
      </c>
      <c r="AN169" s="138">
        <v>20</v>
      </c>
      <c r="AO169" s="141">
        <v>13</v>
      </c>
      <c r="AP169" s="138"/>
      <c r="AQ169" s="141"/>
      <c r="AR169" s="28"/>
      <c r="AS169" s="28"/>
      <c r="AT169" s="28"/>
      <c r="AU169" s="28"/>
      <c r="AV169" s="141"/>
      <c r="AY169" s="196" t="s">
        <v>107</v>
      </c>
      <c r="AZ169" s="43"/>
      <c r="BA169" s="141"/>
      <c r="BB169" s="138"/>
      <c r="BC169" s="43"/>
      <c r="BD169" s="141"/>
      <c r="BE169" s="212">
        <v>3005</v>
      </c>
      <c r="BF169" s="141">
        <v>1000</v>
      </c>
      <c r="BG169" s="43"/>
      <c r="BH169" s="43"/>
      <c r="BI169" s="141"/>
    </row>
    <row r="170" spans="1:62" x14ac:dyDescent="0.3">
      <c r="A170" s="42" t="s">
        <v>93</v>
      </c>
      <c r="B170" s="138">
        <v>3902</v>
      </c>
      <c r="C170" s="28">
        <v>4434</v>
      </c>
      <c r="D170" s="138">
        <v>0</v>
      </c>
      <c r="E170" s="38">
        <v>0</v>
      </c>
      <c r="F170" s="43">
        <v>0</v>
      </c>
      <c r="G170" s="138">
        <v>1</v>
      </c>
      <c r="H170" s="67">
        <v>27</v>
      </c>
      <c r="I170" s="28" t="s">
        <v>101</v>
      </c>
      <c r="J170" s="40"/>
      <c r="M170" s="42"/>
      <c r="N170" s="138"/>
      <c r="O170" s="196"/>
      <c r="P170" s="138"/>
      <c r="Q170" s="196"/>
      <c r="R170" s="141"/>
      <c r="S170" s="138"/>
      <c r="T170" s="138"/>
      <c r="U170" s="42"/>
      <c r="V170" s="40"/>
      <c r="Y170" s="32"/>
      <c r="Z170" s="34"/>
      <c r="AA170" s="34"/>
      <c r="AB170" s="33"/>
      <c r="AC170" s="34"/>
      <c r="AD170" s="35"/>
      <c r="AE170" s="34"/>
      <c r="AF170" s="34"/>
      <c r="AG170" s="32"/>
      <c r="AH170" s="33" t="s">
        <v>1298</v>
      </c>
      <c r="AI170" s="34"/>
      <c r="AJ170" s="35"/>
      <c r="AM170" s="138" t="s">
        <v>78</v>
      </c>
      <c r="AN170" s="138">
        <v>24</v>
      </c>
      <c r="AO170" s="141">
        <v>51</v>
      </c>
      <c r="AP170" s="138"/>
      <c r="AQ170" s="141"/>
      <c r="AR170" s="28"/>
      <c r="AS170" s="43">
        <v>19</v>
      </c>
      <c r="AT170" s="28" t="s">
        <v>123</v>
      </c>
      <c r="AU170" s="28" t="s">
        <v>6</v>
      </c>
      <c r="AV170" s="141"/>
      <c r="AY170" s="196" t="s">
        <v>64</v>
      </c>
      <c r="AZ170" s="28"/>
      <c r="BA170" s="141"/>
      <c r="BB170" s="138"/>
      <c r="BC170" s="43"/>
      <c r="BD170" s="141"/>
      <c r="BE170" s="212">
        <v>2204</v>
      </c>
      <c r="BF170" s="141">
        <v>1000</v>
      </c>
      <c r="BG170" s="28"/>
      <c r="BH170" s="28"/>
      <c r="BI170" s="141"/>
      <c r="BJ170" s="28"/>
    </row>
    <row r="171" spans="1:62" x14ac:dyDescent="0.3">
      <c r="A171" s="42"/>
      <c r="B171" s="138"/>
      <c r="C171" s="28"/>
      <c r="D171" s="138"/>
      <c r="E171" s="28"/>
      <c r="F171" s="28"/>
      <c r="G171" s="138"/>
      <c r="H171" s="67">
        <v>4</v>
      </c>
      <c r="I171" s="28" t="s">
        <v>958</v>
      </c>
      <c r="J171" s="40">
        <v>31</v>
      </c>
      <c r="M171" s="42"/>
      <c r="N171" s="138"/>
      <c r="O171" s="196"/>
      <c r="P171" s="138"/>
      <c r="Q171" s="196"/>
      <c r="R171" s="141"/>
      <c r="S171" s="138"/>
      <c r="T171" s="138"/>
      <c r="U171" s="42"/>
      <c r="V171" s="40"/>
      <c r="Y171" s="41" t="s">
        <v>107</v>
      </c>
      <c r="Z171">
        <v>265</v>
      </c>
      <c r="AA171">
        <v>327</v>
      </c>
      <c r="AB171" s="42">
        <v>0</v>
      </c>
      <c r="AC171" s="43">
        <v>0</v>
      </c>
      <c r="AD171" s="40">
        <v>0</v>
      </c>
      <c r="AE171" s="43">
        <v>0</v>
      </c>
      <c r="AF171" s="43">
        <v>0</v>
      </c>
      <c r="AG171" s="41">
        <v>0</v>
      </c>
      <c r="AH171" s="42">
        <v>6</v>
      </c>
      <c r="AI171" s="43" t="s">
        <v>145</v>
      </c>
      <c r="AJ171" s="40"/>
      <c r="AM171" s="138" t="s">
        <v>67</v>
      </c>
      <c r="AN171" s="138">
        <v>34</v>
      </c>
      <c r="AO171" s="141">
        <v>53</v>
      </c>
      <c r="AP171" s="138"/>
      <c r="AQ171" s="141"/>
      <c r="AR171" s="28"/>
      <c r="AS171" s="43">
        <v>42</v>
      </c>
      <c r="AT171" s="28" t="s">
        <v>126</v>
      </c>
      <c r="AU171" s="28"/>
      <c r="AV171" s="141"/>
      <c r="AY171" s="196" t="s">
        <v>108</v>
      </c>
      <c r="AZ171" s="43"/>
      <c r="BA171" s="141"/>
      <c r="BB171" s="138"/>
      <c r="BC171" s="43"/>
      <c r="BD171" s="141"/>
      <c r="BE171" s="212">
        <v>3405</v>
      </c>
      <c r="BF171" s="141"/>
      <c r="BG171" s="43"/>
      <c r="BH171" s="43"/>
      <c r="BI171" s="141"/>
      <c r="BJ171" s="28"/>
    </row>
    <row r="172" spans="1:62" ht="15" thickBot="1" x14ac:dyDescent="0.35">
      <c r="A172" s="278" t="s">
        <v>108</v>
      </c>
      <c r="B172" s="134">
        <v>0</v>
      </c>
      <c r="C172" s="136">
        <v>0</v>
      </c>
      <c r="D172" s="135">
        <v>0</v>
      </c>
      <c r="E172" s="243">
        <v>0</v>
      </c>
      <c r="F172" s="135">
        <v>0</v>
      </c>
      <c r="G172" s="134">
        <v>1</v>
      </c>
      <c r="H172" s="278" t="s">
        <v>104</v>
      </c>
      <c r="I172" s="135"/>
      <c r="J172" s="279"/>
      <c r="M172" s="244"/>
      <c r="N172" s="142"/>
      <c r="O172" s="199"/>
      <c r="P172" s="142"/>
      <c r="Q172" s="199"/>
      <c r="R172" s="146"/>
      <c r="S172" s="142"/>
      <c r="T172" s="142"/>
      <c r="U172" s="244"/>
      <c r="V172" s="245"/>
      <c r="Y172" s="46" t="s">
        <v>84</v>
      </c>
      <c r="Z172" s="48">
        <v>265</v>
      </c>
      <c r="AA172" s="48">
        <v>327</v>
      </c>
      <c r="AB172" s="47">
        <v>0</v>
      </c>
      <c r="AC172" s="48">
        <v>0</v>
      </c>
      <c r="AD172" s="49">
        <v>0</v>
      </c>
      <c r="AE172" s="48">
        <v>0</v>
      </c>
      <c r="AF172" s="48">
        <v>0</v>
      </c>
      <c r="AG172" s="46">
        <v>0</v>
      </c>
      <c r="AH172" s="47">
        <v>3</v>
      </c>
      <c r="AI172" s="48" t="s">
        <v>141</v>
      </c>
      <c r="AJ172" s="49">
        <v>9</v>
      </c>
      <c r="AM172" s="138" t="s">
        <v>115</v>
      </c>
      <c r="AN172" s="138">
        <v>63</v>
      </c>
      <c r="AO172" s="141">
        <v>42</v>
      </c>
      <c r="AP172" s="138"/>
      <c r="AQ172" s="141"/>
      <c r="AR172" s="28"/>
      <c r="AS172" s="43">
        <v>29</v>
      </c>
      <c r="AT172" s="28" t="s">
        <v>129</v>
      </c>
      <c r="AU172" s="28" t="s">
        <v>6</v>
      </c>
      <c r="AV172" s="141"/>
      <c r="AY172" s="265" t="s">
        <v>84</v>
      </c>
      <c r="AZ172" s="390"/>
      <c r="BA172" s="248"/>
      <c r="BB172" s="197"/>
      <c r="BC172" s="390"/>
      <c r="BD172" s="249"/>
      <c r="BE172" s="390">
        <v>70944</v>
      </c>
      <c r="BF172" s="248">
        <v>22000</v>
      </c>
      <c r="BG172" s="198"/>
      <c r="BH172" s="390"/>
      <c r="BI172" s="249">
        <v>22</v>
      </c>
      <c r="BJ172" s="28"/>
    </row>
    <row r="173" spans="1:62" x14ac:dyDescent="0.3">
      <c r="A173" s="42" t="s">
        <v>109</v>
      </c>
      <c r="B173" s="138">
        <v>1141</v>
      </c>
      <c r="C173" s="141">
        <v>1404</v>
      </c>
      <c r="D173" s="28">
        <v>0</v>
      </c>
      <c r="E173" s="343">
        <v>868</v>
      </c>
      <c r="F173" s="43">
        <v>0</v>
      </c>
      <c r="G173" s="138"/>
      <c r="H173" s="67">
        <v>8</v>
      </c>
      <c r="I173" s="28" t="s">
        <v>114</v>
      </c>
      <c r="J173" s="40"/>
      <c r="M173" s="278"/>
      <c r="N173" s="134"/>
      <c r="O173" s="195"/>
      <c r="P173" s="134"/>
      <c r="Q173" s="195"/>
      <c r="R173" s="136"/>
      <c r="S173" s="134"/>
      <c r="T173" s="134"/>
      <c r="U173" s="278" t="s">
        <v>104</v>
      </c>
      <c r="V173" s="279"/>
      <c r="Y173" s="42"/>
      <c r="Z173" s="33"/>
      <c r="AA173" s="35"/>
      <c r="AB173" s="33"/>
      <c r="AC173" s="34"/>
      <c r="AD173" s="35"/>
      <c r="AE173" s="33"/>
      <c r="AF173" s="35"/>
      <c r="AG173" s="43"/>
      <c r="AH173" s="33" t="s">
        <v>90</v>
      </c>
      <c r="AI173" s="34"/>
      <c r="AJ173" s="35"/>
      <c r="AM173" s="138" t="s">
        <v>81</v>
      </c>
      <c r="AN173" s="138">
        <v>4</v>
      </c>
      <c r="AO173" s="141">
        <v>12</v>
      </c>
      <c r="AP173" s="138"/>
      <c r="AQ173" s="141"/>
      <c r="AR173" s="28"/>
      <c r="AS173" s="28"/>
      <c r="AT173" s="28"/>
      <c r="AU173" s="28"/>
      <c r="AV173" s="141"/>
      <c r="AY173" s="211"/>
      <c r="AZ173" s="138"/>
      <c r="BA173" s="141"/>
      <c r="BB173" s="138"/>
      <c r="BC173" s="28"/>
      <c r="BD173" s="141"/>
      <c r="BE173" s="138"/>
      <c r="BF173" s="141"/>
      <c r="BG173" s="138"/>
      <c r="BH173" s="28" t="s">
        <v>91</v>
      </c>
      <c r="BI173" s="141"/>
      <c r="BJ173" s="28"/>
    </row>
    <row r="174" spans="1:62" x14ac:dyDescent="0.3">
      <c r="A174" s="134" t="s">
        <v>84</v>
      </c>
      <c r="B174" s="134">
        <v>1141</v>
      </c>
      <c r="C174" s="136">
        <v>1404</v>
      </c>
      <c r="D174" s="135">
        <v>0</v>
      </c>
      <c r="E174" s="243">
        <v>868</v>
      </c>
      <c r="F174" s="241">
        <v>0</v>
      </c>
      <c r="G174" s="134"/>
      <c r="H174" s="278"/>
      <c r="I174" s="135"/>
      <c r="J174" s="136"/>
      <c r="M174" s="42" t="s">
        <v>109</v>
      </c>
      <c r="N174" s="138">
        <v>0</v>
      </c>
      <c r="O174" s="196">
        <v>0</v>
      </c>
      <c r="P174" s="138">
        <v>0</v>
      </c>
      <c r="Q174" s="196">
        <v>0</v>
      </c>
      <c r="R174" s="141">
        <v>0</v>
      </c>
      <c r="S174" s="138">
        <v>0</v>
      </c>
      <c r="T174" s="138">
        <v>0</v>
      </c>
      <c r="U174" s="42"/>
      <c r="V174" s="40"/>
      <c r="Y174" s="42"/>
      <c r="Z174" s="42"/>
      <c r="AA174" s="40"/>
      <c r="AB174" s="42"/>
      <c r="AC174" s="43"/>
      <c r="AD174" s="40"/>
      <c r="AE174" s="42"/>
      <c r="AF174" s="40"/>
      <c r="AG174" s="43"/>
      <c r="AH174" s="67">
        <v>2</v>
      </c>
      <c r="AI174" s="28" t="s">
        <v>145</v>
      </c>
      <c r="AJ174" s="40"/>
      <c r="AM174" s="138" t="s">
        <v>1599</v>
      </c>
      <c r="AN174" s="138">
        <v>10</v>
      </c>
      <c r="AO174" s="141">
        <v>4</v>
      </c>
      <c r="AP174" s="138"/>
      <c r="AQ174" s="141"/>
      <c r="AR174" s="28"/>
      <c r="AS174" s="28"/>
      <c r="AT174" s="28"/>
      <c r="AU174" s="28"/>
      <c r="AV174" s="141" t="s">
        <v>6</v>
      </c>
      <c r="AY174" s="196"/>
      <c r="AZ174" s="212"/>
      <c r="BA174" s="141"/>
      <c r="BB174" s="138"/>
      <c r="BC174" s="43"/>
      <c r="BD174" s="141"/>
      <c r="BE174" s="138"/>
      <c r="BF174" s="209"/>
      <c r="BG174" s="212"/>
      <c r="BH174" s="43"/>
      <c r="BI174" s="141"/>
      <c r="BJ174" s="28"/>
    </row>
    <row r="175" spans="1:62" x14ac:dyDescent="0.3">
      <c r="A175" s="142"/>
      <c r="B175" s="142"/>
      <c r="C175" s="146"/>
      <c r="D175" s="143"/>
      <c r="E175" s="143"/>
      <c r="F175" s="143"/>
      <c r="G175" s="142"/>
      <c r="H175" s="244"/>
      <c r="I175" s="143"/>
      <c r="J175" s="146">
        <v>8</v>
      </c>
      <c r="M175" s="244"/>
      <c r="N175" s="142"/>
      <c r="O175" s="199"/>
      <c r="P175" s="142"/>
      <c r="Q175" s="199"/>
      <c r="R175" s="146"/>
      <c r="S175" s="142"/>
      <c r="T175" s="142"/>
      <c r="U175" s="244"/>
      <c r="V175" s="245"/>
      <c r="Y175" s="67" t="s">
        <v>89</v>
      </c>
      <c r="Z175" s="67">
        <v>77</v>
      </c>
      <c r="AA175" s="56">
        <v>83</v>
      </c>
      <c r="AB175" s="42">
        <v>0</v>
      </c>
      <c r="AC175" s="43">
        <v>0</v>
      </c>
      <c r="AD175" s="40">
        <v>0</v>
      </c>
      <c r="AE175" s="42">
        <v>0</v>
      </c>
      <c r="AF175" s="40">
        <v>0</v>
      </c>
      <c r="AG175" s="43">
        <v>0</v>
      </c>
      <c r="AH175" s="67"/>
      <c r="AI175" s="43"/>
      <c r="AJ175" s="40"/>
      <c r="AM175" s="138" t="s">
        <v>122</v>
      </c>
      <c r="AN175" s="138">
        <v>19</v>
      </c>
      <c r="AO175" s="141">
        <v>20</v>
      </c>
      <c r="AP175" s="138"/>
      <c r="AQ175" s="141"/>
      <c r="AR175" s="28"/>
      <c r="AS175" s="28"/>
      <c r="AT175" s="28"/>
      <c r="AU175" s="28"/>
      <c r="AV175" s="141"/>
      <c r="AY175" s="211"/>
      <c r="AZ175" s="212"/>
      <c r="BA175" s="209"/>
      <c r="BB175" s="138"/>
      <c r="BC175" s="43"/>
      <c r="BD175" s="141"/>
      <c r="BE175" s="138"/>
      <c r="BF175" s="209"/>
      <c r="BG175" s="138"/>
      <c r="BH175" s="43"/>
      <c r="BI175" s="141"/>
      <c r="BJ175" s="28"/>
    </row>
    <row r="176" spans="1:62" ht="15" thickBot="1" x14ac:dyDescent="0.35">
      <c r="A176" s="278"/>
      <c r="B176" s="134"/>
      <c r="C176" s="242"/>
      <c r="D176" s="135"/>
      <c r="E176" s="135"/>
      <c r="F176" s="135"/>
      <c r="G176" s="134"/>
      <c r="H176" s="278" t="s">
        <v>118</v>
      </c>
      <c r="I176" s="135"/>
      <c r="J176" s="279"/>
      <c r="M176" s="278" t="s">
        <v>93</v>
      </c>
      <c r="N176" s="134"/>
      <c r="O176" s="195"/>
      <c r="P176" s="134">
        <v>0</v>
      </c>
      <c r="Q176" s="195">
        <v>0</v>
      </c>
      <c r="R176" s="136">
        <v>0</v>
      </c>
      <c r="S176" s="134"/>
      <c r="T176" s="134"/>
      <c r="U176" s="278" t="s">
        <v>116</v>
      </c>
      <c r="V176" s="279"/>
      <c r="Y176" s="42" t="s">
        <v>84</v>
      </c>
      <c r="Z176" s="42">
        <v>77</v>
      </c>
      <c r="AA176" s="40">
        <v>83</v>
      </c>
      <c r="AB176" s="42">
        <v>0</v>
      </c>
      <c r="AC176" s="28">
        <v>0</v>
      </c>
      <c r="AD176" s="40">
        <v>0</v>
      </c>
      <c r="AE176" s="42">
        <v>0</v>
      </c>
      <c r="AF176" s="40">
        <v>0</v>
      </c>
      <c r="AG176" s="43">
        <v>0</v>
      </c>
      <c r="AH176" s="67"/>
      <c r="AI176" s="28"/>
      <c r="AJ176" s="40">
        <v>2</v>
      </c>
      <c r="AM176" s="138" t="s">
        <v>230</v>
      </c>
      <c r="AN176" s="138">
        <v>0</v>
      </c>
      <c r="AO176" s="141">
        <v>0</v>
      </c>
      <c r="AP176" s="138"/>
      <c r="AQ176" s="141"/>
      <c r="AR176" s="28"/>
      <c r="AS176" s="28"/>
      <c r="AT176" s="28"/>
      <c r="AU176" s="28"/>
      <c r="AV176" s="141"/>
      <c r="AY176" s="211"/>
      <c r="AZ176" s="212"/>
      <c r="BA176" s="141"/>
      <c r="BB176" s="138"/>
      <c r="BC176" s="43"/>
      <c r="BD176" s="141"/>
      <c r="BE176" s="138"/>
      <c r="BF176" s="209"/>
      <c r="BG176" s="212"/>
      <c r="BH176" s="28"/>
      <c r="BI176" s="141"/>
      <c r="BJ176" s="28"/>
    </row>
    <row r="177" spans="1:62" x14ac:dyDescent="0.3">
      <c r="A177" s="42" t="s">
        <v>785</v>
      </c>
      <c r="B177" s="138">
        <v>797</v>
      </c>
      <c r="C177" s="209">
        <v>1012</v>
      </c>
      <c r="D177" s="28">
        <v>0</v>
      </c>
      <c r="E177" s="38">
        <v>0</v>
      </c>
      <c r="F177" s="43">
        <v>0</v>
      </c>
      <c r="G177" s="138">
        <v>1</v>
      </c>
      <c r="H177" s="42">
        <v>117</v>
      </c>
      <c r="I177" s="28" t="s">
        <v>101</v>
      </c>
      <c r="J177" s="40"/>
      <c r="M177" s="42" t="s">
        <v>99</v>
      </c>
      <c r="N177" s="138">
        <v>7133</v>
      </c>
      <c r="O177" s="196">
        <v>13969</v>
      </c>
      <c r="P177" s="138"/>
      <c r="Q177" s="196"/>
      <c r="R177" s="141">
        <v>0</v>
      </c>
      <c r="S177" s="138">
        <v>2968</v>
      </c>
      <c r="T177" s="138">
        <v>135</v>
      </c>
      <c r="U177" s="42"/>
      <c r="V177" s="40"/>
      <c r="Y177" s="33"/>
      <c r="Z177" s="33"/>
      <c r="AA177" s="35"/>
      <c r="AB177" s="34"/>
      <c r="AC177" s="34"/>
      <c r="AD177" s="34"/>
      <c r="AE177" s="33"/>
      <c r="AF177" s="35"/>
      <c r="AG177" s="32"/>
      <c r="AH177" s="34"/>
      <c r="AI177" s="34"/>
      <c r="AJ177" s="35"/>
      <c r="AM177" s="138" t="s">
        <v>63</v>
      </c>
      <c r="AN177" s="138">
        <v>37</v>
      </c>
      <c r="AO177" s="141">
        <v>58</v>
      </c>
      <c r="AP177" s="138"/>
      <c r="AQ177" s="141"/>
      <c r="AR177" s="28"/>
      <c r="AS177" s="28"/>
      <c r="AT177" s="28"/>
      <c r="AU177" s="28"/>
      <c r="AV177" s="141"/>
      <c r="AY177" s="211" t="s">
        <v>137</v>
      </c>
      <c r="AZ177" s="212">
        <v>1630</v>
      </c>
      <c r="BA177" s="209">
        <v>1797</v>
      </c>
      <c r="BB177" s="138">
        <v>0</v>
      </c>
      <c r="BC177" s="43">
        <v>0</v>
      </c>
      <c r="BD177" s="141">
        <v>0</v>
      </c>
      <c r="BE177" s="138">
        <v>0</v>
      </c>
      <c r="BF177" s="209">
        <v>0</v>
      </c>
      <c r="BG177" s="138">
        <v>55</v>
      </c>
      <c r="BH177" s="43" t="s">
        <v>1292</v>
      </c>
      <c r="BI177" s="141"/>
      <c r="BJ177" s="28"/>
    </row>
    <row r="178" spans="1:62" x14ac:dyDescent="0.3">
      <c r="A178" s="42" t="s">
        <v>93</v>
      </c>
      <c r="B178" s="212">
        <v>7329</v>
      </c>
      <c r="C178" s="209">
        <v>7628</v>
      </c>
      <c r="D178" s="28">
        <v>0</v>
      </c>
      <c r="E178" s="38">
        <v>0</v>
      </c>
      <c r="F178" s="43">
        <v>0</v>
      </c>
      <c r="G178" s="212"/>
      <c r="H178" s="42">
        <v>17</v>
      </c>
      <c r="I178" s="28" t="s">
        <v>927</v>
      </c>
      <c r="J178" s="40"/>
      <c r="M178" s="42" t="s">
        <v>120</v>
      </c>
      <c r="N178" s="138"/>
      <c r="O178" s="196"/>
      <c r="P178" s="138">
        <v>0</v>
      </c>
      <c r="Q178" s="196">
        <v>0</v>
      </c>
      <c r="R178" s="141">
        <v>0</v>
      </c>
      <c r="S178" s="138"/>
      <c r="T178" s="138"/>
      <c r="U178" s="42"/>
      <c r="V178" s="40"/>
      <c r="Y178" s="42"/>
      <c r="Z178" s="42"/>
      <c r="AA178" s="40"/>
      <c r="AB178" s="43"/>
      <c r="AC178" s="43"/>
      <c r="AD178" s="43"/>
      <c r="AE178" s="42"/>
      <c r="AF178" s="40"/>
      <c r="AG178" s="41"/>
      <c r="AH178" s="28" t="s">
        <v>953</v>
      </c>
      <c r="AI178" s="28"/>
      <c r="AJ178" s="40"/>
      <c r="AM178" s="197" t="s">
        <v>84</v>
      </c>
      <c r="AN178" s="197">
        <v>213</v>
      </c>
      <c r="AO178" s="249">
        <v>282</v>
      </c>
      <c r="AP178" s="142"/>
      <c r="AQ178" s="146"/>
      <c r="AR178" s="143"/>
      <c r="AS178" s="143"/>
      <c r="AT178" s="143"/>
      <c r="AU178" s="143"/>
      <c r="AV178" s="146">
        <v>90</v>
      </c>
      <c r="AY178" s="211" t="s">
        <v>88</v>
      </c>
      <c r="AZ178" s="212">
        <v>124</v>
      </c>
      <c r="BA178" s="209">
        <v>95</v>
      </c>
      <c r="BB178" s="138">
        <v>0</v>
      </c>
      <c r="BC178" s="43">
        <v>0</v>
      </c>
      <c r="BD178" s="141">
        <v>0</v>
      </c>
      <c r="BE178" s="138">
        <v>0</v>
      </c>
      <c r="BF178" s="209">
        <v>0</v>
      </c>
      <c r="BG178" s="138">
        <v>62</v>
      </c>
      <c r="BH178" s="43" t="s">
        <v>359</v>
      </c>
      <c r="BI178" s="141"/>
      <c r="BJ178" s="28"/>
    </row>
    <row r="179" spans="1:62" x14ac:dyDescent="0.3">
      <c r="A179" s="42" t="s">
        <v>120</v>
      </c>
      <c r="B179" s="138">
        <v>5604</v>
      </c>
      <c r="C179" s="141">
        <v>6178</v>
      </c>
      <c r="D179" s="28">
        <v>0</v>
      </c>
      <c r="E179" s="38">
        <v>0</v>
      </c>
      <c r="F179" s="43">
        <v>0</v>
      </c>
      <c r="G179" s="138"/>
      <c r="H179" s="42">
        <v>29</v>
      </c>
      <c r="I179" s="28" t="s">
        <v>127</v>
      </c>
      <c r="J179" s="40"/>
      <c r="M179" s="244" t="s">
        <v>84</v>
      </c>
      <c r="N179" s="142">
        <v>7133</v>
      </c>
      <c r="O179" s="199">
        <v>13969</v>
      </c>
      <c r="P179" s="142">
        <v>0</v>
      </c>
      <c r="Q179" s="199">
        <v>0</v>
      </c>
      <c r="R179" s="146">
        <v>0</v>
      </c>
      <c r="S179" s="142">
        <v>2968</v>
      </c>
      <c r="T179" s="142">
        <v>135</v>
      </c>
      <c r="U179" s="244"/>
      <c r="V179" s="245"/>
      <c r="Y179" s="42"/>
      <c r="Z179" s="42"/>
      <c r="AA179" s="40"/>
      <c r="AB179" s="43"/>
      <c r="AC179" s="43"/>
      <c r="AD179" s="43"/>
      <c r="AE179" s="42"/>
      <c r="AF179" s="40"/>
      <c r="AG179" s="41"/>
      <c r="AH179" s="43">
        <v>9</v>
      </c>
      <c r="AI179" s="28" t="s">
        <v>141</v>
      </c>
      <c r="AJ179" s="40"/>
      <c r="AM179" s="134"/>
      <c r="AN179" s="134"/>
      <c r="AO179" s="136"/>
      <c r="AP179" s="134"/>
      <c r="AQ179" s="136"/>
      <c r="AR179" s="135"/>
      <c r="AS179" s="135"/>
      <c r="AT179" s="135"/>
      <c r="AU179" s="135"/>
      <c r="AV179" s="136"/>
      <c r="AY179" s="211" t="s">
        <v>97</v>
      </c>
      <c r="AZ179" s="212">
        <v>2485</v>
      </c>
      <c r="BA179" s="209">
        <v>2629</v>
      </c>
      <c r="BB179" s="138">
        <v>0</v>
      </c>
      <c r="BC179" s="43">
        <v>0</v>
      </c>
      <c r="BD179" s="141">
        <v>0</v>
      </c>
      <c r="BE179" s="138">
        <v>0</v>
      </c>
      <c r="BF179" s="209">
        <v>0</v>
      </c>
      <c r="BG179" s="138">
        <v>2</v>
      </c>
      <c r="BH179" s="43" t="s">
        <v>1026</v>
      </c>
      <c r="BI179" s="141"/>
      <c r="BJ179" s="28"/>
    </row>
    <row r="180" spans="1:62" x14ac:dyDescent="0.3">
      <c r="A180" s="67" t="s">
        <v>429</v>
      </c>
      <c r="B180" s="212">
        <v>1554</v>
      </c>
      <c r="C180" s="209">
        <v>1605</v>
      </c>
      <c r="D180" s="43">
        <v>0</v>
      </c>
      <c r="E180" s="38">
        <v>0</v>
      </c>
      <c r="F180" s="43">
        <v>0</v>
      </c>
      <c r="G180" s="138"/>
      <c r="H180" s="42"/>
      <c r="I180" s="28"/>
      <c r="J180" s="40"/>
      <c r="M180" s="278"/>
      <c r="N180" s="134"/>
      <c r="O180" s="195"/>
      <c r="P180" s="134"/>
      <c r="Q180" s="195"/>
      <c r="R180" s="136"/>
      <c r="S180" s="134"/>
      <c r="T180" s="134"/>
      <c r="U180" s="278"/>
      <c r="V180" s="279"/>
      <c r="Y180" s="42" t="s">
        <v>89</v>
      </c>
      <c r="Z180" s="42">
        <v>444</v>
      </c>
      <c r="AA180" s="40">
        <v>466</v>
      </c>
      <c r="AB180" s="43">
        <v>0</v>
      </c>
      <c r="AC180" s="43">
        <v>0</v>
      </c>
      <c r="AD180" s="43">
        <v>0</v>
      </c>
      <c r="AE180" s="42">
        <v>0</v>
      </c>
      <c r="AF180" s="40">
        <v>0</v>
      </c>
      <c r="AG180" s="41">
        <v>0</v>
      </c>
      <c r="AH180" s="43"/>
      <c r="AI180" s="43"/>
      <c r="AJ180" s="40"/>
      <c r="AM180" s="138"/>
      <c r="AN180" s="138"/>
      <c r="AO180" s="141"/>
      <c r="AP180" s="138"/>
      <c r="AQ180" s="141"/>
      <c r="AR180" s="28"/>
      <c r="AS180" s="28"/>
      <c r="AT180" s="28"/>
      <c r="AU180" s="28"/>
      <c r="AV180" s="141"/>
      <c r="AY180" s="211" t="s">
        <v>113</v>
      </c>
      <c r="AZ180" s="212">
        <v>666</v>
      </c>
      <c r="BA180" s="209">
        <v>602</v>
      </c>
      <c r="BB180" s="212">
        <v>0</v>
      </c>
      <c r="BC180" s="43">
        <v>0</v>
      </c>
      <c r="BD180" s="209">
        <v>0</v>
      </c>
      <c r="BE180" s="212">
        <v>0</v>
      </c>
      <c r="BF180" s="209">
        <v>0</v>
      </c>
      <c r="BG180" s="138">
        <v>2</v>
      </c>
      <c r="BH180" s="43" t="s">
        <v>1294</v>
      </c>
      <c r="BI180" s="141"/>
      <c r="BJ180" s="28"/>
    </row>
    <row r="181" spans="1:62" ht="15" thickBot="1" x14ac:dyDescent="0.35">
      <c r="A181" s="197" t="s">
        <v>84</v>
      </c>
      <c r="B181" s="197">
        <v>15284</v>
      </c>
      <c r="C181" s="249">
        <v>16423</v>
      </c>
      <c r="D181" s="198">
        <v>0</v>
      </c>
      <c r="E181" s="391">
        <v>0</v>
      </c>
      <c r="F181" s="198">
        <v>0</v>
      </c>
      <c r="G181" s="197"/>
      <c r="H181" s="392"/>
      <c r="I181" s="198"/>
      <c r="J181" s="249">
        <v>163</v>
      </c>
      <c r="M181" s="42" t="s">
        <v>105</v>
      </c>
      <c r="N181" s="138">
        <v>492</v>
      </c>
      <c r="O181" s="196">
        <v>0</v>
      </c>
      <c r="P181" s="138">
        <v>0</v>
      </c>
      <c r="Q181" s="196">
        <v>0</v>
      </c>
      <c r="R181" s="141">
        <v>0</v>
      </c>
      <c r="S181" s="138">
        <v>0</v>
      </c>
      <c r="T181" s="138">
        <v>0</v>
      </c>
      <c r="U181" s="42"/>
      <c r="V181" s="40"/>
      <c r="Y181" s="47" t="s">
        <v>84</v>
      </c>
      <c r="Z181" s="72">
        <v>444</v>
      </c>
      <c r="AA181" s="49">
        <v>466</v>
      </c>
      <c r="AB181" s="51">
        <v>0</v>
      </c>
      <c r="AC181" s="48">
        <v>0</v>
      </c>
      <c r="AD181" s="48">
        <v>0</v>
      </c>
      <c r="AE181" s="47">
        <v>0</v>
      </c>
      <c r="AF181" s="49">
        <v>0</v>
      </c>
      <c r="AG181" s="46">
        <v>0</v>
      </c>
      <c r="AH181" s="48"/>
      <c r="AI181" s="48"/>
      <c r="AJ181" s="49">
        <v>9</v>
      </c>
      <c r="AM181" s="138"/>
      <c r="AN181" s="138"/>
      <c r="AO181" s="141"/>
      <c r="AP181" s="138"/>
      <c r="AQ181" s="141"/>
      <c r="AR181" s="28"/>
      <c r="AS181" s="28"/>
      <c r="AT181" s="28"/>
      <c r="AU181" s="28"/>
      <c r="AV181" s="141"/>
      <c r="AY181" s="211" t="s">
        <v>89</v>
      </c>
      <c r="AZ181" s="212">
        <v>2181</v>
      </c>
      <c r="BA181" s="209">
        <v>2091</v>
      </c>
      <c r="BB181" s="138">
        <v>0</v>
      </c>
      <c r="BC181" s="43">
        <v>0</v>
      </c>
      <c r="BD181" s="141">
        <v>0</v>
      </c>
      <c r="BE181" s="138">
        <v>0</v>
      </c>
      <c r="BF181" s="141">
        <v>0</v>
      </c>
      <c r="BG181" s="138"/>
      <c r="BH181" s="28"/>
      <c r="BI181" s="141"/>
      <c r="BJ181" s="28"/>
    </row>
    <row r="182" spans="1:62" x14ac:dyDescent="0.3">
      <c r="A182" s="42" t="s">
        <v>93</v>
      </c>
      <c r="B182" s="138"/>
      <c r="C182" s="209"/>
      <c r="D182" s="138">
        <v>0</v>
      </c>
      <c r="E182" s="38">
        <v>0</v>
      </c>
      <c r="F182" s="43">
        <v>0</v>
      </c>
      <c r="G182" s="138">
        <v>1</v>
      </c>
      <c r="H182" s="42" t="s">
        <v>116</v>
      </c>
      <c r="I182" s="28"/>
      <c r="J182" s="40"/>
      <c r="M182" s="42" t="s">
        <v>99</v>
      </c>
      <c r="N182" s="138">
        <v>0</v>
      </c>
      <c r="O182" s="196">
        <v>0</v>
      </c>
      <c r="P182" s="138">
        <v>0</v>
      </c>
      <c r="Q182" s="196">
        <v>0</v>
      </c>
      <c r="R182" s="141">
        <v>0</v>
      </c>
      <c r="S182" s="138">
        <v>0</v>
      </c>
      <c r="T182" s="138">
        <v>0</v>
      </c>
      <c r="U182" s="42" t="s">
        <v>135</v>
      </c>
      <c r="V182" s="40"/>
      <c r="Y182" s="32"/>
      <c r="Z182" s="33"/>
      <c r="AA182" s="35"/>
      <c r="AB182" s="53"/>
      <c r="AC182" s="123"/>
      <c r="AD182" s="97"/>
      <c r="AE182" s="33"/>
      <c r="AF182" s="35"/>
      <c r="AG182" s="32"/>
      <c r="AH182" s="33" t="s">
        <v>149</v>
      </c>
      <c r="AI182" s="34"/>
      <c r="AJ182" s="35"/>
      <c r="AM182" s="138"/>
      <c r="AN182" s="138"/>
      <c r="AO182" s="141"/>
      <c r="AP182" s="138"/>
      <c r="AQ182" s="141"/>
      <c r="AR182" s="28"/>
      <c r="AS182" s="28"/>
      <c r="AT182" s="28"/>
      <c r="AU182" s="28"/>
      <c r="AV182" s="141"/>
      <c r="AY182" s="211" t="s">
        <v>108</v>
      </c>
      <c r="AZ182" s="138">
        <v>6</v>
      </c>
      <c r="BA182" s="141">
        <v>0</v>
      </c>
      <c r="BB182" s="138">
        <v>0</v>
      </c>
      <c r="BC182" s="43">
        <v>0</v>
      </c>
      <c r="BD182" s="141">
        <v>0</v>
      </c>
      <c r="BE182" s="138">
        <v>0</v>
      </c>
      <c r="BF182" s="141">
        <v>0</v>
      </c>
      <c r="BG182" s="138"/>
      <c r="BH182" s="28"/>
      <c r="BI182" s="141"/>
      <c r="BJ182" s="28"/>
    </row>
    <row r="183" spans="1:62" x14ac:dyDescent="0.3">
      <c r="A183" s="42" t="s">
        <v>99</v>
      </c>
      <c r="B183" s="138">
        <v>10307</v>
      </c>
      <c r="C183" s="209">
        <v>9824</v>
      </c>
      <c r="D183" s="138">
        <v>0</v>
      </c>
      <c r="E183" s="38">
        <v>0</v>
      </c>
      <c r="F183" s="43">
        <v>0</v>
      </c>
      <c r="G183" s="138"/>
      <c r="H183" s="67">
        <v>79</v>
      </c>
      <c r="I183" s="28" t="s">
        <v>188</v>
      </c>
      <c r="J183" s="40"/>
      <c r="M183" s="42"/>
      <c r="N183" s="138"/>
      <c r="O183" s="196"/>
      <c r="P183" s="138"/>
      <c r="Q183" s="196"/>
      <c r="R183" s="141"/>
      <c r="S183" s="138"/>
      <c r="T183" s="138"/>
      <c r="U183" s="42"/>
      <c r="V183" s="40"/>
      <c r="Y183" s="41" t="s">
        <v>99</v>
      </c>
      <c r="Z183" s="42"/>
      <c r="AA183" s="40"/>
      <c r="AB183" s="67">
        <v>0</v>
      </c>
      <c r="AC183" s="43">
        <v>0</v>
      </c>
      <c r="AD183" s="56">
        <v>0</v>
      </c>
      <c r="AE183" s="42">
        <v>0</v>
      </c>
      <c r="AF183" s="40">
        <v>3190</v>
      </c>
      <c r="AG183" s="41">
        <v>0</v>
      </c>
      <c r="AH183" s="67">
        <v>3</v>
      </c>
      <c r="AI183" s="28" t="s">
        <v>1317</v>
      </c>
      <c r="AJ183" s="40"/>
      <c r="AM183" s="142"/>
      <c r="AN183" s="142"/>
      <c r="AO183" s="146"/>
      <c r="AP183" s="142"/>
      <c r="AQ183" s="146"/>
      <c r="AR183" s="143"/>
      <c r="AS183" s="143"/>
      <c r="AT183" s="143"/>
      <c r="AU183" s="143"/>
      <c r="AV183" s="146"/>
      <c r="AY183" s="211" t="s">
        <v>230</v>
      </c>
      <c r="AZ183" s="142">
        <v>0</v>
      </c>
      <c r="BA183" s="146">
        <v>0</v>
      </c>
      <c r="BB183" s="142">
        <v>0</v>
      </c>
      <c r="BC183" s="224">
        <v>0</v>
      </c>
      <c r="BD183" s="251">
        <v>0</v>
      </c>
      <c r="BE183" s="142">
        <v>0</v>
      </c>
      <c r="BF183" s="146">
        <v>0</v>
      </c>
      <c r="BG183" s="142"/>
      <c r="BH183" s="143"/>
      <c r="BI183" s="146"/>
      <c r="BJ183" s="28"/>
    </row>
    <row r="184" spans="1:62" x14ac:dyDescent="0.3">
      <c r="A184" s="42" t="s">
        <v>120</v>
      </c>
      <c r="B184" s="138">
        <v>0</v>
      </c>
      <c r="C184" s="209">
        <v>0</v>
      </c>
      <c r="D184" s="138">
        <v>0</v>
      </c>
      <c r="E184" s="38">
        <v>0</v>
      </c>
      <c r="F184" s="43">
        <v>0</v>
      </c>
      <c r="G184" s="138"/>
      <c r="H184" s="67"/>
      <c r="I184" s="28"/>
      <c r="J184" s="40"/>
      <c r="M184" s="244" t="s">
        <v>84</v>
      </c>
      <c r="N184" s="142">
        <v>492</v>
      </c>
      <c r="O184" s="199">
        <v>0</v>
      </c>
      <c r="P184" s="142">
        <v>0</v>
      </c>
      <c r="Q184" s="199">
        <v>0</v>
      </c>
      <c r="R184" s="146">
        <v>0</v>
      </c>
      <c r="S184" s="142">
        <v>0</v>
      </c>
      <c r="T184" s="142">
        <v>0</v>
      </c>
      <c r="U184" s="244"/>
      <c r="V184" s="245"/>
      <c r="Y184" s="41" t="s">
        <v>174</v>
      </c>
      <c r="Z184" s="42"/>
      <c r="AA184" s="40"/>
      <c r="AB184" s="67">
        <v>0</v>
      </c>
      <c r="AC184" s="43">
        <v>0</v>
      </c>
      <c r="AD184" s="56">
        <v>0</v>
      </c>
      <c r="AE184" s="42">
        <v>25144</v>
      </c>
      <c r="AF184" s="40">
        <v>0</v>
      </c>
      <c r="AG184" s="41">
        <v>0</v>
      </c>
      <c r="AH184" s="67"/>
      <c r="AI184" s="43"/>
      <c r="AJ184" s="40"/>
      <c r="AM184" s="134" t="s">
        <v>81</v>
      </c>
      <c r="AN184" s="134">
        <v>3</v>
      </c>
      <c r="AO184" s="136">
        <v>4</v>
      </c>
      <c r="AP184" s="134"/>
      <c r="AQ184" s="136"/>
      <c r="AR184" s="135"/>
      <c r="AS184" s="135" t="s">
        <v>140</v>
      </c>
      <c r="AT184" s="135"/>
      <c r="AU184" s="135"/>
      <c r="AV184" s="136"/>
      <c r="AY184" s="247" t="s">
        <v>84</v>
      </c>
      <c r="AZ184" s="247">
        <v>7092</v>
      </c>
      <c r="BA184" s="248">
        <v>7214</v>
      </c>
      <c r="BB184" s="197">
        <v>0</v>
      </c>
      <c r="BC184" s="198">
        <v>0</v>
      </c>
      <c r="BD184" s="249">
        <v>0</v>
      </c>
      <c r="BE184" s="197">
        <v>0</v>
      </c>
      <c r="BF184" s="249">
        <v>0</v>
      </c>
      <c r="BG184" s="197"/>
      <c r="BH184" s="198"/>
      <c r="BI184" s="249">
        <v>121</v>
      </c>
      <c r="BJ184" s="28"/>
    </row>
    <row r="185" spans="1:62" ht="15" thickBot="1" x14ac:dyDescent="0.35">
      <c r="A185" s="42"/>
      <c r="B185" s="138"/>
      <c r="C185" s="28"/>
      <c r="D185" s="138"/>
      <c r="E185" s="38"/>
      <c r="F185" s="43"/>
      <c r="G185" s="138"/>
      <c r="H185" s="67"/>
      <c r="I185" s="28"/>
      <c r="J185" s="40"/>
      <c r="M185" s="42"/>
      <c r="N185" s="138"/>
      <c r="O185" s="196"/>
      <c r="P185" s="138"/>
      <c r="Q185" s="196"/>
      <c r="R185" s="141"/>
      <c r="S185" s="138"/>
      <c r="T185" s="138"/>
      <c r="U185" s="42"/>
      <c r="V185" s="40"/>
      <c r="Y185" s="62" t="s">
        <v>84</v>
      </c>
      <c r="Z185" s="47"/>
      <c r="AA185" s="49"/>
      <c r="AB185" s="47">
        <v>0</v>
      </c>
      <c r="AC185" s="48">
        <v>0</v>
      </c>
      <c r="AD185" s="49">
        <v>0</v>
      </c>
      <c r="AE185" s="47">
        <v>25144</v>
      </c>
      <c r="AF185" s="49">
        <v>3190</v>
      </c>
      <c r="AG185" s="46">
        <v>0</v>
      </c>
      <c r="AH185" s="47"/>
      <c r="AI185" s="48"/>
      <c r="AJ185" s="49">
        <v>3</v>
      </c>
      <c r="AM185" s="138" t="s">
        <v>56</v>
      </c>
      <c r="AN185" s="212">
        <v>8</v>
      </c>
      <c r="AO185" s="141">
        <v>16</v>
      </c>
      <c r="AP185" s="138"/>
      <c r="AQ185" s="141"/>
      <c r="AR185" s="28" t="s">
        <v>2295</v>
      </c>
      <c r="AS185" s="43"/>
      <c r="AT185" s="43" t="s">
        <v>315</v>
      </c>
      <c r="AU185" s="43" t="s">
        <v>2262</v>
      </c>
      <c r="AV185" s="141"/>
      <c r="AY185" s="195"/>
      <c r="AZ185" s="134"/>
      <c r="BA185" s="136"/>
      <c r="BB185" s="134"/>
      <c r="BC185" s="135"/>
      <c r="BD185" s="136"/>
      <c r="BE185" s="134"/>
      <c r="BF185" s="136"/>
      <c r="BG185" s="134" t="s">
        <v>1025</v>
      </c>
      <c r="BH185" s="135"/>
      <c r="BI185" s="136"/>
      <c r="BJ185" s="28"/>
    </row>
    <row r="186" spans="1:62" x14ac:dyDescent="0.3">
      <c r="A186" s="197" t="s">
        <v>84</v>
      </c>
      <c r="B186" s="197">
        <v>10307</v>
      </c>
      <c r="C186" s="198">
        <v>9824</v>
      </c>
      <c r="D186" s="197"/>
      <c r="E186" s="198"/>
      <c r="F186" s="198"/>
      <c r="G186" s="197"/>
      <c r="H186" s="392"/>
      <c r="I186" s="198"/>
      <c r="J186" s="249">
        <v>79</v>
      </c>
      <c r="M186" s="42"/>
      <c r="N186" s="138"/>
      <c r="O186" s="196"/>
      <c r="P186" s="138"/>
      <c r="Q186" s="196"/>
      <c r="R186" s="141"/>
      <c r="S186" s="138"/>
      <c r="T186" s="138"/>
      <c r="U186" s="42"/>
      <c r="V186" s="40"/>
      <c r="Y186" s="32" t="s">
        <v>95</v>
      </c>
      <c r="Z186" s="33"/>
      <c r="AA186" s="35"/>
      <c r="AB186" s="33">
        <v>0</v>
      </c>
      <c r="AC186" s="34">
        <v>0</v>
      </c>
      <c r="AD186" s="35">
        <v>0</v>
      </c>
      <c r="AE186" s="33">
        <v>14784</v>
      </c>
      <c r="AF186" s="35">
        <v>0</v>
      </c>
      <c r="AG186" s="32">
        <v>0</v>
      </c>
      <c r="AH186" s="33" t="s">
        <v>157</v>
      </c>
      <c r="AI186" s="34"/>
      <c r="AJ186" s="35"/>
      <c r="AM186" s="138" t="s">
        <v>72</v>
      </c>
      <c r="AN186" s="212">
        <v>37</v>
      </c>
      <c r="AO186" s="141">
        <v>48</v>
      </c>
      <c r="AP186" s="138"/>
      <c r="AQ186" s="141"/>
      <c r="AR186" s="28" t="s">
        <v>1351</v>
      </c>
      <c r="AS186" s="43"/>
      <c r="AT186" s="43" t="s">
        <v>2296</v>
      </c>
      <c r="AU186" s="43"/>
      <c r="AV186" s="141"/>
      <c r="AY186" s="196" t="s">
        <v>64</v>
      </c>
      <c r="AZ186" s="138">
        <v>49</v>
      </c>
      <c r="BA186" s="141">
        <v>43</v>
      </c>
      <c r="BB186" s="138">
        <v>0</v>
      </c>
      <c r="BC186" s="43">
        <v>0</v>
      </c>
      <c r="BD186" s="209">
        <v>0</v>
      </c>
      <c r="BE186" s="138">
        <v>0</v>
      </c>
      <c r="BF186" s="141">
        <v>0</v>
      </c>
      <c r="BG186" s="138">
        <v>5</v>
      </c>
      <c r="BH186" s="28" t="s">
        <v>1026</v>
      </c>
      <c r="BI186" s="141"/>
      <c r="BJ186" s="28"/>
    </row>
    <row r="187" spans="1:62" x14ac:dyDescent="0.3">
      <c r="A187" s="278" t="s">
        <v>105</v>
      </c>
      <c r="B187" s="134">
        <v>1171</v>
      </c>
      <c r="C187" s="135">
        <v>847</v>
      </c>
      <c r="D187" s="134">
        <v>0</v>
      </c>
      <c r="E187" s="243">
        <v>1140</v>
      </c>
      <c r="F187" s="135">
        <v>0</v>
      </c>
      <c r="G187" s="134">
        <v>1</v>
      </c>
      <c r="H187" s="278" t="s">
        <v>162</v>
      </c>
      <c r="I187" s="135"/>
      <c r="J187" s="279"/>
      <c r="M187" s="42"/>
      <c r="N187" s="138"/>
      <c r="O187" s="196"/>
      <c r="P187" s="138"/>
      <c r="Q187" s="196"/>
      <c r="R187" s="141"/>
      <c r="S187" s="138"/>
      <c r="T187" s="138"/>
      <c r="U187" s="42"/>
      <c r="V187" s="40"/>
      <c r="Y187" s="41" t="s">
        <v>88</v>
      </c>
      <c r="Z187" s="42"/>
      <c r="AA187" s="56"/>
      <c r="AB187" s="67">
        <v>0</v>
      </c>
      <c r="AC187" s="43">
        <v>0</v>
      </c>
      <c r="AD187" s="56">
        <v>0</v>
      </c>
      <c r="AE187" s="42">
        <v>6775</v>
      </c>
      <c r="AF187" s="56">
        <v>0</v>
      </c>
      <c r="AG187" s="41">
        <v>0</v>
      </c>
      <c r="AH187" s="67">
        <v>12</v>
      </c>
      <c r="AI187" s="28" t="s">
        <v>1318</v>
      </c>
      <c r="AJ187" s="40"/>
      <c r="AM187" s="138" t="s">
        <v>78</v>
      </c>
      <c r="AN187" s="212">
        <v>87</v>
      </c>
      <c r="AO187" s="141">
        <v>89</v>
      </c>
      <c r="AP187" s="138"/>
      <c r="AQ187" s="141"/>
      <c r="AR187" s="28" t="s">
        <v>2297</v>
      </c>
      <c r="AS187" s="43"/>
      <c r="AT187" s="43" t="s">
        <v>515</v>
      </c>
      <c r="AU187" s="43"/>
      <c r="AV187" s="141"/>
      <c r="AY187" s="265" t="s">
        <v>84</v>
      </c>
      <c r="AZ187" s="197">
        <v>49</v>
      </c>
      <c r="BA187" s="249">
        <v>43</v>
      </c>
      <c r="BB187" s="197">
        <v>0</v>
      </c>
      <c r="BC187" s="198">
        <v>0</v>
      </c>
      <c r="BD187" s="249">
        <v>0</v>
      </c>
      <c r="BE187" s="197">
        <v>0</v>
      </c>
      <c r="BF187" s="249">
        <v>0</v>
      </c>
      <c r="BG187" s="197"/>
      <c r="BH187" s="198"/>
      <c r="BI187" s="249">
        <v>5</v>
      </c>
      <c r="BJ187" s="28"/>
    </row>
    <row r="188" spans="1:62" x14ac:dyDescent="0.3">
      <c r="A188" s="42" t="s">
        <v>99</v>
      </c>
      <c r="B188" s="138">
        <v>401</v>
      </c>
      <c r="C188" s="43">
        <v>445</v>
      </c>
      <c r="D188" s="138">
        <v>0</v>
      </c>
      <c r="E188" s="343">
        <v>1811</v>
      </c>
      <c r="F188" s="43">
        <v>0</v>
      </c>
      <c r="G188" s="138"/>
      <c r="H188" s="42"/>
      <c r="I188" s="28"/>
      <c r="J188" s="40"/>
      <c r="M188" s="42"/>
      <c r="N188" s="138"/>
      <c r="O188" s="196"/>
      <c r="P188" s="138"/>
      <c r="Q188" s="196"/>
      <c r="R188" s="141"/>
      <c r="S188" s="138"/>
      <c r="T188" s="138"/>
      <c r="U188" s="42"/>
      <c r="V188" s="40"/>
      <c r="Y188" s="41" t="s">
        <v>99</v>
      </c>
      <c r="Z188" s="42"/>
      <c r="AA188" s="56"/>
      <c r="AB188" s="67">
        <v>0</v>
      </c>
      <c r="AC188" s="43">
        <v>0</v>
      </c>
      <c r="AD188" s="56">
        <v>0</v>
      </c>
      <c r="AE188" s="42">
        <v>29334</v>
      </c>
      <c r="AF188" s="56">
        <v>6079</v>
      </c>
      <c r="AG188" s="41">
        <v>0</v>
      </c>
      <c r="AH188" s="42"/>
      <c r="AI188" s="28"/>
      <c r="AJ188" s="40"/>
      <c r="AM188" s="138" t="s">
        <v>67</v>
      </c>
      <c r="AN188" s="212">
        <v>6</v>
      </c>
      <c r="AO188" s="141">
        <v>10</v>
      </c>
      <c r="AP188" s="138"/>
      <c r="AQ188" s="141"/>
      <c r="AR188" s="28" t="s">
        <v>1056</v>
      </c>
      <c r="AS188" s="43"/>
      <c r="AT188" s="43" t="s">
        <v>1600</v>
      </c>
      <c r="AU188" s="43"/>
      <c r="AV188" s="141"/>
      <c r="AY188" s="195" t="s">
        <v>113</v>
      </c>
      <c r="AZ188" s="134">
        <v>614</v>
      </c>
      <c r="BA188" s="136">
        <v>645</v>
      </c>
      <c r="BB188" s="134">
        <v>0</v>
      </c>
      <c r="BC188" s="135">
        <v>0</v>
      </c>
      <c r="BD188" s="136">
        <v>0</v>
      </c>
      <c r="BE188" s="134">
        <v>0</v>
      </c>
      <c r="BF188" s="136">
        <v>0</v>
      </c>
      <c r="BG188" s="134" t="s">
        <v>994</v>
      </c>
      <c r="BH188" s="135"/>
      <c r="BI188" s="136"/>
      <c r="BJ188" s="28"/>
    </row>
    <row r="189" spans="1:62" ht="15" thickBot="1" x14ac:dyDescent="0.35">
      <c r="A189" s="42"/>
      <c r="B189" s="138"/>
      <c r="C189" s="28"/>
      <c r="D189" s="138"/>
      <c r="E189" s="343"/>
      <c r="F189" s="43"/>
      <c r="G189" s="138"/>
      <c r="H189" s="67">
        <v>42</v>
      </c>
      <c r="I189" s="28" t="s">
        <v>101</v>
      </c>
      <c r="J189" s="40"/>
      <c r="M189" s="42"/>
      <c r="N189" s="138"/>
      <c r="O189" s="196"/>
      <c r="P189" s="138"/>
      <c r="Q189" s="196"/>
      <c r="R189" s="141"/>
      <c r="S189" s="138"/>
      <c r="T189" s="138"/>
      <c r="U189" s="42"/>
      <c r="V189" s="40"/>
      <c r="Y189" s="68" t="s">
        <v>1118</v>
      </c>
      <c r="Z189" s="42"/>
      <c r="AA189" s="56"/>
      <c r="AB189" s="42">
        <v>0</v>
      </c>
      <c r="AC189" s="43">
        <v>0</v>
      </c>
      <c r="AD189" s="40">
        <v>0</v>
      </c>
      <c r="AE189" s="42">
        <v>0</v>
      </c>
      <c r="AF189" s="56">
        <v>7286</v>
      </c>
      <c r="AG189" s="41">
        <v>0</v>
      </c>
      <c r="AH189" s="42"/>
      <c r="AI189" s="43"/>
      <c r="AJ189" s="40"/>
      <c r="AM189" s="138" t="s">
        <v>115</v>
      </c>
      <c r="AN189" s="212">
        <v>19</v>
      </c>
      <c r="AO189" s="141">
        <v>11</v>
      </c>
      <c r="AP189" s="212"/>
      <c r="AQ189" s="141"/>
      <c r="AR189" s="28" t="s">
        <v>279</v>
      </c>
      <c r="AS189" s="43"/>
      <c r="AT189" s="43" t="s">
        <v>2298</v>
      </c>
      <c r="AU189" s="43"/>
      <c r="AV189" s="141"/>
      <c r="AY189" s="196" t="s">
        <v>164</v>
      </c>
      <c r="AZ189" s="138">
        <v>0</v>
      </c>
      <c r="BA189" s="141">
        <v>0</v>
      </c>
      <c r="BB189" s="138">
        <v>0</v>
      </c>
      <c r="BC189" s="43">
        <v>0</v>
      </c>
      <c r="BD189" s="209">
        <v>0</v>
      </c>
      <c r="BE189" s="212">
        <v>0</v>
      </c>
      <c r="BF189" s="141">
        <v>0</v>
      </c>
      <c r="BG189" s="212">
        <v>19</v>
      </c>
      <c r="BH189" s="28" t="s">
        <v>1297</v>
      </c>
      <c r="BI189" s="141"/>
      <c r="BJ189" s="28"/>
    </row>
    <row r="190" spans="1:62" ht="15" thickBot="1" x14ac:dyDescent="0.35">
      <c r="A190" s="197" t="s">
        <v>84</v>
      </c>
      <c r="B190" s="197">
        <v>1572</v>
      </c>
      <c r="C190" s="198">
        <v>1292</v>
      </c>
      <c r="D190" s="197">
        <v>0</v>
      </c>
      <c r="E190" s="391">
        <v>2951</v>
      </c>
      <c r="F190" s="198">
        <v>0</v>
      </c>
      <c r="G190" s="197"/>
      <c r="H190" s="392"/>
      <c r="I190" s="198"/>
      <c r="J190" s="249">
        <v>42</v>
      </c>
      <c r="M190" s="171" t="s">
        <v>84</v>
      </c>
      <c r="N190" s="210">
        <v>13882</v>
      </c>
      <c r="O190" s="206">
        <v>22424</v>
      </c>
      <c r="P190" s="210">
        <v>0</v>
      </c>
      <c r="Q190" s="206">
        <v>0</v>
      </c>
      <c r="R190" s="170">
        <v>0</v>
      </c>
      <c r="S190" s="210">
        <v>2968</v>
      </c>
      <c r="T190" s="210">
        <v>135</v>
      </c>
      <c r="U190" s="171"/>
      <c r="V190" s="172"/>
      <c r="Y190" s="68" t="s">
        <v>85</v>
      </c>
      <c r="Z190" s="42"/>
      <c r="AA190" s="56"/>
      <c r="AB190" s="67">
        <v>0</v>
      </c>
      <c r="AC190" s="43">
        <v>0</v>
      </c>
      <c r="AD190" s="56">
        <v>0</v>
      </c>
      <c r="AE190" s="42">
        <v>0</v>
      </c>
      <c r="AF190" s="56">
        <v>10938</v>
      </c>
      <c r="AG190" s="41">
        <v>0</v>
      </c>
      <c r="AH190" s="67"/>
      <c r="AI190" s="28"/>
      <c r="AJ190" s="40"/>
      <c r="AM190" s="138" t="s">
        <v>2270</v>
      </c>
      <c r="AN190" s="212"/>
      <c r="AO190" s="141"/>
      <c r="AP190" s="138"/>
      <c r="AQ190" s="141"/>
      <c r="AR190" s="28" t="s">
        <v>2299</v>
      </c>
      <c r="AS190" s="43"/>
      <c r="AT190" s="43" t="s">
        <v>2300</v>
      </c>
      <c r="AU190" s="43"/>
      <c r="AV190" s="141"/>
      <c r="AY190" s="196" t="s">
        <v>139</v>
      </c>
      <c r="AZ190" s="138">
        <v>0</v>
      </c>
      <c r="BA190" s="141">
        <v>0</v>
      </c>
      <c r="BB190" s="138">
        <v>0</v>
      </c>
      <c r="BC190" s="43">
        <v>0</v>
      </c>
      <c r="BD190" s="209">
        <v>0</v>
      </c>
      <c r="BE190" s="138">
        <v>0</v>
      </c>
      <c r="BF190" s="141">
        <v>0</v>
      </c>
      <c r="BG190" s="212">
        <v>33</v>
      </c>
      <c r="BH190" s="43" t="s">
        <v>1292</v>
      </c>
      <c r="BI190" s="141"/>
      <c r="BJ190" s="28"/>
    </row>
    <row r="191" spans="1:62" x14ac:dyDescent="0.3">
      <c r="A191" s="287" t="s">
        <v>181</v>
      </c>
      <c r="B191" s="135">
        <v>2972</v>
      </c>
      <c r="C191" s="135">
        <v>2553</v>
      </c>
      <c r="D191" s="134">
        <v>0</v>
      </c>
      <c r="E191" s="243">
        <v>0</v>
      </c>
      <c r="F191" s="136">
        <v>0</v>
      </c>
      <c r="G191" s="134">
        <v>1</v>
      </c>
      <c r="H191" s="278" t="s">
        <v>182</v>
      </c>
      <c r="I191" s="135"/>
      <c r="J191" s="279"/>
      <c r="Y191" s="68" t="s">
        <v>133</v>
      </c>
      <c r="Z191" s="67"/>
      <c r="AA191" s="56"/>
      <c r="AB191" s="42">
        <v>0</v>
      </c>
      <c r="AC191" s="43">
        <v>0</v>
      </c>
      <c r="AD191" s="40">
        <v>0</v>
      </c>
      <c r="AE191" s="67">
        <v>0</v>
      </c>
      <c r="AF191" s="56">
        <v>15089</v>
      </c>
      <c r="AG191" s="41">
        <v>0</v>
      </c>
      <c r="AH191" s="42"/>
      <c r="AI191" s="28"/>
      <c r="AJ191" s="40"/>
      <c r="AM191" s="138" t="s">
        <v>63</v>
      </c>
      <c r="AN191" s="212">
        <v>8</v>
      </c>
      <c r="AO191" s="141">
        <v>9</v>
      </c>
      <c r="AP191" s="138"/>
      <c r="AQ191" s="141"/>
      <c r="AR191" s="28" t="s">
        <v>803</v>
      </c>
      <c r="AS191" s="43"/>
      <c r="AT191" s="43" t="s">
        <v>1163</v>
      </c>
      <c r="AU191" s="43"/>
      <c r="AV191" s="141"/>
      <c r="AY191" s="265" t="s">
        <v>84</v>
      </c>
      <c r="AZ191" s="247">
        <v>614</v>
      </c>
      <c r="BA191" s="249">
        <v>645</v>
      </c>
      <c r="BB191" s="197">
        <v>0</v>
      </c>
      <c r="BC191" s="393">
        <v>0</v>
      </c>
      <c r="BD191" s="394">
        <v>0</v>
      </c>
      <c r="BE191" s="197">
        <v>0</v>
      </c>
      <c r="BF191" s="249">
        <v>0</v>
      </c>
      <c r="BG191" s="197"/>
      <c r="BH191" s="198"/>
      <c r="BI191" s="249">
        <v>52</v>
      </c>
      <c r="BJ191" s="28"/>
    </row>
    <row r="192" spans="1:62" x14ac:dyDescent="0.3">
      <c r="A192" s="288" t="s">
        <v>120</v>
      </c>
      <c r="B192" s="43">
        <v>606</v>
      </c>
      <c r="C192" s="43">
        <v>673</v>
      </c>
      <c r="D192" s="138">
        <v>0</v>
      </c>
      <c r="E192" s="38">
        <v>0</v>
      </c>
      <c r="F192" s="141">
        <v>0</v>
      </c>
      <c r="G192" s="138"/>
      <c r="H192" s="42">
        <v>36</v>
      </c>
      <c r="I192" s="28" t="s">
        <v>188</v>
      </c>
      <c r="J192" s="40"/>
      <c r="Y192" s="68" t="s">
        <v>574</v>
      </c>
      <c r="Z192" s="67"/>
      <c r="AA192" s="56"/>
      <c r="AB192" s="67">
        <v>0</v>
      </c>
      <c r="AC192" s="43">
        <v>0</v>
      </c>
      <c r="AD192" s="56">
        <v>0</v>
      </c>
      <c r="AE192" s="67">
        <v>18161</v>
      </c>
      <c r="AF192" s="56">
        <v>8137</v>
      </c>
      <c r="AG192" s="41">
        <v>0</v>
      </c>
      <c r="AH192" s="67"/>
      <c r="AI192" s="28"/>
      <c r="AJ192" s="40"/>
      <c r="AM192" s="138" t="s">
        <v>122</v>
      </c>
      <c r="AN192" s="212">
        <v>0</v>
      </c>
      <c r="AO192" s="141">
        <v>17</v>
      </c>
      <c r="AP192" s="138"/>
      <c r="AQ192" s="141"/>
      <c r="AR192" s="28"/>
      <c r="AS192" s="43"/>
      <c r="AT192" s="43"/>
      <c r="AU192" s="43"/>
      <c r="AV192" s="141"/>
      <c r="AY192" s="134" t="s">
        <v>133</v>
      </c>
      <c r="AZ192" s="240">
        <v>4</v>
      </c>
      <c r="BA192" s="135">
        <v>11</v>
      </c>
      <c r="BB192" s="134"/>
      <c r="BC192" s="243"/>
      <c r="BD192" s="381"/>
      <c r="BE192" s="135"/>
      <c r="BF192" s="136"/>
      <c r="BG192" s="134" t="s">
        <v>140</v>
      </c>
      <c r="BH192" s="135"/>
      <c r="BI192" s="136"/>
      <c r="BJ192" s="28"/>
    </row>
    <row r="193" spans="1:62" x14ac:dyDescent="0.3">
      <c r="A193" s="195" t="s">
        <v>84</v>
      </c>
      <c r="B193" s="135">
        <v>3578</v>
      </c>
      <c r="C193" s="241">
        <v>3226</v>
      </c>
      <c r="D193" s="134">
        <v>0</v>
      </c>
      <c r="E193" s="395">
        <v>0</v>
      </c>
      <c r="F193" s="136">
        <v>0</v>
      </c>
      <c r="G193" s="134"/>
      <c r="H193" s="278"/>
      <c r="I193" s="135"/>
      <c r="J193" s="136"/>
      <c r="Y193" s="68" t="s">
        <v>105</v>
      </c>
      <c r="Z193" s="42"/>
      <c r="AA193" s="40"/>
      <c r="AB193" s="42">
        <v>0</v>
      </c>
      <c r="AC193" s="43">
        <v>0</v>
      </c>
      <c r="AD193" s="40">
        <v>0</v>
      </c>
      <c r="AE193" s="42">
        <v>16081</v>
      </c>
      <c r="AF193" s="40">
        <v>0</v>
      </c>
      <c r="AG193" s="41">
        <v>0</v>
      </c>
      <c r="AH193" s="42"/>
      <c r="AI193" s="28"/>
      <c r="AJ193" s="40"/>
      <c r="AM193" s="138" t="s">
        <v>132</v>
      </c>
      <c r="AN193" s="212">
        <v>0</v>
      </c>
      <c r="AO193" s="141">
        <v>3</v>
      </c>
      <c r="AP193" s="138"/>
      <c r="AQ193" s="141"/>
      <c r="AR193" s="28"/>
      <c r="AS193" s="43"/>
      <c r="AT193" s="43"/>
      <c r="AU193" s="43"/>
      <c r="AV193" s="141"/>
      <c r="AY193" s="138" t="s">
        <v>113</v>
      </c>
      <c r="AZ193" s="212">
        <v>22</v>
      </c>
      <c r="BA193" s="43">
        <v>33</v>
      </c>
      <c r="BB193" s="138"/>
      <c r="BC193" s="43"/>
      <c r="BD193" s="141"/>
      <c r="BE193" s="43"/>
      <c r="BF193" s="141"/>
      <c r="BG193" s="138"/>
      <c r="BH193" s="28"/>
      <c r="BI193" s="141"/>
      <c r="BJ193" s="28"/>
    </row>
    <row r="194" spans="1:62" x14ac:dyDescent="0.3">
      <c r="A194" s="199"/>
      <c r="B194" s="143"/>
      <c r="C194" s="143"/>
      <c r="D194" s="142"/>
      <c r="E194" s="143"/>
      <c r="F194" s="146"/>
      <c r="G194" s="142"/>
      <c r="H194" s="244"/>
      <c r="I194" s="224"/>
      <c r="J194" s="146">
        <v>36</v>
      </c>
      <c r="Y194" s="68" t="s">
        <v>108</v>
      </c>
      <c r="Z194" s="42"/>
      <c r="AA194" s="40">
        <v>0</v>
      </c>
      <c r="AB194" s="42">
        <v>0</v>
      </c>
      <c r="AC194" s="43">
        <v>0</v>
      </c>
      <c r="AD194" s="40">
        <v>0</v>
      </c>
      <c r="AE194" s="42">
        <v>5474</v>
      </c>
      <c r="AF194" s="40">
        <v>24458</v>
      </c>
      <c r="AG194" s="41">
        <v>0</v>
      </c>
      <c r="AH194" s="42"/>
      <c r="AI194" s="28"/>
      <c r="AJ194" s="40"/>
      <c r="AM194" s="138" t="s">
        <v>230</v>
      </c>
      <c r="AN194" s="138">
        <v>7</v>
      </c>
      <c r="AO194" s="141">
        <v>3</v>
      </c>
      <c r="AP194" s="138"/>
      <c r="AQ194" s="141"/>
      <c r="AR194" s="28"/>
      <c r="AS194" s="220"/>
      <c r="AT194" s="43"/>
      <c r="AU194" s="371"/>
      <c r="AV194" s="141"/>
      <c r="AY194" s="138" t="s">
        <v>1530</v>
      </c>
      <c r="AZ194" s="212">
        <v>0</v>
      </c>
      <c r="BA194" s="43">
        <v>0</v>
      </c>
      <c r="BB194" s="138"/>
      <c r="BC194" s="43"/>
      <c r="BD194" s="141"/>
      <c r="BE194" s="43"/>
      <c r="BF194" s="141"/>
      <c r="BG194" s="138"/>
      <c r="BH194" s="28"/>
      <c r="BI194" s="141"/>
      <c r="BJ194" s="28"/>
    </row>
    <row r="195" spans="1:62" ht="15" thickBot="1" x14ac:dyDescent="0.35">
      <c r="A195" s="46" t="s">
        <v>84</v>
      </c>
      <c r="B195" s="396">
        <v>37335</v>
      </c>
      <c r="C195" s="49">
        <v>38839</v>
      </c>
      <c r="D195" s="397">
        <v>0</v>
      </c>
      <c r="E195" s="202">
        <v>3819</v>
      </c>
      <c r="F195" s="398">
        <v>0</v>
      </c>
      <c r="G195" s="47">
        <v>8</v>
      </c>
      <c r="H195" s="47"/>
      <c r="I195" s="48"/>
      <c r="J195" s="49">
        <v>376</v>
      </c>
      <c r="Y195" s="68" t="s">
        <v>445</v>
      </c>
      <c r="Z195" s="42"/>
      <c r="AA195" s="40"/>
      <c r="AB195" s="42">
        <v>0</v>
      </c>
      <c r="AC195" s="43">
        <v>0</v>
      </c>
      <c r="AD195" s="40">
        <v>0</v>
      </c>
      <c r="AE195" s="42">
        <v>14109</v>
      </c>
      <c r="AF195" s="40">
        <v>0</v>
      </c>
      <c r="AG195" s="41">
        <v>0</v>
      </c>
      <c r="AH195" s="42"/>
      <c r="AI195" s="28"/>
      <c r="AJ195" s="40"/>
      <c r="AM195" s="134" t="s">
        <v>84</v>
      </c>
      <c r="AN195" s="134">
        <v>175</v>
      </c>
      <c r="AO195" s="136">
        <v>210</v>
      </c>
      <c r="AP195" s="142"/>
      <c r="AQ195" s="146"/>
      <c r="AR195" s="143"/>
      <c r="AS195" s="224"/>
      <c r="AT195" s="224"/>
      <c r="AU195" s="143"/>
      <c r="AV195" s="146">
        <v>115</v>
      </c>
      <c r="AY195" s="138" t="s">
        <v>218</v>
      </c>
      <c r="AZ195" s="212">
        <v>1</v>
      </c>
      <c r="BA195" s="43">
        <v>5</v>
      </c>
      <c r="BB195" s="382"/>
      <c r="BC195" s="43"/>
      <c r="BD195" s="141"/>
      <c r="BE195" s="43"/>
      <c r="BF195" s="141"/>
      <c r="BG195" s="212" t="s">
        <v>142</v>
      </c>
      <c r="BH195" s="43"/>
      <c r="BI195" s="209" t="s">
        <v>1600</v>
      </c>
      <c r="BJ195" s="28"/>
    </row>
    <row r="196" spans="1:62" ht="15" thickBot="1" x14ac:dyDescent="0.35">
      <c r="Y196" s="68"/>
      <c r="Z196" s="42"/>
      <c r="AA196" s="40"/>
      <c r="AB196" s="42">
        <v>0</v>
      </c>
      <c r="AC196" s="43">
        <v>0</v>
      </c>
      <c r="AD196" s="40">
        <v>0</v>
      </c>
      <c r="AE196" s="42"/>
      <c r="AF196" s="40">
        <v>0</v>
      </c>
      <c r="AG196" s="41">
        <v>0</v>
      </c>
      <c r="AH196" s="42"/>
      <c r="AI196" s="28"/>
      <c r="AJ196" s="40"/>
      <c r="AM196" s="171" t="s">
        <v>84</v>
      </c>
      <c r="AN196" s="171">
        <v>1674</v>
      </c>
      <c r="AO196" s="172">
        <v>1828</v>
      </c>
      <c r="AP196" s="47"/>
      <c r="AQ196" s="49"/>
      <c r="AR196" s="48"/>
      <c r="AS196" s="48"/>
      <c r="AT196" s="48"/>
      <c r="AU196" s="48"/>
      <c r="AV196" s="49">
        <v>296</v>
      </c>
      <c r="AY196" s="138" t="s">
        <v>214</v>
      </c>
      <c r="AZ196" s="212">
        <v>0</v>
      </c>
      <c r="BA196" s="43">
        <v>0</v>
      </c>
      <c r="BB196" s="268"/>
      <c r="BC196" s="255"/>
      <c r="BD196" s="141"/>
      <c r="BE196" s="43"/>
      <c r="BF196" s="141"/>
      <c r="BG196" s="212" t="s">
        <v>146</v>
      </c>
      <c r="BH196" s="43"/>
      <c r="BI196" s="372" t="s">
        <v>2232</v>
      </c>
      <c r="BJ196" s="28"/>
    </row>
    <row r="197" spans="1:62" ht="15" thickBot="1" x14ac:dyDescent="0.35">
      <c r="V197" s="184"/>
      <c r="Y197" s="68" t="s">
        <v>84</v>
      </c>
      <c r="Z197" s="47"/>
      <c r="AA197" s="49"/>
      <c r="AB197" s="72">
        <v>0</v>
      </c>
      <c r="AC197" s="51">
        <v>0</v>
      </c>
      <c r="AD197" s="73">
        <v>0</v>
      </c>
      <c r="AE197" s="47">
        <v>104718</v>
      </c>
      <c r="AF197" s="49">
        <v>71987</v>
      </c>
      <c r="AG197" s="46">
        <v>0</v>
      </c>
      <c r="AH197" s="72"/>
      <c r="AI197" s="48"/>
      <c r="AJ197" s="49">
        <v>12</v>
      </c>
      <c r="AM197" s="28"/>
      <c r="AN197" s="28"/>
      <c r="AO197" s="28"/>
      <c r="AP197" s="28"/>
      <c r="AQ197" s="28"/>
      <c r="AR197" s="28"/>
      <c r="AS197" s="43"/>
      <c r="AT197" s="43"/>
      <c r="AU197" s="28"/>
      <c r="AV197" s="28"/>
      <c r="AY197" s="138" t="s">
        <v>93</v>
      </c>
      <c r="AZ197" s="212">
        <v>0</v>
      </c>
      <c r="BA197" s="43">
        <v>0</v>
      </c>
      <c r="BB197" s="268"/>
      <c r="BC197" s="43"/>
      <c r="BD197" s="141"/>
      <c r="BE197" s="43"/>
      <c r="BF197" s="141"/>
      <c r="BG197" s="212"/>
      <c r="BH197" s="43"/>
      <c r="BI197" s="209"/>
      <c r="BJ197" s="28"/>
    </row>
    <row r="198" spans="1:62" x14ac:dyDescent="0.3">
      <c r="Y198" s="32"/>
      <c r="Z198" s="33"/>
      <c r="AA198" s="35"/>
      <c r="AB198" s="33"/>
      <c r="AC198" s="123"/>
      <c r="AD198" s="35"/>
      <c r="AE198" s="33"/>
      <c r="AF198" s="35"/>
      <c r="AG198" s="32"/>
      <c r="AH198" s="33" t="s">
        <v>1326</v>
      </c>
      <c r="AI198" s="34"/>
      <c r="AJ198" s="35"/>
      <c r="AM198" s="28"/>
      <c r="AN198" s="28"/>
      <c r="AO198" s="28"/>
      <c r="AP198" s="28"/>
      <c r="AQ198" s="28"/>
      <c r="AR198" s="28"/>
      <c r="AS198" s="220"/>
      <c r="AT198" s="220"/>
      <c r="AU198" s="28"/>
      <c r="AV198" s="28"/>
      <c r="AY198" s="138" t="s">
        <v>467</v>
      </c>
      <c r="AZ198" s="212">
        <v>2</v>
      </c>
      <c r="BA198" s="43">
        <v>0</v>
      </c>
      <c r="BB198" s="268"/>
      <c r="BC198" s="43"/>
      <c r="BD198" s="141"/>
      <c r="BE198" s="43"/>
      <c r="BF198" s="141"/>
      <c r="BG198" s="212" t="s">
        <v>151</v>
      </c>
      <c r="BH198" s="43" t="s">
        <v>2301</v>
      </c>
      <c r="BI198" s="209"/>
      <c r="BJ198" s="28"/>
    </row>
    <row r="199" spans="1:62" x14ac:dyDescent="0.3">
      <c r="Y199" s="41" t="s">
        <v>102</v>
      </c>
      <c r="Z199" s="42">
        <v>193</v>
      </c>
      <c r="AA199" s="40">
        <v>162</v>
      </c>
      <c r="AB199" s="67">
        <v>0</v>
      </c>
      <c r="AC199" s="43">
        <v>0</v>
      </c>
      <c r="AD199" s="56">
        <v>0</v>
      </c>
      <c r="AE199" s="42"/>
      <c r="AF199" s="40"/>
      <c r="AG199" s="41">
        <v>0</v>
      </c>
      <c r="AH199" s="43">
        <v>1</v>
      </c>
      <c r="AI199" s="28" t="s">
        <v>145</v>
      </c>
      <c r="AJ199" s="40"/>
      <c r="AM199" s="28"/>
      <c r="AN199" s="28"/>
      <c r="AO199" s="28"/>
      <c r="AP199" s="28"/>
      <c r="AQ199" s="28"/>
      <c r="AR199" s="28"/>
      <c r="AS199" s="43"/>
      <c r="AT199" s="43"/>
      <c r="AU199" s="28"/>
      <c r="AV199" s="28"/>
      <c r="AY199" s="138" t="s">
        <v>169</v>
      </c>
      <c r="AZ199" s="212">
        <v>0</v>
      </c>
      <c r="BA199" s="43">
        <v>5</v>
      </c>
      <c r="BB199" s="268"/>
      <c r="BC199" s="43"/>
      <c r="BD199" s="141"/>
      <c r="BE199" s="43"/>
      <c r="BF199" s="141"/>
      <c r="BG199" s="333" t="s">
        <v>802</v>
      </c>
      <c r="BH199" s="220" t="s">
        <v>600</v>
      </c>
      <c r="BI199" s="209"/>
      <c r="BJ199" s="28"/>
    </row>
    <row r="200" spans="1:62" ht="15" thickBot="1" x14ac:dyDescent="0.35">
      <c r="Y200" s="399" t="s">
        <v>84</v>
      </c>
      <c r="Z200" s="278">
        <v>193</v>
      </c>
      <c r="AA200" s="279">
        <v>162</v>
      </c>
      <c r="AB200" s="278">
        <v>0</v>
      </c>
      <c r="AC200" s="135">
        <v>0</v>
      </c>
      <c r="AD200" s="279">
        <v>0</v>
      </c>
      <c r="AE200" s="278"/>
      <c r="AF200" s="279"/>
      <c r="AG200" s="314">
        <v>0</v>
      </c>
      <c r="AH200" s="400">
        <v>3</v>
      </c>
      <c r="AI200" s="135" t="s">
        <v>141</v>
      </c>
      <c r="AJ200" s="136">
        <v>4</v>
      </c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Y200" s="138" t="s">
        <v>139</v>
      </c>
      <c r="AZ200" s="212">
        <v>1</v>
      </c>
      <c r="BA200" s="43">
        <v>10</v>
      </c>
      <c r="BB200" s="268"/>
      <c r="BC200" s="43"/>
      <c r="BD200" s="141"/>
      <c r="BE200" s="43"/>
      <c r="BF200" s="141"/>
      <c r="BG200" s="212" t="s">
        <v>462</v>
      </c>
      <c r="BH200" s="43" t="s">
        <v>912</v>
      </c>
      <c r="BI200" s="209"/>
      <c r="BJ200" s="28"/>
    </row>
    <row r="201" spans="1:62" ht="15" thickBot="1" x14ac:dyDescent="0.35">
      <c r="Y201" s="254" t="s">
        <v>84</v>
      </c>
      <c r="Z201" s="171">
        <v>2193</v>
      </c>
      <c r="AA201" s="172">
        <v>2463</v>
      </c>
      <c r="AB201" s="271">
        <v>0</v>
      </c>
      <c r="AC201" s="170">
        <v>0</v>
      </c>
      <c r="AD201" s="172">
        <v>0</v>
      </c>
      <c r="AE201" s="171">
        <v>130162</v>
      </c>
      <c r="AF201" s="172">
        <v>75177</v>
      </c>
      <c r="AG201" s="254">
        <v>0</v>
      </c>
      <c r="AH201" s="291"/>
      <c r="AI201" s="170"/>
      <c r="AJ201" s="172">
        <v>46</v>
      </c>
      <c r="AS201" s="43"/>
      <c r="AT201" s="43"/>
      <c r="AU201" s="43"/>
      <c r="AV201" s="28"/>
      <c r="AY201" s="138" t="s">
        <v>526</v>
      </c>
      <c r="AZ201" s="212">
        <v>8</v>
      </c>
      <c r="BA201" s="43">
        <v>8</v>
      </c>
      <c r="BB201" s="268"/>
      <c r="BC201" s="43"/>
      <c r="BD201" s="141"/>
      <c r="BE201" s="43"/>
      <c r="BF201" s="141"/>
      <c r="BG201" s="212" t="s">
        <v>2302</v>
      </c>
      <c r="BH201" s="43" t="s">
        <v>366</v>
      </c>
      <c r="BI201" s="209"/>
      <c r="BJ201" s="28"/>
    </row>
    <row r="202" spans="1:62" ht="15.6" x14ac:dyDescent="0.3">
      <c r="Y202" s="43"/>
      <c r="Z202" s="28"/>
      <c r="AA202" s="28"/>
      <c r="AB202" s="28"/>
      <c r="AC202" s="43"/>
      <c r="AD202" s="28"/>
      <c r="AE202" s="28"/>
      <c r="AF202" s="28"/>
      <c r="AG202" s="28"/>
      <c r="AH202" s="28"/>
      <c r="AI202" s="28"/>
      <c r="AJ202" s="28"/>
      <c r="AO202" s="229"/>
      <c r="AS202" s="28"/>
      <c r="AT202" s="43"/>
      <c r="AU202" s="43"/>
      <c r="AV202" s="28"/>
      <c r="AY202" s="138" t="s">
        <v>1028</v>
      </c>
      <c r="AZ202" s="212">
        <v>0</v>
      </c>
      <c r="BA202" s="43">
        <v>2</v>
      </c>
      <c r="BB202" s="268"/>
      <c r="BC202" s="270"/>
      <c r="BD202" s="141"/>
      <c r="BE202" s="43"/>
      <c r="BF202" s="141"/>
      <c r="BG202" s="212" t="s">
        <v>660</v>
      </c>
      <c r="BH202" s="258" t="s">
        <v>824</v>
      </c>
      <c r="BI202" s="209"/>
      <c r="BJ202" s="28"/>
    </row>
    <row r="203" spans="1:62" ht="15.6" x14ac:dyDescent="0.3">
      <c r="Y203" s="28"/>
      <c r="Z203" s="28"/>
      <c r="AA203" s="28"/>
      <c r="AB203" s="28"/>
      <c r="AC203" s="43"/>
      <c r="AD203" s="28"/>
      <c r="AE203" s="28"/>
      <c r="AF203" s="28"/>
      <c r="AG203" s="28"/>
      <c r="AH203" s="28"/>
      <c r="AI203" s="28"/>
      <c r="AJ203" s="28"/>
      <c r="AS203" s="43"/>
      <c r="AT203" s="43"/>
      <c r="AU203" s="43"/>
      <c r="AV203" s="28"/>
      <c r="AY203" s="138" t="s">
        <v>523</v>
      </c>
      <c r="AZ203" s="212">
        <v>2</v>
      </c>
      <c r="BA203" s="43" t="s">
        <v>6</v>
      </c>
      <c r="BB203" s="268"/>
      <c r="BC203" s="43"/>
      <c r="BD203" s="141"/>
      <c r="BE203" s="43"/>
      <c r="BF203" s="141"/>
      <c r="BG203" s="212" t="s">
        <v>264</v>
      </c>
      <c r="BH203" s="258" t="s">
        <v>582</v>
      </c>
      <c r="BI203" s="209"/>
      <c r="BJ203" s="28"/>
    </row>
    <row r="204" spans="1:62" x14ac:dyDescent="0.3">
      <c r="Y204" s="28"/>
      <c r="Z204" s="28"/>
      <c r="AA204" s="28"/>
      <c r="AB204" s="43"/>
      <c r="AC204" s="43"/>
      <c r="AD204" s="43"/>
      <c r="AE204" s="28"/>
      <c r="AF204" s="28"/>
      <c r="AG204" s="28"/>
      <c r="AH204" s="43"/>
      <c r="AI204" s="28"/>
      <c r="AJ204" s="28"/>
      <c r="AS204" s="43"/>
      <c r="AT204" s="28"/>
      <c r="AU204" s="28"/>
      <c r="AV204" s="28"/>
      <c r="AY204" s="138" t="s">
        <v>200</v>
      </c>
      <c r="AZ204" s="212">
        <v>5</v>
      </c>
      <c r="BA204" s="43">
        <v>6</v>
      </c>
      <c r="BB204" s="268"/>
      <c r="BC204" s="43"/>
      <c r="BD204" s="141"/>
      <c r="BE204" s="43"/>
      <c r="BF204" s="141"/>
      <c r="BG204" s="212" t="s">
        <v>943</v>
      </c>
      <c r="BH204" s="228" t="s">
        <v>310</v>
      </c>
      <c r="BI204" s="209"/>
      <c r="BJ204" s="28"/>
    </row>
    <row r="205" spans="1:62" ht="15.6" x14ac:dyDescent="0.3">
      <c r="Y205" s="28"/>
      <c r="Z205" s="28"/>
      <c r="AA205" s="28"/>
      <c r="AB205" s="28"/>
      <c r="AC205" s="28"/>
      <c r="AD205" s="28"/>
      <c r="AE205" s="28"/>
      <c r="AF205" s="28"/>
      <c r="AG205" s="28"/>
      <c r="AH205" s="43"/>
      <c r="AI205" s="28"/>
      <c r="AJ205" s="28"/>
      <c r="AS205" s="43"/>
      <c r="AT205" s="28"/>
      <c r="AU205" s="28"/>
      <c r="AV205" s="28"/>
      <c r="AY205" s="138" t="s">
        <v>99</v>
      </c>
      <c r="AZ205" s="212">
        <v>0</v>
      </c>
      <c r="BA205" s="43">
        <v>2</v>
      </c>
      <c r="BB205" s="268"/>
      <c r="BC205" s="270"/>
      <c r="BD205" s="141"/>
      <c r="BE205" s="43"/>
      <c r="BF205" s="141"/>
      <c r="BG205" s="212" t="s">
        <v>510</v>
      </c>
      <c r="BH205" s="258" t="s">
        <v>2303</v>
      </c>
      <c r="BI205" s="141"/>
      <c r="BJ205" s="28"/>
    </row>
    <row r="206" spans="1:62" x14ac:dyDescent="0.3">
      <c r="Y206" s="28"/>
      <c r="Z206" s="28"/>
      <c r="AA206" s="28"/>
      <c r="AB206" s="43"/>
      <c r="AC206" s="28"/>
      <c r="AD206" s="28"/>
      <c r="AE206" s="28"/>
      <c r="AF206" s="28"/>
      <c r="AG206" s="28"/>
      <c r="AH206" s="43"/>
      <c r="AI206" s="28"/>
      <c r="AJ206" s="28"/>
      <c r="AQ206" s="28"/>
      <c r="AS206" s="43"/>
      <c r="AT206" s="28"/>
      <c r="AU206" s="28"/>
      <c r="AV206" s="28"/>
      <c r="AY206" s="138" t="s">
        <v>211</v>
      </c>
      <c r="AZ206" s="212">
        <v>0</v>
      </c>
      <c r="BA206" s="43">
        <v>0</v>
      </c>
      <c r="BB206" s="268"/>
      <c r="BC206" s="270"/>
      <c r="BD206" s="141"/>
      <c r="BE206" s="43"/>
      <c r="BF206" s="141"/>
      <c r="BG206" s="212" t="s">
        <v>1436</v>
      </c>
      <c r="BH206" s="43"/>
      <c r="BI206" s="209"/>
      <c r="BJ206" s="28"/>
    </row>
    <row r="207" spans="1:62" x14ac:dyDescent="0.3">
      <c r="AQ207" s="28"/>
      <c r="AS207" s="43"/>
      <c r="AT207" s="43"/>
      <c r="AU207" s="43"/>
      <c r="AV207" s="28"/>
      <c r="AY207" s="138" t="s">
        <v>64</v>
      </c>
      <c r="AZ207" s="212">
        <v>0</v>
      </c>
      <c r="BA207" s="43">
        <v>0</v>
      </c>
      <c r="BB207" s="268"/>
      <c r="BC207" s="270"/>
      <c r="BD207" s="141"/>
      <c r="BE207" s="43"/>
      <c r="BF207" s="141"/>
      <c r="BG207" s="212" t="s">
        <v>937</v>
      </c>
      <c r="BH207" s="43"/>
      <c r="BI207" s="209"/>
      <c r="BJ207" s="28"/>
    </row>
    <row r="208" spans="1:62" ht="15.6" x14ac:dyDescent="0.3">
      <c r="AE208" s="28"/>
      <c r="AO208" s="28"/>
      <c r="AQ208" s="28"/>
      <c r="AS208" s="43"/>
      <c r="AT208" s="28"/>
      <c r="AU208" s="28"/>
      <c r="AV208" s="28"/>
      <c r="AY208" s="374" t="s">
        <v>164</v>
      </c>
      <c r="AZ208" s="212">
        <v>0</v>
      </c>
      <c r="BA208" s="43">
        <v>0</v>
      </c>
      <c r="BB208" s="268"/>
      <c r="BC208" s="270"/>
      <c r="BD208" s="141"/>
      <c r="BE208" s="43"/>
      <c r="BF208" s="141"/>
      <c r="BG208" s="212" t="s">
        <v>609</v>
      </c>
      <c r="BH208" s="258"/>
      <c r="BI208" s="373"/>
      <c r="BJ208" s="28"/>
    </row>
    <row r="209" spans="25:62" ht="15.6" x14ac:dyDescent="0.3">
      <c r="AO209" s="28"/>
      <c r="AQ209" s="28"/>
      <c r="AY209" s="138" t="s">
        <v>862</v>
      </c>
      <c r="AZ209" s="212">
        <v>0</v>
      </c>
      <c r="BA209" s="43">
        <v>0</v>
      </c>
      <c r="BB209" s="268"/>
      <c r="BC209" s="270"/>
      <c r="BD209" s="141"/>
      <c r="BE209" s="43"/>
      <c r="BF209" s="141" t="s">
        <v>6</v>
      </c>
      <c r="BG209" s="138" t="s">
        <v>1098</v>
      </c>
      <c r="BH209" s="258"/>
      <c r="BI209" s="209"/>
      <c r="BJ209" s="28"/>
    </row>
    <row r="210" spans="25:62" x14ac:dyDescent="0.3"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O210" s="28"/>
      <c r="AQ210" s="28"/>
      <c r="AY210" s="138" t="s">
        <v>174</v>
      </c>
      <c r="AZ210" s="212">
        <v>0</v>
      </c>
      <c r="BA210" s="43">
        <v>0</v>
      </c>
      <c r="BB210" s="268"/>
      <c r="BC210" s="270"/>
      <c r="BD210" s="141"/>
      <c r="BE210" s="43"/>
      <c r="BF210" s="141" t="s">
        <v>150</v>
      </c>
      <c r="BG210" s="138"/>
      <c r="BH210" s="228"/>
      <c r="BI210" s="213"/>
      <c r="BJ210" s="28"/>
    </row>
    <row r="211" spans="25:62" ht="15.6" x14ac:dyDescent="0.3"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138" t="s">
        <v>1339</v>
      </c>
      <c r="AZ211" s="212">
        <v>0</v>
      </c>
      <c r="BA211" s="43">
        <v>0</v>
      </c>
      <c r="BB211" s="268"/>
      <c r="BC211" s="270"/>
      <c r="BD211" s="141"/>
      <c r="BE211" s="43"/>
      <c r="BF211" s="141"/>
      <c r="BG211" s="138"/>
      <c r="BH211" s="258"/>
      <c r="BI211" s="141"/>
      <c r="BJ211" s="28"/>
    </row>
    <row r="212" spans="25:62" ht="16.2" thickBot="1" x14ac:dyDescent="0.35"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43"/>
      <c r="AX212" s="28"/>
      <c r="AY212" s="138" t="s">
        <v>2046</v>
      </c>
      <c r="AZ212" s="263">
        <v>4</v>
      </c>
      <c r="BA212" s="143">
        <v>0</v>
      </c>
      <c r="BB212" s="375"/>
      <c r="BC212" s="376"/>
      <c r="BD212" s="146"/>
      <c r="BE212" s="224"/>
      <c r="BF212" s="146"/>
      <c r="BG212" s="138"/>
      <c r="BH212" s="258"/>
      <c r="BI212" s="141">
        <v>37</v>
      </c>
      <c r="BJ212" s="28"/>
    </row>
    <row r="213" spans="25:62" ht="15" thickBot="1" x14ac:dyDescent="0.35"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71" t="s">
        <v>84</v>
      </c>
      <c r="AZ213" s="72">
        <v>49</v>
      </c>
      <c r="BA213" s="73">
        <v>82</v>
      </c>
      <c r="BB213" s="48" t="s">
        <v>84</v>
      </c>
      <c r="BC213" s="48">
        <v>0</v>
      </c>
      <c r="BD213" s="48">
        <v>0</v>
      </c>
      <c r="BE213" s="47">
        <v>70944</v>
      </c>
      <c r="BF213" s="49">
        <v>22000</v>
      </c>
      <c r="BG213" s="351"/>
      <c r="BH213" s="170"/>
      <c r="BI213" s="172">
        <v>250</v>
      </c>
      <c r="BJ213" s="28"/>
    </row>
    <row r="214" spans="25:62" x14ac:dyDescent="0.3">
      <c r="Y214" s="28"/>
      <c r="Z214" s="28"/>
      <c r="AA214" s="28"/>
      <c r="AB214" s="43"/>
      <c r="AC214" s="43"/>
      <c r="AD214" s="43"/>
      <c r="AE214" s="28"/>
      <c r="AF214" s="28"/>
      <c r="AG214" s="28"/>
      <c r="AH214" s="28"/>
      <c r="AI214" s="28"/>
      <c r="AJ214" s="28"/>
      <c r="AM214" s="28"/>
      <c r="AN214" s="28"/>
      <c r="AO214" s="28"/>
      <c r="AP214" s="28"/>
      <c r="AQ214" s="28"/>
      <c r="AR214" s="28"/>
      <c r="AS214" s="28"/>
      <c r="AT214" s="28"/>
      <c r="AU214" s="43"/>
      <c r="AV214" s="28"/>
      <c r="AW214" s="28"/>
      <c r="AX214" s="28"/>
      <c r="AY214" s="200" t="s">
        <v>223</v>
      </c>
      <c r="AZ214" s="295">
        <v>7920</v>
      </c>
      <c r="BA214" s="296">
        <v>8079</v>
      </c>
      <c r="BB214" s="297"/>
      <c r="BC214" s="34" t="s">
        <v>1503</v>
      </c>
      <c r="BD214" s="34"/>
      <c r="BE214" s="34"/>
      <c r="BF214" s="34"/>
      <c r="BG214" s="298">
        <v>672</v>
      </c>
      <c r="BH214" s="35"/>
      <c r="BI214" s="35"/>
      <c r="BJ214" s="28"/>
    </row>
    <row r="215" spans="25:62" ht="15" thickBot="1" x14ac:dyDescent="0.35"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M215" s="28"/>
      <c r="AN215" s="28"/>
      <c r="AO215" s="28"/>
      <c r="AP215" s="28"/>
      <c r="AQ215" s="43"/>
      <c r="AR215" s="28"/>
      <c r="AS215" s="28"/>
      <c r="AT215" s="28"/>
      <c r="AU215" s="43"/>
      <c r="AV215" s="43"/>
      <c r="AW215" s="28"/>
      <c r="AX215" s="28"/>
      <c r="AY215" s="138" t="s">
        <v>1340</v>
      </c>
      <c r="AZ215" s="28"/>
      <c r="BA215" s="299"/>
      <c r="BB215" s="47"/>
      <c r="BC215" s="48" t="s">
        <v>1504</v>
      </c>
      <c r="BD215" s="48"/>
      <c r="BE215" s="48"/>
      <c r="BF215" s="48"/>
      <c r="BG215" s="300">
        <v>296</v>
      </c>
      <c r="BH215" s="301">
        <v>968</v>
      </c>
      <c r="BI215" s="40"/>
      <c r="BJ215" s="28"/>
    </row>
    <row r="216" spans="25:62" ht="15" thickBot="1" x14ac:dyDescent="0.35">
      <c r="Y216" s="28"/>
      <c r="Z216" s="28"/>
      <c r="AA216" s="28"/>
      <c r="AB216" s="43"/>
      <c r="AC216" s="43"/>
      <c r="AD216" s="43"/>
      <c r="AE216" s="28"/>
      <c r="AF216" s="28"/>
      <c r="AG216" s="28"/>
      <c r="AH216" s="28"/>
      <c r="AI216" s="28"/>
      <c r="AJ216" s="28"/>
      <c r="AM216" s="43"/>
      <c r="AN216" s="43"/>
      <c r="AO216" s="43"/>
      <c r="AP216" s="28"/>
      <c r="AQ216" s="43"/>
      <c r="AR216" s="28"/>
      <c r="AS216" s="28"/>
      <c r="AT216" s="28"/>
      <c r="AU216" s="43"/>
      <c r="AV216" s="43"/>
      <c r="AW216" s="43"/>
      <c r="AX216" s="28"/>
      <c r="AY216" s="202" t="s">
        <v>229</v>
      </c>
      <c r="AZ216" s="48"/>
      <c r="BA216" s="302">
        <v>2</v>
      </c>
      <c r="BB216" s="28"/>
      <c r="BC216" s="28"/>
      <c r="BD216" s="28"/>
      <c r="BE216" s="28"/>
      <c r="BF216" s="42"/>
      <c r="BG216" s="28"/>
      <c r="BH216" s="42"/>
      <c r="BI216" s="40"/>
      <c r="BJ216" s="28"/>
    </row>
    <row r="217" spans="25:62" x14ac:dyDescent="0.3">
      <c r="Y217" s="28"/>
      <c r="Z217" s="28"/>
      <c r="AA217" s="28"/>
      <c r="AB217" s="43"/>
      <c r="AC217" s="43"/>
      <c r="AD217" s="43"/>
      <c r="AE217" s="28"/>
      <c r="AF217" s="28"/>
      <c r="AG217" s="28"/>
      <c r="AH217" s="43"/>
      <c r="AI217" s="28"/>
      <c r="AJ217" s="28"/>
      <c r="AM217" s="28"/>
      <c r="AN217" s="28"/>
      <c r="AO217" s="28"/>
      <c r="AP217" s="28"/>
      <c r="AQ217" s="28"/>
      <c r="AR217" s="28"/>
      <c r="AS217" s="28"/>
      <c r="AT217" s="28"/>
      <c r="AU217" s="43"/>
      <c r="AV217" s="43"/>
      <c r="AW217" s="28"/>
      <c r="AX217" s="28"/>
      <c r="AY217" s="200" t="s">
        <v>232</v>
      </c>
      <c r="AZ217" s="34"/>
      <c r="BA217" s="303" t="s">
        <v>233</v>
      </c>
      <c r="BB217" s="34"/>
      <c r="BC217" s="298">
        <v>1674</v>
      </c>
      <c r="BD217" s="35"/>
      <c r="BE217" s="33" t="s">
        <v>234</v>
      </c>
      <c r="BF217" s="34"/>
      <c r="BG217" s="34" t="s">
        <v>233</v>
      </c>
      <c r="BH217" s="34"/>
      <c r="BI217" s="304">
        <v>7920</v>
      </c>
      <c r="BJ217" s="28"/>
    </row>
    <row r="218" spans="25:62" ht="15" thickBot="1" x14ac:dyDescent="0.35">
      <c r="Y218" s="28"/>
      <c r="Z218" s="28"/>
      <c r="AA218" s="28"/>
      <c r="AB218" s="43"/>
      <c r="AC218" s="43"/>
      <c r="AD218" s="43"/>
      <c r="AE218" s="28"/>
      <c r="AF218" s="28"/>
      <c r="AG218" s="28"/>
      <c r="AH218" s="43"/>
      <c r="AI218" s="43"/>
      <c r="AJ218" s="28"/>
      <c r="AM218" s="28"/>
      <c r="AN218" s="28"/>
      <c r="AO218" s="28"/>
      <c r="AP218" s="28"/>
      <c r="AQ218" s="28"/>
      <c r="AR218" s="28"/>
      <c r="AS218" s="43"/>
      <c r="AT218" s="43"/>
      <c r="AU218" s="28"/>
      <c r="AV218" s="28"/>
      <c r="AW218" s="28"/>
      <c r="AX218" s="28"/>
      <c r="AY218" s="202"/>
      <c r="AZ218" s="48"/>
      <c r="BA218" s="48" t="s">
        <v>236</v>
      </c>
      <c r="BB218" s="48"/>
      <c r="BC218" s="300">
        <v>1828</v>
      </c>
      <c r="BD218" s="49"/>
      <c r="BE218" s="42"/>
      <c r="BF218" s="28"/>
      <c r="BG218" s="28" t="s">
        <v>236</v>
      </c>
      <c r="BH218" s="28"/>
      <c r="BI218" s="174">
        <v>8079</v>
      </c>
      <c r="BJ218" s="28"/>
    </row>
    <row r="219" spans="25:62" ht="15" thickBot="1" x14ac:dyDescent="0.35">
      <c r="Y219" s="28"/>
      <c r="Z219" s="43"/>
      <c r="AA219" s="28"/>
      <c r="AB219" s="43"/>
      <c r="AC219" s="28"/>
      <c r="AD219" s="28"/>
      <c r="AE219" s="28"/>
      <c r="AF219" s="28"/>
      <c r="AG219" s="28"/>
      <c r="AH219" s="28"/>
      <c r="AI219" s="28"/>
      <c r="AJ219" s="28"/>
      <c r="AM219" s="28"/>
      <c r="AN219" s="43"/>
      <c r="AO219" s="43"/>
      <c r="AP219" s="28"/>
      <c r="AQ219" s="43"/>
      <c r="AR219" s="28"/>
      <c r="AS219" s="43"/>
      <c r="AT219" s="43"/>
      <c r="AU219" s="28"/>
      <c r="AV219" s="28"/>
      <c r="AW219" s="28"/>
      <c r="AX219" s="28"/>
      <c r="AY219" s="210" t="s">
        <v>238</v>
      </c>
      <c r="AZ219" s="170" t="s">
        <v>239</v>
      </c>
      <c r="BA219" s="172"/>
      <c r="BB219" s="171" t="s">
        <v>240</v>
      </c>
      <c r="BC219" s="170" t="s">
        <v>241</v>
      </c>
      <c r="BD219" s="170"/>
      <c r="BE219" s="171"/>
      <c r="BF219" s="170" t="s">
        <v>242</v>
      </c>
      <c r="BG219" s="305" t="s">
        <v>243</v>
      </c>
      <c r="BH219" s="170"/>
      <c r="BI219" s="172"/>
      <c r="BJ219" s="28"/>
    </row>
    <row r="220" spans="25:62" x14ac:dyDescent="0.3">
      <c r="Y220" s="28"/>
      <c r="Z220" s="28"/>
      <c r="AA220" s="28"/>
      <c r="AB220" s="43"/>
      <c r="AC220" s="43"/>
      <c r="AD220" s="43"/>
      <c r="AE220" s="28"/>
      <c r="AF220" s="28"/>
      <c r="AG220" s="28"/>
      <c r="AH220" s="28"/>
      <c r="AI220" s="28"/>
      <c r="AJ220" s="28"/>
      <c r="AM220" s="28"/>
      <c r="AN220" s="43"/>
      <c r="AO220" s="43"/>
      <c r="AP220" s="28"/>
      <c r="AQ220" s="43"/>
      <c r="AR220" s="28"/>
      <c r="AS220" s="43"/>
      <c r="AT220" s="43"/>
      <c r="AU220" s="28"/>
      <c r="AV220" s="43"/>
      <c r="AW220" s="43"/>
      <c r="AX220" s="28"/>
      <c r="AY220" s="200" t="s">
        <v>233</v>
      </c>
      <c r="AZ220" s="34"/>
      <c r="BA220" s="304">
        <v>37335</v>
      </c>
      <c r="BB220" s="306" t="s">
        <v>233</v>
      </c>
      <c r="BC220" s="28"/>
      <c r="BD220" s="174">
        <v>2193</v>
      </c>
      <c r="BE220" s="42" t="s">
        <v>233</v>
      </c>
      <c r="BF220" s="28"/>
      <c r="BG220" s="174">
        <v>10113</v>
      </c>
      <c r="BH220" s="28" t="s">
        <v>245</v>
      </c>
      <c r="BI220" s="174">
        <v>47448</v>
      </c>
      <c r="BJ220" s="28"/>
    </row>
    <row r="221" spans="25:62" ht="15" thickBot="1" x14ac:dyDescent="0.35">
      <c r="Y221" s="28"/>
      <c r="Z221" s="28"/>
      <c r="AA221" s="28"/>
      <c r="AB221" s="43"/>
      <c r="AC221" s="43"/>
      <c r="AD221" s="43"/>
      <c r="AE221" s="28"/>
      <c r="AF221" s="28"/>
      <c r="AG221" s="28"/>
      <c r="AH221" s="43"/>
      <c r="AI221" s="28"/>
      <c r="AJ221" s="28"/>
      <c r="AM221" s="28"/>
      <c r="AN221" s="43"/>
      <c r="AO221" s="43"/>
      <c r="AP221" s="28"/>
      <c r="AQ221" s="43"/>
      <c r="AR221" s="28"/>
      <c r="AS221" s="43"/>
      <c r="AT221" s="43"/>
      <c r="AU221" s="28"/>
      <c r="AV221" s="43"/>
      <c r="AW221" s="43"/>
      <c r="AX221" s="28"/>
      <c r="AY221" s="202" t="s">
        <v>236</v>
      </c>
      <c r="AZ221" s="48"/>
      <c r="BA221" s="301">
        <v>38839</v>
      </c>
      <c r="BB221" s="307" t="s">
        <v>236</v>
      </c>
      <c r="BC221" s="48"/>
      <c r="BD221" s="301">
        <v>2463</v>
      </c>
      <c r="BE221" s="42" t="s">
        <v>236</v>
      </c>
      <c r="BF221" s="28"/>
      <c r="BG221" s="174">
        <v>10542</v>
      </c>
      <c r="BH221" s="28"/>
      <c r="BI221" s="174">
        <v>49381</v>
      </c>
      <c r="BJ221" s="140">
        <v>96829</v>
      </c>
    </row>
    <row r="222" spans="25:62" ht="15" thickBot="1" x14ac:dyDescent="0.35">
      <c r="Y222" s="28"/>
      <c r="Z222" s="28"/>
      <c r="AA222" s="28"/>
      <c r="AB222" s="43"/>
      <c r="AC222" s="43"/>
      <c r="AD222" s="43"/>
      <c r="AE222" s="28"/>
      <c r="AF222" s="28"/>
      <c r="AG222" s="28"/>
      <c r="AH222" s="43"/>
      <c r="AI222" s="43"/>
      <c r="AJ222" s="28"/>
      <c r="AM222" s="28"/>
      <c r="AN222" s="43"/>
      <c r="AO222" s="43"/>
      <c r="AP222" s="28"/>
      <c r="AQ222" s="28"/>
      <c r="AR222" s="28"/>
      <c r="AS222" s="43"/>
      <c r="AT222" s="43"/>
      <c r="AU222" s="28"/>
      <c r="AV222" s="28"/>
      <c r="AW222" s="28"/>
      <c r="AX222" s="28"/>
      <c r="AY222" s="377" t="s">
        <v>1505</v>
      </c>
      <c r="AZ222" s="170"/>
      <c r="BA222" s="272"/>
      <c r="BB222" s="271" t="s">
        <v>1506</v>
      </c>
      <c r="BC222" s="170"/>
      <c r="BD222" s="170"/>
      <c r="BE222" s="171"/>
      <c r="BF222" s="170" t="s">
        <v>1507</v>
      </c>
      <c r="BG222" s="170"/>
      <c r="BH222" s="170"/>
      <c r="BI222" s="308"/>
      <c r="BJ222" s="28"/>
    </row>
    <row r="223" spans="25:62" x14ac:dyDescent="0.3">
      <c r="Y223" s="43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378" t="s">
        <v>43</v>
      </c>
      <c r="AZ223" s="34" t="s">
        <v>44</v>
      </c>
      <c r="BA223" s="309"/>
      <c r="BB223" s="123" t="s">
        <v>43</v>
      </c>
      <c r="BC223" s="123" t="s">
        <v>44</v>
      </c>
      <c r="BD223" s="35"/>
      <c r="BE223" s="34"/>
      <c r="BF223" s="298">
        <v>3819</v>
      </c>
      <c r="BG223" s="298"/>
      <c r="BH223" s="34"/>
      <c r="BI223" s="35"/>
      <c r="BJ223" s="28"/>
    </row>
    <row r="224" spans="25:62" ht="15" thickBot="1" x14ac:dyDescent="0.35"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Y224" s="379">
        <v>144044</v>
      </c>
      <c r="AZ224" s="300">
        <v>97601</v>
      </c>
      <c r="BA224" s="311"/>
      <c r="BB224" s="312">
        <v>73912</v>
      </c>
      <c r="BC224" s="300">
        <v>22135</v>
      </c>
      <c r="BD224" s="49"/>
      <c r="BE224" s="48"/>
      <c r="BF224" s="48"/>
      <c r="BG224" s="48"/>
      <c r="BH224" s="48"/>
      <c r="BI224" s="49"/>
      <c r="BJ224" s="28"/>
    </row>
    <row r="229" spans="1:62" ht="21" x14ac:dyDescent="0.4">
      <c r="B229" s="261"/>
      <c r="C229" s="184"/>
      <c r="E229" s="329" t="s">
        <v>1873</v>
      </c>
      <c r="O229" s="261"/>
      <c r="P229" s="184"/>
      <c r="R229" s="329" t="s">
        <v>1873</v>
      </c>
      <c r="AA229" s="261"/>
      <c r="AB229" s="184"/>
      <c r="AD229" s="329" t="s">
        <v>1873</v>
      </c>
      <c r="AO229" s="261"/>
      <c r="AP229" s="184"/>
      <c r="AR229" s="329" t="s">
        <v>1873</v>
      </c>
      <c r="AY229" s="28"/>
      <c r="AZ229" s="28"/>
      <c r="BA229" s="261"/>
      <c r="BB229" s="184"/>
      <c r="BD229" s="329" t="s">
        <v>1873</v>
      </c>
      <c r="BH229" s="258"/>
      <c r="BI229" s="28"/>
      <c r="BJ229" s="28"/>
    </row>
    <row r="230" spans="1:62" x14ac:dyDescent="0.3">
      <c r="C230" t="s">
        <v>2312</v>
      </c>
      <c r="O230" s="385"/>
      <c r="P230" s="385"/>
      <c r="Q230" s="385" t="s">
        <v>1</v>
      </c>
      <c r="R230" s="385"/>
      <c r="S230" s="385"/>
      <c r="T230" s="385"/>
      <c r="AC230" t="s">
        <v>1444</v>
      </c>
      <c r="AO230" s="408" t="s">
        <v>2187</v>
      </c>
      <c r="AP230" s="408"/>
      <c r="AQ230" s="408"/>
      <c r="AR230" s="408"/>
      <c r="AS230" s="408"/>
      <c r="BC230" t="s">
        <v>1445</v>
      </c>
      <c r="BF230" s="28"/>
      <c r="BG230" s="28"/>
      <c r="BH230" s="28"/>
      <c r="BI230" s="28"/>
      <c r="BJ230" s="28"/>
    </row>
    <row r="231" spans="1:62" x14ac:dyDescent="0.3">
      <c r="D231" t="s">
        <v>2313</v>
      </c>
      <c r="O231" s="385"/>
      <c r="P231" s="385"/>
      <c r="Q231" s="408" t="s">
        <v>1286</v>
      </c>
      <c r="R231" s="408"/>
      <c r="S231" s="408"/>
      <c r="T231" s="385"/>
      <c r="AC231" t="s">
        <v>9</v>
      </c>
      <c r="AP231" s="408" t="s">
        <v>2120</v>
      </c>
      <c r="AQ231" s="408"/>
      <c r="AR231" s="408"/>
      <c r="AS231" s="408"/>
      <c r="AT231" s="408"/>
      <c r="BD231" t="s">
        <v>2</v>
      </c>
      <c r="BF231" s="28"/>
      <c r="BG231" s="28"/>
      <c r="BH231" s="28"/>
      <c r="BI231" s="28"/>
      <c r="BJ231" s="28"/>
    </row>
    <row r="232" spans="1:62" x14ac:dyDescent="0.3">
      <c r="C232" t="s">
        <v>2314</v>
      </c>
      <c r="O232" s="385"/>
      <c r="P232" s="385" t="s">
        <v>1446</v>
      </c>
      <c r="Q232" s="385"/>
      <c r="R232" s="385"/>
      <c r="S232" s="385"/>
      <c r="T232" s="385"/>
      <c r="AC232" t="s">
        <v>11</v>
      </c>
      <c r="AM232" s="408" t="s">
        <v>2288</v>
      </c>
      <c r="AN232" s="408"/>
      <c r="AO232" s="408"/>
      <c r="AP232" s="408"/>
      <c r="AQ232" s="408"/>
      <c r="AR232" s="408"/>
      <c r="AS232" s="408"/>
      <c r="AT232" s="408"/>
      <c r="BB232" t="s">
        <v>1451</v>
      </c>
      <c r="BF232" s="28"/>
      <c r="BG232" s="28"/>
      <c r="BH232" s="28"/>
      <c r="BI232" s="28"/>
      <c r="BJ232" s="28"/>
    </row>
    <row r="233" spans="1:62" x14ac:dyDescent="0.3">
      <c r="A233" s="408"/>
      <c r="B233" s="408"/>
      <c r="C233" s="408"/>
      <c r="D233" s="328" t="s">
        <v>2315</v>
      </c>
      <c r="E233" s="328"/>
      <c r="F233" s="349"/>
      <c r="O233" s="385"/>
      <c r="P233" s="408" t="s">
        <v>2316</v>
      </c>
      <c r="Q233" s="408"/>
      <c r="R233" s="408"/>
      <c r="S233" s="408"/>
      <c r="T233" s="385"/>
      <c r="AB233" s="408" t="s">
        <v>2317</v>
      </c>
      <c r="AC233" s="408"/>
      <c r="AD233" s="408"/>
      <c r="AE233" s="408"/>
      <c r="AF233" s="408"/>
      <c r="AO233" s="408" t="s">
        <v>2318</v>
      </c>
      <c r="AP233" s="408"/>
      <c r="AQ233" s="408"/>
      <c r="AR233" s="408"/>
      <c r="AS233" s="408"/>
      <c r="AT233" s="349"/>
      <c r="BB233" s="408" t="s">
        <v>2319</v>
      </c>
      <c r="BC233" s="408"/>
      <c r="BD233" s="408"/>
      <c r="BE233" s="408"/>
      <c r="BF233" s="408"/>
      <c r="BJ233" s="28"/>
    </row>
    <row r="234" spans="1:62" ht="15" thickBot="1" x14ac:dyDescent="0.35">
      <c r="A234" s="410" t="s">
        <v>2076</v>
      </c>
      <c r="B234" s="410"/>
      <c r="C234" s="410"/>
      <c r="D234" s="410"/>
      <c r="E234" s="410"/>
      <c r="F234" s="410"/>
      <c r="G234" s="410"/>
      <c r="H234" s="410"/>
      <c r="I234" s="368" t="s">
        <v>949</v>
      </c>
      <c r="J234" s="349"/>
      <c r="L234" s="328"/>
      <c r="M234" s="328"/>
      <c r="N234" s="328"/>
      <c r="O234" s="410" t="s">
        <v>2076</v>
      </c>
      <c r="P234" s="410"/>
      <c r="Q234" s="410"/>
      <c r="R234" s="410"/>
      <c r="S234" s="410"/>
      <c r="T234" s="410"/>
      <c r="U234" s="410"/>
      <c r="V234" t="s">
        <v>15</v>
      </c>
      <c r="Y234" s="410" t="s">
        <v>2194</v>
      </c>
      <c r="Z234" s="410"/>
      <c r="AA234" s="410"/>
      <c r="AB234" s="410"/>
      <c r="AC234" s="410"/>
      <c r="AD234" s="410"/>
      <c r="AE234" s="410"/>
      <c r="AF234" s="410"/>
      <c r="AG234" s="410"/>
      <c r="AH234" s="386"/>
      <c r="AI234" s="28" t="s">
        <v>25</v>
      </c>
      <c r="AM234" s="328"/>
      <c r="AN234" s="328"/>
      <c r="AO234" s="328"/>
      <c r="AP234" s="328" t="s">
        <v>2195</v>
      </c>
      <c r="AQ234" s="328"/>
      <c r="AR234" s="328"/>
      <c r="AS234" s="328"/>
      <c r="AT234" s="328"/>
      <c r="AU234" s="328"/>
      <c r="AV234" s="194" t="s">
        <v>951</v>
      </c>
      <c r="AY234" s="349"/>
      <c r="AZ234" s="328"/>
      <c r="BA234" s="328"/>
      <c r="BB234" s="328"/>
      <c r="BC234" s="328" t="s">
        <v>2076</v>
      </c>
      <c r="BD234" s="328"/>
      <c r="BE234" s="328"/>
      <c r="BF234" s="328"/>
      <c r="BG234" s="328"/>
      <c r="BH234" s="328"/>
      <c r="BI234" s="369" t="s">
        <v>950</v>
      </c>
      <c r="BJ234" s="28"/>
    </row>
    <row r="235" spans="1:62" ht="15" thickBot="1" x14ac:dyDescent="0.35">
      <c r="A235" s="32" t="s">
        <v>17</v>
      </c>
      <c r="B235" s="34" t="s">
        <v>18</v>
      </c>
      <c r="C235" s="201"/>
      <c r="D235" s="34" t="s">
        <v>19</v>
      </c>
      <c r="E235" s="34"/>
      <c r="F235" s="34"/>
      <c r="G235" s="200"/>
      <c r="H235" s="33" t="s">
        <v>21</v>
      </c>
      <c r="I235" s="34"/>
      <c r="J235" s="35"/>
      <c r="M235" s="32" t="s">
        <v>17</v>
      </c>
      <c r="N235" s="33" t="s">
        <v>22</v>
      </c>
      <c r="O235" s="34"/>
      <c r="P235" s="34" t="s">
        <v>1452</v>
      </c>
      <c r="Q235" s="34" t="s">
        <v>1453</v>
      </c>
      <c r="R235" s="34"/>
      <c r="S235" s="34"/>
      <c r="T235" s="35"/>
      <c r="U235" s="33" t="s">
        <v>21</v>
      </c>
      <c r="V235" s="35"/>
      <c r="Y235" s="33" t="s">
        <v>34</v>
      </c>
      <c r="Z235" s="200" t="s">
        <v>35</v>
      </c>
      <c r="AA235" s="201"/>
      <c r="AB235" s="34" t="s">
        <v>1454</v>
      </c>
      <c r="AC235" s="34" t="s">
        <v>51</v>
      </c>
      <c r="AD235" s="34"/>
      <c r="AE235" s="200" t="s">
        <v>37</v>
      </c>
      <c r="AF235" s="201" t="s">
        <v>1288</v>
      </c>
      <c r="AG235" s="34" t="s">
        <v>30</v>
      </c>
      <c r="AH235" s="200" t="s">
        <v>38</v>
      </c>
      <c r="AI235" s="34"/>
      <c r="AJ235" s="35"/>
      <c r="AM235" s="134" t="s">
        <v>17</v>
      </c>
      <c r="AN235" s="134" t="s">
        <v>39</v>
      </c>
      <c r="AO235" s="136"/>
      <c r="AP235" s="134" t="s">
        <v>29</v>
      </c>
      <c r="AQ235" s="136" t="s">
        <v>30</v>
      </c>
      <c r="AR235" s="135" t="s">
        <v>40</v>
      </c>
      <c r="AS235" s="135"/>
      <c r="AT235" s="135"/>
      <c r="AU235" s="135"/>
      <c r="AV235" s="136"/>
      <c r="AY235" s="195" t="s">
        <v>17</v>
      </c>
      <c r="AZ235" s="134" t="s">
        <v>27</v>
      </c>
      <c r="BA235" s="135"/>
      <c r="BB235" s="134" t="s">
        <v>2320</v>
      </c>
      <c r="BC235" s="135"/>
      <c r="BD235" s="136"/>
      <c r="BE235" s="134" t="s">
        <v>1459</v>
      </c>
      <c r="BF235" s="136"/>
      <c r="BG235" s="135" t="s">
        <v>31</v>
      </c>
      <c r="BH235" s="135"/>
      <c r="BI235" s="136"/>
      <c r="BJ235" s="28"/>
    </row>
    <row r="236" spans="1:62" ht="15" thickBot="1" x14ac:dyDescent="0.35">
      <c r="A236" s="41" t="s">
        <v>32</v>
      </c>
      <c r="B236" s="28"/>
      <c r="C236" s="141"/>
      <c r="D236" s="28"/>
      <c r="E236" s="28"/>
      <c r="F236" s="28"/>
      <c r="G236" s="138"/>
      <c r="H236" s="42" t="s">
        <v>33</v>
      </c>
      <c r="I236" s="28"/>
      <c r="J236" s="40"/>
      <c r="M236" s="41"/>
      <c r="N236" s="42" t="s">
        <v>1456</v>
      </c>
      <c r="O236" s="28"/>
      <c r="P236" s="28"/>
      <c r="Q236" s="28"/>
      <c r="R236" s="28"/>
      <c r="S236" s="28" t="s">
        <v>1457</v>
      </c>
      <c r="T236" s="40"/>
      <c r="U236" s="42" t="s">
        <v>33</v>
      </c>
      <c r="V236" s="40"/>
      <c r="Y236" s="47" t="s">
        <v>50</v>
      </c>
      <c r="Z236" s="202" t="s">
        <v>43</v>
      </c>
      <c r="AA236" s="48" t="s">
        <v>44</v>
      </c>
      <c r="AB236" s="169" t="s">
        <v>45</v>
      </c>
      <c r="AC236" s="48" t="s">
        <v>46</v>
      </c>
      <c r="AD236" s="48" t="s">
        <v>52</v>
      </c>
      <c r="AE236" s="202" t="s">
        <v>43</v>
      </c>
      <c r="AF236" s="203" t="s">
        <v>44</v>
      </c>
      <c r="AG236" s="48" t="s">
        <v>43</v>
      </c>
      <c r="AH236" s="202" t="s">
        <v>53</v>
      </c>
      <c r="AI236" s="48"/>
      <c r="AJ236" s="49"/>
      <c r="AM236" s="138" t="s">
        <v>42</v>
      </c>
      <c r="AN236" s="138" t="s">
        <v>43</v>
      </c>
      <c r="AO236" s="141" t="s">
        <v>44</v>
      </c>
      <c r="AP236" s="138" t="s">
        <v>43</v>
      </c>
      <c r="AQ236" s="141" t="s">
        <v>44</v>
      </c>
      <c r="AR236" s="28"/>
      <c r="AS236" s="28"/>
      <c r="AT236" s="28"/>
      <c r="AU236" s="28"/>
      <c r="AV236" s="141"/>
      <c r="AY236" s="196"/>
      <c r="AZ236" s="138"/>
      <c r="BA236" s="28"/>
      <c r="BB236" s="138"/>
      <c r="BC236" s="28"/>
      <c r="BD236" s="141"/>
      <c r="BE236" s="138"/>
      <c r="BF236" s="141"/>
      <c r="BG236" s="28" t="s">
        <v>41</v>
      </c>
      <c r="BH236" s="28"/>
      <c r="BI236" s="141"/>
      <c r="BJ236" s="28"/>
    </row>
    <row r="237" spans="1:62" ht="15" thickBot="1" x14ac:dyDescent="0.35">
      <c r="A237" s="46" t="s">
        <v>42</v>
      </c>
      <c r="B237" s="171" t="s">
        <v>43</v>
      </c>
      <c r="C237" s="172" t="s">
        <v>44</v>
      </c>
      <c r="D237" s="170" t="s">
        <v>45</v>
      </c>
      <c r="E237" s="170" t="s">
        <v>46</v>
      </c>
      <c r="F237" s="170" t="s">
        <v>47</v>
      </c>
      <c r="G237" s="254" t="s">
        <v>1460</v>
      </c>
      <c r="H237" s="47" t="s">
        <v>49</v>
      </c>
      <c r="I237" s="48"/>
      <c r="J237" s="49"/>
      <c r="M237" s="46" t="s">
        <v>50</v>
      </c>
      <c r="N237" s="47" t="s">
        <v>43</v>
      </c>
      <c r="O237" s="48" t="s">
        <v>44</v>
      </c>
      <c r="P237" s="171" t="s">
        <v>51</v>
      </c>
      <c r="Q237" s="170" t="s">
        <v>43</v>
      </c>
      <c r="R237" s="172" t="s">
        <v>44</v>
      </c>
      <c r="S237" s="48" t="s">
        <v>43</v>
      </c>
      <c r="T237" s="49" t="s">
        <v>44</v>
      </c>
      <c r="U237" s="47" t="s">
        <v>49</v>
      </c>
      <c r="V237" s="49"/>
      <c r="Y237" s="33"/>
      <c r="Z237" s="33"/>
      <c r="AA237" s="35"/>
      <c r="AB237" s="34"/>
      <c r="AC237" s="34"/>
      <c r="AD237" s="34"/>
      <c r="AE237" s="33"/>
      <c r="AF237" s="35"/>
      <c r="AG237" s="32"/>
      <c r="AH237" s="33" t="s">
        <v>62</v>
      </c>
      <c r="AI237" s="34"/>
      <c r="AJ237" s="35"/>
      <c r="AM237" s="134"/>
      <c r="AN237" s="134"/>
      <c r="AO237" s="136"/>
      <c r="AP237" s="134"/>
      <c r="AQ237" s="136"/>
      <c r="AR237" s="135"/>
      <c r="AS237" s="135" t="s">
        <v>91</v>
      </c>
      <c r="AT237" s="135"/>
      <c r="AU237" s="135"/>
      <c r="AV237" s="136"/>
      <c r="AY237" s="199" t="s">
        <v>42</v>
      </c>
      <c r="AZ237" s="142" t="s">
        <v>43</v>
      </c>
      <c r="BA237" s="143" t="s">
        <v>44</v>
      </c>
      <c r="BB237" s="142" t="s">
        <v>45</v>
      </c>
      <c r="BC237" s="143" t="s">
        <v>46</v>
      </c>
      <c r="BD237" s="146" t="s">
        <v>52</v>
      </c>
      <c r="BE237" s="142" t="s">
        <v>43</v>
      </c>
      <c r="BF237" s="146" t="s">
        <v>44</v>
      </c>
      <c r="BG237" s="143" t="s">
        <v>54</v>
      </c>
      <c r="BH237" s="143"/>
      <c r="BI237" s="146"/>
      <c r="BJ237" s="28"/>
    </row>
    <row r="238" spans="1:62" x14ac:dyDescent="0.3">
      <c r="A238" s="42"/>
      <c r="B238" s="138"/>
      <c r="C238" s="141"/>
      <c r="D238" s="138"/>
      <c r="E238" s="28"/>
      <c r="F238" s="28"/>
      <c r="G238" s="138"/>
      <c r="H238" s="33"/>
      <c r="I238" s="34"/>
      <c r="J238" s="35"/>
      <c r="M238" s="42"/>
      <c r="N238" s="138"/>
      <c r="O238" s="196"/>
      <c r="P238" s="138"/>
      <c r="Q238" s="196"/>
      <c r="R238" s="141"/>
      <c r="S238" s="138"/>
      <c r="T238" s="138"/>
      <c r="U238" s="33"/>
      <c r="V238" s="35"/>
      <c r="Y238" s="42"/>
      <c r="Z238" s="42"/>
      <c r="AA238" s="40"/>
      <c r="AB238" s="28"/>
      <c r="AC238" s="28"/>
      <c r="AD238" s="28"/>
      <c r="AE238" s="42"/>
      <c r="AF238" s="40"/>
      <c r="AG238" s="41"/>
      <c r="AH238" s="42">
        <v>1</v>
      </c>
      <c r="AI238" s="28" t="s">
        <v>1290</v>
      </c>
      <c r="AJ238" s="40"/>
      <c r="AM238" s="138"/>
      <c r="AN238" s="138"/>
      <c r="AO238" s="141"/>
      <c r="AP238" s="138"/>
      <c r="AQ238" s="141"/>
      <c r="AR238" s="28"/>
      <c r="AS238" s="43">
        <v>62</v>
      </c>
      <c r="AT238" s="28" t="s">
        <v>1026</v>
      </c>
      <c r="AU238" s="43"/>
      <c r="AV238" s="141"/>
      <c r="AY238" s="195"/>
      <c r="AZ238" s="134"/>
      <c r="BA238" s="136"/>
      <c r="BB238" s="134"/>
      <c r="BC238" s="135"/>
      <c r="BD238" s="136"/>
      <c r="BE238" s="134"/>
      <c r="BF238" s="136"/>
      <c r="BG238" s="134" t="s">
        <v>58</v>
      </c>
      <c r="BH238" s="135"/>
      <c r="BI238" s="136"/>
    </row>
    <row r="239" spans="1:62" x14ac:dyDescent="0.3">
      <c r="A239" s="42"/>
      <c r="B239" s="212"/>
      <c r="C239" s="141"/>
      <c r="D239" s="138"/>
      <c r="E239" s="38"/>
      <c r="F239" s="43"/>
      <c r="G239" s="138"/>
      <c r="H239" s="42"/>
      <c r="I239" s="28"/>
      <c r="J239" s="40"/>
      <c r="M239" s="42"/>
      <c r="N239" s="138"/>
      <c r="O239" s="196"/>
      <c r="P239" s="138"/>
      <c r="Q239" s="196"/>
      <c r="R239" s="141"/>
      <c r="S239" s="138"/>
      <c r="T239" s="138"/>
      <c r="U239" s="42"/>
      <c r="V239" s="40"/>
      <c r="Y239" s="42" t="s">
        <v>59</v>
      </c>
      <c r="Z239" s="42">
        <v>1158</v>
      </c>
      <c r="AA239" s="40">
        <v>1223</v>
      </c>
      <c r="AB239" s="28">
        <v>0</v>
      </c>
      <c r="AC239" s="43">
        <v>0</v>
      </c>
      <c r="AD239" s="43">
        <v>0</v>
      </c>
      <c r="AE239" s="42">
        <v>1110</v>
      </c>
      <c r="AF239" s="40">
        <v>0</v>
      </c>
      <c r="AG239" s="41">
        <v>0</v>
      </c>
      <c r="AH239" s="42">
        <v>3</v>
      </c>
      <c r="AI239" s="28" t="s">
        <v>66</v>
      </c>
      <c r="AJ239" s="40"/>
      <c r="AM239" s="138" t="s">
        <v>56</v>
      </c>
      <c r="AN239" s="138">
        <v>1442</v>
      </c>
      <c r="AO239" s="141">
        <v>1481</v>
      </c>
      <c r="AP239" s="138"/>
      <c r="AQ239" s="141"/>
      <c r="AR239" s="28"/>
      <c r="AS239" s="43">
        <v>31</v>
      </c>
      <c r="AT239" s="28" t="s">
        <v>1292</v>
      </c>
      <c r="AU239" s="43"/>
      <c r="AV239" s="141"/>
      <c r="AY239" s="196" t="s">
        <v>56</v>
      </c>
      <c r="AZ239" s="138">
        <v>26</v>
      </c>
      <c r="BA239" s="141">
        <v>10</v>
      </c>
      <c r="BB239" s="138">
        <v>0</v>
      </c>
      <c r="BC239" s="43">
        <v>0</v>
      </c>
      <c r="BD239" s="209">
        <v>0</v>
      </c>
      <c r="BE239" s="138">
        <v>0</v>
      </c>
      <c r="BF239" s="141">
        <v>0</v>
      </c>
      <c r="BG239" s="212">
        <v>13</v>
      </c>
      <c r="BH239" s="28" t="s">
        <v>65</v>
      </c>
      <c r="BI239" s="141"/>
    </row>
    <row r="240" spans="1:62" ht="15" thickBot="1" x14ac:dyDescent="0.35">
      <c r="A240" s="42" t="s">
        <v>6</v>
      </c>
      <c r="B240" s="142"/>
      <c r="C240" s="146"/>
      <c r="D240" s="138"/>
      <c r="E240" s="28"/>
      <c r="F240" s="28"/>
      <c r="G240" s="138"/>
      <c r="H240" s="42"/>
      <c r="I240" s="28"/>
      <c r="J240" s="40"/>
      <c r="M240" s="244"/>
      <c r="N240" s="142"/>
      <c r="O240" s="199"/>
      <c r="P240" s="142"/>
      <c r="Q240" s="199"/>
      <c r="R240" s="146"/>
      <c r="S240" s="142"/>
      <c r="T240" s="142"/>
      <c r="U240" s="244"/>
      <c r="V240" s="245"/>
      <c r="Y240" s="42"/>
      <c r="Z240" s="42"/>
      <c r="AA240" s="40"/>
      <c r="AB240" s="28"/>
      <c r="AC240" s="28"/>
      <c r="AD240" s="28"/>
      <c r="AE240" s="42"/>
      <c r="AF240" s="40"/>
      <c r="AG240" s="41"/>
      <c r="AH240" s="47"/>
      <c r="AI240" s="48"/>
      <c r="AJ240" s="49">
        <v>4</v>
      </c>
      <c r="AM240" s="197" t="s">
        <v>84</v>
      </c>
      <c r="AN240" s="197">
        <v>1442</v>
      </c>
      <c r="AO240" s="249">
        <v>1481</v>
      </c>
      <c r="AP240" s="142"/>
      <c r="AQ240" s="146"/>
      <c r="AR240" s="143"/>
      <c r="AS240" s="143">
        <v>1</v>
      </c>
      <c r="AT240" s="143" t="s">
        <v>1294</v>
      </c>
      <c r="AU240" s="143"/>
      <c r="AV240" s="146">
        <v>94</v>
      </c>
      <c r="AY240" s="196" t="s">
        <v>64</v>
      </c>
      <c r="AZ240" s="138">
        <v>93</v>
      </c>
      <c r="BA240" s="141">
        <v>132</v>
      </c>
      <c r="BB240" s="138">
        <v>0</v>
      </c>
      <c r="BC240" s="43">
        <v>0</v>
      </c>
      <c r="BD240" s="209">
        <v>0</v>
      </c>
      <c r="BE240" s="138">
        <v>0</v>
      </c>
      <c r="BF240" s="141">
        <v>0</v>
      </c>
      <c r="BG240" s="138"/>
      <c r="BH240" s="28"/>
      <c r="BI240" s="141"/>
    </row>
    <row r="241" spans="1:62" x14ac:dyDescent="0.3">
      <c r="A241" s="278"/>
      <c r="B241" s="134"/>
      <c r="C241" s="135"/>
      <c r="D241" s="134"/>
      <c r="E241" s="135"/>
      <c r="F241" s="135"/>
      <c r="G241" s="134"/>
      <c r="H241" s="278" t="s">
        <v>2077</v>
      </c>
      <c r="I241" s="135"/>
      <c r="J241" s="279"/>
      <c r="M241" s="278"/>
      <c r="N241" s="134"/>
      <c r="O241" s="195"/>
      <c r="P241" s="134"/>
      <c r="Q241" s="195"/>
      <c r="R241" s="136"/>
      <c r="S241" s="134"/>
      <c r="T241" s="134"/>
      <c r="U241" s="278"/>
      <c r="V241" s="279"/>
      <c r="Y241" s="32"/>
      <c r="Z241" s="33"/>
      <c r="AA241" s="35"/>
      <c r="AB241" s="33"/>
      <c r="AC241" s="34"/>
      <c r="AD241" s="35"/>
      <c r="AE241" s="33"/>
      <c r="AF241" s="35"/>
      <c r="AG241" s="32">
        <v>0</v>
      </c>
      <c r="AH241" s="280" t="s">
        <v>2321</v>
      </c>
      <c r="AI241" s="384"/>
      <c r="AJ241" s="404"/>
      <c r="AM241" s="134"/>
      <c r="AN241" s="134"/>
      <c r="AO241" s="136"/>
      <c r="AP241" s="134"/>
      <c r="AQ241" s="136"/>
      <c r="AR241" s="135"/>
      <c r="AS241" s="135"/>
      <c r="AT241" s="135"/>
      <c r="AU241" s="135"/>
      <c r="AV241" s="136"/>
      <c r="AY241" s="265" t="s">
        <v>84</v>
      </c>
      <c r="AZ241" s="197">
        <v>119</v>
      </c>
      <c r="BA241" s="249">
        <v>142</v>
      </c>
      <c r="BB241" s="197">
        <v>0</v>
      </c>
      <c r="BC241" s="198">
        <v>0</v>
      </c>
      <c r="BD241" s="249">
        <v>0</v>
      </c>
      <c r="BE241" s="197">
        <v>0</v>
      </c>
      <c r="BF241" s="249">
        <v>0</v>
      </c>
      <c r="BG241" s="197"/>
      <c r="BH241" s="198"/>
      <c r="BI241" s="249">
        <v>13</v>
      </c>
      <c r="BJ241" s="28"/>
    </row>
    <row r="242" spans="1:62" x14ac:dyDescent="0.3">
      <c r="A242" s="42" t="s">
        <v>74</v>
      </c>
      <c r="B242" s="138">
        <v>1588</v>
      </c>
      <c r="C242" s="28">
        <v>2271</v>
      </c>
      <c r="D242" s="138">
        <v>0</v>
      </c>
      <c r="E242" s="38">
        <v>0</v>
      </c>
      <c r="F242" s="43">
        <v>0</v>
      </c>
      <c r="G242" s="138">
        <v>1</v>
      </c>
      <c r="H242" s="42">
        <v>17</v>
      </c>
      <c r="I242" s="28" t="s">
        <v>436</v>
      </c>
      <c r="J242" s="40"/>
      <c r="M242" s="42"/>
      <c r="N242" s="138"/>
      <c r="O242" s="196"/>
      <c r="P242" s="138"/>
      <c r="Q242" s="196"/>
      <c r="R242" s="141"/>
      <c r="S242" s="138"/>
      <c r="T242" s="138"/>
      <c r="U242" s="42" t="s">
        <v>80</v>
      </c>
      <c r="V242" s="40"/>
      <c r="Y242" s="41" t="s">
        <v>1435</v>
      </c>
      <c r="Z242" s="67">
        <v>34</v>
      </c>
      <c r="AA242" s="40">
        <v>0</v>
      </c>
      <c r="AB242" s="67">
        <v>0</v>
      </c>
      <c r="AC242" s="43">
        <v>0</v>
      </c>
      <c r="AD242" s="40">
        <v>0</v>
      </c>
      <c r="AE242" s="42">
        <v>0</v>
      </c>
      <c r="AF242" s="40">
        <v>0</v>
      </c>
      <c r="AG242" s="41">
        <v>0</v>
      </c>
      <c r="AH242" s="67">
        <v>1</v>
      </c>
      <c r="AI242" s="43" t="s">
        <v>1344</v>
      </c>
      <c r="AJ242" s="40"/>
      <c r="AM242" s="138" t="s">
        <v>56</v>
      </c>
      <c r="AN242" s="138">
        <v>4</v>
      </c>
      <c r="AO242" s="141">
        <v>3</v>
      </c>
      <c r="AP242" s="138"/>
      <c r="AQ242" s="141"/>
      <c r="AR242" s="28"/>
      <c r="AS242" s="28" t="s">
        <v>110</v>
      </c>
      <c r="AT242" s="28" t="s">
        <v>111</v>
      </c>
      <c r="AU242" s="28" t="s">
        <v>112</v>
      </c>
      <c r="AV242" s="141"/>
      <c r="AY242" s="196"/>
      <c r="AZ242" s="28"/>
      <c r="BA242" s="141"/>
      <c r="BB242" s="212"/>
      <c r="BC242" s="43"/>
      <c r="BD242" s="209"/>
      <c r="BE242" s="138"/>
      <c r="BF242" s="141"/>
      <c r="BG242" s="28"/>
      <c r="BH242" s="28" t="s">
        <v>92</v>
      </c>
      <c r="BI242" s="141"/>
    </row>
    <row r="243" spans="1:62" x14ac:dyDescent="0.3">
      <c r="A243" s="42"/>
      <c r="B243" s="138"/>
      <c r="C243" s="28"/>
      <c r="D243" s="138"/>
      <c r="E243" s="28"/>
      <c r="F243" s="28"/>
      <c r="G243" s="138"/>
      <c r="H243" s="67"/>
      <c r="I243" s="43"/>
      <c r="J243" s="40"/>
      <c r="M243" s="42" t="s">
        <v>74</v>
      </c>
      <c r="N243" s="138">
        <v>4189</v>
      </c>
      <c r="O243" s="196">
        <v>13210</v>
      </c>
      <c r="P243" s="138">
        <v>0</v>
      </c>
      <c r="Q243" s="196">
        <v>0</v>
      </c>
      <c r="R243" s="141">
        <v>0</v>
      </c>
      <c r="S243" s="138">
        <v>0</v>
      </c>
      <c r="T243" s="138">
        <v>0</v>
      </c>
      <c r="U243" s="42"/>
      <c r="V243" s="40"/>
      <c r="Y243" s="41" t="s">
        <v>1095</v>
      </c>
      <c r="Z243" s="42">
        <v>54</v>
      </c>
      <c r="AA243" s="40">
        <v>0</v>
      </c>
      <c r="AB243" s="42">
        <v>0</v>
      </c>
      <c r="AC243" s="28">
        <v>0</v>
      </c>
      <c r="AD243" s="56">
        <v>0</v>
      </c>
      <c r="AE243" s="67">
        <v>0</v>
      </c>
      <c r="AF243" s="56">
        <v>0</v>
      </c>
      <c r="AG243" s="68">
        <v>0</v>
      </c>
      <c r="AH243" s="67">
        <v>1</v>
      </c>
      <c r="AI243" s="43" t="s">
        <v>141</v>
      </c>
      <c r="AJ243" s="40"/>
      <c r="AM243" s="138" t="s">
        <v>72</v>
      </c>
      <c r="AN243" s="138">
        <v>19</v>
      </c>
      <c r="AO243" s="141">
        <v>24</v>
      </c>
      <c r="AP243" s="138"/>
      <c r="AQ243" s="141"/>
      <c r="AR243" s="43"/>
      <c r="AS243" s="28"/>
      <c r="AT243" s="28"/>
      <c r="AU243" s="28"/>
      <c r="AV243" s="141"/>
      <c r="AY243" s="196"/>
      <c r="AZ243" s="28"/>
      <c r="BA243" s="141"/>
      <c r="BB243" s="138"/>
      <c r="BC243" s="43"/>
      <c r="BD243" s="141"/>
      <c r="BE243" s="138"/>
      <c r="BF243" s="141"/>
      <c r="BG243" s="43">
        <v>6</v>
      </c>
      <c r="BH243" s="43" t="s">
        <v>1297</v>
      </c>
      <c r="BI243" s="141"/>
    </row>
    <row r="244" spans="1:62" x14ac:dyDescent="0.3">
      <c r="A244" s="244"/>
      <c r="B244" s="142"/>
      <c r="C244" s="143"/>
      <c r="D244" s="142"/>
      <c r="E244" s="143"/>
      <c r="F244" s="143"/>
      <c r="G244" s="142"/>
      <c r="H244" s="244"/>
      <c r="I244" s="143"/>
      <c r="J244" s="245">
        <v>17</v>
      </c>
      <c r="M244" s="244"/>
      <c r="N244" s="142"/>
      <c r="O244" s="199"/>
      <c r="P244" s="142"/>
      <c r="Q244" s="199"/>
      <c r="R244" s="146"/>
      <c r="S244" s="142"/>
      <c r="T244" s="142"/>
      <c r="U244" s="244"/>
      <c r="V244" s="245"/>
      <c r="Y244" s="68" t="s">
        <v>99</v>
      </c>
      <c r="Z244" s="42">
        <v>46</v>
      </c>
      <c r="AA244" s="40">
        <v>0</v>
      </c>
      <c r="AB244" s="42">
        <v>0</v>
      </c>
      <c r="AC244" s="43">
        <v>0</v>
      </c>
      <c r="AD244" s="40">
        <v>0</v>
      </c>
      <c r="AE244" s="42">
        <v>0</v>
      </c>
      <c r="AF244" s="40">
        <v>0</v>
      </c>
      <c r="AG244" s="41">
        <v>0</v>
      </c>
      <c r="AH244" s="42">
        <v>1</v>
      </c>
      <c r="AI244" s="43" t="s">
        <v>359</v>
      </c>
      <c r="AJ244" s="40"/>
      <c r="AM244" s="138" t="s">
        <v>78</v>
      </c>
      <c r="AN244" s="138">
        <v>11</v>
      </c>
      <c r="AO244" s="141">
        <v>14</v>
      </c>
      <c r="AP244" s="138"/>
      <c r="AQ244" s="141"/>
      <c r="AR244" s="28"/>
      <c r="AS244" s="43"/>
      <c r="AT244" s="28"/>
      <c r="AU244" s="28"/>
      <c r="AV244" s="141"/>
      <c r="AY244" s="196"/>
      <c r="AZ244" s="28"/>
      <c r="BA244" s="141"/>
      <c r="BB244" s="212"/>
      <c r="BC244" s="43"/>
      <c r="BD244" s="209"/>
      <c r="BE244" s="212"/>
      <c r="BF244" s="141"/>
      <c r="BG244" s="43">
        <v>16</v>
      </c>
      <c r="BH244" s="43" t="s">
        <v>2258</v>
      </c>
      <c r="BI244" s="141"/>
      <c r="BJ244" s="28"/>
    </row>
    <row r="245" spans="1:62" ht="15" thickBot="1" x14ac:dyDescent="0.35">
      <c r="A245" s="278"/>
      <c r="B245" s="134"/>
      <c r="C245" s="135"/>
      <c r="D245" s="134"/>
      <c r="E245" s="135"/>
      <c r="F245" s="135"/>
      <c r="G245" s="134"/>
      <c r="H245" s="278" t="s">
        <v>87</v>
      </c>
      <c r="I245" s="135"/>
      <c r="J245" s="279"/>
      <c r="M245" s="278"/>
      <c r="N245" s="134"/>
      <c r="O245" s="195"/>
      <c r="P245" s="134"/>
      <c r="Q245" s="195"/>
      <c r="R245" s="136"/>
      <c r="S245" s="134"/>
      <c r="T245" s="134"/>
      <c r="U245" s="278" t="s">
        <v>6</v>
      </c>
      <c r="V245" s="279"/>
      <c r="Y245" s="62" t="s">
        <v>84</v>
      </c>
      <c r="Z245" s="47">
        <v>134</v>
      </c>
      <c r="AA245" s="49">
        <v>0</v>
      </c>
      <c r="AB245" s="47">
        <v>0</v>
      </c>
      <c r="AC245" s="48">
        <v>0</v>
      </c>
      <c r="AD245" s="49">
        <v>0</v>
      </c>
      <c r="AE245" s="47">
        <v>0</v>
      </c>
      <c r="AF245" s="49">
        <v>0</v>
      </c>
      <c r="AG245" s="46">
        <v>0</v>
      </c>
      <c r="AH245" s="47"/>
      <c r="AI245" s="51"/>
      <c r="AJ245" s="49">
        <v>3</v>
      </c>
      <c r="AM245" s="138" t="s">
        <v>67</v>
      </c>
      <c r="AN245" s="138">
        <v>64</v>
      </c>
      <c r="AO245" s="141">
        <v>79</v>
      </c>
      <c r="AP245" s="138"/>
      <c r="AQ245" s="141"/>
      <c r="AR245" s="28"/>
      <c r="AS245" s="28"/>
      <c r="AT245" s="28"/>
      <c r="AU245" s="28"/>
      <c r="AV245" s="141"/>
      <c r="AY245" s="196"/>
      <c r="AZ245" s="43"/>
      <c r="BA245" s="141"/>
      <c r="BB245" s="138"/>
      <c r="BC245" s="43"/>
      <c r="BD245" s="141"/>
      <c r="BE245" s="212"/>
      <c r="BF245" s="141"/>
      <c r="BG245" s="43"/>
      <c r="BH245" s="43"/>
      <c r="BI245" s="141"/>
    </row>
    <row r="246" spans="1:62" x14ac:dyDescent="0.3">
      <c r="A246" s="42" t="s">
        <v>93</v>
      </c>
      <c r="B246" s="138">
        <v>3814</v>
      </c>
      <c r="C246" s="28">
        <v>4269</v>
      </c>
      <c r="D246" s="138">
        <v>0</v>
      </c>
      <c r="E246" s="38">
        <v>0</v>
      </c>
      <c r="F246" s="43">
        <v>0</v>
      </c>
      <c r="G246" s="138">
        <v>1</v>
      </c>
      <c r="H246" s="67">
        <v>29</v>
      </c>
      <c r="I246" s="28" t="s">
        <v>927</v>
      </c>
      <c r="J246" s="40"/>
      <c r="M246" s="42"/>
      <c r="N246" s="138"/>
      <c r="O246" s="196"/>
      <c r="P246" s="138"/>
      <c r="Q246" s="196"/>
      <c r="R246" s="141"/>
      <c r="S246" s="138"/>
      <c r="T246" s="138"/>
      <c r="U246" s="42"/>
      <c r="V246" s="40"/>
      <c r="Y246" s="32"/>
      <c r="Z246" s="34"/>
      <c r="AA246" s="34"/>
      <c r="AB246" s="33"/>
      <c r="AC246" s="34"/>
      <c r="AD246" s="35"/>
      <c r="AE246" s="34"/>
      <c r="AF246" s="34"/>
      <c r="AG246" s="32"/>
      <c r="AH246" s="33" t="s">
        <v>1298</v>
      </c>
      <c r="AI246" s="34"/>
      <c r="AJ246" s="35"/>
      <c r="AM246" s="138" t="s">
        <v>128</v>
      </c>
      <c r="AN246" s="138">
        <v>4</v>
      </c>
      <c r="AO246" s="141">
        <v>0</v>
      </c>
      <c r="AP246" s="138"/>
      <c r="AQ246" s="141"/>
      <c r="AR246" s="28"/>
      <c r="AS246" s="43">
        <v>27</v>
      </c>
      <c r="AT246" s="28" t="s">
        <v>123</v>
      </c>
      <c r="AU246" s="28" t="s">
        <v>6</v>
      </c>
      <c r="AV246" s="141"/>
      <c r="AY246" s="196" t="s">
        <v>85</v>
      </c>
      <c r="AZ246" s="28">
        <v>0</v>
      </c>
      <c r="BA246" s="141">
        <v>0</v>
      </c>
      <c r="BB246" s="138">
        <v>0</v>
      </c>
      <c r="BC246" s="43">
        <v>0</v>
      </c>
      <c r="BD246" s="141">
        <v>0</v>
      </c>
      <c r="BE246" s="212">
        <v>9543</v>
      </c>
      <c r="BF246" s="141">
        <v>0</v>
      </c>
      <c r="BG246" s="28"/>
      <c r="BH246" s="28"/>
      <c r="BI246" s="141"/>
      <c r="BJ246" s="28"/>
    </row>
    <row r="247" spans="1:62" x14ac:dyDescent="0.3">
      <c r="A247" s="42"/>
      <c r="B247" s="138"/>
      <c r="C247" s="28"/>
      <c r="D247" s="138"/>
      <c r="E247" s="28"/>
      <c r="F247" s="28"/>
      <c r="G247" s="138"/>
      <c r="H247" s="67">
        <v>1</v>
      </c>
      <c r="I247" s="28" t="s">
        <v>528</v>
      </c>
      <c r="J247" s="40">
        <v>30</v>
      </c>
      <c r="M247" s="42"/>
      <c r="N247" s="138"/>
      <c r="O247" s="196"/>
      <c r="P247" s="138"/>
      <c r="Q247" s="196"/>
      <c r="R247" s="141"/>
      <c r="S247" s="138"/>
      <c r="T247" s="138"/>
      <c r="U247" s="42"/>
      <c r="V247" s="40"/>
      <c r="Y247" s="41" t="s">
        <v>107</v>
      </c>
      <c r="Z247">
        <v>295</v>
      </c>
      <c r="AA247">
        <v>323</v>
      </c>
      <c r="AB247" s="42">
        <v>0</v>
      </c>
      <c r="AC247" s="43">
        <v>0</v>
      </c>
      <c r="AD247" s="40">
        <v>0</v>
      </c>
      <c r="AE247" s="43">
        <v>0</v>
      </c>
      <c r="AF247" s="43">
        <v>0</v>
      </c>
      <c r="AG247" s="41">
        <v>0</v>
      </c>
      <c r="AH247" s="42">
        <v>5</v>
      </c>
      <c r="AI247" s="43" t="s">
        <v>145</v>
      </c>
      <c r="AJ247" s="40" t="s">
        <v>2322</v>
      </c>
      <c r="AM247" s="138" t="s">
        <v>132</v>
      </c>
      <c r="AN247" s="138">
        <v>5</v>
      </c>
      <c r="AO247" s="141">
        <v>0</v>
      </c>
      <c r="AP247" s="138"/>
      <c r="AQ247" s="141"/>
      <c r="AR247" s="28"/>
      <c r="AS247" s="43">
        <v>27</v>
      </c>
      <c r="AT247" s="28" t="s">
        <v>126</v>
      </c>
      <c r="AU247" s="28"/>
      <c r="AV247" s="141"/>
      <c r="AY247" s="196" t="s">
        <v>99</v>
      </c>
      <c r="AZ247" s="43">
        <v>0</v>
      </c>
      <c r="BA247" s="141">
        <v>0</v>
      </c>
      <c r="BB247" s="138">
        <v>0</v>
      </c>
      <c r="BC247" s="43">
        <v>0</v>
      </c>
      <c r="BD247" s="141">
        <v>0</v>
      </c>
      <c r="BE247" s="212">
        <v>64964</v>
      </c>
      <c r="BF247" s="141">
        <v>22000</v>
      </c>
      <c r="BG247" s="43"/>
      <c r="BH247" s="43"/>
      <c r="BI247" s="141"/>
      <c r="BJ247" s="28"/>
    </row>
    <row r="248" spans="1:62" ht="15" thickBot="1" x14ac:dyDescent="0.35">
      <c r="A248" s="278" t="s">
        <v>108</v>
      </c>
      <c r="B248" s="134">
        <v>0</v>
      </c>
      <c r="C248" s="136">
        <v>120</v>
      </c>
      <c r="D248" s="135">
        <v>0</v>
      </c>
      <c r="E248" s="243">
        <v>1447</v>
      </c>
      <c r="F248" s="135">
        <v>0</v>
      </c>
      <c r="G248" s="134">
        <v>1</v>
      </c>
      <c r="H248" s="278" t="s">
        <v>104</v>
      </c>
      <c r="I248" s="135"/>
      <c r="J248" s="279"/>
      <c r="M248" s="244"/>
      <c r="N248" s="142"/>
      <c r="O248" s="199"/>
      <c r="P248" s="142"/>
      <c r="Q248" s="199"/>
      <c r="R248" s="146"/>
      <c r="S248" s="142"/>
      <c r="T248" s="142"/>
      <c r="U248" s="244"/>
      <c r="V248" s="245"/>
      <c r="Y248" s="46" t="s">
        <v>84</v>
      </c>
      <c r="Z248" s="48">
        <v>295</v>
      </c>
      <c r="AA248" s="48">
        <v>323</v>
      </c>
      <c r="AB248" s="47">
        <v>0</v>
      </c>
      <c r="AC248" s="48">
        <v>0</v>
      </c>
      <c r="AD248" s="49">
        <v>0</v>
      </c>
      <c r="AE248" s="48">
        <v>0</v>
      </c>
      <c r="AF248" s="48">
        <v>0</v>
      </c>
      <c r="AG248" s="46">
        <v>0</v>
      </c>
      <c r="AH248" s="47">
        <v>2</v>
      </c>
      <c r="AI248" s="48" t="s">
        <v>141</v>
      </c>
      <c r="AJ248" s="49">
        <v>8</v>
      </c>
      <c r="AM248" s="138" t="s">
        <v>115</v>
      </c>
      <c r="AN248" s="138">
        <v>11</v>
      </c>
      <c r="AO248" s="141">
        <v>22</v>
      </c>
      <c r="AP248" s="138"/>
      <c r="AQ248" s="141"/>
      <c r="AR248" s="28"/>
      <c r="AS248" s="43">
        <v>23</v>
      </c>
      <c r="AT248" s="28" t="s">
        <v>129</v>
      </c>
      <c r="AU248" s="28" t="s">
        <v>6</v>
      </c>
      <c r="AV248" s="141"/>
      <c r="AY248" s="265" t="s">
        <v>84</v>
      </c>
      <c r="AZ248" s="390"/>
      <c r="BA248" s="248"/>
      <c r="BB248" s="197"/>
      <c r="BC248" s="390"/>
      <c r="BD248" s="249"/>
      <c r="BE248" s="390">
        <v>74507</v>
      </c>
      <c r="BF248" s="248">
        <v>22000</v>
      </c>
      <c r="BG248" s="198"/>
      <c r="BH248" s="390"/>
      <c r="BI248" s="249">
        <v>22</v>
      </c>
      <c r="BJ248" s="28"/>
    </row>
    <row r="249" spans="1:62" x14ac:dyDescent="0.3">
      <c r="A249" s="42" t="s">
        <v>109</v>
      </c>
      <c r="B249" s="138">
        <v>1460</v>
      </c>
      <c r="C249" s="141">
        <v>1126</v>
      </c>
      <c r="D249" s="28">
        <v>0</v>
      </c>
      <c r="E249" s="348">
        <v>0</v>
      </c>
      <c r="F249" s="43">
        <v>0</v>
      </c>
      <c r="G249" s="138"/>
      <c r="H249" s="67">
        <v>9</v>
      </c>
      <c r="I249" s="28" t="s">
        <v>114</v>
      </c>
      <c r="J249" s="40"/>
      <c r="M249" s="278"/>
      <c r="N249" s="134"/>
      <c r="O249" s="195"/>
      <c r="P249" s="134"/>
      <c r="Q249" s="195"/>
      <c r="R249" s="136"/>
      <c r="S249" s="134"/>
      <c r="T249" s="134"/>
      <c r="U249" s="278" t="s">
        <v>104</v>
      </c>
      <c r="V249" s="279"/>
      <c r="Y249" s="42"/>
      <c r="Z249" s="33"/>
      <c r="AA249" s="35"/>
      <c r="AB249" s="33"/>
      <c r="AC249" s="34"/>
      <c r="AD249" s="35"/>
      <c r="AE249" s="33"/>
      <c r="AF249" s="35"/>
      <c r="AG249" s="43"/>
      <c r="AH249" s="33" t="s">
        <v>90</v>
      </c>
      <c r="AI249" s="34"/>
      <c r="AJ249" s="35"/>
      <c r="AM249" s="138" t="s">
        <v>81</v>
      </c>
      <c r="AN249" s="138">
        <v>11</v>
      </c>
      <c r="AO249" s="141">
        <v>8</v>
      </c>
      <c r="AP249" s="138"/>
      <c r="AQ249" s="141"/>
      <c r="AR249" s="28"/>
      <c r="AS249" s="28"/>
      <c r="AT249" s="28"/>
      <c r="AU249" s="28"/>
      <c r="AV249" s="141"/>
      <c r="AY249" s="211"/>
      <c r="AZ249" s="138"/>
      <c r="BA249" s="141"/>
      <c r="BB249" s="138"/>
      <c r="BC249" s="28"/>
      <c r="BD249" s="141"/>
      <c r="BE249" s="138"/>
      <c r="BF249" s="141"/>
      <c r="BG249" s="138"/>
      <c r="BH249" s="28" t="s">
        <v>91</v>
      </c>
      <c r="BI249" s="141"/>
      <c r="BJ249" s="28"/>
    </row>
    <row r="250" spans="1:62" x14ac:dyDescent="0.3">
      <c r="A250" s="134" t="s">
        <v>84</v>
      </c>
      <c r="B250" s="134">
        <v>1460</v>
      </c>
      <c r="C250" s="136">
        <v>1246</v>
      </c>
      <c r="D250" s="135">
        <v>0</v>
      </c>
      <c r="E250" s="243">
        <v>1447</v>
      </c>
      <c r="F250" s="241">
        <v>0</v>
      </c>
      <c r="G250" s="134"/>
      <c r="H250" s="278"/>
      <c r="I250" s="135"/>
      <c r="J250" s="136">
        <v>9</v>
      </c>
      <c r="M250" s="42" t="s">
        <v>109</v>
      </c>
      <c r="N250" s="138">
        <v>0</v>
      </c>
      <c r="O250" s="196">
        <v>0</v>
      </c>
      <c r="P250" s="138">
        <v>0</v>
      </c>
      <c r="Q250" s="196">
        <v>0</v>
      </c>
      <c r="R250" s="141">
        <v>0</v>
      </c>
      <c r="S250" s="138">
        <v>0</v>
      </c>
      <c r="T250" s="138">
        <v>0</v>
      </c>
      <c r="U250" s="42"/>
      <c r="V250" s="40"/>
      <c r="Y250" s="42"/>
      <c r="Z250" s="42"/>
      <c r="AA250" s="40"/>
      <c r="AB250" s="42"/>
      <c r="AC250" s="43"/>
      <c r="AD250" s="40"/>
      <c r="AE250" s="42"/>
      <c r="AF250" s="40"/>
      <c r="AG250" s="43"/>
      <c r="AH250" s="67">
        <v>2</v>
      </c>
      <c r="AI250" s="28" t="s">
        <v>145</v>
      </c>
      <c r="AJ250" s="40"/>
      <c r="AM250" s="138" t="s">
        <v>1599</v>
      </c>
      <c r="AN250" s="138">
        <v>0</v>
      </c>
      <c r="AO250" s="141">
        <v>1</v>
      </c>
      <c r="AP250" s="138"/>
      <c r="AQ250" s="141"/>
      <c r="AR250" s="28"/>
      <c r="AS250" s="28"/>
      <c r="AT250" s="28"/>
      <c r="AU250" s="28"/>
      <c r="AV250" s="141" t="s">
        <v>6</v>
      </c>
      <c r="AY250" s="196"/>
      <c r="AZ250" s="212"/>
      <c r="BA250" s="141"/>
      <c r="BB250" s="138"/>
      <c r="BC250" s="43"/>
      <c r="BD250" s="141"/>
      <c r="BE250" s="138"/>
      <c r="BF250" s="209"/>
      <c r="BG250" s="212"/>
      <c r="BH250" s="43"/>
      <c r="BI250" s="141"/>
      <c r="BJ250" s="28"/>
    </row>
    <row r="251" spans="1:62" x14ac:dyDescent="0.3">
      <c r="A251" s="142"/>
      <c r="B251" s="142"/>
      <c r="C251" s="146"/>
      <c r="D251" s="143"/>
      <c r="E251" s="143"/>
      <c r="F251" s="143"/>
      <c r="G251" s="142"/>
      <c r="H251" s="244"/>
      <c r="I251" s="143"/>
      <c r="J251" s="146"/>
      <c r="M251" s="244"/>
      <c r="N251" s="142"/>
      <c r="O251" s="199"/>
      <c r="P251" s="142"/>
      <c r="Q251" s="199"/>
      <c r="R251" s="146"/>
      <c r="S251" s="142"/>
      <c r="T251" s="142"/>
      <c r="U251" s="244"/>
      <c r="V251" s="245"/>
      <c r="Y251" s="67" t="s">
        <v>89</v>
      </c>
      <c r="Z251" s="67">
        <v>68</v>
      </c>
      <c r="AA251" s="56">
        <v>79</v>
      </c>
      <c r="AB251" s="42">
        <v>0</v>
      </c>
      <c r="AC251" s="43">
        <v>0</v>
      </c>
      <c r="AD251" s="40">
        <v>0</v>
      </c>
      <c r="AE251" s="42">
        <v>0</v>
      </c>
      <c r="AF251" s="40">
        <v>0</v>
      </c>
      <c r="AG251" s="43">
        <v>0</v>
      </c>
      <c r="AH251" s="67"/>
      <c r="AI251" s="43"/>
      <c r="AJ251" s="40"/>
      <c r="AM251" s="138" t="s">
        <v>122</v>
      </c>
      <c r="AN251" s="138">
        <v>0</v>
      </c>
      <c r="AO251" s="141">
        <v>4</v>
      </c>
      <c r="AP251" s="138"/>
      <c r="AQ251" s="141"/>
      <c r="AR251" s="28"/>
      <c r="AS251" s="28"/>
      <c r="AT251" s="28"/>
      <c r="AU251" s="28"/>
      <c r="AV251" s="141"/>
      <c r="AY251" s="211"/>
      <c r="AZ251" s="212"/>
      <c r="BA251" s="209"/>
      <c r="BB251" s="138"/>
      <c r="BC251" s="43"/>
      <c r="BD251" s="141"/>
      <c r="BE251" s="138"/>
      <c r="BF251" s="209"/>
      <c r="BG251" s="138"/>
      <c r="BH251" s="43"/>
      <c r="BI251" s="141"/>
      <c r="BJ251" s="28"/>
    </row>
    <row r="252" spans="1:62" ht="15" thickBot="1" x14ac:dyDescent="0.35">
      <c r="A252" s="278"/>
      <c r="B252" s="134"/>
      <c r="C252" s="242"/>
      <c r="D252" s="135"/>
      <c r="E252" s="135"/>
      <c r="F252" s="135"/>
      <c r="G252" s="134"/>
      <c r="H252" s="278" t="s">
        <v>118</v>
      </c>
      <c r="I252" s="135"/>
      <c r="J252" s="279"/>
      <c r="M252" s="278"/>
      <c r="N252" s="134"/>
      <c r="O252" s="195"/>
      <c r="P252" s="134"/>
      <c r="Q252" s="195"/>
      <c r="R252" s="136"/>
      <c r="S252" s="134"/>
      <c r="T252" s="134"/>
      <c r="U252" s="278" t="s">
        <v>2323</v>
      </c>
      <c r="V252" s="279"/>
      <c r="Y252" s="42" t="s">
        <v>84</v>
      </c>
      <c r="Z252" s="42">
        <v>68</v>
      </c>
      <c r="AA252" s="40">
        <v>79</v>
      </c>
      <c r="AB252" s="42">
        <v>0</v>
      </c>
      <c r="AC252" s="28">
        <v>0</v>
      </c>
      <c r="AD252" s="40">
        <v>0</v>
      </c>
      <c r="AE252" s="42">
        <v>0</v>
      </c>
      <c r="AF252" s="40">
        <v>0</v>
      </c>
      <c r="AG252" s="43">
        <v>0</v>
      </c>
      <c r="AH252" s="67"/>
      <c r="AI252" s="28"/>
      <c r="AJ252" s="40">
        <v>2</v>
      </c>
      <c r="AM252" s="138" t="s">
        <v>230</v>
      </c>
      <c r="AN252" s="138">
        <v>9</v>
      </c>
      <c r="AO252" s="141">
        <v>0</v>
      </c>
      <c r="AP252" s="138"/>
      <c r="AQ252" s="141"/>
      <c r="AR252" s="28"/>
      <c r="AS252" s="28"/>
      <c r="AT252" s="28"/>
      <c r="AU252" s="28"/>
      <c r="AV252" s="141"/>
      <c r="AY252" s="211"/>
      <c r="AZ252" s="212"/>
      <c r="BA252" s="141"/>
      <c r="BB252" s="138"/>
      <c r="BC252" s="43"/>
      <c r="BD252" s="141"/>
      <c r="BE252" s="138"/>
      <c r="BF252" s="209"/>
      <c r="BG252" s="212"/>
      <c r="BH252" s="28"/>
      <c r="BI252" s="141"/>
      <c r="BJ252" s="28"/>
    </row>
    <row r="253" spans="1:62" x14ac:dyDescent="0.3">
      <c r="A253" s="42" t="s">
        <v>785</v>
      </c>
      <c r="B253" s="138">
        <v>1262</v>
      </c>
      <c r="C253" s="209">
        <v>1341</v>
      </c>
      <c r="D253" s="28">
        <v>0</v>
      </c>
      <c r="E253" s="38">
        <v>0</v>
      </c>
      <c r="F253" s="43">
        <v>0</v>
      </c>
      <c r="G253" s="138">
        <v>1</v>
      </c>
      <c r="H253" s="42">
        <v>54</v>
      </c>
      <c r="I253" s="28" t="s">
        <v>101</v>
      </c>
      <c r="J253" s="40"/>
      <c r="M253" s="42"/>
      <c r="N253" s="138"/>
      <c r="O253" s="196"/>
      <c r="P253" s="138"/>
      <c r="Q253" s="196"/>
      <c r="R253" s="141"/>
      <c r="S253" s="138"/>
      <c r="T253" s="138"/>
      <c r="U253" s="42"/>
      <c r="V253" s="40"/>
      <c r="Y253" s="33"/>
      <c r="Z253" s="33"/>
      <c r="AA253" s="35"/>
      <c r="AB253" s="34"/>
      <c r="AC253" s="34"/>
      <c r="AD253" s="34"/>
      <c r="AE253" s="33"/>
      <c r="AF253" s="35"/>
      <c r="AG253" s="32"/>
      <c r="AH253" s="34"/>
      <c r="AI253" s="34"/>
      <c r="AJ253" s="35"/>
      <c r="AM253" s="138" t="s">
        <v>63</v>
      </c>
      <c r="AN253" s="138">
        <v>56</v>
      </c>
      <c r="AO253" s="141">
        <v>31</v>
      </c>
      <c r="AP253" s="138"/>
      <c r="AQ253" s="141"/>
      <c r="AR253" s="28"/>
      <c r="AS253" s="28"/>
      <c r="AT253" s="28"/>
      <c r="AU253" s="28"/>
      <c r="AV253" s="141"/>
      <c r="AY253" s="211" t="s">
        <v>137</v>
      </c>
      <c r="AZ253" s="212">
        <v>1744</v>
      </c>
      <c r="BA253" s="209">
        <v>1718</v>
      </c>
      <c r="BB253" s="138">
        <v>0</v>
      </c>
      <c r="BC253" s="43">
        <v>0</v>
      </c>
      <c r="BD253" s="141">
        <v>0</v>
      </c>
      <c r="BE253" s="138">
        <v>0</v>
      </c>
      <c r="BF253" s="209">
        <v>0</v>
      </c>
      <c r="BG253" s="138">
        <v>49</v>
      </c>
      <c r="BH253" s="43" t="s">
        <v>1292</v>
      </c>
      <c r="BI253" s="141"/>
      <c r="BJ253" s="28"/>
    </row>
    <row r="254" spans="1:62" x14ac:dyDescent="0.3">
      <c r="A254" s="42" t="s">
        <v>93</v>
      </c>
      <c r="B254" s="212">
        <v>4482</v>
      </c>
      <c r="C254" s="209">
        <v>4729</v>
      </c>
      <c r="D254" s="28">
        <v>0</v>
      </c>
      <c r="E254" s="38">
        <v>0</v>
      </c>
      <c r="F254" s="43">
        <v>0</v>
      </c>
      <c r="G254" s="212"/>
      <c r="H254" s="42">
        <v>25</v>
      </c>
      <c r="I254" s="28" t="s">
        <v>927</v>
      </c>
      <c r="J254" s="40"/>
      <c r="M254" s="42" t="s">
        <v>99</v>
      </c>
      <c r="N254" s="138">
        <v>3705</v>
      </c>
      <c r="O254" s="196">
        <v>9873</v>
      </c>
      <c r="P254" s="138">
        <v>0</v>
      </c>
      <c r="Q254" s="196">
        <v>0</v>
      </c>
      <c r="R254" s="141">
        <v>0</v>
      </c>
      <c r="S254" s="138">
        <v>2427</v>
      </c>
      <c r="T254" s="138">
        <v>58</v>
      </c>
      <c r="U254" s="42"/>
      <c r="V254" s="40"/>
      <c r="Y254" s="42"/>
      <c r="Z254" s="42"/>
      <c r="AA254" s="40"/>
      <c r="AB254" s="43"/>
      <c r="AC254" s="43"/>
      <c r="AD254" s="43"/>
      <c r="AE254" s="42"/>
      <c r="AF254" s="40"/>
      <c r="AG254" s="41"/>
      <c r="AH254" s="28" t="s">
        <v>953</v>
      </c>
      <c r="AI254" s="28"/>
      <c r="AJ254" s="40"/>
      <c r="AM254" s="197" t="s">
        <v>84</v>
      </c>
      <c r="AN254" s="197">
        <v>194</v>
      </c>
      <c r="AO254" s="249">
        <v>186</v>
      </c>
      <c r="AP254" s="142"/>
      <c r="AQ254" s="146"/>
      <c r="AR254" s="143"/>
      <c r="AS254" s="143"/>
      <c r="AT254" s="143"/>
      <c r="AU254" s="143"/>
      <c r="AV254" s="146">
        <v>77</v>
      </c>
      <c r="AY254" s="211" t="s">
        <v>97</v>
      </c>
      <c r="AZ254" s="212">
        <v>2799</v>
      </c>
      <c r="BA254" s="209">
        <v>2408</v>
      </c>
      <c r="BB254" s="138">
        <v>0</v>
      </c>
      <c r="BC254" s="43">
        <v>0</v>
      </c>
      <c r="BD254" s="141">
        <v>0</v>
      </c>
      <c r="BE254" s="138">
        <v>0</v>
      </c>
      <c r="BF254" s="209">
        <v>0</v>
      </c>
      <c r="BG254" s="138">
        <v>65</v>
      </c>
      <c r="BH254" s="43" t="s">
        <v>2324</v>
      </c>
      <c r="BI254" s="141"/>
      <c r="BJ254" s="28"/>
    </row>
    <row r="255" spans="1:62" x14ac:dyDescent="0.3">
      <c r="A255" s="42" t="s">
        <v>120</v>
      </c>
      <c r="B255" s="138">
        <v>5799</v>
      </c>
      <c r="C255" s="141">
        <v>5985</v>
      </c>
      <c r="D255" s="28">
        <v>0</v>
      </c>
      <c r="E255" s="38">
        <v>0</v>
      </c>
      <c r="F255" s="43">
        <v>0</v>
      </c>
      <c r="G255" s="138"/>
      <c r="H255" s="42">
        <v>26</v>
      </c>
      <c r="I255" s="28" t="s">
        <v>127</v>
      </c>
      <c r="J255" s="40"/>
      <c r="M255" s="244" t="s">
        <v>84</v>
      </c>
      <c r="N255" s="142">
        <v>3705</v>
      </c>
      <c r="O255" s="199">
        <v>9873</v>
      </c>
      <c r="P255" s="142">
        <v>0</v>
      </c>
      <c r="Q255" s="199">
        <v>0</v>
      </c>
      <c r="R255" s="146">
        <v>0</v>
      </c>
      <c r="S255" s="142">
        <v>2427</v>
      </c>
      <c r="T255" s="142">
        <v>58</v>
      </c>
      <c r="U255" s="244"/>
      <c r="V255" s="245"/>
      <c r="Y255" s="42"/>
      <c r="Z255" s="42"/>
      <c r="AA255" s="40"/>
      <c r="AB255" s="43"/>
      <c r="AC255" s="43"/>
      <c r="AD255" s="43"/>
      <c r="AE255" s="42"/>
      <c r="AF255" s="40"/>
      <c r="AG255" s="41"/>
      <c r="AH255" s="43">
        <v>9</v>
      </c>
      <c r="AI255" s="28" t="s">
        <v>141</v>
      </c>
      <c r="AJ255" s="40"/>
      <c r="AM255" s="134"/>
      <c r="AN255" s="134"/>
      <c r="AO255" s="136"/>
      <c r="AP255" s="134"/>
      <c r="AQ255" s="136"/>
      <c r="AR255" s="135"/>
      <c r="AS255" s="135"/>
      <c r="AT255" s="135"/>
      <c r="AU255" s="135"/>
      <c r="AV255" s="136"/>
      <c r="AY255" s="211" t="s">
        <v>113</v>
      </c>
      <c r="AZ255" s="212">
        <v>780</v>
      </c>
      <c r="BA255" s="209">
        <v>608</v>
      </c>
      <c r="BB255" s="138">
        <v>0</v>
      </c>
      <c r="BC255" s="43">
        <v>0</v>
      </c>
      <c r="BD255" s="141">
        <v>0</v>
      </c>
      <c r="BE255" s="138">
        <v>0</v>
      </c>
      <c r="BF255" s="209">
        <v>0</v>
      </c>
      <c r="BG255" s="138">
        <v>2</v>
      </c>
      <c r="BH255" s="43" t="s">
        <v>1026</v>
      </c>
      <c r="BI255" s="141"/>
      <c r="BJ255" s="28"/>
    </row>
    <row r="256" spans="1:62" x14ac:dyDescent="0.3">
      <c r="A256" s="67" t="s">
        <v>429</v>
      </c>
      <c r="B256" s="212">
        <v>2396</v>
      </c>
      <c r="C256" s="209">
        <v>2262</v>
      </c>
      <c r="D256" s="43">
        <v>0</v>
      </c>
      <c r="E256" s="38">
        <v>0</v>
      </c>
      <c r="F256" s="43">
        <v>0</v>
      </c>
      <c r="G256" s="138"/>
      <c r="H256" s="42"/>
      <c r="I256" s="28"/>
      <c r="J256" s="40"/>
      <c r="M256" s="278"/>
      <c r="N256" s="134"/>
      <c r="O256" s="195"/>
      <c r="P256" s="134"/>
      <c r="Q256" s="195"/>
      <c r="R256" s="136"/>
      <c r="S256" s="134"/>
      <c r="T256" s="134"/>
      <c r="U256" s="278"/>
      <c r="V256" s="279"/>
      <c r="Y256" s="42" t="s">
        <v>89</v>
      </c>
      <c r="Z256" s="42">
        <v>501</v>
      </c>
      <c r="AA256" s="40">
        <v>475</v>
      </c>
      <c r="AB256" s="43">
        <v>0</v>
      </c>
      <c r="AC256" s="43">
        <v>0</v>
      </c>
      <c r="AD256" s="43">
        <v>0</v>
      </c>
      <c r="AE256" s="42">
        <v>0</v>
      </c>
      <c r="AF256" s="40">
        <v>0</v>
      </c>
      <c r="AG256" s="41">
        <v>0</v>
      </c>
      <c r="AH256" s="43"/>
      <c r="AI256" s="43"/>
      <c r="AJ256" s="40"/>
      <c r="AM256" s="138"/>
      <c r="AN256" s="138"/>
      <c r="AO256" s="141"/>
      <c r="AP256" s="138"/>
      <c r="AQ256" s="141"/>
      <c r="AR256" s="28"/>
      <c r="AS256" s="28"/>
      <c r="AT256" s="28"/>
      <c r="AU256" s="28"/>
      <c r="AV256" s="141"/>
      <c r="AY256" s="211" t="s">
        <v>85</v>
      </c>
      <c r="AZ256" s="212">
        <v>0</v>
      </c>
      <c r="BA256" s="209">
        <v>68</v>
      </c>
      <c r="BB256" s="212">
        <v>0</v>
      </c>
      <c r="BC256" s="43">
        <v>0</v>
      </c>
      <c r="BD256" s="209">
        <v>0</v>
      </c>
      <c r="BE256" s="212">
        <v>0</v>
      </c>
      <c r="BF256" s="209">
        <v>0</v>
      </c>
      <c r="BG256" s="138">
        <v>1</v>
      </c>
      <c r="BH256" s="43" t="s">
        <v>1294</v>
      </c>
      <c r="BI256" s="141"/>
      <c r="BJ256" s="28"/>
    </row>
    <row r="257" spans="1:62" ht="15" thickBot="1" x14ac:dyDescent="0.35">
      <c r="A257" s="197" t="s">
        <v>84</v>
      </c>
      <c r="B257" s="197">
        <v>13939</v>
      </c>
      <c r="C257" s="249">
        <v>14317</v>
      </c>
      <c r="D257" s="198">
        <v>0</v>
      </c>
      <c r="E257" s="391">
        <v>0</v>
      </c>
      <c r="F257" s="198">
        <v>0</v>
      </c>
      <c r="G257" s="197"/>
      <c r="H257" s="392"/>
      <c r="I257" s="198"/>
      <c r="J257" s="249">
        <v>105</v>
      </c>
      <c r="M257" s="42" t="s">
        <v>105</v>
      </c>
      <c r="N257" s="138">
        <v>572</v>
      </c>
      <c r="O257" s="196">
        <v>0</v>
      </c>
      <c r="P257" s="138">
        <v>0</v>
      </c>
      <c r="Q257" s="196">
        <v>0</v>
      </c>
      <c r="R257" s="141">
        <v>0</v>
      </c>
      <c r="S257" s="138">
        <v>0</v>
      </c>
      <c r="T257" s="138">
        <v>0</v>
      </c>
      <c r="U257" s="42"/>
      <c r="V257" s="40"/>
      <c r="Y257" s="47" t="s">
        <v>84</v>
      </c>
      <c r="Z257" s="72">
        <v>501</v>
      </c>
      <c r="AA257" s="49">
        <v>475</v>
      </c>
      <c r="AB257" s="51">
        <v>0</v>
      </c>
      <c r="AC257" s="48">
        <v>0</v>
      </c>
      <c r="AD257" s="48">
        <v>0</v>
      </c>
      <c r="AE257" s="47">
        <v>0</v>
      </c>
      <c r="AF257" s="49">
        <v>0</v>
      </c>
      <c r="AG257" s="46">
        <v>0</v>
      </c>
      <c r="AH257" s="48"/>
      <c r="AI257" s="48"/>
      <c r="AJ257" s="49">
        <v>9</v>
      </c>
      <c r="AM257" s="138"/>
      <c r="AN257" s="138"/>
      <c r="AO257" s="141"/>
      <c r="AP257" s="138"/>
      <c r="AQ257" s="141"/>
      <c r="AR257" s="28"/>
      <c r="AS257" s="28"/>
      <c r="AT257" s="28"/>
      <c r="AU257" s="28"/>
      <c r="AV257" s="141"/>
      <c r="AY257" s="211" t="s">
        <v>196</v>
      </c>
      <c r="AZ257" s="212">
        <v>0</v>
      </c>
      <c r="BA257" s="209">
        <v>0</v>
      </c>
      <c r="BB257" s="138">
        <v>0</v>
      </c>
      <c r="BC257" s="43">
        <v>0</v>
      </c>
      <c r="BD257" s="141">
        <v>0</v>
      </c>
      <c r="BE257" s="138">
        <v>0</v>
      </c>
      <c r="BF257" s="141">
        <v>0</v>
      </c>
      <c r="BG257" s="138"/>
      <c r="BH257" s="28"/>
      <c r="BI257" s="141"/>
      <c r="BJ257" s="28"/>
    </row>
    <row r="258" spans="1:62" x14ac:dyDescent="0.3">
      <c r="A258" s="42"/>
      <c r="B258" s="138"/>
      <c r="C258" s="209"/>
      <c r="D258" s="138"/>
      <c r="E258" s="38"/>
      <c r="F258" s="43"/>
      <c r="G258" s="138">
        <v>1</v>
      </c>
      <c r="H258" s="42" t="s">
        <v>116</v>
      </c>
      <c r="I258" s="28"/>
      <c r="J258" s="40"/>
      <c r="M258" s="42" t="s">
        <v>99</v>
      </c>
      <c r="N258" s="138">
        <v>0</v>
      </c>
      <c r="O258" s="196">
        <v>0</v>
      </c>
      <c r="P258" s="138">
        <v>0</v>
      </c>
      <c r="Q258" s="196">
        <v>0</v>
      </c>
      <c r="R258" s="141">
        <v>0</v>
      </c>
      <c r="S258" s="138">
        <v>0</v>
      </c>
      <c r="T258" s="138">
        <v>0</v>
      </c>
      <c r="U258" s="42" t="s">
        <v>135</v>
      </c>
      <c r="V258" s="40"/>
      <c r="Y258" s="32" t="s">
        <v>99</v>
      </c>
      <c r="Z258" s="33"/>
      <c r="AA258" s="35"/>
      <c r="AB258" s="53"/>
      <c r="AC258" s="123"/>
      <c r="AD258" s="97"/>
      <c r="AE258" s="33">
        <v>13810</v>
      </c>
      <c r="AF258" s="35">
        <v>4280</v>
      </c>
      <c r="AG258" s="32"/>
      <c r="AH258" s="33" t="s">
        <v>149</v>
      </c>
      <c r="AI258" s="34"/>
      <c r="AJ258" s="35"/>
      <c r="AM258" s="138"/>
      <c r="AN258" s="138"/>
      <c r="AO258" s="141"/>
      <c r="AP258" s="138"/>
      <c r="AQ258" s="141"/>
      <c r="AR258" s="28"/>
      <c r="AS258" s="28"/>
      <c r="AT258" s="28"/>
      <c r="AU258" s="28"/>
      <c r="AV258" s="141"/>
      <c r="AY258" s="211" t="s">
        <v>200</v>
      </c>
      <c r="AZ258" s="138">
        <v>0</v>
      </c>
      <c r="BA258" s="141">
        <v>0</v>
      </c>
      <c r="BB258" s="138">
        <v>0</v>
      </c>
      <c r="BC258" s="43">
        <v>0</v>
      </c>
      <c r="BD258" s="141">
        <v>0</v>
      </c>
      <c r="BE258" s="138">
        <v>0</v>
      </c>
      <c r="BF258" s="141">
        <v>0</v>
      </c>
      <c r="BG258" s="138"/>
      <c r="BH258" s="28"/>
      <c r="BI258" s="141"/>
      <c r="BJ258" s="28"/>
    </row>
    <row r="259" spans="1:62" x14ac:dyDescent="0.3">
      <c r="A259" s="42"/>
      <c r="B259" s="138"/>
      <c r="C259" s="209"/>
      <c r="D259" s="138"/>
      <c r="E259" s="38"/>
      <c r="F259" s="43"/>
      <c r="G259" s="138"/>
      <c r="H259" s="67">
        <v>66</v>
      </c>
      <c r="I259" s="28" t="s">
        <v>188</v>
      </c>
      <c r="J259" s="40"/>
      <c r="M259" s="42"/>
      <c r="N259" s="138"/>
      <c r="O259" s="196"/>
      <c r="P259" s="138"/>
      <c r="Q259" s="196"/>
      <c r="R259" s="141"/>
      <c r="S259" s="138"/>
      <c r="T259" s="138"/>
      <c r="U259" s="42"/>
      <c r="V259" s="40"/>
      <c r="Y259" s="41" t="s">
        <v>108</v>
      </c>
      <c r="Z259" s="42"/>
      <c r="AA259" s="40"/>
      <c r="AB259" s="67">
        <v>0</v>
      </c>
      <c r="AC259" s="43">
        <v>0</v>
      </c>
      <c r="AD259" s="56">
        <v>0</v>
      </c>
      <c r="AE259" s="42">
        <v>0</v>
      </c>
      <c r="AF259" s="40">
        <v>1482</v>
      </c>
      <c r="AG259" s="41">
        <v>0</v>
      </c>
      <c r="AH259" s="67">
        <v>2</v>
      </c>
      <c r="AI259" s="28" t="s">
        <v>1317</v>
      </c>
      <c r="AJ259" s="40"/>
      <c r="AM259" s="142"/>
      <c r="AN259" s="142"/>
      <c r="AO259" s="146"/>
      <c r="AP259" s="142"/>
      <c r="AQ259" s="146"/>
      <c r="AR259" s="143"/>
      <c r="AS259" s="143"/>
      <c r="AT259" s="143"/>
      <c r="AU259" s="143"/>
      <c r="AV259" s="146"/>
      <c r="AY259" s="211" t="s">
        <v>89</v>
      </c>
      <c r="AZ259" s="142">
        <v>2704</v>
      </c>
      <c r="BA259" s="146">
        <v>2628</v>
      </c>
      <c r="BB259" s="142">
        <v>0</v>
      </c>
      <c r="BC259" s="224">
        <v>0</v>
      </c>
      <c r="BD259" s="251">
        <v>0</v>
      </c>
      <c r="BE259" s="142">
        <v>0</v>
      </c>
      <c r="BF259" s="146">
        <v>0</v>
      </c>
      <c r="BG259" s="142"/>
      <c r="BH259" s="143"/>
      <c r="BI259" s="146"/>
      <c r="BJ259" s="28"/>
    </row>
    <row r="260" spans="1:62" x14ac:dyDescent="0.3">
      <c r="A260" s="42"/>
      <c r="B260" s="138"/>
      <c r="C260" s="209"/>
      <c r="D260" s="138"/>
      <c r="E260" s="38"/>
      <c r="F260" s="43"/>
      <c r="G260" s="138"/>
      <c r="H260" s="67"/>
      <c r="I260" s="28"/>
      <c r="J260" s="40"/>
      <c r="M260" s="244" t="s">
        <v>84</v>
      </c>
      <c r="N260" s="142">
        <v>572</v>
      </c>
      <c r="O260" s="199">
        <v>0</v>
      </c>
      <c r="P260" s="142">
        <v>0</v>
      </c>
      <c r="Q260" s="199">
        <v>0</v>
      </c>
      <c r="R260" s="146">
        <v>0</v>
      </c>
      <c r="S260" s="142">
        <v>0</v>
      </c>
      <c r="T260" s="142">
        <v>0</v>
      </c>
      <c r="U260" s="244"/>
      <c r="V260" s="245"/>
      <c r="Y260" s="41" t="s">
        <v>174</v>
      </c>
      <c r="Z260" s="42"/>
      <c r="AA260" s="40"/>
      <c r="AB260" s="67">
        <v>0</v>
      </c>
      <c r="AC260" s="43">
        <v>0</v>
      </c>
      <c r="AD260" s="56">
        <v>0</v>
      </c>
      <c r="AE260" s="42">
        <v>12450</v>
      </c>
      <c r="AF260" s="40">
        <v>0</v>
      </c>
      <c r="AG260" s="41">
        <v>0</v>
      </c>
      <c r="AH260" s="67"/>
      <c r="AI260" s="43"/>
      <c r="AJ260" s="40"/>
      <c r="AM260" s="134"/>
      <c r="AN260" s="134"/>
      <c r="AO260" s="136"/>
      <c r="AP260" s="134"/>
      <c r="AQ260" s="136"/>
      <c r="AR260" s="135"/>
      <c r="AS260" s="135" t="s">
        <v>140</v>
      </c>
      <c r="AT260" s="135"/>
      <c r="AU260" s="135"/>
      <c r="AV260" s="136"/>
      <c r="AY260" s="247" t="s">
        <v>84</v>
      </c>
      <c r="AZ260" s="247">
        <v>8027</v>
      </c>
      <c r="BA260" s="248">
        <v>7430</v>
      </c>
      <c r="BB260" s="197">
        <v>0</v>
      </c>
      <c r="BC260" s="198">
        <v>0</v>
      </c>
      <c r="BD260" s="249">
        <v>0</v>
      </c>
      <c r="BE260" s="197">
        <v>0</v>
      </c>
      <c r="BF260" s="249">
        <v>0</v>
      </c>
      <c r="BG260" s="197"/>
      <c r="BH260" s="198"/>
      <c r="BI260" s="249">
        <v>117</v>
      </c>
      <c r="BJ260" s="28"/>
    </row>
    <row r="261" spans="1:62" ht="15" thickBot="1" x14ac:dyDescent="0.35">
      <c r="A261" s="42" t="s">
        <v>99</v>
      </c>
      <c r="B261" s="138">
        <v>10277</v>
      </c>
      <c r="C261" s="28">
        <v>10376</v>
      </c>
      <c r="D261" s="138">
        <v>0</v>
      </c>
      <c r="E261" s="38">
        <v>0</v>
      </c>
      <c r="F261" s="43">
        <v>0</v>
      </c>
      <c r="G261" s="138"/>
      <c r="H261" s="67"/>
      <c r="I261" s="28"/>
      <c r="J261" s="40"/>
      <c r="M261" s="42"/>
      <c r="N261" s="138"/>
      <c r="O261" s="196"/>
      <c r="P261" s="138"/>
      <c r="Q261" s="196"/>
      <c r="R261" s="141"/>
      <c r="S261" s="138"/>
      <c r="T261" s="138"/>
      <c r="U261" s="42"/>
      <c r="V261" s="40"/>
      <c r="Y261" s="62" t="s">
        <v>84</v>
      </c>
      <c r="Z261" s="47"/>
      <c r="AA261" s="49"/>
      <c r="AB261" s="47">
        <v>0</v>
      </c>
      <c r="AC261" s="48">
        <v>0</v>
      </c>
      <c r="AD261" s="49">
        <v>0</v>
      </c>
      <c r="AE261" s="47">
        <v>26260</v>
      </c>
      <c r="AF261" s="49">
        <v>5762</v>
      </c>
      <c r="AG261" s="46">
        <v>0</v>
      </c>
      <c r="AH261" s="47"/>
      <c r="AI261" s="48"/>
      <c r="AJ261" s="49">
        <v>2</v>
      </c>
      <c r="AM261" s="138" t="s">
        <v>56</v>
      </c>
      <c r="AN261" s="212">
        <v>13</v>
      </c>
      <c r="AO261" s="141">
        <v>25</v>
      </c>
      <c r="AP261" s="138"/>
      <c r="AQ261" s="141"/>
      <c r="AR261" s="28" t="s">
        <v>2325</v>
      </c>
      <c r="AS261" s="43"/>
      <c r="AT261" s="43" t="s">
        <v>2326</v>
      </c>
      <c r="AU261" s="43"/>
      <c r="AV261" s="141"/>
      <c r="AY261" s="195"/>
      <c r="AZ261" s="134"/>
      <c r="BA261" s="136"/>
      <c r="BB261" s="134"/>
      <c r="BC261" s="135"/>
      <c r="BD261" s="136"/>
      <c r="BE261" s="134"/>
      <c r="BF261" s="136"/>
      <c r="BG261" s="134" t="s">
        <v>1025</v>
      </c>
      <c r="BH261" s="135"/>
      <c r="BI261" s="136"/>
      <c r="BJ261" s="28"/>
    </row>
    <row r="262" spans="1:62" x14ac:dyDescent="0.3">
      <c r="A262" s="197" t="s">
        <v>84</v>
      </c>
      <c r="B262" s="197">
        <v>10277</v>
      </c>
      <c r="C262" s="198">
        <v>10376</v>
      </c>
      <c r="D262" s="197">
        <v>0</v>
      </c>
      <c r="E262" s="391">
        <v>0</v>
      </c>
      <c r="F262" s="198">
        <v>0</v>
      </c>
      <c r="G262" s="197"/>
      <c r="H262" s="392"/>
      <c r="I262" s="198"/>
      <c r="J262" s="249">
        <v>66</v>
      </c>
      <c r="M262" s="42"/>
      <c r="N262" s="138"/>
      <c r="O262" s="196"/>
      <c r="P262" s="138"/>
      <c r="Q262" s="196"/>
      <c r="R262" s="141"/>
      <c r="S262" s="138"/>
      <c r="T262" s="138"/>
      <c r="U262" s="42"/>
      <c r="V262" s="40"/>
      <c r="Y262" s="32"/>
      <c r="Z262" s="33"/>
      <c r="AA262" s="35"/>
      <c r="AB262" s="33"/>
      <c r="AC262" s="34"/>
      <c r="AD262" s="35"/>
      <c r="AE262" s="33"/>
      <c r="AF262" s="35"/>
      <c r="AG262" s="32">
        <v>0</v>
      </c>
      <c r="AH262" s="33" t="s">
        <v>157</v>
      </c>
      <c r="AI262" s="34"/>
      <c r="AJ262" s="35"/>
      <c r="AM262" s="138" t="s">
        <v>72</v>
      </c>
      <c r="AN262" s="212">
        <v>28</v>
      </c>
      <c r="AO262" s="141">
        <v>38</v>
      </c>
      <c r="AP262" s="138"/>
      <c r="AQ262" s="141"/>
      <c r="AR262" s="28" t="s">
        <v>2327</v>
      </c>
      <c r="AS262" s="43"/>
      <c r="AT262" s="43" t="s">
        <v>2328</v>
      </c>
      <c r="AU262" s="43"/>
      <c r="AV262" s="141"/>
      <c r="AY262" s="196" t="s">
        <v>64</v>
      </c>
      <c r="AZ262" s="138">
        <v>39</v>
      </c>
      <c r="BA262" s="141">
        <v>53</v>
      </c>
      <c r="BB262" s="138">
        <v>0</v>
      </c>
      <c r="BC262" s="43">
        <v>0</v>
      </c>
      <c r="BD262" s="209">
        <v>0</v>
      </c>
      <c r="BE262" s="138">
        <v>0</v>
      </c>
      <c r="BF262" s="141">
        <v>0</v>
      </c>
      <c r="BG262" s="138">
        <v>4</v>
      </c>
      <c r="BH262" s="28" t="s">
        <v>1026</v>
      </c>
      <c r="BI262" s="141"/>
      <c r="BJ262" s="28"/>
    </row>
    <row r="263" spans="1:62" x14ac:dyDescent="0.3">
      <c r="A263" s="278" t="s">
        <v>105</v>
      </c>
      <c r="B263" s="134">
        <v>1669</v>
      </c>
      <c r="C263" s="135">
        <v>1267</v>
      </c>
      <c r="D263" s="134"/>
      <c r="E263" s="243">
        <v>1947</v>
      </c>
      <c r="F263" s="135">
        <v>0</v>
      </c>
      <c r="G263" s="134">
        <v>1</v>
      </c>
      <c r="H263" s="278" t="s">
        <v>162</v>
      </c>
      <c r="I263" s="135"/>
      <c r="J263" s="279"/>
      <c r="M263" s="42"/>
      <c r="N263" s="138"/>
      <c r="O263" s="196"/>
      <c r="P263" s="138"/>
      <c r="Q263" s="196"/>
      <c r="R263" s="141"/>
      <c r="S263" s="138"/>
      <c r="T263" s="138"/>
      <c r="U263" s="42"/>
      <c r="V263" s="40"/>
      <c r="Y263" s="41"/>
      <c r="Z263" s="42"/>
      <c r="AA263" s="56"/>
      <c r="AB263" s="67"/>
      <c r="AC263" s="43"/>
      <c r="AD263" s="56"/>
      <c r="AE263" s="42"/>
      <c r="AF263" s="56"/>
      <c r="AG263" s="41">
        <v>0</v>
      </c>
      <c r="AH263" s="67">
        <v>12</v>
      </c>
      <c r="AI263" s="28" t="s">
        <v>1318</v>
      </c>
      <c r="AJ263" s="40"/>
      <c r="AM263" s="138" t="s">
        <v>78</v>
      </c>
      <c r="AN263" s="212">
        <v>82</v>
      </c>
      <c r="AO263" s="141">
        <v>103</v>
      </c>
      <c r="AP263" s="138"/>
      <c r="AQ263" s="141"/>
      <c r="AR263" s="28" t="s">
        <v>742</v>
      </c>
      <c r="AS263" s="43"/>
      <c r="AT263" s="43" t="s">
        <v>792</v>
      </c>
      <c r="AU263" s="43"/>
      <c r="AV263" s="141"/>
      <c r="AY263" s="265" t="s">
        <v>84</v>
      </c>
      <c r="AZ263" s="197">
        <v>39</v>
      </c>
      <c r="BA263" s="249">
        <v>53</v>
      </c>
      <c r="BB263" s="197">
        <v>0</v>
      </c>
      <c r="BC263" s="198">
        <v>0</v>
      </c>
      <c r="BD263" s="249">
        <v>0</v>
      </c>
      <c r="BE263" s="197">
        <v>0</v>
      </c>
      <c r="BF263" s="249">
        <v>0</v>
      </c>
      <c r="BG263" s="197"/>
      <c r="BH263" s="198"/>
      <c r="BI263" s="249">
        <v>4</v>
      </c>
      <c r="BJ263" s="28"/>
    </row>
    <row r="264" spans="1:62" x14ac:dyDescent="0.3">
      <c r="A264" s="42" t="s">
        <v>99</v>
      </c>
      <c r="B264" s="138">
        <v>1120</v>
      </c>
      <c r="C264" s="43">
        <v>1052</v>
      </c>
      <c r="D264" s="138">
        <v>0</v>
      </c>
      <c r="E264" s="348">
        <v>1506</v>
      </c>
      <c r="F264" s="43">
        <v>0</v>
      </c>
      <c r="G264" s="138"/>
      <c r="H264" s="42"/>
      <c r="I264" s="28"/>
      <c r="J264" s="40"/>
      <c r="M264" s="42"/>
      <c r="N264" s="138"/>
      <c r="O264" s="196"/>
      <c r="P264" s="138"/>
      <c r="Q264" s="196"/>
      <c r="R264" s="141"/>
      <c r="S264" s="138"/>
      <c r="T264" s="138"/>
      <c r="U264" s="42"/>
      <c r="V264" s="40"/>
      <c r="Y264" s="41"/>
      <c r="Z264" s="42"/>
      <c r="AA264" s="56"/>
      <c r="AB264" s="67"/>
      <c r="AC264" s="43"/>
      <c r="AD264" s="56"/>
      <c r="AE264" s="42"/>
      <c r="AF264" s="56"/>
      <c r="AG264" s="41">
        <v>0</v>
      </c>
      <c r="AH264" s="42"/>
      <c r="AI264" s="28"/>
      <c r="AJ264" s="40"/>
      <c r="AM264" s="138" t="s">
        <v>67</v>
      </c>
      <c r="AN264" s="212">
        <v>11</v>
      </c>
      <c r="AO264" s="141">
        <v>13</v>
      </c>
      <c r="AP264" s="138"/>
      <c r="AQ264" s="141"/>
      <c r="AR264" s="28" t="s">
        <v>2329</v>
      </c>
      <c r="AS264" s="43"/>
      <c r="AT264" s="43" t="s">
        <v>1414</v>
      </c>
      <c r="AU264" s="43"/>
      <c r="AV264" s="141"/>
      <c r="AY264" s="195"/>
      <c r="AZ264" s="134"/>
      <c r="BA264" s="136"/>
      <c r="BB264" s="134"/>
      <c r="BC264" s="135"/>
      <c r="BD264" s="136"/>
      <c r="BE264" s="134"/>
      <c r="BF264" s="136"/>
      <c r="BG264" s="134" t="s">
        <v>994</v>
      </c>
      <c r="BH264" s="135"/>
      <c r="BI264" s="136"/>
      <c r="BJ264" s="28"/>
    </row>
    <row r="265" spans="1:62" ht="15" thickBot="1" x14ac:dyDescent="0.35">
      <c r="A265" s="42"/>
      <c r="B265" s="138"/>
      <c r="C265" s="28"/>
      <c r="D265" s="138"/>
      <c r="E265" s="348"/>
      <c r="F265" s="43"/>
      <c r="G265" s="138"/>
      <c r="H265" s="67">
        <v>44</v>
      </c>
      <c r="I265" s="28" t="s">
        <v>2330</v>
      </c>
      <c r="J265" s="40"/>
      <c r="M265" s="42"/>
      <c r="N265" s="138"/>
      <c r="O265" s="196"/>
      <c r="P265" s="138"/>
      <c r="Q265" s="196"/>
      <c r="R265" s="141"/>
      <c r="S265" s="138"/>
      <c r="T265" s="138"/>
      <c r="U265" s="42"/>
      <c r="V265" s="40"/>
      <c r="Y265" s="68"/>
      <c r="Z265" s="42"/>
      <c r="AA265" s="56"/>
      <c r="AB265" s="42"/>
      <c r="AC265" s="43"/>
      <c r="AD265" s="40"/>
      <c r="AE265" s="42"/>
      <c r="AF265" s="56"/>
      <c r="AG265" s="41">
        <v>0</v>
      </c>
      <c r="AH265" s="42"/>
      <c r="AI265" s="43"/>
      <c r="AJ265" s="40"/>
      <c r="AM265" s="138" t="s">
        <v>115</v>
      </c>
      <c r="AN265" s="212">
        <v>6</v>
      </c>
      <c r="AO265" s="141">
        <v>8</v>
      </c>
      <c r="AP265" s="212"/>
      <c r="AQ265" s="141"/>
      <c r="AR265" s="43" t="s">
        <v>1000</v>
      </c>
      <c r="AS265" s="43"/>
      <c r="AT265" s="43" t="s">
        <v>334</v>
      </c>
      <c r="AU265" s="43"/>
      <c r="AV265" s="141"/>
      <c r="AY265" s="196" t="s">
        <v>56</v>
      </c>
      <c r="AZ265" s="138">
        <v>19</v>
      </c>
      <c r="BA265" s="141">
        <v>17</v>
      </c>
      <c r="BB265" s="138">
        <v>0</v>
      </c>
      <c r="BC265" s="43">
        <v>0</v>
      </c>
      <c r="BD265" s="209">
        <v>0</v>
      </c>
      <c r="BE265" s="212">
        <v>0</v>
      </c>
      <c r="BF265" s="141">
        <v>0</v>
      </c>
      <c r="BG265" s="212">
        <v>11</v>
      </c>
      <c r="BH265" s="28" t="s">
        <v>1297</v>
      </c>
      <c r="BI265" s="141"/>
      <c r="BJ265" s="28"/>
    </row>
    <row r="266" spans="1:62" ht="15" thickBot="1" x14ac:dyDescent="0.35">
      <c r="A266" s="134" t="s">
        <v>84</v>
      </c>
      <c r="B266" s="197">
        <v>2789</v>
      </c>
      <c r="C266" s="198">
        <v>2319</v>
      </c>
      <c r="D266" s="197">
        <v>0</v>
      </c>
      <c r="E266" s="391">
        <v>3453</v>
      </c>
      <c r="F266" s="198">
        <v>0</v>
      </c>
      <c r="G266" s="197"/>
      <c r="H266" s="392"/>
      <c r="I266" s="198"/>
      <c r="J266" s="249">
        <v>44</v>
      </c>
      <c r="M266" s="171" t="s">
        <v>84</v>
      </c>
      <c r="N266" s="210">
        <v>8466</v>
      </c>
      <c r="O266" s="206">
        <v>23083</v>
      </c>
      <c r="P266" s="210">
        <v>0</v>
      </c>
      <c r="Q266" s="206">
        <v>0</v>
      </c>
      <c r="R266" s="170">
        <v>0</v>
      </c>
      <c r="S266" s="210">
        <v>2427</v>
      </c>
      <c r="T266" s="210">
        <v>58</v>
      </c>
      <c r="U266" s="171"/>
      <c r="V266" s="172"/>
      <c r="Y266" s="68" t="s">
        <v>85</v>
      </c>
      <c r="Z266" s="42"/>
      <c r="AA266" s="56"/>
      <c r="AB266" s="67"/>
      <c r="AC266" s="43"/>
      <c r="AD266" s="56"/>
      <c r="AE266" s="42">
        <v>7203</v>
      </c>
      <c r="AF266" s="56">
        <v>27090</v>
      </c>
      <c r="AG266" s="41">
        <v>0</v>
      </c>
      <c r="AH266" s="67"/>
      <c r="AI266" s="28"/>
      <c r="AJ266" s="40"/>
      <c r="AM266" s="138" t="s">
        <v>81</v>
      </c>
      <c r="AN266" s="212">
        <v>6</v>
      </c>
      <c r="AO266" s="141">
        <v>8</v>
      </c>
      <c r="AP266" s="138"/>
      <c r="AQ266" s="141"/>
      <c r="AR266" s="28" t="s">
        <v>2331</v>
      </c>
      <c r="AS266" s="43"/>
      <c r="AT266" s="43" t="s">
        <v>2278</v>
      </c>
      <c r="AU266" s="43"/>
      <c r="AV266" s="141"/>
      <c r="AY266" s="196" t="s">
        <v>113</v>
      </c>
      <c r="AZ266" s="138">
        <v>617</v>
      </c>
      <c r="BA266" s="141">
        <v>537</v>
      </c>
      <c r="BB266" s="138">
        <v>0</v>
      </c>
      <c r="BC266" s="43">
        <v>0</v>
      </c>
      <c r="BD266" s="209">
        <v>0</v>
      </c>
      <c r="BE266" s="138">
        <v>0</v>
      </c>
      <c r="BF266" s="141">
        <v>0</v>
      </c>
      <c r="BG266" s="212">
        <v>38</v>
      </c>
      <c r="BH266" s="43" t="s">
        <v>1292</v>
      </c>
      <c r="BI266" s="141"/>
      <c r="BJ266" s="28"/>
    </row>
    <row r="267" spans="1:62" x14ac:dyDescent="0.3">
      <c r="A267" s="195" t="s">
        <v>181</v>
      </c>
      <c r="B267" s="134">
        <v>2828</v>
      </c>
      <c r="C267" s="136">
        <v>2891</v>
      </c>
      <c r="D267" s="134">
        <v>0</v>
      </c>
      <c r="E267" s="243">
        <v>0</v>
      </c>
      <c r="F267" s="136">
        <v>0</v>
      </c>
      <c r="G267" s="195">
        <v>1</v>
      </c>
      <c r="H267" s="134" t="s">
        <v>182</v>
      </c>
      <c r="I267" s="135"/>
      <c r="J267" s="136"/>
      <c r="Y267" s="68" t="s">
        <v>99</v>
      </c>
      <c r="Z267" s="67"/>
      <c r="AA267" s="56"/>
      <c r="AB267" s="42"/>
      <c r="AC267" s="43"/>
      <c r="AD267" s="40"/>
      <c r="AE267" s="67">
        <v>69889</v>
      </c>
      <c r="AF267" s="56">
        <v>28376</v>
      </c>
      <c r="AG267" s="41">
        <v>0</v>
      </c>
      <c r="AH267" s="42"/>
      <c r="AI267" s="28"/>
      <c r="AJ267" s="40"/>
      <c r="AM267" s="138" t="s">
        <v>63</v>
      </c>
      <c r="AN267" s="212">
        <v>5</v>
      </c>
      <c r="AO267" s="141">
        <v>2</v>
      </c>
      <c r="AP267" s="138"/>
      <c r="AQ267" s="141"/>
      <c r="AR267" s="43" t="s">
        <v>2332</v>
      </c>
      <c r="AS267" s="43"/>
      <c r="AT267" s="43" t="s">
        <v>1752</v>
      </c>
      <c r="AU267" s="43"/>
      <c r="AV267" s="141"/>
      <c r="AY267" s="265" t="s">
        <v>84</v>
      </c>
      <c r="AZ267" s="247">
        <v>636</v>
      </c>
      <c r="BA267" s="249">
        <v>554</v>
      </c>
      <c r="BB267" s="197">
        <v>0</v>
      </c>
      <c r="BC267" s="393">
        <v>0</v>
      </c>
      <c r="BD267" s="394">
        <v>0</v>
      </c>
      <c r="BE267" s="197">
        <v>0</v>
      </c>
      <c r="BF267" s="249">
        <v>0</v>
      </c>
      <c r="BG267" s="197"/>
      <c r="BH267" s="198"/>
      <c r="BI267" s="249">
        <v>49</v>
      </c>
      <c r="BJ267" s="28"/>
    </row>
    <row r="268" spans="1:62" x14ac:dyDescent="0.3">
      <c r="A268" s="196" t="s">
        <v>120</v>
      </c>
      <c r="B268" s="212">
        <v>600</v>
      </c>
      <c r="C268" s="209">
        <v>602</v>
      </c>
      <c r="D268" s="138">
        <v>0</v>
      </c>
      <c r="E268" s="38">
        <v>0</v>
      </c>
      <c r="F268" s="141">
        <v>0</v>
      </c>
      <c r="G268" s="196"/>
      <c r="H268" s="138">
        <v>25</v>
      </c>
      <c r="I268" s="28" t="s">
        <v>188</v>
      </c>
      <c r="J268" s="141"/>
      <c r="Y268" s="68" t="s">
        <v>105</v>
      </c>
      <c r="Z268" s="67"/>
      <c r="AA268" s="56"/>
      <c r="AB268" s="67"/>
      <c r="AC268" s="43"/>
      <c r="AD268" s="56"/>
      <c r="AE268" s="67">
        <v>0</v>
      </c>
      <c r="AF268" s="56">
        <v>3511</v>
      </c>
      <c r="AG268" s="41">
        <v>0</v>
      </c>
      <c r="AH268" s="67"/>
      <c r="AI268" s="28"/>
      <c r="AJ268" s="40"/>
      <c r="AM268" s="138" t="s">
        <v>122</v>
      </c>
      <c r="AN268" s="212">
        <v>0</v>
      </c>
      <c r="AO268" s="141">
        <v>12</v>
      </c>
      <c r="AP268" s="138"/>
      <c r="AQ268" s="141"/>
      <c r="AR268" s="43" t="s">
        <v>477</v>
      </c>
      <c r="AS268" s="43"/>
      <c r="AT268" s="43" t="s">
        <v>334</v>
      </c>
      <c r="AU268" s="43"/>
      <c r="AV268" s="141"/>
      <c r="AY268" s="134" t="s">
        <v>133</v>
      </c>
      <c r="AZ268" s="240">
        <v>24</v>
      </c>
      <c r="BA268" s="135">
        <v>16</v>
      </c>
      <c r="BB268" s="134"/>
      <c r="BC268" s="243"/>
      <c r="BD268" s="381"/>
      <c r="BE268" s="135"/>
      <c r="BF268" s="136"/>
      <c r="BG268" s="134" t="s">
        <v>2333</v>
      </c>
      <c r="BH268" s="135"/>
      <c r="BI268" s="136"/>
      <c r="BJ268" s="28"/>
    </row>
    <row r="269" spans="1:62" x14ac:dyDescent="0.3">
      <c r="A269" s="196" t="s">
        <v>84</v>
      </c>
      <c r="B269" s="138">
        <v>3428</v>
      </c>
      <c r="C269" s="209">
        <v>3493</v>
      </c>
      <c r="D269" s="138">
        <v>0</v>
      </c>
      <c r="E269" s="38">
        <v>0</v>
      </c>
      <c r="F269" s="141">
        <v>0</v>
      </c>
      <c r="G269" s="196"/>
      <c r="H269" s="138"/>
      <c r="I269" s="28"/>
      <c r="J269" s="141"/>
      <c r="Y269" s="68" t="s">
        <v>133</v>
      </c>
      <c r="Z269" s="42"/>
      <c r="AA269" s="40"/>
      <c r="AB269" s="42"/>
      <c r="AC269" s="43"/>
      <c r="AD269" s="40"/>
      <c r="AE269" s="42">
        <v>0</v>
      </c>
      <c r="AF269" s="40">
        <v>6983</v>
      </c>
      <c r="AG269" s="41">
        <v>0</v>
      </c>
      <c r="AH269" s="42"/>
      <c r="AI269" s="28"/>
      <c r="AJ269" s="40"/>
      <c r="AM269" s="138" t="s">
        <v>132</v>
      </c>
      <c r="AN269" s="212">
        <v>0</v>
      </c>
      <c r="AO269" s="141">
        <v>0</v>
      </c>
      <c r="AP269" s="138"/>
      <c r="AQ269" s="141"/>
      <c r="AR269" s="43" t="s">
        <v>2334</v>
      </c>
      <c r="AS269" s="43"/>
      <c r="AT269" s="43" t="s">
        <v>1752</v>
      </c>
      <c r="AU269" s="43"/>
      <c r="AV269" s="141"/>
      <c r="AY269" s="138" t="s">
        <v>113</v>
      </c>
      <c r="AZ269" s="212">
        <v>105</v>
      </c>
      <c r="BA269" s="43">
        <v>98</v>
      </c>
      <c r="BB269" s="138"/>
      <c r="BC269" s="43"/>
      <c r="BD269" s="141"/>
      <c r="BE269" s="43"/>
      <c r="BF269" s="141"/>
      <c r="BG269" s="138"/>
      <c r="BH269" s="28"/>
      <c r="BI269" s="141"/>
      <c r="BJ269" s="28"/>
    </row>
    <row r="270" spans="1:62" x14ac:dyDescent="0.3">
      <c r="A270" s="199"/>
      <c r="B270" s="142"/>
      <c r="C270" s="146"/>
      <c r="D270" s="142"/>
      <c r="E270" s="143"/>
      <c r="F270" s="146"/>
      <c r="G270" s="199"/>
      <c r="H270" s="142"/>
      <c r="I270" s="224"/>
      <c r="J270" s="146">
        <v>25</v>
      </c>
      <c r="Y270" s="68" t="s">
        <v>574</v>
      </c>
      <c r="Z270" s="42"/>
      <c r="AA270" s="40"/>
      <c r="AB270" s="42"/>
      <c r="AC270" s="43"/>
      <c r="AD270" s="40"/>
      <c r="AE270" s="42">
        <v>36164</v>
      </c>
      <c r="AF270" s="40">
        <v>0</v>
      </c>
      <c r="AG270" s="41">
        <v>0</v>
      </c>
      <c r="AH270" s="42"/>
      <c r="AI270" s="28"/>
      <c r="AJ270" s="40"/>
      <c r="AM270" s="138" t="s">
        <v>230</v>
      </c>
      <c r="AN270" s="138">
        <v>11</v>
      </c>
      <c r="AO270" s="141">
        <v>13</v>
      </c>
      <c r="AP270" s="138"/>
      <c r="AQ270" s="141"/>
      <c r="AR270" s="28"/>
      <c r="AS270" s="220"/>
      <c r="AT270" s="43"/>
      <c r="AU270" s="371"/>
      <c r="AV270" s="141"/>
      <c r="AY270" s="138" t="s">
        <v>108</v>
      </c>
      <c r="AZ270" s="212">
        <v>3</v>
      </c>
      <c r="BA270" s="43">
        <v>3</v>
      </c>
      <c r="BB270" s="138"/>
      <c r="BC270" s="43"/>
      <c r="BD270" s="141"/>
      <c r="BE270" s="43"/>
      <c r="BF270" s="141"/>
      <c r="BG270" s="138"/>
      <c r="BH270" s="28"/>
      <c r="BI270" s="141"/>
      <c r="BJ270" s="28"/>
    </row>
    <row r="271" spans="1:62" ht="15" thickBot="1" x14ac:dyDescent="0.35">
      <c r="A271" s="46" t="s">
        <v>84</v>
      </c>
      <c r="B271" s="396">
        <v>37295</v>
      </c>
      <c r="C271" s="49">
        <v>38291</v>
      </c>
      <c r="D271" s="397">
        <v>0</v>
      </c>
      <c r="E271" s="202">
        <v>4900</v>
      </c>
      <c r="F271" s="398">
        <v>0</v>
      </c>
      <c r="G271" s="47">
        <v>8</v>
      </c>
      <c r="H271" s="47"/>
      <c r="I271" s="48"/>
      <c r="J271" s="49">
        <v>287</v>
      </c>
      <c r="Y271" s="68" t="s">
        <v>108</v>
      </c>
      <c r="Z271" s="42"/>
      <c r="AA271" s="40"/>
      <c r="AB271" s="42"/>
      <c r="AC271" s="43"/>
      <c r="AD271" s="40"/>
      <c r="AE271" s="42">
        <v>14255</v>
      </c>
      <c r="AF271" s="40">
        <v>10695</v>
      </c>
      <c r="AG271" s="41">
        <v>0</v>
      </c>
      <c r="AH271" s="42"/>
      <c r="AI271" s="28"/>
      <c r="AJ271" s="40"/>
      <c r="AM271" s="134" t="s">
        <v>84</v>
      </c>
      <c r="AN271" s="134">
        <v>162</v>
      </c>
      <c r="AO271" s="136">
        <v>222</v>
      </c>
      <c r="AP271" s="142"/>
      <c r="AQ271" s="146"/>
      <c r="AR271" s="143"/>
      <c r="AS271" s="224"/>
      <c r="AT271" s="224"/>
      <c r="AU271" s="143"/>
      <c r="AV271" s="146">
        <v>157</v>
      </c>
      <c r="AY271" s="138" t="s">
        <v>218</v>
      </c>
      <c r="AZ271" s="212">
        <v>19</v>
      </c>
      <c r="BA271" s="43">
        <v>26</v>
      </c>
      <c r="BB271" s="382"/>
      <c r="BC271" s="43"/>
      <c r="BD271" s="141"/>
      <c r="BE271" s="43"/>
      <c r="BF271" s="141"/>
      <c r="BG271" s="212" t="s">
        <v>142</v>
      </c>
      <c r="BH271" s="43"/>
      <c r="BI271" s="209" t="s">
        <v>1474</v>
      </c>
      <c r="BJ271" s="28"/>
    </row>
    <row r="272" spans="1:62" ht="15" thickBot="1" x14ac:dyDescent="0.35">
      <c r="Y272" s="68" t="s">
        <v>445</v>
      </c>
      <c r="Z272" s="42"/>
      <c r="AA272" s="40"/>
      <c r="AB272" s="42"/>
      <c r="AC272" s="43"/>
      <c r="AD272" s="40"/>
      <c r="AE272" s="42">
        <v>2178</v>
      </c>
      <c r="AF272" s="40">
        <v>0</v>
      </c>
      <c r="AG272" s="41">
        <v>0</v>
      </c>
      <c r="AH272" s="42"/>
      <c r="AI272" s="28"/>
      <c r="AJ272" s="40"/>
      <c r="AM272" s="171" t="s">
        <v>84</v>
      </c>
      <c r="AN272" s="171">
        <v>1798</v>
      </c>
      <c r="AO272" s="172">
        <v>1889</v>
      </c>
      <c r="AP272" s="47"/>
      <c r="AQ272" s="49"/>
      <c r="AR272" s="48"/>
      <c r="AS272" s="48"/>
      <c r="AT272" s="48"/>
      <c r="AU272" s="48"/>
      <c r="AV272" s="49">
        <v>328</v>
      </c>
      <c r="AY272" s="138" t="s">
        <v>214</v>
      </c>
      <c r="AZ272" s="212">
        <v>1</v>
      </c>
      <c r="BA272" s="43">
        <v>8</v>
      </c>
      <c r="BB272" s="268"/>
      <c r="BC272" s="255"/>
      <c r="BD272" s="141"/>
      <c r="BE272" s="43"/>
      <c r="BF272" s="141"/>
      <c r="BG272" s="212" t="s">
        <v>146</v>
      </c>
      <c r="BH272" s="43"/>
      <c r="BI272" s="372"/>
      <c r="BJ272" s="28"/>
    </row>
    <row r="273" spans="22:62" ht="15" thickBot="1" x14ac:dyDescent="0.35">
      <c r="V273" s="184"/>
      <c r="Y273" s="68" t="s">
        <v>84</v>
      </c>
      <c r="Z273" s="47"/>
      <c r="AA273" s="49"/>
      <c r="AB273" s="72"/>
      <c r="AC273" s="51"/>
      <c r="AD273" s="73"/>
      <c r="AE273" s="47">
        <v>129689</v>
      </c>
      <c r="AF273" s="49">
        <v>76655</v>
      </c>
      <c r="AG273" s="46">
        <v>0</v>
      </c>
      <c r="AH273" s="72"/>
      <c r="AI273" s="48"/>
      <c r="AJ273" s="49">
        <v>12</v>
      </c>
      <c r="AM273" s="28"/>
      <c r="AN273" s="28"/>
      <c r="AO273" s="28"/>
      <c r="AP273" s="28"/>
      <c r="AQ273" s="28"/>
      <c r="AR273" s="28"/>
      <c r="AS273" s="43"/>
      <c r="AT273" s="43"/>
      <c r="AU273" s="28"/>
      <c r="AV273" s="28"/>
      <c r="AY273" s="138" t="s">
        <v>93</v>
      </c>
      <c r="AZ273" s="212">
        <v>4</v>
      </c>
      <c r="BA273" s="43">
        <v>4</v>
      </c>
      <c r="BB273" s="268"/>
      <c r="BC273" s="43"/>
      <c r="BD273" s="141"/>
      <c r="BE273" s="43"/>
      <c r="BF273" s="141"/>
      <c r="BG273" s="212"/>
      <c r="BH273" s="43"/>
      <c r="BI273" s="209"/>
      <c r="BJ273" s="28"/>
    </row>
    <row r="274" spans="22:62" x14ac:dyDescent="0.3">
      <c r="Y274" s="32" t="s">
        <v>88</v>
      </c>
      <c r="Z274" s="33">
        <v>58</v>
      </c>
      <c r="AA274" s="35">
        <v>104</v>
      </c>
      <c r="AB274" s="33">
        <v>0</v>
      </c>
      <c r="AC274" s="123">
        <v>0</v>
      </c>
      <c r="AD274" s="35">
        <v>0</v>
      </c>
      <c r="AE274" s="33">
        <v>0</v>
      </c>
      <c r="AF274" s="35">
        <v>0</v>
      </c>
      <c r="AG274" s="32"/>
      <c r="AH274" s="33" t="s">
        <v>1326</v>
      </c>
      <c r="AI274" s="34"/>
      <c r="AJ274" s="35"/>
      <c r="AM274" s="28"/>
      <c r="AN274" s="28"/>
      <c r="AO274" s="28"/>
      <c r="AP274" s="28"/>
      <c r="AQ274" s="28"/>
      <c r="AR274" s="28"/>
      <c r="AS274" s="220"/>
      <c r="AT274" s="220"/>
      <c r="AU274" s="28"/>
      <c r="AV274" s="28"/>
      <c r="AY274" s="138" t="s">
        <v>2335</v>
      </c>
      <c r="AZ274" s="212">
        <v>14</v>
      </c>
      <c r="BA274" s="43">
        <v>14</v>
      </c>
      <c r="BB274" s="268"/>
      <c r="BC274" s="43"/>
      <c r="BD274" s="141"/>
      <c r="BE274" s="43"/>
      <c r="BF274" s="141"/>
      <c r="BG274" s="212"/>
      <c r="BH274" s="43" t="s">
        <v>2301</v>
      </c>
      <c r="BI274" s="209"/>
      <c r="BJ274" s="28"/>
    </row>
    <row r="275" spans="22:62" x14ac:dyDescent="0.3">
      <c r="Y275" s="41" t="s">
        <v>102</v>
      </c>
      <c r="Z275" s="42">
        <v>218</v>
      </c>
      <c r="AA275" s="40">
        <v>226</v>
      </c>
      <c r="AB275" s="67">
        <v>0</v>
      </c>
      <c r="AC275" s="43">
        <v>0</v>
      </c>
      <c r="AD275" s="56">
        <v>0</v>
      </c>
      <c r="AE275" s="42">
        <v>0</v>
      </c>
      <c r="AF275" s="40">
        <v>0</v>
      </c>
      <c r="AG275" s="41">
        <v>0</v>
      </c>
      <c r="AH275" s="43">
        <v>8</v>
      </c>
      <c r="AI275" s="28" t="s">
        <v>145</v>
      </c>
      <c r="AJ275" s="40"/>
      <c r="AM275" s="28"/>
      <c r="AN275" s="28"/>
      <c r="AO275" s="28"/>
      <c r="AP275" s="28"/>
      <c r="AQ275" s="28"/>
      <c r="AR275" s="28"/>
      <c r="AS275" s="43"/>
      <c r="AT275" s="43"/>
      <c r="AU275" s="28"/>
      <c r="AV275" s="28"/>
      <c r="AY275" s="138" t="s">
        <v>169</v>
      </c>
      <c r="AZ275" s="212">
        <v>4</v>
      </c>
      <c r="BA275" s="43">
        <v>2</v>
      </c>
      <c r="BB275" s="268"/>
      <c r="BC275" s="43"/>
      <c r="BD275" s="141"/>
      <c r="BE275" s="43"/>
      <c r="BF275" s="141"/>
      <c r="BG275" s="333" t="s">
        <v>1000</v>
      </c>
      <c r="BH275" s="220" t="s">
        <v>2336</v>
      </c>
      <c r="BI275" s="209" t="s">
        <v>2202</v>
      </c>
      <c r="BJ275" s="28"/>
    </row>
    <row r="276" spans="22:62" ht="15" thickBot="1" x14ac:dyDescent="0.35">
      <c r="Y276" s="399" t="s">
        <v>84</v>
      </c>
      <c r="Z276" s="278">
        <v>276</v>
      </c>
      <c r="AA276" s="279">
        <v>330</v>
      </c>
      <c r="AB276" s="278">
        <v>0</v>
      </c>
      <c r="AC276" s="135">
        <v>0</v>
      </c>
      <c r="AD276" s="279">
        <v>0</v>
      </c>
      <c r="AE276" s="278">
        <v>0</v>
      </c>
      <c r="AF276" s="279">
        <v>0</v>
      </c>
      <c r="AG276" s="314">
        <v>0</v>
      </c>
      <c r="AH276" s="400">
        <v>2</v>
      </c>
      <c r="AI276" s="135" t="s">
        <v>141</v>
      </c>
      <c r="AJ276" s="136">
        <v>10</v>
      </c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Y276" s="138" t="s">
        <v>139</v>
      </c>
      <c r="AZ276" s="212">
        <v>0</v>
      </c>
      <c r="BA276" s="43">
        <v>0</v>
      </c>
      <c r="BB276" s="268"/>
      <c r="BC276" s="43"/>
      <c r="BD276" s="141"/>
      <c r="BE276" s="43"/>
      <c r="BF276" s="141"/>
      <c r="BG276" s="212" t="s">
        <v>444</v>
      </c>
      <c r="BH276" s="43" t="s">
        <v>1779</v>
      </c>
      <c r="BI276" s="209" t="s">
        <v>1752</v>
      </c>
      <c r="BJ276" s="28"/>
    </row>
    <row r="277" spans="22:62" ht="15" thickBot="1" x14ac:dyDescent="0.35">
      <c r="Y277" s="254" t="s">
        <v>84</v>
      </c>
      <c r="Z277" s="171">
        <v>2432</v>
      </c>
      <c r="AA277" s="172">
        <v>2430</v>
      </c>
      <c r="AB277" s="271">
        <v>0</v>
      </c>
      <c r="AC277" s="170">
        <v>0</v>
      </c>
      <c r="AD277" s="172">
        <v>0</v>
      </c>
      <c r="AE277" s="171">
        <v>157059</v>
      </c>
      <c r="AF277" s="172">
        <v>82417</v>
      </c>
      <c r="AG277" s="254">
        <v>0</v>
      </c>
      <c r="AH277" s="291"/>
      <c r="AI277" s="170"/>
      <c r="AJ277" s="172">
        <v>50</v>
      </c>
      <c r="AS277" s="43"/>
      <c r="AT277" s="43"/>
      <c r="AU277" s="43"/>
      <c r="AV277" s="28"/>
      <c r="AY277" s="138" t="s">
        <v>526</v>
      </c>
      <c r="AZ277" s="212">
        <v>1</v>
      </c>
      <c r="BA277" s="43">
        <v>0</v>
      </c>
      <c r="BB277" s="268"/>
      <c r="BC277" s="43"/>
      <c r="BD277" s="141"/>
      <c r="BE277" s="43"/>
      <c r="BF277" s="141"/>
      <c r="BG277" s="212" t="s">
        <v>477</v>
      </c>
      <c r="BH277" s="43" t="s">
        <v>1824</v>
      </c>
      <c r="BI277" s="209" t="s">
        <v>1478</v>
      </c>
      <c r="BJ277" s="28"/>
    </row>
    <row r="278" spans="22:62" ht="15.6" x14ac:dyDescent="0.3">
      <c r="Y278" s="43"/>
      <c r="Z278" s="28"/>
      <c r="AA278" s="28"/>
      <c r="AB278" s="28"/>
      <c r="AC278" s="43"/>
      <c r="AD278" s="28"/>
      <c r="AE278" s="28"/>
      <c r="AF278" s="28"/>
      <c r="AG278" s="28"/>
      <c r="AH278" s="28"/>
      <c r="AI278" s="28"/>
      <c r="AJ278" s="28"/>
      <c r="AO278" s="229"/>
      <c r="AS278" s="28"/>
      <c r="AT278" s="43"/>
      <c r="AU278" s="43"/>
      <c r="AV278" s="28"/>
      <c r="AY278" s="138" t="s">
        <v>403</v>
      </c>
      <c r="AZ278" s="212">
        <v>1</v>
      </c>
      <c r="BA278" s="43">
        <v>0</v>
      </c>
      <c r="BB278" s="268"/>
      <c r="BC278" s="270"/>
      <c r="BD278" s="141"/>
      <c r="BE278" s="43"/>
      <c r="BF278" s="141"/>
      <c r="BG278" s="212" t="s">
        <v>2337</v>
      </c>
      <c r="BH278" s="258" t="s">
        <v>595</v>
      </c>
      <c r="BI278" s="209" t="s">
        <v>482</v>
      </c>
      <c r="BJ278" s="28"/>
    </row>
    <row r="279" spans="22:62" ht="15.6" x14ac:dyDescent="0.3">
      <c r="Y279" s="28"/>
      <c r="Z279" s="28"/>
      <c r="AA279" s="28"/>
      <c r="AB279" s="28"/>
      <c r="AC279" s="43"/>
      <c r="AD279" s="28"/>
      <c r="AE279" s="28"/>
      <c r="AF279" s="28"/>
      <c r="AG279" s="28"/>
      <c r="AH279" s="28"/>
      <c r="AI279" s="28"/>
      <c r="AJ279" s="28"/>
      <c r="AS279" s="43"/>
      <c r="AT279" s="43"/>
      <c r="AU279" s="43"/>
      <c r="AV279" s="28"/>
      <c r="AY279" s="138" t="s">
        <v>467</v>
      </c>
      <c r="AZ279" s="212">
        <v>2</v>
      </c>
      <c r="BA279" s="43">
        <v>0</v>
      </c>
      <c r="BB279" s="268"/>
      <c r="BC279" s="43"/>
      <c r="BD279" s="141"/>
      <c r="BE279" s="43"/>
      <c r="BF279" s="141"/>
      <c r="BG279" s="212" t="s">
        <v>264</v>
      </c>
      <c r="BH279" s="258" t="s">
        <v>2219</v>
      </c>
      <c r="BI279" s="209" t="s">
        <v>1752</v>
      </c>
      <c r="BJ279" s="28"/>
    </row>
    <row r="280" spans="22:62" x14ac:dyDescent="0.3">
      <c r="Y280" s="28"/>
      <c r="Z280" s="28"/>
      <c r="AA280" s="28"/>
      <c r="AB280" s="43"/>
      <c r="AC280" s="43"/>
      <c r="AD280" s="43"/>
      <c r="AE280" s="28"/>
      <c r="AF280" s="28"/>
      <c r="AG280" s="28"/>
      <c r="AH280" s="43"/>
      <c r="AI280" s="28"/>
      <c r="AJ280" s="28"/>
      <c r="AS280" s="43"/>
      <c r="AT280" s="28"/>
      <c r="AU280" s="28"/>
      <c r="AV280" s="28"/>
      <c r="AY280" s="138" t="s">
        <v>200</v>
      </c>
      <c r="AZ280" s="212">
        <v>7</v>
      </c>
      <c r="BA280" s="43">
        <v>2</v>
      </c>
      <c r="BB280" s="268"/>
      <c r="BC280" s="43"/>
      <c r="BD280" s="141"/>
      <c r="BE280" s="43"/>
      <c r="BF280" s="141"/>
      <c r="BG280" s="212" t="s">
        <v>806</v>
      </c>
      <c r="BH280" s="228" t="s">
        <v>334</v>
      </c>
      <c r="BI280" s="209"/>
      <c r="BJ280" s="28"/>
    </row>
    <row r="281" spans="22:62" ht="15.6" x14ac:dyDescent="0.3">
      <c r="Y281" s="28"/>
      <c r="Z281" s="28"/>
      <c r="AA281" s="28"/>
      <c r="AB281" s="28"/>
      <c r="AC281" s="28"/>
      <c r="AD281" s="28"/>
      <c r="AE281" s="28"/>
      <c r="AF281" s="28"/>
      <c r="AG281" s="28"/>
      <c r="AH281" s="43"/>
      <c r="AI281" s="28"/>
      <c r="AJ281" s="28"/>
      <c r="AS281" s="43"/>
      <c r="AT281" s="28"/>
      <c r="AU281" s="28"/>
      <c r="AV281" s="28"/>
      <c r="AY281" s="138" t="s">
        <v>99</v>
      </c>
      <c r="AZ281" s="212">
        <v>0</v>
      </c>
      <c r="BA281" s="43">
        <v>0</v>
      </c>
      <c r="BB281" s="268"/>
      <c r="BC281" s="270"/>
      <c r="BD281" s="141"/>
      <c r="BE281" s="43"/>
      <c r="BF281" s="141"/>
      <c r="BG281" s="212" t="s">
        <v>2087</v>
      </c>
      <c r="BH281" s="258" t="s">
        <v>2216</v>
      </c>
      <c r="BI281" s="141"/>
      <c r="BJ281" s="28"/>
    </row>
    <row r="282" spans="22:62" ht="15.6" x14ac:dyDescent="0.3">
      <c r="Y282" s="28"/>
      <c r="Z282" s="28"/>
      <c r="AA282" s="28"/>
      <c r="AB282" s="43"/>
      <c r="AC282" s="28"/>
      <c r="AD282" s="28"/>
      <c r="AE282" s="28"/>
      <c r="AF282" s="28"/>
      <c r="AG282" s="28"/>
      <c r="AH282" s="43"/>
      <c r="AI282" s="28"/>
      <c r="AJ282" s="28"/>
      <c r="AQ282" s="28"/>
      <c r="AS282" s="43"/>
      <c r="AT282" s="28"/>
      <c r="AU282" s="28"/>
      <c r="AV282" s="28"/>
      <c r="AY282" s="138" t="s">
        <v>1374</v>
      </c>
      <c r="AZ282" s="212">
        <v>2</v>
      </c>
      <c r="BA282" s="43">
        <v>0</v>
      </c>
      <c r="BB282" s="268"/>
      <c r="BC282" s="270"/>
      <c r="BD282" s="141"/>
      <c r="BE282" s="43"/>
      <c r="BF282" s="141"/>
      <c r="BG282" s="212" t="s">
        <v>1384</v>
      </c>
      <c r="BH282" s="258" t="s">
        <v>522</v>
      </c>
      <c r="BI282" s="209"/>
      <c r="BJ282" s="28"/>
    </row>
    <row r="283" spans="22:62" ht="15.6" x14ac:dyDescent="0.3">
      <c r="AQ283" s="28"/>
      <c r="AS283" s="43"/>
      <c r="AT283" s="43"/>
      <c r="AU283" s="43"/>
      <c r="AV283" s="28"/>
      <c r="AY283" s="138" t="s">
        <v>64</v>
      </c>
      <c r="AZ283" s="212">
        <v>0</v>
      </c>
      <c r="BA283" s="43">
        <v>0</v>
      </c>
      <c r="BB283" s="268"/>
      <c r="BC283" s="270"/>
      <c r="BD283" s="141"/>
      <c r="BE283" s="43"/>
      <c r="BF283" s="141"/>
      <c r="BG283" s="212" t="s">
        <v>736</v>
      </c>
      <c r="BH283" s="258" t="s">
        <v>2338</v>
      </c>
      <c r="BI283" s="209"/>
      <c r="BJ283" s="28"/>
    </row>
    <row r="284" spans="22:62" ht="15.6" x14ac:dyDescent="0.3">
      <c r="AE284" s="28"/>
      <c r="AO284" s="28"/>
      <c r="AQ284" s="28"/>
      <c r="AS284" s="43"/>
      <c r="AT284" s="28"/>
      <c r="AU284" s="28"/>
      <c r="AV284" s="28"/>
      <c r="AY284" s="374" t="s">
        <v>164</v>
      </c>
      <c r="AZ284" s="212">
        <v>3</v>
      </c>
      <c r="BA284" s="43">
        <v>1</v>
      </c>
      <c r="BB284" s="268"/>
      <c r="BC284" s="270"/>
      <c r="BD284" s="141"/>
      <c r="BE284" s="43"/>
      <c r="BF284" s="141"/>
      <c r="BG284" s="212" t="s">
        <v>803</v>
      </c>
      <c r="BH284" s="258" t="s">
        <v>2339</v>
      </c>
      <c r="BI284" s="373"/>
      <c r="BJ284" s="28"/>
    </row>
    <row r="285" spans="22:62" ht="15.6" x14ac:dyDescent="0.3">
      <c r="AO285" s="28"/>
      <c r="AQ285" s="28"/>
      <c r="AY285" s="138" t="s">
        <v>1242</v>
      </c>
      <c r="AZ285" s="212">
        <v>0</v>
      </c>
      <c r="BA285" s="43">
        <v>1</v>
      </c>
      <c r="BB285" s="268"/>
      <c r="BC285" s="270"/>
      <c r="BD285" s="141"/>
      <c r="BE285" s="43"/>
      <c r="BF285" s="141" t="s">
        <v>6</v>
      </c>
      <c r="BG285" s="138" t="s">
        <v>1098</v>
      </c>
      <c r="BH285" s="258" t="s">
        <v>2340</v>
      </c>
      <c r="BI285" s="209"/>
      <c r="BJ285" s="28"/>
    </row>
    <row r="286" spans="22:62" x14ac:dyDescent="0.3"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O286" s="28"/>
      <c r="AQ286" s="28"/>
      <c r="AY286" s="138" t="s">
        <v>174</v>
      </c>
      <c r="AZ286" s="212">
        <v>0</v>
      </c>
      <c r="BA286" s="43">
        <v>0</v>
      </c>
      <c r="BB286" s="268"/>
      <c r="BC286" s="270"/>
      <c r="BD286" s="141"/>
      <c r="BE286" s="43"/>
      <c r="BF286" s="141" t="s">
        <v>150</v>
      </c>
      <c r="BG286" s="138" t="s">
        <v>571</v>
      </c>
      <c r="BH286" s="228" t="s">
        <v>2304</v>
      </c>
      <c r="BI286" s="213"/>
      <c r="BJ286" s="28"/>
    </row>
    <row r="287" spans="22:62" ht="15.6" x14ac:dyDescent="0.3"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138" t="s">
        <v>1339</v>
      </c>
      <c r="AZ287" s="212">
        <v>0</v>
      </c>
      <c r="BA287" s="43">
        <v>0</v>
      </c>
      <c r="BB287" s="268"/>
      <c r="BC287" s="270"/>
      <c r="BD287" s="141"/>
      <c r="BE287" s="43"/>
      <c r="BF287" s="141"/>
      <c r="BG287" s="138"/>
      <c r="BH287" s="258"/>
      <c r="BI287" s="141"/>
      <c r="BJ287" s="28"/>
    </row>
    <row r="288" spans="22:62" ht="16.2" thickBot="1" x14ac:dyDescent="0.35"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43"/>
      <c r="AX288" s="28"/>
      <c r="AY288" s="138" t="s">
        <v>2046</v>
      </c>
      <c r="AZ288" s="263">
        <v>0</v>
      </c>
      <c r="BA288" s="143">
        <v>0</v>
      </c>
      <c r="BB288" s="375"/>
      <c r="BC288" s="376"/>
      <c r="BD288" s="146"/>
      <c r="BE288" s="224"/>
      <c r="BF288" s="146"/>
      <c r="BG288" s="138"/>
      <c r="BH288" s="258"/>
      <c r="BI288" s="141">
        <v>65</v>
      </c>
      <c r="BJ288" s="28"/>
    </row>
    <row r="289" spans="2:62" ht="15" thickBot="1" x14ac:dyDescent="0.35"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71" t="s">
        <v>84</v>
      </c>
      <c r="AZ289" s="72">
        <v>190</v>
      </c>
      <c r="BA289" s="73">
        <v>175</v>
      </c>
      <c r="BB289" s="48" t="s">
        <v>84</v>
      </c>
      <c r="BC289" s="48">
        <v>0</v>
      </c>
      <c r="BD289" s="48">
        <v>0</v>
      </c>
      <c r="BE289" s="47">
        <v>74507</v>
      </c>
      <c r="BF289" s="49">
        <v>22000</v>
      </c>
      <c r="BG289" s="351"/>
      <c r="BH289" s="170"/>
      <c r="BI289" s="172">
        <v>270</v>
      </c>
      <c r="BJ289" s="28"/>
    </row>
    <row r="290" spans="2:62" x14ac:dyDescent="0.3">
      <c r="Y290" s="28"/>
      <c r="Z290" s="28"/>
      <c r="AA290" s="28"/>
      <c r="AB290" s="43"/>
      <c r="AC290" s="43"/>
      <c r="AD290" s="43"/>
      <c r="AE290" s="28"/>
      <c r="AF290" s="28"/>
      <c r="AG290" s="28"/>
      <c r="AH290" s="28"/>
      <c r="AI290" s="28"/>
      <c r="AJ290" s="28"/>
      <c r="AM290" s="28"/>
      <c r="AN290" s="28"/>
      <c r="AO290" s="28"/>
      <c r="AP290" s="28"/>
      <c r="AQ290" s="28"/>
      <c r="AR290" s="28"/>
      <c r="AS290" s="28"/>
      <c r="AT290" s="28"/>
      <c r="AU290" s="43"/>
      <c r="AV290" s="28"/>
      <c r="AW290" s="28"/>
      <c r="AX290" s="28"/>
      <c r="AY290" s="200" t="s">
        <v>223</v>
      </c>
      <c r="AZ290" s="295">
        <v>9011</v>
      </c>
      <c r="BA290" s="296">
        <v>8354</v>
      </c>
      <c r="BB290" s="297"/>
      <c r="BC290" s="34" t="s">
        <v>1503</v>
      </c>
      <c r="BD290" s="34"/>
      <c r="BE290" s="34"/>
      <c r="BF290" s="34"/>
      <c r="BG290" s="298">
        <v>607</v>
      </c>
      <c r="BH290" s="35"/>
      <c r="BI290" s="35"/>
      <c r="BJ290" s="28"/>
    </row>
    <row r="291" spans="2:62" ht="15" thickBot="1" x14ac:dyDescent="0.35"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M291" s="28"/>
      <c r="AN291" s="28"/>
      <c r="AO291" s="28"/>
      <c r="AP291" s="28"/>
      <c r="AQ291" s="43"/>
      <c r="AR291" s="28"/>
      <c r="AS291" s="28"/>
      <c r="AT291" s="28"/>
      <c r="AU291" s="43"/>
      <c r="AV291" s="43"/>
      <c r="AW291" s="28"/>
      <c r="AX291" s="28"/>
      <c r="AY291" s="138" t="s">
        <v>1340</v>
      </c>
      <c r="AZ291" s="28"/>
      <c r="BA291" s="299">
        <v>65</v>
      </c>
      <c r="BB291" s="47"/>
      <c r="BC291" s="48" t="s">
        <v>1504</v>
      </c>
      <c r="BD291" s="48"/>
      <c r="BE291" s="48"/>
      <c r="BF291" s="48"/>
      <c r="BG291" s="300">
        <v>328</v>
      </c>
      <c r="BH291" s="301">
        <v>935</v>
      </c>
      <c r="BI291" s="40"/>
      <c r="BJ291" s="28"/>
    </row>
    <row r="292" spans="2:62" ht="15" thickBot="1" x14ac:dyDescent="0.35">
      <c r="Y292" s="28"/>
      <c r="Z292" s="28"/>
      <c r="AA292" s="28"/>
      <c r="AB292" s="43"/>
      <c r="AC292" s="43"/>
      <c r="AD292" s="43"/>
      <c r="AE292" s="28"/>
      <c r="AF292" s="28"/>
      <c r="AG292" s="28"/>
      <c r="AH292" s="28"/>
      <c r="AI292" s="28"/>
      <c r="AJ292" s="28"/>
      <c r="AM292" s="43"/>
      <c r="AN292" s="43"/>
      <c r="AO292" s="43"/>
      <c r="AP292" s="28"/>
      <c r="AQ292" s="43"/>
      <c r="AR292" s="28"/>
      <c r="AS292" s="28"/>
      <c r="AT292" s="28"/>
      <c r="AU292" s="43"/>
      <c r="AV292" s="43"/>
      <c r="AW292" s="43"/>
      <c r="AX292" s="28"/>
      <c r="AY292" s="202" t="s">
        <v>229</v>
      </c>
      <c r="AZ292" s="48"/>
      <c r="BA292" s="302">
        <v>5</v>
      </c>
      <c r="BB292" s="28"/>
      <c r="BC292" s="28"/>
      <c r="BD292" s="28"/>
      <c r="BE292" s="28"/>
      <c r="BF292" s="42"/>
      <c r="BG292" s="28"/>
      <c r="BH292" s="42"/>
      <c r="BI292" s="40"/>
      <c r="BJ292" s="28"/>
    </row>
    <row r="293" spans="2:62" x14ac:dyDescent="0.3">
      <c r="Y293" s="28"/>
      <c r="Z293" s="28"/>
      <c r="AA293" s="28"/>
      <c r="AB293" s="43"/>
      <c r="AC293" s="43"/>
      <c r="AD293" s="43"/>
      <c r="AE293" s="28"/>
      <c r="AF293" s="28"/>
      <c r="AG293" s="28"/>
      <c r="AH293" s="43"/>
      <c r="AI293" s="28"/>
      <c r="AJ293" s="28"/>
      <c r="AM293" s="28"/>
      <c r="AN293" s="28"/>
      <c r="AO293" s="28"/>
      <c r="AP293" s="28"/>
      <c r="AQ293" s="28"/>
      <c r="AR293" s="28"/>
      <c r="AS293" s="28"/>
      <c r="AT293" s="28"/>
      <c r="AU293" s="43"/>
      <c r="AV293" s="43"/>
      <c r="AW293" s="28"/>
      <c r="AX293" s="28"/>
      <c r="AY293" s="200" t="s">
        <v>232</v>
      </c>
      <c r="AZ293" s="34"/>
      <c r="BA293" s="303" t="s">
        <v>233</v>
      </c>
      <c r="BB293" s="34"/>
      <c r="BC293" s="298">
        <v>1798</v>
      </c>
      <c r="BD293" s="35"/>
      <c r="BE293" s="33" t="s">
        <v>234</v>
      </c>
      <c r="BF293" s="34"/>
      <c r="BG293" s="34" t="s">
        <v>233</v>
      </c>
      <c r="BH293" s="34"/>
      <c r="BI293" s="304">
        <v>9011</v>
      </c>
      <c r="BJ293" s="28"/>
    </row>
    <row r="294" spans="2:62" ht="15" thickBot="1" x14ac:dyDescent="0.35">
      <c r="Y294" s="28"/>
      <c r="Z294" s="28"/>
      <c r="AA294" s="28"/>
      <c r="AB294" s="43"/>
      <c r="AC294" s="43"/>
      <c r="AD294" s="43"/>
      <c r="AE294" s="28"/>
      <c r="AF294" s="28"/>
      <c r="AG294" s="28"/>
      <c r="AH294" s="43"/>
      <c r="AI294" s="43"/>
      <c r="AJ294" s="28"/>
      <c r="AM294" s="28"/>
      <c r="AN294" s="28"/>
      <c r="AO294" s="28"/>
      <c r="AP294" s="28"/>
      <c r="AQ294" s="28"/>
      <c r="AR294" s="28"/>
      <c r="AS294" s="43"/>
      <c r="AT294" s="43"/>
      <c r="AU294" s="28"/>
      <c r="AV294" s="28"/>
      <c r="AW294" s="28"/>
      <c r="AX294" s="28"/>
      <c r="AY294" s="202"/>
      <c r="AZ294" s="48"/>
      <c r="BA294" s="48" t="s">
        <v>236</v>
      </c>
      <c r="BB294" s="48"/>
      <c r="BC294" s="300">
        <v>1889</v>
      </c>
      <c r="BD294" s="49"/>
      <c r="BE294" s="42"/>
      <c r="BF294" s="28"/>
      <c r="BG294" s="28" t="s">
        <v>236</v>
      </c>
      <c r="BH294" s="28"/>
      <c r="BI294" s="174">
        <v>8354</v>
      </c>
      <c r="BJ294" s="28"/>
    </row>
    <row r="295" spans="2:62" ht="15" thickBot="1" x14ac:dyDescent="0.35">
      <c r="Y295" s="28"/>
      <c r="Z295" s="43"/>
      <c r="AA295" s="28"/>
      <c r="AB295" s="43"/>
      <c r="AC295" s="28"/>
      <c r="AD295" s="28"/>
      <c r="AE295" s="28"/>
      <c r="AF295" s="28"/>
      <c r="AG295" s="28"/>
      <c r="AH295" s="28"/>
      <c r="AI295" s="28"/>
      <c r="AJ295" s="28"/>
      <c r="AM295" s="28"/>
      <c r="AN295" s="43"/>
      <c r="AO295" s="43"/>
      <c r="AP295" s="28"/>
      <c r="AQ295" s="43"/>
      <c r="AR295" s="28"/>
      <c r="AS295" s="43"/>
      <c r="AT295" s="43"/>
      <c r="AU295" s="28"/>
      <c r="AV295" s="28"/>
      <c r="AW295" s="28"/>
      <c r="AX295" s="28"/>
      <c r="AY295" s="210" t="s">
        <v>238</v>
      </c>
      <c r="AZ295" s="170" t="s">
        <v>239</v>
      </c>
      <c r="BA295" s="172"/>
      <c r="BB295" s="171" t="s">
        <v>240</v>
      </c>
      <c r="BC295" s="170" t="s">
        <v>241</v>
      </c>
      <c r="BD295" s="170"/>
      <c r="BE295" s="171"/>
      <c r="BF295" s="170" t="s">
        <v>242</v>
      </c>
      <c r="BG295" s="305" t="s">
        <v>243</v>
      </c>
      <c r="BH295" s="170"/>
      <c r="BI295" s="172"/>
      <c r="BJ295" s="28"/>
    </row>
    <row r="296" spans="2:62" x14ac:dyDescent="0.3">
      <c r="Y296" s="28"/>
      <c r="Z296" s="28"/>
      <c r="AA296" s="28"/>
      <c r="AB296" s="43"/>
      <c r="AC296" s="43"/>
      <c r="AD296" s="43"/>
      <c r="AE296" s="28"/>
      <c r="AF296" s="28"/>
      <c r="AG296" s="28"/>
      <c r="AH296" s="28"/>
      <c r="AI296" s="28"/>
      <c r="AJ296" s="28"/>
      <c r="AM296" s="28"/>
      <c r="AN296" s="43"/>
      <c r="AO296" s="43"/>
      <c r="AP296" s="28"/>
      <c r="AQ296" s="43"/>
      <c r="AR296" s="28"/>
      <c r="AS296" s="43"/>
      <c r="AT296" s="43"/>
      <c r="AU296" s="28"/>
      <c r="AV296" s="43"/>
      <c r="AW296" s="43"/>
      <c r="AX296" s="28"/>
      <c r="AY296" s="200" t="s">
        <v>233</v>
      </c>
      <c r="AZ296" s="34"/>
      <c r="BA296" s="304">
        <v>37295</v>
      </c>
      <c r="BB296" s="306" t="s">
        <v>233</v>
      </c>
      <c r="BC296" s="28"/>
      <c r="BD296" s="174">
        <v>2432</v>
      </c>
      <c r="BE296" s="42" t="s">
        <v>233</v>
      </c>
      <c r="BF296" s="28"/>
      <c r="BG296" s="174">
        <v>11443</v>
      </c>
      <c r="BH296" s="28" t="s">
        <v>245</v>
      </c>
      <c r="BI296" s="140">
        <v>48738</v>
      </c>
      <c r="BJ296" s="32"/>
    </row>
    <row r="297" spans="2:62" ht="15" thickBot="1" x14ac:dyDescent="0.35">
      <c r="Y297" s="28"/>
      <c r="Z297" s="28"/>
      <c r="AA297" s="28"/>
      <c r="AB297" s="43"/>
      <c r="AC297" s="43"/>
      <c r="AD297" s="43"/>
      <c r="AE297" s="28"/>
      <c r="AF297" s="28"/>
      <c r="AG297" s="28"/>
      <c r="AH297" s="43"/>
      <c r="AI297" s="28"/>
      <c r="AJ297" s="28"/>
      <c r="AM297" s="28"/>
      <c r="AN297" s="43"/>
      <c r="AO297" s="43"/>
      <c r="AP297" s="28"/>
      <c r="AQ297" s="43"/>
      <c r="AR297" s="28"/>
      <c r="AS297" s="43"/>
      <c r="AT297" s="43"/>
      <c r="AU297" s="28"/>
      <c r="AV297" s="43"/>
      <c r="AW297" s="43"/>
      <c r="AX297" s="28"/>
      <c r="AY297" s="202" t="s">
        <v>236</v>
      </c>
      <c r="AZ297" s="48"/>
      <c r="BA297" s="301">
        <v>38291</v>
      </c>
      <c r="BB297" s="307" t="s">
        <v>236</v>
      </c>
      <c r="BC297" s="48"/>
      <c r="BD297" s="301">
        <v>2430</v>
      </c>
      <c r="BE297" s="42" t="s">
        <v>236</v>
      </c>
      <c r="BF297" s="28"/>
      <c r="BG297" s="174">
        <v>10784</v>
      </c>
      <c r="BH297" s="28"/>
      <c r="BI297" s="140">
        <v>49075</v>
      </c>
      <c r="BJ297" s="365">
        <v>97813</v>
      </c>
    </row>
    <row r="298" spans="2:62" ht="15" thickBot="1" x14ac:dyDescent="0.35">
      <c r="Y298" s="28"/>
      <c r="Z298" s="28"/>
      <c r="AA298" s="28"/>
      <c r="AB298" s="43"/>
      <c r="AC298" s="43"/>
      <c r="AD298" s="43"/>
      <c r="AE298" s="28"/>
      <c r="AF298" s="28"/>
      <c r="AG298" s="28"/>
      <c r="AH298" s="43"/>
      <c r="AI298" s="43"/>
      <c r="AJ298" s="28"/>
      <c r="AM298" s="28"/>
      <c r="AN298" s="43"/>
      <c r="AO298" s="43"/>
      <c r="AP298" s="28"/>
      <c r="AQ298" s="28"/>
      <c r="AR298" s="28"/>
      <c r="AS298" s="43"/>
      <c r="AT298" s="43"/>
      <c r="AU298" s="28"/>
      <c r="AV298" s="28"/>
      <c r="AW298" s="28"/>
      <c r="AX298" s="28"/>
      <c r="AY298" s="377" t="s">
        <v>1505</v>
      </c>
      <c r="AZ298" s="170"/>
      <c r="BA298" s="272"/>
      <c r="BB298" s="271" t="s">
        <v>1506</v>
      </c>
      <c r="BC298" s="170"/>
      <c r="BD298" s="170"/>
      <c r="BE298" s="171"/>
      <c r="BF298" s="170" t="s">
        <v>1507</v>
      </c>
      <c r="BG298" s="170"/>
      <c r="BH298" s="170"/>
      <c r="BI298" s="308"/>
      <c r="BJ298" s="28"/>
    </row>
    <row r="299" spans="2:62" x14ac:dyDescent="0.3">
      <c r="Y299" s="43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378" t="s">
        <v>43</v>
      </c>
      <c r="AZ299" s="34" t="s">
        <v>44</v>
      </c>
      <c r="BA299" s="309"/>
      <c r="BB299" s="123" t="s">
        <v>43</v>
      </c>
      <c r="BC299" s="123" t="s">
        <v>44</v>
      </c>
      <c r="BD299" s="35"/>
      <c r="BE299" s="34"/>
      <c r="BF299" s="298">
        <v>4900</v>
      </c>
      <c r="BG299" s="298"/>
      <c r="BH299" s="34"/>
      <c r="BI299" s="35"/>
      <c r="BJ299" s="28"/>
    </row>
    <row r="300" spans="2:62" ht="15" thickBot="1" x14ac:dyDescent="0.35"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Y300" s="379">
        <v>165525</v>
      </c>
      <c r="AZ300" s="300">
        <v>105500</v>
      </c>
      <c r="BA300" s="311"/>
      <c r="BB300" s="312">
        <v>76934</v>
      </c>
      <c r="BC300" s="300">
        <v>22058</v>
      </c>
      <c r="BD300" s="49"/>
      <c r="BE300" s="48"/>
      <c r="BF300" s="48"/>
      <c r="BG300" s="48"/>
      <c r="BH300" s="48"/>
      <c r="BI300" s="49"/>
      <c r="BJ300" s="28"/>
    </row>
    <row r="304" spans="2:62" ht="21" x14ac:dyDescent="0.4">
      <c r="B304" s="261"/>
      <c r="C304" s="184"/>
      <c r="E304" s="329" t="s">
        <v>1873</v>
      </c>
      <c r="O304" s="261"/>
      <c r="P304" s="184"/>
      <c r="R304" s="329" t="s">
        <v>1873</v>
      </c>
      <c r="AA304" s="261"/>
      <c r="AB304" s="184"/>
      <c r="AD304" s="329" t="s">
        <v>1873</v>
      </c>
      <c r="AO304" s="261"/>
      <c r="AP304" s="184"/>
      <c r="AR304" s="329" t="s">
        <v>1873</v>
      </c>
      <c r="AY304" s="28"/>
      <c r="AZ304" s="28"/>
      <c r="BA304" s="261"/>
      <c r="BB304" s="184"/>
      <c r="BD304" s="329" t="s">
        <v>1873</v>
      </c>
      <c r="BH304" s="258"/>
      <c r="BI304" s="28"/>
      <c r="BJ304" s="28"/>
    </row>
    <row r="305" spans="1:62" x14ac:dyDescent="0.3">
      <c r="C305" t="s">
        <v>2312</v>
      </c>
      <c r="O305" s="385"/>
      <c r="P305" s="385"/>
      <c r="Q305" s="385" t="s">
        <v>1978</v>
      </c>
      <c r="R305" s="385"/>
      <c r="S305" s="385"/>
      <c r="T305" s="385"/>
      <c r="AC305" t="s">
        <v>1444</v>
      </c>
      <c r="AO305" s="402" t="s">
        <v>2341</v>
      </c>
      <c r="AP305" s="402"/>
      <c r="AQ305" s="402"/>
      <c r="AR305" s="402"/>
      <c r="AS305" s="402"/>
      <c r="BC305" t="s">
        <v>1445</v>
      </c>
      <c r="BF305" s="28"/>
      <c r="BG305" s="28"/>
      <c r="BH305" s="28"/>
      <c r="BI305" s="28"/>
      <c r="BJ305" s="28"/>
    </row>
    <row r="306" spans="1:62" x14ac:dyDescent="0.3">
      <c r="D306" t="s">
        <v>2313</v>
      </c>
      <c r="O306" s="385"/>
      <c r="P306" s="385"/>
      <c r="Q306" s="402" t="s">
        <v>2342</v>
      </c>
      <c r="R306" s="402"/>
      <c r="S306" s="402"/>
      <c r="T306" s="385"/>
      <c r="AC306" t="s">
        <v>9</v>
      </c>
      <c r="AP306" s="402" t="s">
        <v>2343</v>
      </c>
      <c r="AQ306" s="402"/>
      <c r="AR306" s="402"/>
      <c r="AS306" s="402"/>
      <c r="AT306" s="402"/>
      <c r="BD306" t="s">
        <v>2</v>
      </c>
      <c r="BF306" s="28"/>
      <c r="BG306" s="28"/>
      <c r="BH306" s="28"/>
      <c r="BI306" s="28"/>
      <c r="BJ306" s="28"/>
    </row>
    <row r="307" spans="1:62" x14ac:dyDescent="0.3">
      <c r="C307" t="s">
        <v>2314</v>
      </c>
      <c r="O307" s="385"/>
      <c r="P307" s="385" t="s">
        <v>2344</v>
      </c>
      <c r="Q307" s="385"/>
      <c r="R307" s="385"/>
      <c r="S307" s="385"/>
      <c r="T307" s="385"/>
      <c r="AC307" t="s">
        <v>11</v>
      </c>
      <c r="AM307" s="402" t="s">
        <v>2345</v>
      </c>
      <c r="AN307" s="402"/>
      <c r="AO307" s="402"/>
      <c r="AP307" s="402"/>
      <c r="AQ307" s="402"/>
      <c r="AR307" s="402"/>
      <c r="AS307" s="402"/>
      <c r="AT307" s="402"/>
      <c r="BB307" t="s">
        <v>1451</v>
      </c>
      <c r="BF307" s="28"/>
      <c r="BG307" s="28"/>
      <c r="BH307" s="28"/>
      <c r="BI307" s="28"/>
      <c r="BJ307" s="28"/>
    </row>
    <row r="308" spans="1:62" x14ac:dyDescent="0.3">
      <c r="A308" s="402"/>
      <c r="B308" s="402"/>
      <c r="C308" s="402"/>
      <c r="D308" s="328" t="s">
        <v>2346</v>
      </c>
      <c r="E308" s="328"/>
      <c r="F308" s="402"/>
      <c r="O308" s="385"/>
      <c r="P308" s="402" t="s">
        <v>2347</v>
      </c>
      <c r="Q308" s="402" t="s">
        <v>2348</v>
      </c>
      <c r="R308" s="402" t="s">
        <v>2349</v>
      </c>
      <c r="S308" s="402"/>
      <c r="T308" s="385"/>
      <c r="AB308" s="402" t="s">
        <v>2350</v>
      </c>
      <c r="AC308" s="402" t="s">
        <v>2351</v>
      </c>
      <c r="AD308" s="402" t="s">
        <v>2352</v>
      </c>
      <c r="AE308" s="402"/>
      <c r="AF308" s="402"/>
      <c r="AO308" s="402" t="s">
        <v>2353</v>
      </c>
      <c r="AP308" s="402"/>
      <c r="AQ308" s="402"/>
      <c r="AR308" s="402" t="s">
        <v>2354</v>
      </c>
      <c r="AS308" s="402"/>
      <c r="AT308" s="402"/>
      <c r="BB308" s="402" t="s">
        <v>2355</v>
      </c>
      <c r="BC308" s="402"/>
      <c r="BD308" t="s">
        <v>2356</v>
      </c>
      <c r="BE308" s="402"/>
      <c r="BF308" s="402"/>
      <c r="BJ308" s="28"/>
    </row>
    <row r="309" spans="1:62" ht="15" thickBot="1" x14ac:dyDescent="0.35">
      <c r="A309" s="403" t="s">
        <v>2357</v>
      </c>
      <c r="B309" s="403"/>
      <c r="C309" s="403"/>
      <c r="D309" s="403"/>
      <c r="E309" s="403" t="s">
        <v>2076</v>
      </c>
      <c r="F309" s="403"/>
      <c r="G309" s="403"/>
      <c r="H309" s="403"/>
      <c r="I309" s="368" t="s">
        <v>949</v>
      </c>
      <c r="J309" s="402"/>
      <c r="L309" s="328"/>
      <c r="M309" s="328"/>
      <c r="N309" s="328"/>
      <c r="O309" s="403" t="s">
        <v>2358</v>
      </c>
      <c r="P309" s="403"/>
      <c r="Q309" s="403"/>
      <c r="R309" s="403"/>
      <c r="S309" s="403"/>
      <c r="T309" s="403"/>
      <c r="U309" s="403"/>
      <c r="V309" t="s">
        <v>15</v>
      </c>
      <c r="Y309" s="403" t="s">
        <v>2359</v>
      </c>
      <c r="Z309" s="403"/>
      <c r="AA309" s="403"/>
      <c r="AB309" s="403"/>
      <c r="AC309" s="403"/>
      <c r="AD309" s="403"/>
      <c r="AE309" s="403"/>
      <c r="AF309" s="403"/>
      <c r="AG309" s="403"/>
      <c r="AH309" s="403"/>
      <c r="AI309" s="28" t="s">
        <v>25</v>
      </c>
      <c r="AM309" s="328"/>
      <c r="AN309" s="328"/>
      <c r="AO309" s="328"/>
      <c r="AP309" s="328" t="s">
        <v>2195</v>
      </c>
      <c r="AQ309" s="328"/>
      <c r="AR309" s="328"/>
      <c r="AS309" s="328"/>
      <c r="AT309" s="328"/>
      <c r="AU309" s="328"/>
      <c r="AV309" s="194" t="s">
        <v>951</v>
      </c>
      <c r="AY309" s="402"/>
      <c r="AZ309" s="328"/>
      <c r="BA309" s="328"/>
      <c r="BB309" s="328"/>
      <c r="BC309" s="328" t="s">
        <v>2076</v>
      </c>
      <c r="BD309" s="328"/>
      <c r="BE309" s="328"/>
      <c r="BF309" s="328"/>
      <c r="BG309" s="328"/>
      <c r="BH309" s="328"/>
      <c r="BI309" s="369" t="s">
        <v>950</v>
      </c>
      <c r="BJ309" s="28"/>
    </row>
    <row r="310" spans="1:62" ht="15" thickBot="1" x14ac:dyDescent="0.35">
      <c r="A310" s="32" t="s">
        <v>17</v>
      </c>
      <c r="B310" s="34" t="s">
        <v>18</v>
      </c>
      <c r="C310" s="201"/>
      <c r="D310" s="34" t="s">
        <v>19</v>
      </c>
      <c r="E310" s="34"/>
      <c r="F310" s="34"/>
      <c r="G310" s="200"/>
      <c r="H310" s="33" t="s">
        <v>21</v>
      </c>
      <c r="I310" s="34"/>
      <c r="J310" s="35"/>
      <c r="M310" s="32" t="s">
        <v>17</v>
      </c>
      <c r="N310" s="33" t="s">
        <v>22</v>
      </c>
      <c r="O310" s="34"/>
      <c r="P310" s="34" t="s">
        <v>1452</v>
      </c>
      <c r="Q310" s="34" t="s">
        <v>1453</v>
      </c>
      <c r="R310" s="34"/>
      <c r="S310" s="34"/>
      <c r="T310" s="35"/>
      <c r="U310" s="33" t="s">
        <v>21</v>
      </c>
      <c r="V310" s="35"/>
      <c r="Y310" s="33" t="s">
        <v>34</v>
      </c>
      <c r="Z310" s="200" t="s">
        <v>35</v>
      </c>
      <c r="AA310" s="201"/>
      <c r="AB310" s="34" t="s">
        <v>1454</v>
      </c>
      <c r="AC310" s="34" t="s">
        <v>51</v>
      </c>
      <c r="AD310" s="34"/>
      <c r="AE310" s="200" t="s">
        <v>37</v>
      </c>
      <c r="AF310" s="201" t="s">
        <v>1288</v>
      </c>
      <c r="AG310" s="34" t="s">
        <v>30</v>
      </c>
      <c r="AH310" s="200" t="s">
        <v>38</v>
      </c>
      <c r="AI310" s="34"/>
      <c r="AJ310" s="35"/>
      <c r="AM310" s="134" t="s">
        <v>17</v>
      </c>
      <c r="AN310" s="134" t="s">
        <v>39</v>
      </c>
      <c r="AO310" s="136"/>
      <c r="AP310" s="134" t="s">
        <v>29</v>
      </c>
      <c r="AQ310" s="136" t="s">
        <v>30</v>
      </c>
      <c r="AR310" s="135" t="s">
        <v>40</v>
      </c>
      <c r="AS310" s="135"/>
      <c r="AT310" s="135"/>
      <c r="AU310" s="135"/>
      <c r="AV310" s="136"/>
      <c r="AY310" s="195" t="s">
        <v>17</v>
      </c>
      <c r="AZ310" s="134" t="s">
        <v>27</v>
      </c>
      <c r="BA310" s="135"/>
      <c r="BB310" s="134" t="s">
        <v>2320</v>
      </c>
      <c r="BC310" s="135"/>
      <c r="BD310" s="136"/>
      <c r="BE310" s="134" t="s">
        <v>1459</v>
      </c>
      <c r="BF310" s="136"/>
      <c r="BG310" s="135" t="s">
        <v>31</v>
      </c>
      <c r="BH310" s="135"/>
      <c r="BI310" s="136"/>
      <c r="BJ310" s="28"/>
    </row>
    <row r="311" spans="1:62" ht="15" thickBot="1" x14ac:dyDescent="0.35">
      <c r="A311" s="41" t="s">
        <v>32</v>
      </c>
      <c r="B311" s="28"/>
      <c r="C311" s="141"/>
      <c r="D311" s="28"/>
      <c r="E311" s="28"/>
      <c r="F311" s="28"/>
      <c r="G311" s="138"/>
      <c r="H311" s="42" t="s">
        <v>33</v>
      </c>
      <c r="I311" s="28"/>
      <c r="J311" s="40"/>
      <c r="M311" s="41"/>
      <c r="N311" s="42" t="s">
        <v>1456</v>
      </c>
      <c r="O311" s="28"/>
      <c r="P311" s="28"/>
      <c r="Q311" s="28"/>
      <c r="R311" s="28"/>
      <c r="S311" s="28" t="s">
        <v>1457</v>
      </c>
      <c r="T311" s="40"/>
      <c r="U311" s="42" t="s">
        <v>33</v>
      </c>
      <c r="V311" s="40"/>
      <c r="Y311" s="47" t="s">
        <v>50</v>
      </c>
      <c r="Z311" s="202" t="s">
        <v>43</v>
      </c>
      <c r="AA311" s="48" t="s">
        <v>44</v>
      </c>
      <c r="AB311" s="169" t="s">
        <v>45</v>
      </c>
      <c r="AC311" s="48" t="s">
        <v>46</v>
      </c>
      <c r="AD311" s="48" t="s">
        <v>52</v>
      </c>
      <c r="AE311" s="202" t="s">
        <v>43</v>
      </c>
      <c r="AF311" s="203" t="s">
        <v>44</v>
      </c>
      <c r="AG311" s="48" t="s">
        <v>43</v>
      </c>
      <c r="AH311" s="202" t="s">
        <v>53</v>
      </c>
      <c r="AI311" s="48"/>
      <c r="AJ311" s="49"/>
      <c r="AM311" s="138" t="s">
        <v>42</v>
      </c>
      <c r="AN311" s="138" t="s">
        <v>43</v>
      </c>
      <c r="AO311" s="141" t="s">
        <v>44</v>
      </c>
      <c r="AP311" s="138" t="s">
        <v>43</v>
      </c>
      <c r="AQ311" s="141" t="s">
        <v>44</v>
      </c>
      <c r="AR311" s="28"/>
      <c r="AS311" s="28"/>
      <c r="AT311" s="28"/>
      <c r="AU311" s="28"/>
      <c r="AV311" s="141"/>
      <c r="AY311" s="196"/>
      <c r="AZ311" s="138"/>
      <c r="BA311" s="28"/>
      <c r="BB311" s="138"/>
      <c r="BC311" s="28"/>
      <c r="BD311" s="141"/>
      <c r="BE311" s="138"/>
      <c r="BF311" s="141"/>
      <c r="BG311" s="28" t="s">
        <v>41</v>
      </c>
      <c r="BH311" s="28"/>
      <c r="BI311" s="141"/>
      <c r="BJ311" s="28"/>
    </row>
    <row r="312" spans="1:62" ht="15" thickBot="1" x14ac:dyDescent="0.35">
      <c r="A312" s="46" t="s">
        <v>42</v>
      </c>
      <c r="B312" s="171" t="s">
        <v>43</v>
      </c>
      <c r="C312" s="172" t="s">
        <v>6</v>
      </c>
      <c r="D312" s="170" t="s">
        <v>45</v>
      </c>
      <c r="E312" s="170" t="s">
        <v>46</v>
      </c>
      <c r="F312" s="170" t="s">
        <v>47</v>
      </c>
      <c r="G312" s="254" t="s">
        <v>1460</v>
      </c>
      <c r="H312" s="47" t="s">
        <v>49</v>
      </c>
      <c r="I312" s="48"/>
      <c r="J312" s="49"/>
      <c r="M312" s="46" t="s">
        <v>50</v>
      </c>
      <c r="N312" s="47" t="s">
        <v>43</v>
      </c>
      <c r="O312" s="48" t="s">
        <v>44</v>
      </c>
      <c r="P312" s="171" t="s">
        <v>51</v>
      </c>
      <c r="Q312" s="170" t="s">
        <v>43</v>
      </c>
      <c r="R312" s="172" t="s">
        <v>44</v>
      </c>
      <c r="S312" s="48" t="s">
        <v>43</v>
      </c>
      <c r="T312" s="49" t="s">
        <v>44</v>
      </c>
      <c r="U312" s="47" t="s">
        <v>49</v>
      </c>
      <c r="V312" s="49"/>
      <c r="Y312" s="33"/>
      <c r="Z312" s="33"/>
      <c r="AA312" s="35"/>
      <c r="AB312" s="34"/>
      <c r="AC312" s="34"/>
      <c r="AD312" s="34"/>
      <c r="AE312" s="33"/>
      <c r="AF312" s="35"/>
      <c r="AG312" s="32"/>
      <c r="AH312" s="33" t="s">
        <v>62</v>
      </c>
      <c r="AI312" s="34"/>
      <c r="AJ312" s="35"/>
      <c r="AM312" s="134"/>
      <c r="AN312" s="134"/>
      <c r="AO312" s="136"/>
      <c r="AP312" s="134"/>
      <c r="AQ312" s="136"/>
      <c r="AR312" s="135"/>
      <c r="AS312" s="135" t="s">
        <v>91</v>
      </c>
      <c r="AT312" s="135"/>
      <c r="AU312" s="135"/>
      <c r="AV312" s="136"/>
      <c r="AY312" s="199" t="s">
        <v>42</v>
      </c>
      <c r="AZ312" s="142" t="s">
        <v>43</v>
      </c>
      <c r="BA312" s="143" t="s">
        <v>44</v>
      </c>
      <c r="BB312" s="142" t="s">
        <v>45</v>
      </c>
      <c r="BC312" s="143" t="s">
        <v>46</v>
      </c>
      <c r="BD312" s="146" t="s">
        <v>52</v>
      </c>
      <c r="BE312" s="142" t="s">
        <v>43</v>
      </c>
      <c r="BF312" s="146" t="s">
        <v>44</v>
      </c>
      <c r="BG312" s="143" t="s">
        <v>54</v>
      </c>
      <c r="BH312" s="143"/>
      <c r="BI312" s="146"/>
      <c r="BJ312" s="28"/>
    </row>
    <row r="313" spans="1:62" x14ac:dyDescent="0.3">
      <c r="A313" s="42"/>
      <c r="B313" s="138"/>
      <c r="C313" s="141"/>
      <c r="D313" s="138"/>
      <c r="E313" s="28"/>
      <c r="F313" s="28"/>
      <c r="G313" s="138"/>
      <c r="H313" s="33"/>
      <c r="I313" s="34"/>
      <c r="J313" s="35"/>
      <c r="M313" s="42"/>
      <c r="N313" s="138"/>
      <c r="O313" s="196"/>
      <c r="P313" s="138"/>
      <c r="Q313" s="196"/>
      <c r="R313" s="141"/>
      <c r="S313" s="138"/>
      <c r="T313" s="138"/>
      <c r="U313" s="33"/>
      <c r="V313" s="35"/>
      <c r="Y313" s="42"/>
      <c r="Z313" s="42"/>
      <c r="AA313" s="40"/>
      <c r="AB313" s="28"/>
      <c r="AC313" s="28"/>
      <c r="AD313" s="28"/>
      <c r="AE313" s="42"/>
      <c r="AF313" s="40"/>
      <c r="AG313" s="41"/>
      <c r="AH313" s="42"/>
      <c r="AI313" s="28"/>
      <c r="AJ313" s="40"/>
      <c r="AM313" s="138"/>
      <c r="AN313" s="138"/>
      <c r="AO313" s="141"/>
      <c r="AP313" s="138"/>
      <c r="AQ313" s="141"/>
      <c r="AR313" s="28"/>
      <c r="AS313" s="43">
        <v>91</v>
      </c>
      <c r="AT313" s="28" t="s">
        <v>1026</v>
      </c>
      <c r="AU313" s="43"/>
      <c r="AV313" s="141"/>
      <c r="AY313" s="195" t="s">
        <v>56</v>
      </c>
      <c r="AZ313" s="134">
        <v>12</v>
      </c>
      <c r="BA313" s="136">
        <v>40</v>
      </c>
      <c r="BB313" s="134"/>
      <c r="BC313" s="135"/>
      <c r="BD313" s="136"/>
      <c r="BE313" s="134"/>
      <c r="BF313" s="136"/>
      <c r="BG313" s="134" t="s">
        <v>58</v>
      </c>
      <c r="BH313" s="135"/>
      <c r="BI313" s="136"/>
    </row>
    <row r="314" spans="1:62" x14ac:dyDescent="0.3">
      <c r="A314" s="42"/>
      <c r="B314" s="212"/>
      <c r="C314" s="141"/>
      <c r="D314" s="138"/>
      <c r="E314" s="38"/>
      <c r="F314" s="43"/>
      <c r="G314" s="138"/>
      <c r="H314" s="42"/>
      <c r="I314" s="28"/>
      <c r="J314" s="40"/>
      <c r="M314" s="42"/>
      <c r="N314" s="138"/>
      <c r="O314" s="196"/>
      <c r="P314" s="138"/>
      <c r="Q314" s="196"/>
      <c r="R314" s="141"/>
      <c r="S314" s="138"/>
      <c r="T314" s="138"/>
      <c r="U314" s="42"/>
      <c r="V314" s="40"/>
      <c r="Y314" s="42" t="s">
        <v>59</v>
      </c>
      <c r="Z314" s="42">
        <v>1445</v>
      </c>
      <c r="AA314" s="40">
        <v>1694</v>
      </c>
      <c r="AB314" s="28">
        <v>0</v>
      </c>
      <c r="AC314" s="43">
        <v>0</v>
      </c>
      <c r="AD314" s="43">
        <v>0</v>
      </c>
      <c r="AE314" s="42">
        <v>795</v>
      </c>
      <c r="AF314" s="40">
        <v>0</v>
      </c>
      <c r="AG314" s="41">
        <v>0</v>
      </c>
      <c r="AH314" s="42">
        <v>5</v>
      </c>
      <c r="AI314" s="28" t="s">
        <v>66</v>
      </c>
      <c r="AJ314" s="40"/>
      <c r="AM314" s="138" t="s">
        <v>56</v>
      </c>
      <c r="AN314" s="138">
        <v>1409</v>
      </c>
      <c r="AO314" s="141">
        <v>1485</v>
      </c>
      <c r="AP314" s="138"/>
      <c r="AQ314" s="141"/>
      <c r="AR314" s="28"/>
      <c r="AS314" s="43">
        <v>6</v>
      </c>
      <c r="AT314" s="28" t="s">
        <v>1292</v>
      </c>
      <c r="AU314" s="43"/>
      <c r="AV314" s="141"/>
      <c r="AY314" s="196" t="s">
        <v>107</v>
      </c>
      <c r="AZ314" s="138">
        <v>28</v>
      </c>
      <c r="BA314" s="141">
        <v>0</v>
      </c>
      <c r="BB314" s="138">
        <v>0</v>
      </c>
      <c r="BC314" s="43">
        <v>0</v>
      </c>
      <c r="BD314" s="209">
        <v>0</v>
      </c>
      <c r="BE314" s="138">
        <v>0</v>
      </c>
      <c r="BF314" s="141">
        <v>0</v>
      </c>
      <c r="BG314" s="212">
        <v>12</v>
      </c>
      <c r="BH314" s="28" t="s">
        <v>65</v>
      </c>
      <c r="BI314" s="141"/>
    </row>
    <row r="315" spans="1:62" ht="15" thickBot="1" x14ac:dyDescent="0.35">
      <c r="A315" s="42" t="s">
        <v>6</v>
      </c>
      <c r="B315" s="142"/>
      <c r="C315" s="146"/>
      <c r="D315" s="138"/>
      <c r="E315" s="28"/>
      <c r="F315" s="28"/>
      <c r="G315" s="138"/>
      <c r="H315" s="42"/>
      <c r="I315" s="28"/>
      <c r="J315" s="40"/>
      <c r="M315" s="244"/>
      <c r="N315" s="142"/>
      <c r="O315" s="199"/>
      <c r="P315" s="142"/>
      <c r="Q315" s="199"/>
      <c r="R315" s="146"/>
      <c r="S315" s="142"/>
      <c r="T315" s="142"/>
      <c r="U315" s="244"/>
      <c r="V315" s="245"/>
      <c r="Y315" s="42"/>
      <c r="Z315" s="42"/>
      <c r="AA315" s="40"/>
      <c r="AB315" s="28"/>
      <c r="AC315" s="28"/>
      <c r="AD315" s="28"/>
      <c r="AE315" s="42"/>
      <c r="AF315" s="40"/>
      <c r="AG315" s="41"/>
      <c r="AH315" s="47"/>
      <c r="AI315" s="48"/>
      <c r="AJ315" s="49">
        <v>5</v>
      </c>
      <c r="AM315" s="197" t="s">
        <v>84</v>
      </c>
      <c r="AN315" s="197">
        <v>1409</v>
      </c>
      <c r="AO315" s="249">
        <v>1485</v>
      </c>
      <c r="AP315" s="142"/>
      <c r="AQ315" s="146"/>
      <c r="AR315" s="143"/>
      <c r="AS315" s="143">
        <v>1</v>
      </c>
      <c r="AT315" s="143" t="s">
        <v>359</v>
      </c>
      <c r="AU315" s="143"/>
      <c r="AV315" s="146">
        <v>98</v>
      </c>
      <c r="AY315" s="196" t="s">
        <v>64</v>
      </c>
      <c r="AZ315" s="138">
        <v>108</v>
      </c>
      <c r="BA315" s="141">
        <v>130</v>
      </c>
      <c r="BB315" s="138">
        <v>0</v>
      </c>
      <c r="BC315" s="43">
        <v>0</v>
      </c>
      <c r="BD315" s="209">
        <v>0</v>
      </c>
      <c r="BE315" s="138">
        <v>0</v>
      </c>
      <c r="BF315" s="141">
        <v>0</v>
      </c>
      <c r="BG315" s="138"/>
      <c r="BH315" s="28"/>
      <c r="BI315" s="141"/>
    </row>
    <row r="316" spans="1:62" x14ac:dyDescent="0.3">
      <c r="A316" s="278"/>
      <c r="B316" s="134"/>
      <c r="C316" s="135"/>
      <c r="D316" s="134"/>
      <c r="E316" s="135"/>
      <c r="F316" s="135"/>
      <c r="G316" s="134"/>
      <c r="H316" s="278" t="s">
        <v>2077</v>
      </c>
      <c r="I316" s="135"/>
      <c r="J316" s="279"/>
      <c r="M316" s="278"/>
      <c r="N316" s="134"/>
      <c r="O316" s="195"/>
      <c r="P316" s="134"/>
      <c r="Q316" s="195"/>
      <c r="R316" s="136"/>
      <c r="S316" s="134"/>
      <c r="T316" s="134"/>
      <c r="U316" s="278"/>
      <c r="V316" s="279"/>
      <c r="Y316" s="32"/>
      <c r="Z316" s="33"/>
      <c r="AA316" s="35"/>
      <c r="AB316" s="33"/>
      <c r="AC316" s="34"/>
      <c r="AD316" s="35"/>
      <c r="AE316" s="33"/>
      <c r="AF316" s="35"/>
      <c r="AG316" s="32"/>
      <c r="AH316" s="280" t="s">
        <v>2321</v>
      </c>
      <c r="AI316" s="384"/>
      <c r="AJ316" s="404"/>
      <c r="AM316" s="134"/>
      <c r="AN316" s="134"/>
      <c r="AO316" s="136"/>
      <c r="AP316" s="134"/>
      <c r="AQ316" s="136"/>
      <c r="AR316" s="135"/>
      <c r="AS316" s="135"/>
      <c r="AT316" s="135"/>
      <c r="AU316" s="135"/>
      <c r="AV316" s="136"/>
      <c r="AY316" s="265" t="s">
        <v>84</v>
      </c>
      <c r="AZ316" s="197">
        <v>148</v>
      </c>
      <c r="BA316" s="249">
        <v>170</v>
      </c>
      <c r="BB316" s="197">
        <v>0</v>
      </c>
      <c r="BC316" s="198">
        <v>0</v>
      </c>
      <c r="BD316" s="249">
        <v>0</v>
      </c>
      <c r="BE316" s="197">
        <v>0</v>
      </c>
      <c r="BF316" s="249">
        <v>0</v>
      </c>
      <c r="BG316" s="197"/>
      <c r="BH316" s="198"/>
      <c r="BI316" s="249">
        <v>12</v>
      </c>
      <c r="BJ316" s="28"/>
    </row>
    <row r="317" spans="1:62" x14ac:dyDescent="0.3">
      <c r="A317" s="42" t="s">
        <v>74</v>
      </c>
      <c r="B317" s="138">
        <v>1458</v>
      </c>
      <c r="C317" s="28">
        <v>2461</v>
      </c>
      <c r="D317" s="138">
        <v>0</v>
      </c>
      <c r="E317" s="38">
        <v>0</v>
      </c>
      <c r="F317" s="43">
        <v>0</v>
      </c>
      <c r="G317" s="138">
        <v>1</v>
      </c>
      <c r="H317" s="42">
        <v>18</v>
      </c>
      <c r="I317" s="28" t="s">
        <v>436</v>
      </c>
      <c r="J317" s="40"/>
      <c r="M317" s="42"/>
      <c r="N317" s="138"/>
      <c r="O317" s="196"/>
      <c r="P317" s="138"/>
      <c r="Q317" s="196"/>
      <c r="R317" s="141"/>
      <c r="S317" s="138"/>
      <c r="T317" s="138"/>
      <c r="U317" s="42" t="s">
        <v>80</v>
      </c>
      <c r="V317" s="40"/>
      <c r="Y317" s="41"/>
      <c r="Z317" s="67"/>
      <c r="AA317" s="40"/>
      <c r="AB317" s="67"/>
      <c r="AC317" s="43"/>
      <c r="AD317" s="40"/>
      <c r="AE317" s="42"/>
      <c r="AF317" s="40"/>
      <c r="AG317" s="41"/>
      <c r="AH317" s="67">
        <v>1</v>
      </c>
      <c r="AI317" s="43" t="s">
        <v>2196</v>
      </c>
      <c r="AJ317" s="40"/>
      <c r="AM317" s="138" t="s">
        <v>56</v>
      </c>
      <c r="AN317" s="138">
        <v>11</v>
      </c>
      <c r="AO317" s="141">
        <v>21</v>
      </c>
      <c r="AP317" s="138"/>
      <c r="AQ317" s="141"/>
      <c r="AR317" s="28"/>
      <c r="AS317" s="28" t="s">
        <v>110</v>
      </c>
      <c r="AT317" s="28" t="s">
        <v>111</v>
      </c>
      <c r="AU317" s="28" t="s">
        <v>112</v>
      </c>
      <c r="AV317" s="141"/>
      <c r="AY317" s="196"/>
      <c r="AZ317" s="28"/>
      <c r="BA317" s="141"/>
      <c r="BB317" s="212"/>
      <c r="BC317" s="43"/>
      <c r="BD317" s="209"/>
      <c r="BE317" s="138"/>
      <c r="BF317" s="141"/>
      <c r="BG317" s="28"/>
      <c r="BH317" s="28" t="s">
        <v>92</v>
      </c>
      <c r="BI317" s="141"/>
    </row>
    <row r="318" spans="1:62" x14ac:dyDescent="0.3">
      <c r="A318" s="42"/>
      <c r="B318" s="138"/>
      <c r="C318" s="28"/>
      <c r="D318" s="138"/>
      <c r="E318" s="28"/>
      <c r="F318" s="28"/>
      <c r="G318" s="138"/>
      <c r="H318" s="67"/>
      <c r="I318" s="43"/>
      <c r="J318" s="40"/>
      <c r="M318" s="42" t="s">
        <v>74</v>
      </c>
      <c r="N318" s="138">
        <v>14907</v>
      </c>
      <c r="O318" s="196">
        <v>16031</v>
      </c>
      <c r="P318" s="138">
        <v>0</v>
      </c>
      <c r="Q318" s="196">
        <v>0</v>
      </c>
      <c r="R318" s="141">
        <v>0</v>
      </c>
      <c r="S318" s="138">
        <v>0</v>
      </c>
      <c r="T318" s="138">
        <v>0</v>
      </c>
      <c r="U318" s="42"/>
      <c r="V318" s="40"/>
      <c r="Y318" s="41"/>
      <c r="Z318" s="42"/>
      <c r="AA318" s="40"/>
      <c r="AB318" s="42"/>
      <c r="AC318" s="28"/>
      <c r="AD318" s="56"/>
      <c r="AE318" s="67"/>
      <c r="AF318" s="56"/>
      <c r="AG318" s="68"/>
      <c r="AH318" s="67"/>
      <c r="AI318" s="43"/>
      <c r="AJ318" s="40"/>
      <c r="AM318" s="138" t="s">
        <v>72</v>
      </c>
      <c r="AN318" s="138">
        <v>25</v>
      </c>
      <c r="AO318" s="141">
        <v>25</v>
      </c>
      <c r="AP318" s="138"/>
      <c r="AQ318" s="141"/>
      <c r="AR318" s="43"/>
      <c r="AS318" s="28"/>
      <c r="AT318" s="28"/>
      <c r="AU318" s="28"/>
      <c r="AV318" s="141"/>
      <c r="AY318" s="196"/>
      <c r="AZ318" s="28"/>
      <c r="BA318" s="141"/>
      <c r="BB318" s="138"/>
      <c r="BC318" s="43"/>
      <c r="BD318" s="141"/>
      <c r="BE318" s="138"/>
      <c r="BF318" s="141"/>
      <c r="BG318" s="43">
        <v>4</v>
      </c>
      <c r="BH318" s="43" t="s">
        <v>1297</v>
      </c>
      <c r="BI318" s="141"/>
    </row>
    <row r="319" spans="1:62" x14ac:dyDescent="0.3">
      <c r="A319" s="244"/>
      <c r="B319" s="142"/>
      <c r="C319" s="143"/>
      <c r="D319" s="142"/>
      <c r="E319" s="143"/>
      <c r="F319" s="143"/>
      <c r="G319" s="142"/>
      <c r="H319" s="244"/>
      <c r="I319" s="143"/>
      <c r="J319" s="245">
        <v>18</v>
      </c>
      <c r="M319" s="244"/>
      <c r="N319" s="142"/>
      <c r="O319" s="199"/>
      <c r="P319" s="142"/>
      <c r="Q319" s="199"/>
      <c r="R319" s="146"/>
      <c r="S319" s="142"/>
      <c r="T319" s="142"/>
      <c r="U319" s="244"/>
      <c r="V319" s="245"/>
      <c r="Y319" s="68" t="s">
        <v>99</v>
      </c>
      <c r="Z319" s="42">
        <v>20</v>
      </c>
      <c r="AA319" s="40">
        <v>0</v>
      </c>
      <c r="AB319" s="42">
        <v>0</v>
      </c>
      <c r="AC319" s="43">
        <v>0</v>
      </c>
      <c r="AD319" s="40">
        <v>0</v>
      </c>
      <c r="AE319" s="42">
        <v>0</v>
      </c>
      <c r="AF319" s="40">
        <v>0</v>
      </c>
      <c r="AG319" s="41">
        <v>0</v>
      </c>
      <c r="AH319" s="42"/>
      <c r="AI319" s="43"/>
      <c r="AJ319" s="40"/>
      <c r="AM319" s="138" t="s">
        <v>78</v>
      </c>
      <c r="AN319" s="138">
        <v>56</v>
      </c>
      <c r="AO319" s="141">
        <v>66</v>
      </c>
      <c r="AP319" s="138"/>
      <c r="AQ319" s="141"/>
      <c r="AR319" s="28"/>
      <c r="AS319" s="43"/>
      <c r="AT319" s="28"/>
      <c r="AU319" s="28"/>
      <c r="AV319" s="141"/>
      <c r="AY319" s="196"/>
      <c r="AZ319" s="28"/>
      <c r="BA319" s="141"/>
      <c r="BB319" s="212"/>
      <c r="BC319" s="43"/>
      <c r="BD319" s="209"/>
      <c r="BE319" s="212"/>
      <c r="BF319" s="141"/>
      <c r="BG319" s="43">
        <v>20</v>
      </c>
      <c r="BH319" s="43" t="s">
        <v>2258</v>
      </c>
      <c r="BI319" s="141"/>
      <c r="BJ319" s="28"/>
    </row>
    <row r="320" spans="1:62" ht="15" thickBot="1" x14ac:dyDescent="0.35">
      <c r="A320" s="278"/>
      <c r="B320" s="134"/>
      <c r="C320" s="135"/>
      <c r="D320" s="134"/>
      <c r="E320" s="135"/>
      <c r="F320" s="135"/>
      <c r="G320" s="134"/>
      <c r="H320" s="278" t="s">
        <v>87</v>
      </c>
      <c r="I320" s="135"/>
      <c r="J320" s="279"/>
      <c r="M320" s="278"/>
      <c r="N320" s="134"/>
      <c r="O320" s="195"/>
      <c r="P320" s="134"/>
      <c r="Q320" s="195"/>
      <c r="R320" s="136"/>
      <c r="S320" s="134"/>
      <c r="T320" s="134"/>
      <c r="U320" s="278" t="s">
        <v>6</v>
      </c>
      <c r="V320" s="279"/>
      <c r="Y320" s="62" t="s">
        <v>84</v>
      </c>
      <c r="Z320" s="47">
        <v>20</v>
      </c>
      <c r="AA320" s="49">
        <v>0</v>
      </c>
      <c r="AB320" s="47">
        <v>0</v>
      </c>
      <c r="AC320" s="48">
        <v>0</v>
      </c>
      <c r="AD320" s="49">
        <v>0</v>
      </c>
      <c r="AE320" s="47">
        <v>0</v>
      </c>
      <c r="AF320" s="49">
        <v>0</v>
      </c>
      <c r="AG320" s="46">
        <v>0</v>
      </c>
      <c r="AH320" s="47"/>
      <c r="AI320" s="51"/>
      <c r="AJ320" s="49">
        <v>1</v>
      </c>
      <c r="AM320" s="138" t="s">
        <v>67</v>
      </c>
      <c r="AN320" s="138">
        <v>94</v>
      </c>
      <c r="AO320" s="141">
        <v>110</v>
      </c>
      <c r="AP320" s="138"/>
      <c r="AQ320" s="141"/>
      <c r="AR320" s="28"/>
      <c r="AS320" s="28"/>
      <c r="AT320" s="28"/>
      <c r="AU320" s="28"/>
      <c r="AV320" s="141"/>
      <c r="AY320" s="196"/>
      <c r="AZ320" s="43"/>
      <c r="BA320" s="141"/>
      <c r="BB320" s="138"/>
      <c r="BC320" s="43"/>
      <c r="BD320" s="141"/>
      <c r="BE320" s="212"/>
      <c r="BF320" s="141"/>
      <c r="BG320" s="43"/>
      <c r="BH320" s="43"/>
      <c r="BI320" s="141"/>
    </row>
    <row r="321" spans="1:62" x14ac:dyDescent="0.3">
      <c r="A321" s="42" t="s">
        <v>93</v>
      </c>
      <c r="B321" s="138">
        <v>4007</v>
      </c>
      <c r="C321" s="28">
        <v>5355</v>
      </c>
      <c r="D321" s="138">
        <v>0</v>
      </c>
      <c r="E321" s="38">
        <v>0</v>
      </c>
      <c r="F321" s="43">
        <v>0</v>
      </c>
      <c r="G321" s="138">
        <v>1</v>
      </c>
      <c r="H321" s="67">
        <v>28</v>
      </c>
      <c r="I321" s="28" t="s">
        <v>927</v>
      </c>
      <c r="J321" s="40"/>
      <c r="M321" s="42"/>
      <c r="N321" s="138"/>
      <c r="O321" s="196"/>
      <c r="P321" s="138"/>
      <c r="Q321" s="196"/>
      <c r="R321" s="141"/>
      <c r="S321" s="138"/>
      <c r="T321" s="138"/>
      <c r="U321" s="42"/>
      <c r="V321" s="40"/>
      <c r="Y321" s="32"/>
      <c r="Z321" s="34"/>
      <c r="AA321" s="34"/>
      <c r="AB321" s="33"/>
      <c r="AC321" s="34"/>
      <c r="AD321" s="35"/>
      <c r="AE321" s="34"/>
      <c r="AF321" s="34"/>
      <c r="AG321" s="32"/>
      <c r="AH321" s="33" t="s">
        <v>1298</v>
      </c>
      <c r="AI321" s="34"/>
      <c r="AJ321" s="35"/>
      <c r="AM321" s="138" t="s">
        <v>1354</v>
      </c>
      <c r="AN321" s="138">
        <v>3</v>
      </c>
      <c r="AO321" s="141">
        <v>4</v>
      </c>
      <c r="AP321" s="138"/>
      <c r="AQ321" s="141"/>
      <c r="AR321" s="28"/>
      <c r="AS321" s="43">
        <v>28</v>
      </c>
      <c r="AT321" s="28" t="s">
        <v>123</v>
      </c>
      <c r="AU321" s="28" t="s">
        <v>6</v>
      </c>
      <c r="AV321" s="141"/>
      <c r="AY321" s="196" t="s">
        <v>85</v>
      </c>
      <c r="AZ321" s="28">
        <v>0</v>
      </c>
      <c r="BA321" s="141">
        <v>0</v>
      </c>
      <c r="BB321" s="138">
        <v>0</v>
      </c>
      <c r="BC321" s="43">
        <v>0</v>
      </c>
      <c r="BD321" s="141">
        <v>0</v>
      </c>
      <c r="BE321" s="212">
        <v>61306</v>
      </c>
      <c r="BF321" s="141">
        <v>0</v>
      </c>
      <c r="BG321" s="28"/>
      <c r="BH321" s="28"/>
      <c r="BI321" s="141"/>
      <c r="BJ321" s="28"/>
    </row>
    <row r="322" spans="1:62" x14ac:dyDescent="0.3">
      <c r="A322" s="42"/>
      <c r="B322" s="138"/>
      <c r="C322" s="28"/>
      <c r="D322" s="138"/>
      <c r="E322" s="28"/>
      <c r="F322" s="28"/>
      <c r="G322" s="138"/>
      <c r="H322" s="67">
        <v>3</v>
      </c>
      <c r="I322" s="28" t="s">
        <v>528</v>
      </c>
      <c r="J322" s="40">
        <v>31</v>
      </c>
      <c r="M322" s="42"/>
      <c r="N322" s="138"/>
      <c r="O322" s="196"/>
      <c r="P322" s="138"/>
      <c r="Q322" s="196"/>
      <c r="R322" s="141"/>
      <c r="S322" s="138"/>
      <c r="T322" s="138"/>
      <c r="U322" s="42"/>
      <c r="V322" s="40"/>
      <c r="Y322" s="41" t="s">
        <v>107</v>
      </c>
      <c r="Z322">
        <v>281</v>
      </c>
      <c r="AA322" s="43">
        <v>375</v>
      </c>
      <c r="AB322" s="42">
        <v>0</v>
      </c>
      <c r="AC322" s="43">
        <v>0</v>
      </c>
      <c r="AD322" s="40">
        <v>0</v>
      </c>
      <c r="AE322" s="43">
        <v>0</v>
      </c>
      <c r="AF322" s="43">
        <v>0</v>
      </c>
      <c r="AG322" s="41">
        <v>0</v>
      </c>
      <c r="AH322" s="42">
        <v>7</v>
      </c>
      <c r="AI322" s="43" t="s">
        <v>145</v>
      </c>
      <c r="AJ322" s="40"/>
      <c r="AM322" s="138" t="s">
        <v>132</v>
      </c>
      <c r="AN322" s="138">
        <v>0</v>
      </c>
      <c r="AO322" s="141">
        <v>11</v>
      </c>
      <c r="AP322" s="138"/>
      <c r="AQ322" s="141"/>
      <c r="AR322" s="28"/>
      <c r="AS322" s="43">
        <v>44</v>
      </c>
      <c r="AT322" s="28" t="s">
        <v>126</v>
      </c>
      <c r="AU322" s="28"/>
      <c r="AV322" s="141"/>
      <c r="AY322" s="196" t="s">
        <v>99</v>
      </c>
      <c r="AZ322" s="43">
        <v>0</v>
      </c>
      <c r="BA322" s="141">
        <v>0</v>
      </c>
      <c r="BB322" s="138">
        <v>0</v>
      </c>
      <c r="BC322" s="43">
        <v>0</v>
      </c>
      <c r="BD322" s="141">
        <v>0</v>
      </c>
      <c r="BE322" s="212">
        <v>21069</v>
      </c>
      <c r="BF322" s="141">
        <v>24000</v>
      </c>
      <c r="BG322" s="43"/>
      <c r="BH322" s="43"/>
      <c r="BI322" s="141"/>
      <c r="BJ322" s="28"/>
    </row>
    <row r="323" spans="1:62" ht="15" thickBot="1" x14ac:dyDescent="0.35">
      <c r="A323" s="278" t="s">
        <v>108</v>
      </c>
      <c r="B323" s="134">
        <v>0</v>
      </c>
      <c r="C323" s="136">
        <v>0</v>
      </c>
      <c r="D323" s="135">
        <v>0</v>
      </c>
      <c r="E323" s="243">
        <v>324</v>
      </c>
      <c r="F323" s="135">
        <v>0</v>
      </c>
      <c r="G323" s="134">
        <v>1</v>
      </c>
      <c r="H323" s="278" t="s">
        <v>104</v>
      </c>
      <c r="I323" s="135"/>
      <c r="J323" s="279"/>
      <c r="M323" s="244"/>
      <c r="N323" s="142"/>
      <c r="O323" s="199"/>
      <c r="P323" s="142"/>
      <c r="Q323" s="199"/>
      <c r="R323" s="146"/>
      <c r="S323" s="142"/>
      <c r="T323" s="142"/>
      <c r="U323" s="244"/>
      <c r="V323" s="245"/>
      <c r="Y323" s="46" t="s">
        <v>84</v>
      </c>
      <c r="Z323" s="48">
        <v>281</v>
      </c>
      <c r="AA323" s="48">
        <v>375</v>
      </c>
      <c r="AB323" s="47">
        <v>0</v>
      </c>
      <c r="AC323" s="48">
        <v>0</v>
      </c>
      <c r="AD323" s="49">
        <v>0</v>
      </c>
      <c r="AE323" s="48">
        <v>0</v>
      </c>
      <c r="AF323" s="48">
        <v>0</v>
      </c>
      <c r="AG323" s="46">
        <v>0</v>
      </c>
      <c r="AH323" s="47">
        <v>2</v>
      </c>
      <c r="AI323" s="48" t="s">
        <v>141</v>
      </c>
      <c r="AJ323" s="49">
        <v>9</v>
      </c>
      <c r="AM323" s="138" t="s">
        <v>115</v>
      </c>
      <c r="AN323" s="138">
        <v>66</v>
      </c>
      <c r="AO323" s="141">
        <v>37</v>
      </c>
      <c r="AP323" s="138"/>
      <c r="AQ323" s="141"/>
      <c r="AR323" s="28"/>
      <c r="AS323" s="43">
        <v>50</v>
      </c>
      <c r="AT323" s="28" t="s">
        <v>129</v>
      </c>
      <c r="AU323" s="28" t="s">
        <v>6</v>
      </c>
      <c r="AV323" s="141"/>
      <c r="AY323" s="265" t="s">
        <v>84</v>
      </c>
      <c r="AZ323" s="390"/>
      <c r="BA323" s="248"/>
      <c r="BB323" s="197"/>
      <c r="BC323" s="390"/>
      <c r="BD323" s="249"/>
      <c r="BE323" s="390">
        <v>82375</v>
      </c>
      <c r="BF323" s="248">
        <v>24000</v>
      </c>
      <c r="BG323" s="198"/>
      <c r="BH323" s="390"/>
      <c r="BI323" s="249">
        <v>24</v>
      </c>
      <c r="BJ323" s="28"/>
    </row>
    <row r="324" spans="1:62" x14ac:dyDescent="0.3">
      <c r="A324" s="42" t="s">
        <v>109</v>
      </c>
      <c r="B324" s="138">
        <v>802</v>
      </c>
      <c r="C324" s="141">
        <v>1034</v>
      </c>
      <c r="D324" s="28">
        <v>0</v>
      </c>
      <c r="E324" s="401">
        <v>0</v>
      </c>
      <c r="F324" s="43">
        <v>0</v>
      </c>
      <c r="G324" s="138"/>
      <c r="H324" s="67">
        <v>5</v>
      </c>
      <c r="I324" s="28" t="s">
        <v>114</v>
      </c>
      <c r="J324" s="40"/>
      <c r="M324" s="278"/>
      <c r="N324" s="134"/>
      <c r="O324" s="195"/>
      <c r="P324" s="134"/>
      <c r="Q324" s="195"/>
      <c r="R324" s="136"/>
      <c r="S324" s="134"/>
      <c r="T324" s="134"/>
      <c r="U324" s="278" t="s">
        <v>104</v>
      </c>
      <c r="V324" s="279"/>
      <c r="Y324" s="42"/>
      <c r="Z324" s="33"/>
      <c r="AA324" s="35"/>
      <c r="AB324" s="33"/>
      <c r="AC324" s="34"/>
      <c r="AD324" s="35"/>
      <c r="AE324" s="33"/>
      <c r="AF324" s="35"/>
      <c r="AG324" s="43"/>
      <c r="AH324" s="33" t="s">
        <v>90</v>
      </c>
      <c r="AI324" s="34"/>
      <c r="AJ324" s="35"/>
      <c r="AM324" s="138" t="s">
        <v>81</v>
      </c>
      <c r="AN324" s="138">
        <v>27</v>
      </c>
      <c r="AO324" s="141">
        <v>32</v>
      </c>
      <c r="AP324" s="138"/>
      <c r="AQ324" s="141"/>
      <c r="AR324" s="28"/>
      <c r="AS324" s="28"/>
      <c r="AT324" s="28"/>
      <c r="AU324" s="28"/>
      <c r="AV324" s="141"/>
      <c r="AY324" s="211"/>
      <c r="AZ324" s="138"/>
      <c r="BA324" s="141"/>
      <c r="BB324" s="138"/>
      <c r="BC324" s="28"/>
      <c r="BD324" s="141"/>
      <c r="BE324" s="138"/>
      <c r="BF324" s="141"/>
      <c r="BG324" s="138"/>
      <c r="BH324" s="28" t="s">
        <v>91</v>
      </c>
      <c r="BI324" s="141"/>
      <c r="BJ324" s="28"/>
    </row>
    <row r="325" spans="1:62" x14ac:dyDescent="0.3">
      <c r="A325" s="134" t="s">
        <v>84</v>
      </c>
      <c r="B325" s="134">
        <v>802</v>
      </c>
      <c r="C325" s="136">
        <v>1034</v>
      </c>
      <c r="D325" s="135">
        <v>0</v>
      </c>
      <c r="E325" s="243">
        <v>324</v>
      </c>
      <c r="F325" s="241">
        <v>0</v>
      </c>
      <c r="G325" s="134"/>
      <c r="H325" s="278"/>
      <c r="I325" s="135"/>
      <c r="J325" s="136">
        <v>5</v>
      </c>
      <c r="M325" s="42" t="s">
        <v>109</v>
      </c>
      <c r="N325" s="138">
        <v>0</v>
      </c>
      <c r="O325" s="196">
        <v>0</v>
      </c>
      <c r="P325" s="138">
        <v>0</v>
      </c>
      <c r="Q325" s="196">
        <v>0</v>
      </c>
      <c r="R325" s="141">
        <v>0</v>
      </c>
      <c r="S325" s="138">
        <v>0</v>
      </c>
      <c r="T325" s="138">
        <v>0</v>
      </c>
      <c r="U325" s="42"/>
      <c r="V325" s="40"/>
      <c r="Y325" s="42"/>
      <c r="Z325" s="42"/>
      <c r="AA325" s="40"/>
      <c r="AB325" s="42"/>
      <c r="AC325" s="43"/>
      <c r="AD325" s="40"/>
      <c r="AE325" s="42"/>
      <c r="AF325" s="40"/>
      <c r="AG325" s="43"/>
      <c r="AH325" s="67">
        <v>1</v>
      </c>
      <c r="AI325" s="28" t="s">
        <v>145</v>
      </c>
      <c r="AJ325" s="40"/>
      <c r="AM325" s="138" t="s">
        <v>1599</v>
      </c>
      <c r="AN325" s="138">
        <v>0</v>
      </c>
      <c r="AO325" s="141">
        <v>1</v>
      </c>
      <c r="AP325" s="138"/>
      <c r="AQ325" s="141"/>
      <c r="AR325" s="28"/>
      <c r="AS325" s="28"/>
      <c r="AT325" s="28"/>
      <c r="AU325" s="28"/>
      <c r="AV325" s="141" t="s">
        <v>6</v>
      </c>
      <c r="AY325" s="196"/>
      <c r="AZ325" s="212"/>
      <c r="BA325" s="141"/>
      <c r="BB325" s="138"/>
      <c r="BC325" s="43"/>
      <c r="BD325" s="141"/>
      <c r="BE325" s="138"/>
      <c r="BF325" s="209"/>
      <c r="BG325" s="212"/>
      <c r="BH325" s="43"/>
      <c r="BI325" s="141"/>
      <c r="BJ325" s="28"/>
    </row>
    <row r="326" spans="1:62" x14ac:dyDescent="0.3">
      <c r="A326" s="142"/>
      <c r="B326" s="142"/>
      <c r="C326" s="146"/>
      <c r="D326" s="143"/>
      <c r="E326" s="143"/>
      <c r="F326" s="143"/>
      <c r="G326" s="142"/>
      <c r="H326" s="244"/>
      <c r="I326" s="143"/>
      <c r="J326" s="146"/>
      <c r="M326" s="244"/>
      <c r="N326" s="142"/>
      <c r="O326" s="199"/>
      <c r="P326" s="142"/>
      <c r="Q326" s="199"/>
      <c r="R326" s="146"/>
      <c r="S326" s="142"/>
      <c r="T326" s="142"/>
      <c r="U326" s="244"/>
      <c r="V326" s="245"/>
      <c r="Y326" s="67" t="s">
        <v>89</v>
      </c>
      <c r="Z326" s="67">
        <v>34</v>
      </c>
      <c r="AA326" s="56">
        <v>41</v>
      </c>
      <c r="AB326" s="42">
        <v>0</v>
      </c>
      <c r="AC326" s="43">
        <v>0</v>
      </c>
      <c r="AD326" s="40">
        <v>0</v>
      </c>
      <c r="AE326" s="42">
        <v>0</v>
      </c>
      <c r="AF326" s="40">
        <v>0</v>
      </c>
      <c r="AG326" s="43">
        <v>0</v>
      </c>
      <c r="AH326" s="67"/>
      <c r="AI326" s="43"/>
      <c r="AJ326" s="40"/>
      <c r="AM326" s="138" t="s">
        <v>122</v>
      </c>
      <c r="AN326" s="138">
        <v>13</v>
      </c>
      <c r="AO326" s="141">
        <v>11</v>
      </c>
      <c r="AP326" s="138"/>
      <c r="AQ326" s="141"/>
      <c r="AR326" s="28"/>
      <c r="AS326" s="28"/>
      <c r="AT326" s="28"/>
      <c r="AU326" s="28"/>
      <c r="AV326" s="141"/>
      <c r="AY326" s="211"/>
      <c r="AZ326" s="212"/>
      <c r="BA326" s="209"/>
      <c r="BB326" s="138"/>
      <c r="BC326" s="43"/>
      <c r="BD326" s="141"/>
      <c r="BE326" s="138"/>
      <c r="BF326" s="209"/>
      <c r="BG326" s="138"/>
      <c r="BH326" s="43"/>
      <c r="BI326" s="141"/>
      <c r="BJ326" s="28"/>
    </row>
    <row r="327" spans="1:62" ht="15" thickBot="1" x14ac:dyDescent="0.35">
      <c r="A327" s="278"/>
      <c r="B327" s="134"/>
      <c r="C327" s="242"/>
      <c r="D327" s="135"/>
      <c r="E327" s="135"/>
      <c r="F327" s="135"/>
      <c r="G327" s="134"/>
      <c r="H327" s="278" t="s">
        <v>118</v>
      </c>
      <c r="I327" s="135"/>
      <c r="J327" s="279"/>
      <c r="M327" s="278"/>
      <c r="N327" s="134"/>
      <c r="O327" s="195"/>
      <c r="P327" s="134"/>
      <c r="Q327" s="195"/>
      <c r="R327" s="136"/>
      <c r="S327" s="134"/>
      <c r="T327" s="134"/>
      <c r="U327" s="278" t="s">
        <v>2323</v>
      </c>
      <c r="V327" s="279"/>
      <c r="Y327" s="42" t="s">
        <v>84</v>
      </c>
      <c r="Z327" s="42">
        <v>34</v>
      </c>
      <c r="AA327" s="40">
        <v>41</v>
      </c>
      <c r="AB327" s="42">
        <v>0</v>
      </c>
      <c r="AC327" s="28">
        <v>0</v>
      </c>
      <c r="AD327" s="40">
        <v>0</v>
      </c>
      <c r="AE327" s="42">
        <v>0</v>
      </c>
      <c r="AF327" s="40">
        <v>0</v>
      </c>
      <c r="AG327" s="43">
        <v>0</v>
      </c>
      <c r="AH327" s="67"/>
      <c r="AI327" s="28"/>
      <c r="AJ327" s="40">
        <v>1</v>
      </c>
      <c r="AM327" s="138" t="s">
        <v>230</v>
      </c>
      <c r="AN327" s="138"/>
      <c r="AO327" s="141"/>
      <c r="AP327" s="138"/>
      <c r="AQ327" s="141"/>
      <c r="AR327" s="28"/>
      <c r="AS327" s="28"/>
      <c r="AT327" s="28"/>
      <c r="AU327" s="28"/>
      <c r="AV327" s="141"/>
      <c r="AY327" s="211"/>
      <c r="AZ327" s="212"/>
      <c r="BA327" s="141"/>
      <c r="BB327" s="138"/>
      <c r="BC327" s="43"/>
      <c r="BD327" s="141"/>
      <c r="BE327" s="138"/>
      <c r="BF327" s="209"/>
      <c r="BG327" s="212"/>
      <c r="BH327" s="28"/>
      <c r="BI327" s="141"/>
      <c r="BJ327" s="28"/>
    </row>
    <row r="328" spans="1:62" x14ac:dyDescent="0.3">
      <c r="A328" s="42" t="s">
        <v>785</v>
      </c>
      <c r="B328" s="138">
        <v>940</v>
      </c>
      <c r="C328" s="209">
        <v>1226</v>
      </c>
      <c r="D328" s="28">
        <v>0</v>
      </c>
      <c r="E328" s="38">
        <v>0</v>
      </c>
      <c r="F328" s="43">
        <v>0</v>
      </c>
      <c r="G328" s="138">
        <v>1</v>
      </c>
      <c r="H328" s="42">
        <v>131</v>
      </c>
      <c r="I328" s="28" t="s">
        <v>101</v>
      </c>
      <c r="J328" s="40"/>
      <c r="M328" s="42"/>
      <c r="N328" s="138"/>
      <c r="O328" s="196"/>
      <c r="P328" s="138"/>
      <c r="Q328" s="196"/>
      <c r="R328" s="141"/>
      <c r="S328" s="138"/>
      <c r="T328" s="138"/>
      <c r="U328" s="42"/>
      <c r="V328" s="40"/>
      <c r="Y328" s="32"/>
      <c r="Z328" s="34"/>
      <c r="AA328" s="35"/>
      <c r="AB328" s="34"/>
      <c r="AC328" s="34"/>
      <c r="AD328" s="34"/>
      <c r="AE328" s="33"/>
      <c r="AF328" s="35"/>
      <c r="AG328" s="32"/>
      <c r="AH328" s="34"/>
      <c r="AI328" s="34"/>
      <c r="AJ328" s="35"/>
      <c r="AM328" s="138" t="s">
        <v>63</v>
      </c>
      <c r="AN328" s="138">
        <v>32</v>
      </c>
      <c r="AO328" s="141">
        <v>20</v>
      </c>
      <c r="AP328" s="138"/>
      <c r="AQ328" s="141"/>
      <c r="AR328" s="28"/>
      <c r="AS328" s="28"/>
      <c r="AT328" s="28"/>
      <c r="AU328" s="28"/>
      <c r="AV328" s="141"/>
      <c r="AY328" s="211" t="s">
        <v>137</v>
      </c>
      <c r="AZ328" s="212">
        <v>2130</v>
      </c>
      <c r="BA328" s="209">
        <v>2066</v>
      </c>
      <c r="BB328" s="138">
        <v>0</v>
      </c>
      <c r="BC328" s="43">
        <v>0</v>
      </c>
      <c r="BD328" s="141">
        <v>0</v>
      </c>
      <c r="BE328" s="138">
        <v>0</v>
      </c>
      <c r="BF328" s="209">
        <v>0</v>
      </c>
      <c r="BG328" s="138">
        <v>56</v>
      </c>
      <c r="BH328" s="43" t="s">
        <v>1292</v>
      </c>
      <c r="BI328" s="141"/>
      <c r="BJ328" s="28"/>
    </row>
    <row r="329" spans="1:62" x14ac:dyDescent="0.3">
      <c r="A329" s="42" t="s">
        <v>93</v>
      </c>
      <c r="B329" s="212">
        <v>8437</v>
      </c>
      <c r="C329" s="209">
        <v>9222</v>
      </c>
      <c r="D329" s="28">
        <v>0</v>
      </c>
      <c r="E329" s="38">
        <v>0</v>
      </c>
      <c r="F329" s="43">
        <v>0</v>
      </c>
      <c r="G329" s="212"/>
      <c r="H329" s="42">
        <v>3</v>
      </c>
      <c r="I329" s="28" t="s">
        <v>927</v>
      </c>
      <c r="J329" s="40"/>
      <c r="M329" s="42" t="s">
        <v>99</v>
      </c>
      <c r="N329" s="138">
        <v>2295</v>
      </c>
      <c r="O329" s="196">
        <v>10427</v>
      </c>
      <c r="P329" s="138">
        <v>0</v>
      </c>
      <c r="Q329" s="196">
        <v>0</v>
      </c>
      <c r="R329" s="141">
        <v>0</v>
      </c>
      <c r="S329" s="138">
        <v>4183</v>
      </c>
      <c r="T329" s="138">
        <v>250</v>
      </c>
      <c r="U329" s="42"/>
      <c r="V329" s="40"/>
      <c r="Y329" s="41"/>
      <c r="Z329" s="28"/>
      <c r="AA329" s="40"/>
      <c r="AB329" s="43"/>
      <c r="AC329" s="43"/>
      <c r="AD329" s="43"/>
      <c r="AE329" s="42"/>
      <c r="AF329" s="40"/>
      <c r="AG329" s="41"/>
      <c r="AH329" s="28" t="s">
        <v>953</v>
      </c>
      <c r="AI329" s="28"/>
      <c r="AJ329" s="40"/>
      <c r="AM329" s="197" t="s">
        <v>84</v>
      </c>
      <c r="AN329" s="197">
        <v>327</v>
      </c>
      <c r="AO329" s="249">
        <v>338</v>
      </c>
      <c r="AP329" s="142"/>
      <c r="AQ329" s="146"/>
      <c r="AR329" s="143"/>
      <c r="AS329" s="143"/>
      <c r="AT329" s="143"/>
      <c r="AU329" s="143"/>
      <c r="AV329" s="146">
        <v>122</v>
      </c>
      <c r="AY329" s="211" t="s">
        <v>97</v>
      </c>
      <c r="AZ329" s="212">
        <v>3200</v>
      </c>
      <c r="BA329" s="209">
        <v>2871</v>
      </c>
      <c r="BB329" s="138">
        <v>0</v>
      </c>
      <c r="BC329" s="43">
        <v>0</v>
      </c>
      <c r="BD329" s="141">
        <v>0</v>
      </c>
      <c r="BE329" s="138">
        <v>0</v>
      </c>
      <c r="BF329" s="209">
        <v>0</v>
      </c>
      <c r="BG329" s="138">
        <v>76</v>
      </c>
      <c r="BH329" s="43" t="s">
        <v>2324</v>
      </c>
      <c r="BI329" s="141"/>
      <c r="BJ329" s="28"/>
    </row>
    <row r="330" spans="1:62" x14ac:dyDescent="0.3">
      <c r="A330" s="42" t="s">
        <v>120</v>
      </c>
      <c r="B330" s="138">
        <v>6943</v>
      </c>
      <c r="C330" s="141">
        <v>8845</v>
      </c>
      <c r="D330" s="28">
        <v>0</v>
      </c>
      <c r="E330" s="38">
        <v>0</v>
      </c>
      <c r="F330" s="43">
        <v>0</v>
      </c>
      <c r="G330" s="138"/>
      <c r="H330" s="42">
        <v>22</v>
      </c>
      <c r="I330" s="28" t="s">
        <v>127</v>
      </c>
      <c r="J330" s="40"/>
      <c r="M330" s="244" t="s">
        <v>84</v>
      </c>
      <c r="N330" s="142">
        <v>2295</v>
      </c>
      <c r="O330" s="199">
        <v>10427</v>
      </c>
      <c r="P330" s="142">
        <v>0</v>
      </c>
      <c r="Q330" s="199">
        <v>0</v>
      </c>
      <c r="R330" s="146">
        <v>0</v>
      </c>
      <c r="S330" s="142">
        <v>4183</v>
      </c>
      <c r="T330" s="142">
        <v>250</v>
      </c>
      <c r="U330" s="244"/>
      <c r="V330" s="245"/>
      <c r="Y330" s="41"/>
      <c r="Z330" s="28"/>
      <c r="AA330" s="40"/>
      <c r="AB330" s="43"/>
      <c r="AC330" s="43"/>
      <c r="AD330" s="43"/>
      <c r="AE330" s="42"/>
      <c r="AF330" s="40"/>
      <c r="AG330" s="41"/>
      <c r="AH330" s="43">
        <v>8</v>
      </c>
      <c r="AI330" s="28" t="s">
        <v>141</v>
      </c>
      <c r="AJ330" s="40"/>
      <c r="AM330" s="134"/>
      <c r="AN330" s="134"/>
      <c r="AO330" s="136"/>
      <c r="AP330" s="134"/>
      <c r="AQ330" s="136"/>
      <c r="AR330" s="135"/>
      <c r="AS330" s="135"/>
      <c r="AT330" s="135"/>
      <c r="AU330" s="135"/>
      <c r="AV330" s="136"/>
      <c r="AY330" s="211" t="s">
        <v>113</v>
      </c>
      <c r="AZ330" s="212">
        <v>626</v>
      </c>
      <c r="BA330" s="209">
        <v>641</v>
      </c>
      <c r="BB330" s="138">
        <v>0</v>
      </c>
      <c r="BC330" s="43">
        <v>0</v>
      </c>
      <c r="BD330" s="141">
        <v>0</v>
      </c>
      <c r="BE330" s="138">
        <v>0</v>
      </c>
      <c r="BF330" s="209">
        <v>0</v>
      </c>
      <c r="BG330" s="138"/>
      <c r="BH330" s="43"/>
      <c r="BI330" s="141"/>
      <c r="BJ330" s="28"/>
    </row>
    <row r="331" spans="1:62" x14ac:dyDescent="0.3">
      <c r="A331" s="67" t="s">
        <v>429</v>
      </c>
      <c r="B331" s="212">
        <v>1528</v>
      </c>
      <c r="C331" s="209">
        <v>1913</v>
      </c>
      <c r="D331" s="43">
        <v>0</v>
      </c>
      <c r="E331" s="38">
        <v>0</v>
      </c>
      <c r="F331" s="43">
        <v>0</v>
      </c>
      <c r="G331" s="138"/>
      <c r="H331" s="42"/>
      <c r="I331" s="28"/>
      <c r="J331" s="40"/>
      <c r="M331" s="278"/>
      <c r="N331" s="134"/>
      <c r="O331" s="195"/>
      <c r="P331" s="134"/>
      <c r="Q331" s="195"/>
      <c r="R331" s="136"/>
      <c r="S331" s="134"/>
      <c r="T331" s="134"/>
      <c r="U331" s="278"/>
      <c r="V331" s="279"/>
      <c r="Y331" s="41" t="s">
        <v>89</v>
      </c>
      <c r="Z331" s="28">
        <v>409</v>
      </c>
      <c r="AA331" s="40">
        <v>422</v>
      </c>
      <c r="AB331" s="43">
        <v>0</v>
      </c>
      <c r="AC331" s="43">
        <v>0</v>
      </c>
      <c r="AD331" s="43">
        <v>0</v>
      </c>
      <c r="AE331" s="42">
        <v>0</v>
      </c>
      <c r="AF331" s="40">
        <v>0</v>
      </c>
      <c r="AG331" s="41">
        <v>0</v>
      </c>
      <c r="AH331" s="43"/>
      <c r="AI331" s="43"/>
      <c r="AJ331" s="40"/>
      <c r="AM331" s="138"/>
      <c r="AN331" s="138"/>
      <c r="AO331" s="141"/>
      <c r="AP331" s="138"/>
      <c r="AQ331" s="141"/>
      <c r="AR331" s="28"/>
      <c r="AS331" s="28"/>
      <c r="AT331" s="28"/>
      <c r="AU331" s="28"/>
      <c r="AV331" s="141"/>
      <c r="AY331" s="211" t="s">
        <v>85</v>
      </c>
      <c r="AZ331" s="212">
        <v>68</v>
      </c>
      <c r="BA331" s="209">
        <v>0</v>
      </c>
      <c r="BB331" s="212">
        <v>0</v>
      </c>
      <c r="BC331" s="43">
        <v>0</v>
      </c>
      <c r="BD331" s="209">
        <v>0</v>
      </c>
      <c r="BE331" s="212">
        <v>0</v>
      </c>
      <c r="BF331" s="209">
        <v>0</v>
      </c>
      <c r="BG331" s="138"/>
      <c r="BH331" s="43"/>
      <c r="BI331" s="141"/>
      <c r="BJ331" s="28"/>
    </row>
    <row r="332" spans="1:62" ht="15" thickBot="1" x14ac:dyDescent="0.35">
      <c r="A332" s="197" t="s">
        <v>84</v>
      </c>
      <c r="B332" s="197">
        <v>17848</v>
      </c>
      <c r="C332" s="249">
        <v>21206</v>
      </c>
      <c r="D332" s="198">
        <v>0</v>
      </c>
      <c r="E332" s="391">
        <v>0</v>
      </c>
      <c r="F332" s="198">
        <v>0</v>
      </c>
      <c r="G332" s="197"/>
      <c r="H332" s="392"/>
      <c r="I332" s="198"/>
      <c r="J332" s="249">
        <v>156</v>
      </c>
      <c r="M332" s="42"/>
      <c r="N332" s="138"/>
      <c r="O332" s="196"/>
      <c r="P332" s="138"/>
      <c r="Q332" s="196"/>
      <c r="R332" s="141"/>
      <c r="S332" s="138"/>
      <c r="T332" s="138"/>
      <c r="U332" s="42"/>
      <c r="V332" s="40"/>
      <c r="Y332" s="46" t="s">
        <v>84</v>
      </c>
      <c r="Z332" s="51">
        <v>409</v>
      </c>
      <c r="AA332" s="49">
        <v>422</v>
      </c>
      <c r="AB332" s="51">
        <v>0</v>
      </c>
      <c r="AC332" s="48">
        <v>0</v>
      </c>
      <c r="AD332" s="48">
        <v>0</v>
      </c>
      <c r="AE332" s="47">
        <v>0</v>
      </c>
      <c r="AF332" s="49">
        <v>0</v>
      </c>
      <c r="AG332" s="46">
        <v>0</v>
      </c>
      <c r="AH332" s="48"/>
      <c r="AI332" s="48"/>
      <c r="AJ332" s="49">
        <v>8</v>
      </c>
      <c r="AM332" s="138"/>
      <c r="AN332" s="138"/>
      <c r="AO332" s="141"/>
      <c r="AP332" s="138"/>
      <c r="AQ332" s="141"/>
      <c r="AR332" s="28"/>
      <c r="AS332" s="28"/>
      <c r="AT332" s="28"/>
      <c r="AU332" s="28"/>
      <c r="AV332" s="141"/>
      <c r="AY332" s="211" t="s">
        <v>169</v>
      </c>
      <c r="AZ332" s="212">
        <v>0</v>
      </c>
      <c r="BA332" s="209">
        <v>0</v>
      </c>
      <c r="BB332" s="138">
        <v>0</v>
      </c>
      <c r="BC332" s="43">
        <v>0</v>
      </c>
      <c r="BD332" s="141">
        <v>0</v>
      </c>
      <c r="BE332" s="138">
        <v>0</v>
      </c>
      <c r="BF332" s="141">
        <v>0</v>
      </c>
      <c r="BG332" s="138"/>
      <c r="BH332" s="28"/>
      <c r="BI332" s="141"/>
      <c r="BJ332" s="28"/>
    </row>
    <row r="333" spans="1:62" x14ac:dyDescent="0.3">
      <c r="A333" s="42"/>
      <c r="B333" s="138"/>
      <c r="C333" s="209"/>
      <c r="D333" s="138"/>
      <c r="E333" s="38"/>
      <c r="F333" s="43"/>
      <c r="G333" s="138">
        <v>1</v>
      </c>
      <c r="H333" s="42" t="s">
        <v>116</v>
      </c>
      <c r="I333" s="28"/>
      <c r="J333" s="40"/>
      <c r="M333" s="42" t="s">
        <v>105</v>
      </c>
      <c r="N333" s="138">
        <v>1308</v>
      </c>
      <c r="O333" s="196">
        <v>0</v>
      </c>
      <c r="P333" s="138">
        <v>0</v>
      </c>
      <c r="Q333" s="196">
        <v>0</v>
      </c>
      <c r="R333" s="141">
        <v>0</v>
      </c>
      <c r="S333" s="138">
        <v>0</v>
      </c>
      <c r="T333" s="138">
        <v>0</v>
      </c>
      <c r="U333" s="42" t="s">
        <v>135</v>
      </c>
      <c r="V333" s="40"/>
      <c r="Y333" s="41"/>
      <c r="Z333" s="34"/>
      <c r="AA333" s="35"/>
      <c r="AB333" s="53"/>
      <c r="AC333" s="123"/>
      <c r="AD333" s="97"/>
      <c r="AE333" s="33"/>
      <c r="AF333" s="35"/>
      <c r="AG333" s="32"/>
      <c r="AH333" s="33" t="s">
        <v>149</v>
      </c>
      <c r="AI333" s="34"/>
      <c r="AJ333" s="35"/>
      <c r="AM333" s="138"/>
      <c r="AN333" s="138"/>
      <c r="AO333" s="141"/>
      <c r="AP333" s="138"/>
      <c r="AQ333" s="141"/>
      <c r="AR333" s="28"/>
      <c r="AS333" s="28"/>
      <c r="AT333" s="28"/>
      <c r="AU333" s="28"/>
      <c r="AV333" s="141"/>
      <c r="AY333" s="211" t="s">
        <v>108</v>
      </c>
      <c r="AZ333" s="138">
        <v>0</v>
      </c>
      <c r="BA333" s="141">
        <v>0</v>
      </c>
      <c r="BB333" s="138">
        <v>0</v>
      </c>
      <c r="BC333" s="43">
        <v>0</v>
      </c>
      <c r="BD333" s="141">
        <v>0</v>
      </c>
      <c r="BE333" s="138">
        <v>0</v>
      </c>
      <c r="BF333" s="141">
        <v>0</v>
      </c>
      <c r="BG333" s="138"/>
      <c r="BH333" s="28"/>
      <c r="BI333" s="141"/>
      <c r="BJ333" s="28"/>
    </row>
    <row r="334" spans="1:62" x14ac:dyDescent="0.3">
      <c r="A334" s="42"/>
      <c r="B334" s="138"/>
      <c r="C334" s="209"/>
      <c r="D334" s="138"/>
      <c r="E334" s="38"/>
      <c r="F334" s="43"/>
      <c r="G334" s="138"/>
      <c r="H334" s="67">
        <v>64</v>
      </c>
      <c r="I334" s="28" t="s">
        <v>188</v>
      </c>
      <c r="J334" s="40"/>
      <c r="M334" s="42"/>
      <c r="N334" s="138"/>
      <c r="O334" s="196"/>
      <c r="P334" s="138"/>
      <c r="Q334" s="196"/>
      <c r="R334" s="141"/>
      <c r="S334" s="138"/>
      <c r="T334" s="138"/>
      <c r="U334" s="42"/>
      <c r="V334" s="40"/>
      <c r="Y334" s="41" t="s">
        <v>99</v>
      </c>
      <c r="Z334" s="28"/>
      <c r="AA334" s="40"/>
      <c r="AB334" s="67"/>
      <c r="AC334" s="43"/>
      <c r="AD334" s="56"/>
      <c r="AE334" s="42">
        <v>10995</v>
      </c>
      <c r="AF334" s="40">
        <v>2321</v>
      </c>
      <c r="AG334" s="41">
        <v>0</v>
      </c>
      <c r="AH334" s="67">
        <v>2</v>
      </c>
      <c r="AI334" s="28" t="s">
        <v>1317</v>
      </c>
      <c r="AJ334" s="40"/>
      <c r="AM334" s="142"/>
      <c r="AN334" s="142"/>
      <c r="AO334" s="146"/>
      <c r="AP334" s="142"/>
      <c r="AQ334" s="146"/>
      <c r="AR334" s="143"/>
      <c r="AS334" s="143"/>
      <c r="AT334" s="143"/>
      <c r="AU334" s="143"/>
      <c r="AV334" s="146"/>
      <c r="AY334" s="211" t="s">
        <v>89</v>
      </c>
      <c r="AZ334" s="142">
        <v>2763</v>
      </c>
      <c r="BA334" s="146">
        <v>3100</v>
      </c>
      <c r="BB334" s="142">
        <v>0</v>
      </c>
      <c r="BC334" s="224">
        <v>0</v>
      </c>
      <c r="BD334" s="251">
        <v>0</v>
      </c>
      <c r="BE334" s="142">
        <v>0</v>
      </c>
      <c r="BF334" s="146">
        <v>0</v>
      </c>
      <c r="BG334" s="142"/>
      <c r="BH334" s="143"/>
      <c r="BI334" s="146"/>
      <c r="BJ334" s="28"/>
    </row>
    <row r="335" spans="1:62" x14ac:dyDescent="0.3">
      <c r="A335" s="42" t="s">
        <v>93</v>
      </c>
      <c r="B335" s="138">
        <v>0</v>
      </c>
      <c r="C335" s="209">
        <v>167</v>
      </c>
      <c r="D335" s="138"/>
      <c r="E335" s="38"/>
      <c r="F335" s="43"/>
      <c r="G335" s="138"/>
      <c r="H335" s="67"/>
      <c r="I335" s="28"/>
      <c r="J335" s="40"/>
      <c r="M335" s="244" t="s">
        <v>84</v>
      </c>
      <c r="N335" s="142">
        <v>1308</v>
      </c>
      <c r="O335" s="199">
        <v>0</v>
      </c>
      <c r="P335" s="142">
        <v>0</v>
      </c>
      <c r="Q335" s="199">
        <v>0</v>
      </c>
      <c r="R335" s="146">
        <v>0</v>
      </c>
      <c r="S335" s="142">
        <v>0</v>
      </c>
      <c r="T335" s="142">
        <v>0</v>
      </c>
      <c r="U335" s="244"/>
      <c r="V335" s="245"/>
      <c r="Y335" s="41" t="s">
        <v>174</v>
      </c>
      <c r="Z335" s="28"/>
      <c r="AA335" s="40"/>
      <c r="AB335" s="67"/>
      <c r="AC335" s="43"/>
      <c r="AD335" s="56"/>
      <c r="AE335" s="42">
        <v>10655</v>
      </c>
      <c r="AF335" s="40">
        <v>2116</v>
      </c>
      <c r="AG335" s="41">
        <v>0</v>
      </c>
      <c r="AH335" s="67"/>
      <c r="AI335" s="43"/>
      <c r="AJ335" s="40"/>
      <c r="AM335" s="134"/>
      <c r="AN335" s="134"/>
      <c r="AO335" s="136"/>
      <c r="AP335" s="134"/>
      <c r="AQ335" s="136"/>
      <c r="AR335" s="135"/>
      <c r="AS335" s="135" t="s">
        <v>140</v>
      </c>
      <c r="AT335" s="135"/>
      <c r="AU335" s="135"/>
      <c r="AV335" s="136"/>
      <c r="AY335" s="247" t="s">
        <v>84</v>
      </c>
      <c r="AZ335" s="247">
        <v>8787</v>
      </c>
      <c r="BA335" s="248">
        <v>8678</v>
      </c>
      <c r="BB335" s="197">
        <v>0</v>
      </c>
      <c r="BC335" s="198">
        <v>0</v>
      </c>
      <c r="BD335" s="249">
        <v>0</v>
      </c>
      <c r="BE335" s="197">
        <v>0</v>
      </c>
      <c r="BF335" s="249">
        <v>0</v>
      </c>
      <c r="BG335" s="197"/>
      <c r="BH335" s="198"/>
      <c r="BI335" s="249">
        <v>132</v>
      </c>
      <c r="BJ335" s="28"/>
    </row>
    <row r="336" spans="1:62" ht="15" thickBot="1" x14ac:dyDescent="0.35">
      <c r="A336" s="42" t="s">
        <v>99</v>
      </c>
      <c r="B336" s="138">
        <v>9724</v>
      </c>
      <c r="C336" s="28">
        <v>10075</v>
      </c>
      <c r="D336" s="138">
        <v>0</v>
      </c>
      <c r="E336" s="38">
        <v>0</v>
      </c>
      <c r="F336" s="43">
        <v>0</v>
      </c>
      <c r="G336" s="138"/>
      <c r="H336" s="67"/>
      <c r="I336" s="28"/>
      <c r="J336" s="40"/>
      <c r="M336" s="42"/>
      <c r="N336" s="138"/>
      <c r="O336" s="196"/>
      <c r="P336" s="138"/>
      <c r="Q336" s="196"/>
      <c r="R336" s="141"/>
      <c r="S336" s="138"/>
      <c r="T336" s="138"/>
      <c r="U336" s="42"/>
      <c r="V336" s="40"/>
      <c r="Y336" s="62" t="s">
        <v>84</v>
      </c>
      <c r="Z336" s="48"/>
      <c r="AA336" s="49"/>
      <c r="AB336" s="47"/>
      <c r="AC336" s="48"/>
      <c r="AD336" s="49"/>
      <c r="AE336" s="47">
        <v>21650</v>
      </c>
      <c r="AF336" s="49">
        <v>4437</v>
      </c>
      <c r="AG336" s="46">
        <v>0</v>
      </c>
      <c r="AH336" s="47"/>
      <c r="AI336" s="48"/>
      <c r="AJ336" s="49">
        <v>2</v>
      </c>
      <c r="AM336" s="138" t="s">
        <v>56</v>
      </c>
      <c r="AN336" s="212">
        <v>3</v>
      </c>
      <c r="AO336" s="141">
        <v>3</v>
      </c>
      <c r="AP336" s="138"/>
      <c r="AQ336" s="141"/>
      <c r="AR336" s="28" t="s">
        <v>2360</v>
      </c>
      <c r="AS336" s="43"/>
      <c r="AT336" s="43"/>
      <c r="AU336" s="43" t="s">
        <v>1469</v>
      </c>
      <c r="AV336" s="141"/>
      <c r="AY336" s="195"/>
      <c r="AZ336" s="134"/>
      <c r="BA336" s="136"/>
      <c r="BB336" s="134"/>
      <c r="BC336" s="135"/>
      <c r="BD336" s="136"/>
      <c r="BE336" s="134"/>
      <c r="BF336" s="136"/>
      <c r="BG336" s="134" t="s">
        <v>1025</v>
      </c>
      <c r="BH336" s="135"/>
      <c r="BI336" s="136"/>
      <c r="BJ336" s="28"/>
    </row>
    <row r="337" spans="1:62" x14ac:dyDescent="0.3">
      <c r="A337" s="197" t="s">
        <v>84</v>
      </c>
      <c r="B337" s="197">
        <v>9724</v>
      </c>
      <c r="C337" s="198">
        <v>10242</v>
      </c>
      <c r="D337" s="197">
        <v>0</v>
      </c>
      <c r="E337" s="391">
        <v>0</v>
      </c>
      <c r="F337" s="198">
        <v>0</v>
      </c>
      <c r="G337" s="197"/>
      <c r="H337" s="392"/>
      <c r="I337" s="198"/>
      <c r="J337" s="249">
        <v>64</v>
      </c>
      <c r="M337" s="42"/>
      <c r="N337" s="138"/>
      <c r="O337" s="196"/>
      <c r="P337" s="138"/>
      <c r="Q337" s="196"/>
      <c r="R337" s="141"/>
      <c r="S337" s="138"/>
      <c r="T337" s="138"/>
      <c r="U337" s="42"/>
      <c r="V337" s="40"/>
      <c r="X337" s="28"/>
      <c r="Y337" s="32"/>
      <c r="Z337" s="33"/>
      <c r="AA337" s="35"/>
      <c r="AB337" s="33"/>
      <c r="AC337" s="34"/>
      <c r="AD337" s="35"/>
      <c r="AE337" s="33"/>
      <c r="AF337" s="35"/>
      <c r="AG337" s="32"/>
      <c r="AH337" s="33" t="s">
        <v>157</v>
      </c>
      <c r="AI337" s="34"/>
      <c r="AJ337" s="35"/>
      <c r="AM337" s="138" t="s">
        <v>72</v>
      </c>
      <c r="AN337" s="212">
        <v>25</v>
      </c>
      <c r="AO337" s="141">
        <v>37</v>
      </c>
      <c r="AP337" s="138"/>
      <c r="AQ337" s="141"/>
      <c r="AR337" s="28" t="s">
        <v>2361</v>
      </c>
      <c r="AS337" s="43"/>
      <c r="AT337" s="43" t="s">
        <v>1843</v>
      </c>
      <c r="AU337" s="43"/>
      <c r="AV337" s="141"/>
      <c r="AY337" s="196" t="s">
        <v>64</v>
      </c>
      <c r="AZ337" s="138">
        <v>45</v>
      </c>
      <c r="BA337" s="141">
        <v>40</v>
      </c>
      <c r="BB337" s="138">
        <v>0</v>
      </c>
      <c r="BC337" s="43">
        <v>0</v>
      </c>
      <c r="BD337" s="209">
        <v>0</v>
      </c>
      <c r="BE337" s="138">
        <v>0</v>
      </c>
      <c r="BF337" s="141">
        <v>0</v>
      </c>
      <c r="BG337" s="138">
        <v>4</v>
      </c>
      <c r="BH337" s="28" t="s">
        <v>1026</v>
      </c>
      <c r="BI337" s="141"/>
      <c r="BJ337" s="28"/>
    </row>
    <row r="338" spans="1:62" x14ac:dyDescent="0.3">
      <c r="A338" s="278" t="s">
        <v>105</v>
      </c>
      <c r="B338" s="134">
        <v>1361</v>
      </c>
      <c r="C338" s="135">
        <v>1604</v>
      </c>
      <c r="D338" s="134"/>
      <c r="E338" s="243">
        <v>1517</v>
      </c>
      <c r="F338" s="135">
        <v>0</v>
      </c>
      <c r="G338" s="134">
        <v>1</v>
      </c>
      <c r="H338" s="278" t="s">
        <v>162</v>
      </c>
      <c r="I338" s="135"/>
      <c r="J338" s="279"/>
      <c r="M338" s="42"/>
      <c r="N338" s="138"/>
      <c r="O338" s="196"/>
      <c r="P338" s="138"/>
      <c r="Q338" s="196"/>
      <c r="R338" s="141"/>
      <c r="S338" s="138"/>
      <c r="T338" s="138"/>
      <c r="U338" s="42"/>
      <c r="V338" s="40"/>
      <c r="Y338" s="41"/>
      <c r="Z338" s="42"/>
      <c r="AA338" s="56"/>
      <c r="AB338" s="67"/>
      <c r="AC338" s="43"/>
      <c r="AD338" s="56"/>
      <c r="AE338" s="42"/>
      <c r="AF338" s="56"/>
      <c r="AG338" s="41"/>
      <c r="AH338" s="67">
        <v>14</v>
      </c>
      <c r="AI338" s="28" t="s">
        <v>1318</v>
      </c>
      <c r="AJ338" s="40"/>
      <c r="AM338" s="138" t="s">
        <v>78</v>
      </c>
      <c r="AN338" s="212">
        <v>60</v>
      </c>
      <c r="AO338" s="141">
        <v>53</v>
      </c>
      <c r="AP338" s="138"/>
      <c r="AQ338" s="141"/>
      <c r="AR338" s="28" t="s">
        <v>1840</v>
      </c>
      <c r="AS338" s="43"/>
      <c r="AT338" s="43" t="s">
        <v>2105</v>
      </c>
      <c r="AU338" s="43"/>
      <c r="AV338" s="141"/>
      <c r="AY338" s="265" t="s">
        <v>84</v>
      </c>
      <c r="AZ338" s="197">
        <v>45</v>
      </c>
      <c r="BA338" s="249">
        <v>40</v>
      </c>
      <c r="BB338" s="197">
        <v>0</v>
      </c>
      <c r="BC338" s="198">
        <v>0</v>
      </c>
      <c r="BD338" s="249">
        <v>0</v>
      </c>
      <c r="BE338" s="197">
        <v>0</v>
      </c>
      <c r="BF338" s="249">
        <v>0</v>
      </c>
      <c r="BG338" s="197"/>
      <c r="BH338" s="198"/>
      <c r="BI338" s="249">
        <v>4</v>
      </c>
      <c r="BJ338" s="28"/>
    </row>
    <row r="339" spans="1:62" x14ac:dyDescent="0.3">
      <c r="A339" s="42" t="s">
        <v>99</v>
      </c>
      <c r="B339" s="138">
        <v>730</v>
      </c>
      <c r="C339" s="43">
        <v>1552</v>
      </c>
      <c r="D339" s="138">
        <v>0</v>
      </c>
      <c r="E339" s="401">
        <v>1434</v>
      </c>
      <c r="F339" s="43">
        <v>0</v>
      </c>
      <c r="G339" s="138"/>
      <c r="H339" s="42"/>
      <c r="I339" s="28"/>
      <c r="J339" s="40"/>
      <c r="M339" s="42"/>
      <c r="N339" s="138"/>
      <c r="O339" s="196"/>
      <c r="P339" s="138"/>
      <c r="Q339" s="196"/>
      <c r="R339" s="141"/>
      <c r="S339" s="138"/>
      <c r="T339" s="138"/>
      <c r="U339" s="42"/>
      <c r="V339" s="40"/>
      <c r="Y339" s="41"/>
      <c r="Z339" s="42"/>
      <c r="AA339" s="56"/>
      <c r="AB339" s="67"/>
      <c r="AC339" s="43"/>
      <c r="AD339" s="56"/>
      <c r="AE339" s="42"/>
      <c r="AF339" s="56"/>
      <c r="AG339" s="41"/>
      <c r="AH339" s="42"/>
      <c r="AI339" s="28"/>
      <c r="AJ339" s="40"/>
      <c r="AM339" s="138" t="s">
        <v>67</v>
      </c>
      <c r="AN339" s="212">
        <v>13</v>
      </c>
      <c r="AO339" s="141">
        <v>20</v>
      </c>
      <c r="AP339" s="138"/>
      <c r="AQ339" s="141"/>
      <c r="AR339" s="43" t="s">
        <v>841</v>
      </c>
      <c r="AS339" s="43"/>
      <c r="AT339" s="43" t="s">
        <v>730</v>
      </c>
      <c r="AU339" s="43"/>
      <c r="AV339" s="141"/>
      <c r="AY339" s="195"/>
      <c r="AZ339" s="134"/>
      <c r="BA339" s="136"/>
      <c r="BB339" s="134"/>
      <c r="BC339" s="135"/>
      <c r="BD339" s="136"/>
      <c r="BE339" s="134"/>
      <c r="BF339" s="136"/>
      <c r="BG339" s="134" t="s">
        <v>994</v>
      </c>
      <c r="BH339" s="135"/>
      <c r="BI339" s="136"/>
      <c r="BJ339" s="28"/>
    </row>
    <row r="340" spans="1:62" ht="15" thickBot="1" x14ac:dyDescent="0.35">
      <c r="A340" s="42"/>
      <c r="B340" s="138"/>
      <c r="C340" s="28"/>
      <c r="D340" s="138"/>
      <c r="E340" s="401"/>
      <c r="F340" s="43"/>
      <c r="G340" s="138"/>
      <c r="H340" s="67">
        <v>48</v>
      </c>
      <c r="I340" s="28" t="s">
        <v>2330</v>
      </c>
      <c r="J340" s="40"/>
      <c r="M340" s="42"/>
      <c r="N340" s="138"/>
      <c r="O340" s="196"/>
      <c r="P340" s="138"/>
      <c r="Q340" s="196"/>
      <c r="R340" s="141"/>
      <c r="S340" s="138"/>
      <c r="T340" s="138"/>
      <c r="U340" s="42"/>
      <c r="V340" s="40"/>
      <c r="Y340" s="68" t="s">
        <v>1118</v>
      </c>
      <c r="Z340" s="42"/>
      <c r="AA340" s="56"/>
      <c r="AB340" s="42"/>
      <c r="AC340" s="43"/>
      <c r="AD340" s="40"/>
      <c r="AE340" s="42">
        <v>15378</v>
      </c>
      <c r="AF340" s="56">
        <v>0</v>
      </c>
      <c r="AG340" s="41">
        <v>0</v>
      </c>
      <c r="AH340" s="42"/>
      <c r="AI340" s="43"/>
      <c r="AJ340" s="40"/>
      <c r="AM340" s="138" t="s">
        <v>115</v>
      </c>
      <c r="AN340" s="212">
        <v>5</v>
      </c>
      <c r="AO340" s="141">
        <v>15</v>
      </c>
      <c r="AP340" s="212"/>
      <c r="AQ340" s="141"/>
      <c r="AR340" s="28" t="s">
        <v>2362</v>
      </c>
      <c r="AS340" s="43"/>
      <c r="AT340" s="43" t="s">
        <v>2363</v>
      </c>
      <c r="AU340" s="43"/>
      <c r="AV340" s="141"/>
      <c r="AY340" s="196"/>
      <c r="AZ340" s="138"/>
      <c r="BA340" s="141"/>
      <c r="BB340" s="138"/>
      <c r="BC340" s="43"/>
      <c r="BD340" s="209"/>
      <c r="BE340" s="212"/>
      <c r="BF340" s="141"/>
      <c r="BG340" s="212">
        <v>11</v>
      </c>
      <c r="BH340" s="28" t="s">
        <v>1297</v>
      </c>
      <c r="BI340" s="141"/>
      <c r="BJ340" s="28"/>
    </row>
    <row r="341" spans="1:62" ht="15" thickBot="1" x14ac:dyDescent="0.35">
      <c r="A341" s="134" t="s">
        <v>84</v>
      </c>
      <c r="B341" s="197">
        <v>2091</v>
      </c>
      <c r="C341" s="198">
        <v>3156</v>
      </c>
      <c r="D341" s="197">
        <v>0</v>
      </c>
      <c r="E341" s="391">
        <v>2951</v>
      </c>
      <c r="F341" s="198">
        <v>0</v>
      </c>
      <c r="G341" s="197"/>
      <c r="H341" s="392"/>
      <c r="I341" s="198"/>
      <c r="J341" s="249">
        <v>48</v>
      </c>
      <c r="M341" s="171" t="s">
        <v>84</v>
      </c>
      <c r="N341" s="210">
        <v>18510</v>
      </c>
      <c r="O341" s="206">
        <v>26458</v>
      </c>
      <c r="P341" s="210">
        <v>0</v>
      </c>
      <c r="Q341" s="206">
        <v>0</v>
      </c>
      <c r="R341" s="170">
        <v>0</v>
      </c>
      <c r="S341" s="210">
        <v>4183</v>
      </c>
      <c r="T341" s="210">
        <v>250</v>
      </c>
      <c r="U341" s="171"/>
      <c r="V341" s="172"/>
      <c r="Y341" s="68" t="s">
        <v>403</v>
      </c>
      <c r="Z341" s="42"/>
      <c r="AA341" s="56"/>
      <c r="AB341" s="67"/>
      <c r="AC341" s="43"/>
      <c r="AD341" s="56"/>
      <c r="AE341" s="42">
        <v>4480</v>
      </c>
      <c r="AF341" s="56">
        <v>0</v>
      </c>
      <c r="AG341" s="41">
        <v>0</v>
      </c>
      <c r="AH341" s="67"/>
      <c r="AI341" s="28"/>
      <c r="AJ341" s="40"/>
      <c r="AM341" s="138" t="s">
        <v>81</v>
      </c>
      <c r="AN341" s="212">
        <v>11</v>
      </c>
      <c r="AO341" s="141">
        <v>14</v>
      </c>
      <c r="AP341" s="138"/>
      <c r="AQ341" s="141"/>
      <c r="AR341" s="43" t="s">
        <v>2364</v>
      </c>
      <c r="AS341" s="43"/>
      <c r="AT341" s="43" t="s">
        <v>2365</v>
      </c>
      <c r="AU341" s="43"/>
      <c r="AV341" s="141"/>
      <c r="AY341" s="196" t="s">
        <v>113</v>
      </c>
      <c r="AZ341" s="138">
        <v>601</v>
      </c>
      <c r="BA341" s="141">
        <v>641</v>
      </c>
      <c r="BB341" s="138">
        <v>0</v>
      </c>
      <c r="BC341" s="43">
        <v>0</v>
      </c>
      <c r="BD341" s="209">
        <v>0</v>
      </c>
      <c r="BE341" s="138">
        <v>0</v>
      </c>
      <c r="BF341" s="141">
        <v>0</v>
      </c>
      <c r="BG341" s="212">
        <v>43</v>
      </c>
      <c r="BH341" s="43" t="s">
        <v>1292</v>
      </c>
      <c r="BI341" s="141"/>
      <c r="BJ341" s="28"/>
    </row>
    <row r="342" spans="1:62" x14ac:dyDescent="0.3">
      <c r="A342" s="195"/>
      <c r="B342" s="134"/>
      <c r="C342" s="136"/>
      <c r="D342" s="134">
        <v>0</v>
      </c>
      <c r="E342" s="243">
        <v>0</v>
      </c>
      <c r="F342" s="136">
        <v>0</v>
      </c>
      <c r="G342" s="195">
        <v>1</v>
      </c>
      <c r="H342" s="134" t="s">
        <v>182</v>
      </c>
      <c r="I342" s="135"/>
      <c r="J342" s="136"/>
      <c r="Y342" s="68" t="s">
        <v>85</v>
      </c>
      <c r="Z342" s="67"/>
      <c r="AA342" s="56"/>
      <c r="AB342" s="42"/>
      <c r="AC342" s="43"/>
      <c r="AD342" s="40"/>
      <c r="AE342" s="67">
        <v>32099</v>
      </c>
      <c r="AF342" s="56">
        <v>1219</v>
      </c>
      <c r="AG342" s="41">
        <v>0</v>
      </c>
      <c r="AH342" s="42"/>
      <c r="AI342" s="28"/>
      <c r="AJ342" s="40"/>
      <c r="AM342" s="138" t="s">
        <v>63</v>
      </c>
      <c r="AN342" s="212">
        <v>9</v>
      </c>
      <c r="AO342" s="141">
        <v>19</v>
      </c>
      <c r="AP342" s="138"/>
      <c r="AQ342" s="141"/>
      <c r="AR342" s="43" t="s">
        <v>447</v>
      </c>
      <c r="AS342" s="43"/>
      <c r="AT342" s="43"/>
      <c r="AU342" s="43"/>
      <c r="AV342" s="141"/>
      <c r="AY342" s="265" t="s">
        <v>84</v>
      </c>
      <c r="AZ342" s="247">
        <v>601</v>
      </c>
      <c r="BA342" s="249">
        <v>641</v>
      </c>
      <c r="BB342" s="197">
        <v>0</v>
      </c>
      <c r="BC342" s="393">
        <v>0</v>
      </c>
      <c r="BD342" s="394">
        <v>0</v>
      </c>
      <c r="BE342" s="197">
        <v>0</v>
      </c>
      <c r="BF342" s="249">
        <v>0</v>
      </c>
      <c r="BG342" s="197"/>
      <c r="BH342" s="198"/>
      <c r="BI342" s="249">
        <v>54</v>
      </c>
      <c r="BJ342" s="28"/>
    </row>
    <row r="343" spans="1:62" x14ac:dyDescent="0.3">
      <c r="A343" s="196" t="s">
        <v>181</v>
      </c>
      <c r="B343" s="212">
        <v>2482</v>
      </c>
      <c r="C343" s="209">
        <v>2653</v>
      </c>
      <c r="D343" s="138">
        <v>0</v>
      </c>
      <c r="E343" s="38">
        <v>0</v>
      </c>
      <c r="F343" s="141">
        <v>0</v>
      </c>
      <c r="G343" s="196"/>
      <c r="H343" s="138">
        <v>18</v>
      </c>
      <c r="I343" s="28" t="s">
        <v>94</v>
      </c>
      <c r="J343" s="141"/>
      <c r="Y343" s="68" t="s">
        <v>99</v>
      </c>
      <c r="Z343" s="67"/>
      <c r="AA343" s="56"/>
      <c r="AB343" s="67"/>
      <c r="AC343" s="43"/>
      <c r="AD343" s="56"/>
      <c r="AE343" s="67">
        <v>58200</v>
      </c>
      <c r="AF343" s="56">
        <v>19956</v>
      </c>
      <c r="AG343" s="41">
        <v>0</v>
      </c>
      <c r="AH343" s="67"/>
      <c r="AI343" s="28"/>
      <c r="AJ343" s="40"/>
      <c r="AM343" s="138" t="s">
        <v>122</v>
      </c>
      <c r="AN343" s="212">
        <v>11</v>
      </c>
      <c r="AO343" s="141">
        <v>16</v>
      </c>
      <c r="AP343" s="138"/>
      <c r="AQ343" s="141"/>
      <c r="AR343" s="43" t="s">
        <v>333</v>
      </c>
      <c r="AS343" s="43"/>
      <c r="AT343" s="43"/>
      <c r="AU343" s="43"/>
      <c r="AV343" s="141"/>
      <c r="AY343" s="134"/>
      <c r="AZ343" s="240"/>
      <c r="BA343" s="135"/>
      <c r="BB343" s="134"/>
      <c r="BC343" s="243"/>
      <c r="BD343" s="381"/>
      <c r="BE343" s="135"/>
      <c r="BF343" s="136"/>
      <c r="BG343" s="134" t="s">
        <v>2333</v>
      </c>
      <c r="BH343" s="135"/>
      <c r="BI343" s="136"/>
      <c r="BJ343" s="28"/>
    </row>
    <row r="344" spans="1:62" x14ac:dyDescent="0.3">
      <c r="A344" s="196" t="s">
        <v>84</v>
      </c>
      <c r="B344" s="138">
        <v>2482</v>
      </c>
      <c r="C344" s="209">
        <v>2653</v>
      </c>
      <c r="D344" s="138">
        <v>0</v>
      </c>
      <c r="E344" s="38">
        <v>0</v>
      </c>
      <c r="F344" s="141">
        <v>0</v>
      </c>
      <c r="G344" s="196"/>
      <c r="H344" s="138">
        <v>4</v>
      </c>
      <c r="I344" s="28" t="s">
        <v>2330</v>
      </c>
      <c r="J344" s="141"/>
      <c r="Y344" s="68" t="s">
        <v>95</v>
      </c>
      <c r="Z344" s="42"/>
      <c r="AA344" s="40"/>
      <c r="AB344" s="42"/>
      <c r="AC344" s="43"/>
      <c r="AD344" s="40"/>
      <c r="AE344" s="42">
        <v>0</v>
      </c>
      <c r="AF344" s="40">
        <v>6127</v>
      </c>
      <c r="AG344" s="41">
        <v>0</v>
      </c>
      <c r="AH344" s="42"/>
      <c r="AI344" s="28"/>
      <c r="AJ344" s="40"/>
      <c r="AM344" s="138"/>
      <c r="AN344" s="212"/>
      <c r="AO344" s="141"/>
      <c r="AP344" s="138"/>
      <c r="AQ344" s="28"/>
      <c r="AR344" s="28" t="s">
        <v>2366</v>
      </c>
      <c r="AS344" s="43"/>
      <c r="AT344" s="43"/>
      <c r="AU344" s="43"/>
      <c r="AV344" s="141"/>
      <c r="AY344" s="138" t="s">
        <v>2367</v>
      </c>
      <c r="AZ344" s="212">
        <v>0</v>
      </c>
      <c r="BA344" s="43">
        <v>0</v>
      </c>
      <c r="BB344" s="138"/>
      <c r="BC344" s="43"/>
      <c r="BD344" s="141"/>
      <c r="BE344" s="43"/>
      <c r="BF344" s="141"/>
      <c r="BG344" s="138"/>
      <c r="BH344" s="28"/>
      <c r="BI344" s="141"/>
      <c r="BJ344" s="28"/>
    </row>
    <row r="345" spans="1:62" x14ac:dyDescent="0.3">
      <c r="A345" s="199"/>
      <c r="B345" s="142"/>
      <c r="C345" s="146"/>
      <c r="D345" s="142"/>
      <c r="E345" s="143"/>
      <c r="F345" s="146"/>
      <c r="G345" s="199"/>
      <c r="H345" s="142"/>
      <c r="I345" s="224"/>
      <c r="J345" s="146">
        <v>22</v>
      </c>
      <c r="Y345" s="68" t="s">
        <v>133</v>
      </c>
      <c r="Z345" s="42"/>
      <c r="AA345" s="40"/>
      <c r="AB345" s="42"/>
      <c r="AC345" s="43"/>
      <c r="AD345" s="40"/>
      <c r="AE345" s="42">
        <v>0</v>
      </c>
      <c r="AF345" s="40">
        <v>4220</v>
      </c>
      <c r="AG345" s="41">
        <v>0</v>
      </c>
      <c r="AH345" s="42"/>
      <c r="AI345" s="28"/>
      <c r="AJ345" s="40"/>
      <c r="AM345" s="138" t="s">
        <v>230</v>
      </c>
      <c r="AN345" s="138">
        <v>13</v>
      </c>
      <c r="AO345" s="141">
        <v>12</v>
      </c>
      <c r="AP345" s="138"/>
      <c r="AQ345" s="141"/>
      <c r="AR345" s="43"/>
      <c r="AS345" s="220"/>
      <c r="AT345" s="43"/>
      <c r="AU345" s="371"/>
      <c r="AV345" s="141"/>
      <c r="AY345" s="138" t="s">
        <v>1373</v>
      </c>
      <c r="AZ345" s="212">
        <v>0</v>
      </c>
      <c r="BA345" s="43">
        <v>0</v>
      </c>
      <c r="BB345" s="138"/>
      <c r="BC345" s="43"/>
      <c r="BD345" s="141"/>
      <c r="BE345" s="43"/>
      <c r="BF345" s="141"/>
      <c r="BG345" s="138"/>
      <c r="BH345" s="28"/>
      <c r="BI345" s="141"/>
      <c r="BJ345" s="28"/>
    </row>
    <row r="346" spans="1:62" ht="15" thickBot="1" x14ac:dyDescent="0.35">
      <c r="A346" s="46" t="s">
        <v>84</v>
      </c>
      <c r="B346" s="396">
        <v>38412</v>
      </c>
      <c r="C346" s="49">
        <v>46107</v>
      </c>
      <c r="D346" s="397">
        <v>0</v>
      </c>
      <c r="E346" s="202">
        <v>3275</v>
      </c>
      <c r="F346" s="398">
        <v>0</v>
      </c>
      <c r="G346" s="47">
        <v>7</v>
      </c>
      <c r="H346" s="47"/>
      <c r="I346" s="48"/>
      <c r="J346" s="49">
        <v>344</v>
      </c>
      <c r="Y346" s="68" t="s">
        <v>574</v>
      </c>
      <c r="Z346" s="42"/>
      <c r="AA346" s="40"/>
      <c r="AB346" s="42"/>
      <c r="AC346" s="43"/>
      <c r="AD346" s="40"/>
      <c r="AE346" s="42">
        <v>40305</v>
      </c>
      <c r="AF346" s="40">
        <v>1488</v>
      </c>
      <c r="AG346" s="41">
        <v>0</v>
      </c>
      <c r="AH346" s="42"/>
      <c r="AI346" s="28"/>
      <c r="AJ346" s="40"/>
      <c r="AM346" s="134" t="s">
        <v>84</v>
      </c>
      <c r="AN346" s="134">
        <v>150</v>
      </c>
      <c r="AO346" s="136">
        <v>189</v>
      </c>
      <c r="AP346" s="142"/>
      <c r="AQ346" s="146"/>
      <c r="AR346" s="143"/>
      <c r="AS346" s="224"/>
      <c r="AT346" s="224"/>
      <c r="AU346" s="143"/>
      <c r="AV346" s="146">
        <v>139</v>
      </c>
      <c r="AY346" s="138" t="s">
        <v>998</v>
      </c>
      <c r="AZ346" s="212">
        <v>0</v>
      </c>
      <c r="BA346" s="43">
        <v>0</v>
      </c>
      <c r="BB346" s="382"/>
      <c r="BC346" s="43"/>
      <c r="BD346" s="141"/>
      <c r="BE346" s="43"/>
      <c r="BF346" s="141"/>
      <c r="BG346" s="212" t="s">
        <v>142</v>
      </c>
      <c r="BH346" s="43"/>
      <c r="BI346" s="209" t="s">
        <v>814</v>
      </c>
      <c r="BJ346" s="28"/>
    </row>
    <row r="347" spans="1:62" ht="15" thickBot="1" x14ac:dyDescent="0.35">
      <c r="Y347" s="68" t="s">
        <v>108</v>
      </c>
      <c r="Z347" s="42"/>
      <c r="AA347" s="40"/>
      <c r="AB347" s="42"/>
      <c r="AC347" s="43"/>
      <c r="AD347" s="40"/>
      <c r="AE347" s="42">
        <v>0</v>
      </c>
      <c r="AF347" s="40">
        <v>30969</v>
      </c>
      <c r="AG347" s="41">
        <v>0</v>
      </c>
      <c r="AH347" s="42"/>
      <c r="AI347" s="28"/>
      <c r="AJ347" s="40"/>
      <c r="AM347" s="171" t="s">
        <v>84</v>
      </c>
      <c r="AN347" s="171">
        <v>1886</v>
      </c>
      <c r="AO347" s="172">
        <v>2012</v>
      </c>
      <c r="AP347" s="47"/>
      <c r="AQ347" s="49"/>
      <c r="AR347" s="48"/>
      <c r="AS347" s="48"/>
      <c r="AT347" s="48"/>
      <c r="AU347" s="48"/>
      <c r="AV347" s="49">
        <v>359</v>
      </c>
      <c r="AY347" s="138" t="s">
        <v>403</v>
      </c>
      <c r="AZ347" s="212">
        <v>0</v>
      </c>
      <c r="BA347" s="43">
        <v>0</v>
      </c>
      <c r="BB347" s="268"/>
      <c r="BC347" s="255"/>
      <c r="BD347" s="141"/>
      <c r="BE347" s="43"/>
      <c r="BF347" s="141"/>
      <c r="BG347" s="212" t="s">
        <v>146</v>
      </c>
      <c r="BH347" s="43"/>
      <c r="BI347" s="372"/>
      <c r="BJ347" s="28"/>
    </row>
    <row r="348" spans="1:62" ht="15" thickBot="1" x14ac:dyDescent="0.35">
      <c r="V348" s="184"/>
      <c r="Y348" s="62" t="s">
        <v>84</v>
      </c>
      <c r="Z348" s="47"/>
      <c r="AA348" s="49"/>
      <c r="AB348" s="72"/>
      <c r="AC348" s="51"/>
      <c r="AD348" s="73"/>
      <c r="AE348" s="47">
        <v>150462</v>
      </c>
      <c r="AF348" s="49">
        <v>63979</v>
      </c>
      <c r="AG348" s="46">
        <v>0</v>
      </c>
      <c r="AH348" s="72"/>
      <c r="AI348" s="48"/>
      <c r="AJ348" s="49">
        <v>14</v>
      </c>
      <c r="AM348" s="28"/>
      <c r="AN348" s="28"/>
      <c r="AO348" s="28"/>
      <c r="AP348" s="28"/>
      <c r="AQ348" s="28"/>
      <c r="AR348" s="28"/>
      <c r="AS348" s="43"/>
      <c r="AT348" s="43"/>
      <c r="AU348" s="28"/>
      <c r="AV348" s="28"/>
      <c r="AY348" s="138" t="s">
        <v>1588</v>
      </c>
      <c r="AZ348" s="212">
        <v>0</v>
      </c>
      <c r="BA348" s="43">
        <v>0</v>
      </c>
      <c r="BB348" s="268"/>
      <c r="BC348" s="43"/>
      <c r="BD348" s="141"/>
      <c r="BE348" s="43"/>
      <c r="BF348" s="141"/>
      <c r="BG348" s="212">
        <v>2</v>
      </c>
      <c r="BH348" s="43" t="s">
        <v>2368</v>
      </c>
      <c r="BI348" s="209"/>
      <c r="BJ348" s="28"/>
    </row>
    <row r="349" spans="1:62" x14ac:dyDescent="0.3">
      <c r="Y349" s="32" t="s">
        <v>88</v>
      </c>
      <c r="Z349" s="33">
        <v>176</v>
      </c>
      <c r="AA349" s="35">
        <v>286</v>
      </c>
      <c r="AB349" s="33">
        <v>0</v>
      </c>
      <c r="AC349" s="123">
        <v>0</v>
      </c>
      <c r="AD349" s="35">
        <v>0</v>
      </c>
      <c r="AE349" s="33">
        <v>0</v>
      </c>
      <c r="AF349" s="35">
        <v>0</v>
      </c>
      <c r="AG349" s="32"/>
      <c r="AH349" s="33" t="s">
        <v>1326</v>
      </c>
      <c r="AI349" s="34"/>
      <c r="AJ349" s="35"/>
      <c r="AM349" s="28"/>
      <c r="AN349" s="28"/>
      <c r="AO349" s="28"/>
      <c r="AP349" s="28"/>
      <c r="AQ349" s="28"/>
      <c r="AR349" s="28"/>
      <c r="AS349" s="220"/>
      <c r="AT349" s="220"/>
      <c r="AU349" s="28"/>
      <c r="AV349" s="28"/>
      <c r="AY349" s="138" t="s">
        <v>85</v>
      </c>
      <c r="AZ349" s="212">
        <v>0</v>
      </c>
      <c r="BA349" s="43">
        <v>0</v>
      </c>
      <c r="BB349" s="268"/>
      <c r="BC349" s="43"/>
      <c r="BD349" s="141"/>
      <c r="BE349" s="43"/>
      <c r="BF349" s="141"/>
      <c r="BG349" s="212"/>
      <c r="BH349" s="43"/>
      <c r="BI349" s="209"/>
      <c r="BJ349" s="28"/>
    </row>
    <row r="350" spans="1:62" x14ac:dyDescent="0.3">
      <c r="Y350" s="41" t="s">
        <v>102</v>
      </c>
      <c r="Z350" s="42">
        <v>192</v>
      </c>
      <c r="AA350" s="40">
        <v>304</v>
      </c>
      <c r="AB350" s="67">
        <v>0</v>
      </c>
      <c r="AC350" s="43">
        <v>0</v>
      </c>
      <c r="AD350" s="56">
        <v>0</v>
      </c>
      <c r="AE350" s="42">
        <v>0</v>
      </c>
      <c r="AF350" s="40">
        <v>0</v>
      </c>
      <c r="AG350" s="41">
        <v>0</v>
      </c>
      <c r="AH350" s="43">
        <v>11</v>
      </c>
      <c r="AI350" s="28" t="s">
        <v>145</v>
      </c>
      <c r="AJ350" s="40"/>
      <c r="AM350" s="28"/>
      <c r="AN350" s="28"/>
      <c r="AO350" s="28"/>
      <c r="AP350" s="28"/>
      <c r="AQ350" s="28"/>
      <c r="AR350" s="28"/>
      <c r="AS350" s="43"/>
      <c r="AT350" s="43"/>
      <c r="AU350" s="28"/>
      <c r="AV350" s="28"/>
      <c r="AY350" s="138" t="s">
        <v>133</v>
      </c>
      <c r="AZ350" s="212">
        <v>27</v>
      </c>
      <c r="BA350" s="43">
        <v>8</v>
      </c>
      <c r="BB350" s="268"/>
      <c r="BC350" s="43"/>
      <c r="BD350" s="141"/>
      <c r="BE350" s="43"/>
      <c r="BF350" s="141"/>
      <c r="BG350" s="333" t="s">
        <v>1332</v>
      </c>
      <c r="BH350" s="220" t="s">
        <v>2369</v>
      </c>
      <c r="BI350" s="209" t="s">
        <v>2202</v>
      </c>
      <c r="BJ350" s="28"/>
    </row>
    <row r="351" spans="1:62" ht="15" thickBot="1" x14ac:dyDescent="0.35">
      <c r="Y351" s="399" t="s">
        <v>84</v>
      </c>
      <c r="Z351" s="278">
        <v>368</v>
      </c>
      <c r="AA351" s="279">
        <v>590</v>
      </c>
      <c r="AB351" s="278">
        <v>0</v>
      </c>
      <c r="AC351" s="135">
        <v>0</v>
      </c>
      <c r="AD351" s="279">
        <v>0</v>
      </c>
      <c r="AE351" s="278">
        <v>0</v>
      </c>
      <c r="AF351" s="279">
        <v>0</v>
      </c>
      <c r="AG351" s="314">
        <v>0</v>
      </c>
      <c r="AH351" s="400">
        <v>6</v>
      </c>
      <c r="AI351" s="135" t="s">
        <v>98</v>
      </c>
      <c r="AJ351" s="136">
        <v>17</v>
      </c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Y351" s="138" t="s">
        <v>113</v>
      </c>
      <c r="AZ351" s="212">
        <v>44</v>
      </c>
      <c r="BA351" s="43">
        <v>48</v>
      </c>
      <c r="BB351" s="268"/>
      <c r="BC351" s="43"/>
      <c r="BD351" s="141"/>
      <c r="BE351" s="43"/>
      <c r="BF351" s="141"/>
      <c r="BG351" s="212" t="s">
        <v>741</v>
      </c>
      <c r="BH351" s="43" t="s">
        <v>2370</v>
      </c>
      <c r="BI351" s="209" t="s">
        <v>1214</v>
      </c>
      <c r="BJ351" s="28"/>
    </row>
    <row r="352" spans="1:62" ht="15" thickBot="1" x14ac:dyDescent="0.35">
      <c r="Y352" s="254" t="s">
        <v>84</v>
      </c>
      <c r="Z352" s="171">
        <v>2557</v>
      </c>
      <c r="AA352" s="172">
        <v>3122</v>
      </c>
      <c r="AB352" s="271">
        <v>0</v>
      </c>
      <c r="AC352" s="170">
        <v>0</v>
      </c>
      <c r="AD352" s="172">
        <v>0</v>
      </c>
      <c r="AE352" s="171">
        <v>172907</v>
      </c>
      <c r="AF352" s="172">
        <v>68416</v>
      </c>
      <c r="AG352" s="254">
        <v>0</v>
      </c>
      <c r="AH352" s="291"/>
      <c r="AI352" s="170"/>
      <c r="AJ352" s="172">
        <v>57</v>
      </c>
      <c r="AS352" s="43"/>
      <c r="AT352" s="43"/>
      <c r="AU352" s="43"/>
      <c r="AV352" s="28"/>
      <c r="AY352" s="138" t="s">
        <v>108</v>
      </c>
      <c r="AZ352" s="212">
        <v>0</v>
      </c>
      <c r="BA352" s="43">
        <v>2</v>
      </c>
      <c r="BB352" s="268"/>
      <c r="BC352" s="43"/>
      <c r="BD352" s="141"/>
      <c r="BE352" s="43"/>
      <c r="BF352" s="141"/>
      <c r="BG352" s="212" t="s">
        <v>477</v>
      </c>
      <c r="BH352" s="228" t="s">
        <v>2089</v>
      </c>
      <c r="BI352" s="209" t="s">
        <v>2371</v>
      </c>
      <c r="BJ352" s="28"/>
    </row>
    <row r="353" spans="25:62" ht="15.6" x14ac:dyDescent="0.3">
      <c r="Y353" s="43"/>
      <c r="Z353" s="28"/>
      <c r="AA353" s="28"/>
      <c r="AB353" s="28"/>
      <c r="AC353" s="43"/>
      <c r="AD353" s="28"/>
      <c r="AE353" s="28"/>
      <c r="AF353" s="28"/>
      <c r="AG353" s="28"/>
      <c r="AH353" s="28"/>
      <c r="AI353" s="28"/>
      <c r="AJ353" s="28"/>
      <c r="AO353" s="229"/>
      <c r="AS353" s="28"/>
      <c r="AT353" s="43"/>
      <c r="AU353" s="43"/>
      <c r="AV353" s="28"/>
      <c r="AY353" s="138" t="s">
        <v>218</v>
      </c>
      <c r="AZ353" s="212">
        <v>18</v>
      </c>
      <c r="BA353" s="43">
        <v>10</v>
      </c>
      <c r="BB353" s="268"/>
      <c r="BC353" s="270">
        <v>6</v>
      </c>
      <c r="BD353" s="141"/>
      <c r="BE353" s="43"/>
      <c r="BF353" s="141"/>
      <c r="BG353" s="212" t="s">
        <v>2372</v>
      </c>
      <c r="BH353" s="258" t="s">
        <v>2373</v>
      </c>
      <c r="BI353" s="209" t="s">
        <v>310</v>
      </c>
      <c r="BJ353" s="28"/>
    </row>
    <row r="354" spans="25:62" ht="15.6" x14ac:dyDescent="0.3">
      <c r="Y354" s="28"/>
      <c r="Z354" s="28"/>
      <c r="AA354" s="28"/>
      <c r="AB354" s="28"/>
      <c r="AC354" s="43"/>
      <c r="AD354" s="28"/>
      <c r="AE354" s="28"/>
      <c r="AF354" s="28"/>
      <c r="AG354" s="28"/>
      <c r="AH354" s="28"/>
      <c r="AI354" s="28"/>
      <c r="AJ354" s="28"/>
      <c r="AS354" s="43"/>
      <c r="AT354" s="43"/>
      <c r="AU354" s="43"/>
      <c r="AV354" s="28"/>
      <c r="AY354" s="138" t="s">
        <v>214</v>
      </c>
      <c r="AZ354" s="212">
        <v>3</v>
      </c>
      <c r="BA354" s="43">
        <v>3</v>
      </c>
      <c r="BB354" s="268"/>
      <c r="BC354" s="43"/>
      <c r="BD354" s="141"/>
      <c r="BE354" s="43"/>
      <c r="BF354" s="141"/>
      <c r="BG354" s="212" t="s">
        <v>451</v>
      </c>
      <c r="BH354" s="258" t="s">
        <v>1862</v>
      </c>
      <c r="BI354" s="209" t="s">
        <v>1270</v>
      </c>
      <c r="BJ354" s="28"/>
    </row>
    <row r="355" spans="25:62" x14ac:dyDescent="0.3">
      <c r="Y355" s="28"/>
      <c r="Z355" s="28"/>
      <c r="AA355" s="28"/>
      <c r="AB355" s="43"/>
      <c r="AC355" s="43"/>
      <c r="AD355" s="43"/>
      <c r="AE355" s="28"/>
      <c r="AF355" s="28"/>
      <c r="AG355" s="28"/>
      <c r="AH355" s="43"/>
      <c r="AI355" s="28"/>
      <c r="AJ355" s="28"/>
      <c r="AS355" s="43"/>
      <c r="AT355" s="28"/>
      <c r="AU355" s="28"/>
      <c r="AV355" s="28"/>
      <c r="AY355" s="138" t="s">
        <v>169</v>
      </c>
      <c r="AZ355" s="212">
        <v>4</v>
      </c>
      <c r="BA355" s="43">
        <v>0</v>
      </c>
      <c r="BB355" s="268"/>
      <c r="BC355" s="43"/>
      <c r="BD355" s="141"/>
      <c r="BE355" s="43"/>
      <c r="BF355" s="141"/>
      <c r="BG355" s="212" t="s">
        <v>292</v>
      </c>
      <c r="BH355" s="228" t="s">
        <v>2304</v>
      </c>
      <c r="BI355" s="141" t="s">
        <v>2374</v>
      </c>
      <c r="BJ355" s="28"/>
    </row>
    <row r="356" spans="25:62" ht="15.6" x14ac:dyDescent="0.3">
      <c r="Y356" s="28"/>
      <c r="Z356" s="28"/>
      <c r="AA356" s="28"/>
      <c r="AB356" s="28"/>
      <c r="AC356" s="28"/>
      <c r="AD356" s="28"/>
      <c r="AE356" s="28"/>
      <c r="AF356" s="28"/>
      <c r="AG356" s="28"/>
      <c r="AH356" s="43"/>
      <c r="AI356" s="28"/>
      <c r="AJ356" s="28"/>
      <c r="AS356" s="43"/>
      <c r="AT356" s="28"/>
      <c r="AU356" s="28"/>
      <c r="AV356" s="28"/>
      <c r="AY356" s="138" t="s">
        <v>139</v>
      </c>
      <c r="AZ356" s="212">
        <v>2</v>
      </c>
      <c r="BA356" s="43">
        <v>2</v>
      </c>
      <c r="BB356" s="268"/>
      <c r="BC356" s="270"/>
      <c r="BD356" s="141"/>
      <c r="BE356" s="43"/>
      <c r="BF356" s="141"/>
      <c r="BG356" s="212" t="s">
        <v>333</v>
      </c>
      <c r="BH356" s="258"/>
      <c r="BI356" s="141"/>
      <c r="BJ356" s="28"/>
    </row>
    <row r="357" spans="25:62" ht="15.6" x14ac:dyDescent="0.3">
      <c r="Y357" s="28"/>
      <c r="Z357" s="28"/>
      <c r="AA357" s="28"/>
      <c r="AB357" s="43"/>
      <c r="AC357" s="28"/>
      <c r="AD357" s="28"/>
      <c r="AE357" s="28"/>
      <c r="AF357" s="28"/>
      <c r="AG357" s="28"/>
      <c r="AH357" s="43"/>
      <c r="AI357" s="28"/>
      <c r="AJ357" s="28"/>
      <c r="AQ357" s="28"/>
      <c r="AS357" s="43"/>
      <c r="AT357" s="28"/>
      <c r="AU357" s="28"/>
      <c r="AV357" s="28"/>
      <c r="AY357" s="138" t="s">
        <v>2375</v>
      </c>
      <c r="AZ357" s="212">
        <v>2</v>
      </c>
      <c r="BA357" s="43">
        <v>2</v>
      </c>
      <c r="BB357" s="268"/>
      <c r="BC357" s="270"/>
      <c r="BD357" s="141"/>
      <c r="BE357" s="43"/>
      <c r="BF357" s="141"/>
      <c r="BG357" s="212" t="s">
        <v>167</v>
      </c>
      <c r="BH357" s="258"/>
      <c r="BI357" s="209"/>
      <c r="BJ357" s="28"/>
    </row>
    <row r="358" spans="25:62" ht="15.6" x14ac:dyDescent="0.3">
      <c r="AQ358" s="28"/>
      <c r="AS358" s="43"/>
      <c r="AT358" s="43"/>
      <c r="AU358" s="43"/>
      <c r="AV358" s="28"/>
      <c r="AY358" s="138" t="s">
        <v>250</v>
      </c>
      <c r="AZ358" s="212">
        <v>0</v>
      </c>
      <c r="BA358" s="43">
        <v>2</v>
      </c>
      <c r="BB358" s="268"/>
      <c r="BC358" s="270"/>
      <c r="BD358" s="141"/>
      <c r="BE358" s="43"/>
      <c r="BF358" s="141"/>
      <c r="BG358" s="138" t="s">
        <v>332</v>
      </c>
      <c r="BH358" s="258"/>
      <c r="BI358" s="209"/>
      <c r="BJ358" s="28"/>
    </row>
    <row r="359" spans="25:62" ht="15.6" x14ac:dyDescent="0.3">
      <c r="AE359" s="28"/>
      <c r="AO359" s="28"/>
      <c r="AQ359" s="28"/>
      <c r="AS359" s="43"/>
      <c r="AT359" s="28"/>
      <c r="AU359" s="28"/>
      <c r="AV359" s="28"/>
      <c r="AY359" s="374" t="s">
        <v>200</v>
      </c>
      <c r="AZ359" s="212">
        <v>2</v>
      </c>
      <c r="BA359" s="43">
        <v>4</v>
      </c>
      <c r="BB359" s="268"/>
      <c r="BC359" s="270"/>
      <c r="BD359" s="141"/>
      <c r="BE359" s="43"/>
      <c r="BF359" s="141"/>
      <c r="BG359" s="138" t="s">
        <v>2376</v>
      </c>
      <c r="BH359" s="258"/>
      <c r="BI359" s="373"/>
      <c r="BJ359" s="28"/>
    </row>
    <row r="360" spans="25:62" ht="15.6" x14ac:dyDescent="0.3">
      <c r="AO360" s="28"/>
      <c r="AQ360" s="28"/>
      <c r="AY360" s="138" t="s">
        <v>99</v>
      </c>
      <c r="AZ360" s="212">
        <v>0</v>
      </c>
      <c r="BA360" s="43">
        <v>2</v>
      </c>
      <c r="BB360" s="268"/>
      <c r="BC360" s="270"/>
      <c r="BD360" s="141"/>
      <c r="BE360" s="43"/>
      <c r="BF360" s="141" t="s">
        <v>6</v>
      </c>
      <c r="BG360" s="138"/>
      <c r="BH360" s="258"/>
      <c r="BI360" s="209"/>
      <c r="BJ360" s="28"/>
    </row>
    <row r="361" spans="25:62" x14ac:dyDescent="0.3"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O361" s="28"/>
      <c r="AQ361" s="28"/>
      <c r="AY361" s="138" t="s">
        <v>64</v>
      </c>
      <c r="AZ361" s="212">
        <v>1</v>
      </c>
      <c r="BA361" s="43">
        <v>2</v>
      </c>
      <c r="BB361" s="268"/>
      <c r="BC361" s="270"/>
      <c r="BD361" s="141"/>
      <c r="BE361" s="43"/>
      <c r="BF361" s="141" t="s">
        <v>150</v>
      </c>
      <c r="BG361" s="138"/>
      <c r="BH361" s="228"/>
      <c r="BI361" s="213"/>
      <c r="BJ361" s="28"/>
    </row>
    <row r="362" spans="25:62" ht="15.6" x14ac:dyDescent="0.3"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138" t="s">
        <v>107</v>
      </c>
      <c r="AZ362" s="212">
        <v>7</v>
      </c>
      <c r="BA362" s="43">
        <v>12</v>
      </c>
      <c r="BB362" s="268"/>
      <c r="BC362" s="270"/>
      <c r="BD362" s="141"/>
      <c r="BE362" s="43"/>
      <c r="BF362" s="141"/>
      <c r="BG362" s="138"/>
      <c r="BH362" s="258"/>
      <c r="BI362" s="141"/>
      <c r="BJ362" s="28"/>
    </row>
    <row r="363" spans="25:62" ht="16.2" thickBot="1" x14ac:dyDescent="0.35"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43"/>
      <c r="AX363" s="28"/>
      <c r="AY363" s="138" t="s">
        <v>1120</v>
      </c>
      <c r="AZ363" s="263">
        <v>0</v>
      </c>
      <c r="BA363" s="143">
        <v>0</v>
      </c>
      <c r="BB363" s="375"/>
      <c r="BC363" s="376"/>
      <c r="BD363" s="146"/>
      <c r="BE363" s="224"/>
      <c r="BF363" s="146"/>
      <c r="BG363" s="142"/>
      <c r="BH363" s="405"/>
      <c r="BI363" s="146">
        <v>54</v>
      </c>
      <c r="BJ363" s="28"/>
    </row>
    <row r="364" spans="25:62" ht="15" thickBot="1" x14ac:dyDescent="0.35"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71" t="s">
        <v>84</v>
      </c>
      <c r="AZ364" s="72">
        <v>110</v>
      </c>
      <c r="BA364" s="73">
        <v>97</v>
      </c>
      <c r="BB364" s="48" t="s">
        <v>84</v>
      </c>
      <c r="BC364" s="48">
        <v>6</v>
      </c>
      <c r="BD364" s="48">
        <v>0</v>
      </c>
      <c r="BE364" s="47">
        <v>82375</v>
      </c>
      <c r="BF364" s="49">
        <v>24000</v>
      </c>
      <c r="BG364" s="406"/>
      <c r="BH364" s="48"/>
      <c r="BI364" s="49">
        <v>280</v>
      </c>
      <c r="BJ364" s="28"/>
    </row>
    <row r="365" spans="25:62" x14ac:dyDescent="0.3">
      <c r="Y365" s="28"/>
      <c r="Z365" s="28"/>
      <c r="AA365" s="28"/>
      <c r="AB365" s="43"/>
      <c r="AC365" s="43"/>
      <c r="AD365" s="43"/>
      <c r="AE365" s="28"/>
      <c r="AF365" s="28"/>
      <c r="AG365" s="28"/>
      <c r="AH365" s="28"/>
      <c r="AI365" s="28"/>
      <c r="AJ365" s="28"/>
      <c r="AM365" s="28"/>
      <c r="AN365" s="28"/>
      <c r="AO365" s="28"/>
      <c r="AP365" s="28"/>
      <c r="AQ365" s="28"/>
      <c r="AR365" s="28"/>
      <c r="AS365" s="28"/>
      <c r="AT365" s="28"/>
      <c r="AU365" s="43"/>
      <c r="AV365" s="28"/>
      <c r="AW365" s="28"/>
      <c r="AX365" s="28"/>
      <c r="AY365" s="200" t="s">
        <v>223</v>
      </c>
      <c r="AZ365" s="295">
        <v>9691</v>
      </c>
      <c r="BA365" s="296">
        <v>9626</v>
      </c>
      <c r="BB365" s="297"/>
      <c r="BC365" s="34" t="s">
        <v>1503</v>
      </c>
      <c r="BD365" s="34"/>
      <c r="BE365" s="34"/>
      <c r="BF365" s="34"/>
      <c r="BG365" s="298">
        <v>681</v>
      </c>
      <c r="BH365" s="35"/>
      <c r="BI365" s="35"/>
      <c r="BJ365" s="28"/>
    </row>
    <row r="366" spans="25:62" ht="15" thickBot="1" x14ac:dyDescent="0.35"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M366" s="28"/>
      <c r="AN366" s="28"/>
      <c r="AO366" s="28"/>
      <c r="AP366" s="28"/>
      <c r="AQ366" s="43"/>
      <c r="AR366" s="28"/>
      <c r="AS366" s="28"/>
      <c r="AT366" s="28"/>
      <c r="AU366" s="43"/>
      <c r="AV366" s="43"/>
      <c r="AW366" s="28"/>
      <c r="AX366" s="28"/>
      <c r="AY366" s="138" t="s">
        <v>1340</v>
      </c>
      <c r="AZ366" s="28"/>
      <c r="BA366" s="299">
        <v>54</v>
      </c>
      <c r="BB366" s="47"/>
      <c r="BC366" s="48" t="s">
        <v>1504</v>
      </c>
      <c r="BD366" s="48"/>
      <c r="BE366" s="48"/>
      <c r="BF366" s="48"/>
      <c r="BG366" s="300">
        <v>359</v>
      </c>
      <c r="BH366" s="301">
        <v>1040</v>
      </c>
      <c r="BI366" s="40"/>
      <c r="BJ366" s="28"/>
    </row>
    <row r="367" spans="25:62" ht="15" thickBot="1" x14ac:dyDescent="0.35">
      <c r="Y367" s="28"/>
      <c r="Z367" s="28"/>
      <c r="AA367" s="28"/>
      <c r="AB367" s="43"/>
      <c r="AC367" s="43"/>
      <c r="AD367" s="43"/>
      <c r="AE367" s="28"/>
      <c r="AF367" s="28"/>
      <c r="AG367" s="28"/>
      <c r="AH367" s="28"/>
      <c r="AI367" s="28"/>
      <c r="AJ367" s="28"/>
      <c r="AM367" s="43"/>
      <c r="AN367" s="43"/>
      <c r="AO367" s="43"/>
      <c r="AP367" s="28"/>
      <c r="AQ367" s="43"/>
      <c r="AR367" s="28"/>
      <c r="AS367" s="28"/>
      <c r="AT367" s="28"/>
      <c r="AU367" s="43"/>
      <c r="AV367" s="43"/>
      <c r="AW367" s="43"/>
      <c r="AX367" s="28"/>
      <c r="AY367" s="202" t="s">
        <v>229</v>
      </c>
      <c r="AZ367" s="48"/>
      <c r="BA367" s="302">
        <v>3</v>
      </c>
      <c r="BB367" s="28"/>
      <c r="BC367" s="28"/>
      <c r="BD367" s="28"/>
      <c r="BE367" s="28"/>
      <c r="BF367" s="42"/>
      <c r="BG367" s="28"/>
      <c r="BH367" s="42"/>
      <c r="BI367" s="40"/>
      <c r="BJ367" s="28"/>
    </row>
    <row r="368" spans="25:62" x14ac:dyDescent="0.3">
      <c r="Y368" s="28"/>
      <c r="Z368" s="28"/>
      <c r="AA368" s="28"/>
      <c r="AB368" s="43"/>
      <c r="AC368" s="43"/>
      <c r="AD368" s="43"/>
      <c r="AE368" s="28"/>
      <c r="AF368" s="28"/>
      <c r="AG368" s="28"/>
      <c r="AH368" s="43"/>
      <c r="AI368" s="28"/>
      <c r="AJ368" s="28"/>
      <c r="AM368" s="28"/>
      <c r="AN368" s="28"/>
      <c r="AO368" s="28"/>
      <c r="AP368" s="28"/>
      <c r="AQ368" s="28"/>
      <c r="AR368" s="28"/>
      <c r="AS368" s="28"/>
      <c r="AT368" s="28"/>
      <c r="AU368" s="43"/>
      <c r="AV368" s="43"/>
      <c r="AW368" s="28"/>
      <c r="AX368" s="28"/>
      <c r="AY368" s="200" t="s">
        <v>232</v>
      </c>
      <c r="AZ368" s="34"/>
      <c r="BA368" s="303" t="s">
        <v>233</v>
      </c>
      <c r="BB368" s="34"/>
      <c r="BC368" s="298">
        <v>1886</v>
      </c>
      <c r="BD368" s="35"/>
      <c r="BE368" s="33" t="s">
        <v>234</v>
      </c>
      <c r="BF368" s="34"/>
      <c r="BG368" s="34" t="s">
        <v>233</v>
      </c>
      <c r="BH368" s="34"/>
      <c r="BI368" s="304">
        <v>9691</v>
      </c>
      <c r="BJ368" s="28"/>
    </row>
    <row r="369" spans="25:62" ht="15" thickBot="1" x14ac:dyDescent="0.35">
      <c r="Y369" s="28"/>
      <c r="Z369" s="28"/>
      <c r="AA369" s="28"/>
      <c r="AB369" s="43"/>
      <c r="AC369" s="43"/>
      <c r="AD369" s="43"/>
      <c r="AE369" s="28"/>
      <c r="AF369" s="28"/>
      <c r="AG369" s="28"/>
      <c r="AH369" s="43"/>
      <c r="AI369" s="43"/>
      <c r="AJ369" s="28"/>
      <c r="AM369" s="28"/>
      <c r="AN369" s="28"/>
      <c r="AO369" s="28"/>
      <c r="AP369" s="28"/>
      <c r="AQ369" s="28"/>
      <c r="AR369" s="28"/>
      <c r="AS369" s="43"/>
      <c r="AT369" s="43"/>
      <c r="AU369" s="28"/>
      <c r="AV369" s="28"/>
      <c r="AW369" s="28"/>
      <c r="AX369" s="28"/>
      <c r="AY369" s="202"/>
      <c r="AZ369" s="48"/>
      <c r="BA369" s="48" t="s">
        <v>236</v>
      </c>
      <c r="BB369" s="48"/>
      <c r="BC369" s="300">
        <v>2012</v>
      </c>
      <c r="BD369" s="49"/>
      <c r="BE369" s="42"/>
      <c r="BF369" s="28"/>
      <c r="BG369" s="28" t="s">
        <v>236</v>
      </c>
      <c r="BH369" s="28"/>
      <c r="BI369" s="174">
        <v>9626</v>
      </c>
      <c r="BJ369" s="28"/>
    </row>
    <row r="370" spans="25:62" ht="15" thickBot="1" x14ac:dyDescent="0.35">
      <c r="Y370" s="28"/>
      <c r="Z370" s="43"/>
      <c r="AA370" s="28"/>
      <c r="AB370" s="43"/>
      <c r="AC370" s="28"/>
      <c r="AD370" s="28"/>
      <c r="AE370" s="28"/>
      <c r="AF370" s="28"/>
      <c r="AG370" s="28"/>
      <c r="AH370" s="28"/>
      <c r="AI370" s="28"/>
      <c r="AJ370" s="28"/>
      <c r="AM370" s="28"/>
      <c r="AN370" s="43"/>
      <c r="AO370" s="43"/>
      <c r="AP370" s="28"/>
      <c r="AQ370" s="43"/>
      <c r="AR370" s="28"/>
      <c r="AS370" s="43"/>
      <c r="AT370" s="43"/>
      <c r="AU370" s="28"/>
      <c r="AV370" s="28"/>
      <c r="AW370" s="28"/>
      <c r="AX370" s="28"/>
      <c r="AY370" s="210" t="s">
        <v>238</v>
      </c>
      <c r="AZ370" s="170" t="s">
        <v>239</v>
      </c>
      <c r="BA370" s="172"/>
      <c r="BB370" s="171" t="s">
        <v>240</v>
      </c>
      <c r="BC370" s="170" t="s">
        <v>241</v>
      </c>
      <c r="BD370" s="170"/>
      <c r="BE370" s="171"/>
      <c r="BF370" s="170" t="s">
        <v>242</v>
      </c>
      <c r="BG370" s="305" t="s">
        <v>243</v>
      </c>
      <c r="BH370" s="170"/>
      <c r="BI370" s="172"/>
      <c r="BJ370" s="28"/>
    </row>
    <row r="371" spans="25:62" x14ac:dyDescent="0.3">
      <c r="Y371" s="28"/>
      <c r="Z371" s="28"/>
      <c r="AA371" s="28"/>
      <c r="AB371" s="43"/>
      <c r="AC371" s="43"/>
      <c r="AD371" s="43"/>
      <c r="AE371" s="28"/>
      <c r="AF371" s="28"/>
      <c r="AG371" s="28"/>
      <c r="AH371" s="28"/>
      <c r="AI371" s="28"/>
      <c r="AJ371" s="28"/>
      <c r="AM371" s="28"/>
      <c r="AN371" s="43"/>
      <c r="AO371" s="43"/>
      <c r="AP371" s="28"/>
      <c r="AQ371" s="43"/>
      <c r="AR371" s="28"/>
      <c r="AS371" s="43"/>
      <c r="AT371" s="43"/>
      <c r="AU371" s="28"/>
      <c r="AV371" s="43"/>
      <c r="AW371" s="43"/>
      <c r="AX371" s="28"/>
      <c r="AY371" s="200" t="s">
        <v>233</v>
      </c>
      <c r="AZ371" s="34"/>
      <c r="BA371" s="304">
        <v>38412</v>
      </c>
      <c r="BB371" s="306" t="s">
        <v>233</v>
      </c>
      <c r="BC371" s="28"/>
      <c r="BD371" s="174">
        <v>2557</v>
      </c>
      <c r="BE371" s="42" t="s">
        <v>233</v>
      </c>
      <c r="BF371" s="28"/>
      <c r="BG371" s="174">
        <v>12248</v>
      </c>
      <c r="BH371" s="28" t="s">
        <v>245</v>
      </c>
      <c r="BI371" s="140">
        <v>50660</v>
      </c>
      <c r="BJ371" s="32"/>
    </row>
    <row r="372" spans="25:62" ht="15" thickBot="1" x14ac:dyDescent="0.35">
      <c r="Y372" s="28"/>
      <c r="Z372" s="28"/>
      <c r="AA372" s="28"/>
      <c r="AB372" s="43"/>
      <c r="AC372" s="43"/>
      <c r="AD372" s="43"/>
      <c r="AE372" s="28"/>
      <c r="AF372" s="28"/>
      <c r="AG372" s="28"/>
      <c r="AH372" s="43"/>
      <c r="AI372" s="28"/>
      <c r="AJ372" s="28"/>
      <c r="AM372" s="28"/>
      <c r="AN372" s="43"/>
      <c r="AO372" s="43"/>
      <c r="AP372" s="28"/>
      <c r="AQ372" s="43"/>
      <c r="AR372" s="28"/>
      <c r="AS372" s="43"/>
      <c r="AT372" s="43"/>
      <c r="AU372" s="28"/>
      <c r="AV372" s="43"/>
      <c r="AW372" s="43"/>
      <c r="AX372" s="28"/>
      <c r="AY372" s="202" t="s">
        <v>236</v>
      </c>
      <c r="AZ372" s="48"/>
      <c r="BA372" s="301">
        <v>46107</v>
      </c>
      <c r="BB372" s="307" t="s">
        <v>236</v>
      </c>
      <c r="BC372" s="48"/>
      <c r="BD372" s="301">
        <v>3122</v>
      </c>
      <c r="BE372" s="42" t="s">
        <v>236</v>
      </c>
      <c r="BF372" s="28"/>
      <c r="BG372" s="174">
        <v>12748</v>
      </c>
      <c r="BH372" s="28"/>
      <c r="BI372" s="140">
        <v>58855</v>
      </c>
      <c r="BJ372" s="365">
        <v>109515</v>
      </c>
    </row>
    <row r="373" spans="25:62" ht="15" thickBot="1" x14ac:dyDescent="0.35">
      <c r="Y373" s="28"/>
      <c r="Z373" s="28"/>
      <c r="AA373" s="28"/>
      <c r="AB373" s="43"/>
      <c r="AC373" s="43"/>
      <c r="AD373" s="43"/>
      <c r="AE373" s="28"/>
      <c r="AF373" s="28"/>
      <c r="AG373" s="28"/>
      <c r="AH373" s="43"/>
      <c r="AI373" s="43"/>
      <c r="AJ373" s="28"/>
      <c r="AM373" s="28"/>
      <c r="AN373" s="43"/>
      <c r="AO373" s="43"/>
      <c r="AP373" s="28"/>
      <c r="AQ373" s="28"/>
      <c r="AR373" s="28"/>
      <c r="AS373" s="43"/>
      <c r="AT373" s="43"/>
      <c r="AU373" s="28"/>
      <c r="AV373" s="28"/>
      <c r="AW373" s="28"/>
      <c r="AX373" s="28"/>
      <c r="AY373" s="377" t="s">
        <v>1505</v>
      </c>
      <c r="AZ373" s="170"/>
      <c r="BA373" s="272"/>
      <c r="BB373" s="271" t="s">
        <v>1506</v>
      </c>
      <c r="BC373" s="170"/>
      <c r="BD373" s="170"/>
      <c r="BE373" s="171"/>
      <c r="BF373" s="170" t="s">
        <v>1507</v>
      </c>
      <c r="BG373" s="170"/>
      <c r="BH373" s="170"/>
      <c r="BI373" s="308"/>
      <c r="BJ373" s="28"/>
    </row>
    <row r="374" spans="25:62" x14ac:dyDescent="0.3">
      <c r="Y374" s="43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378" t="s">
        <v>43</v>
      </c>
      <c r="AZ374" s="34" t="s">
        <v>44</v>
      </c>
      <c r="BA374" s="309"/>
      <c r="BB374" s="123" t="s">
        <v>43</v>
      </c>
      <c r="BC374" s="123" t="s">
        <v>44</v>
      </c>
      <c r="BD374" s="35"/>
      <c r="BE374" s="34"/>
      <c r="BF374" s="298">
        <v>3281</v>
      </c>
      <c r="BG374" s="298"/>
      <c r="BH374" s="34"/>
      <c r="BI374" s="35"/>
      <c r="BJ374" s="28"/>
    </row>
    <row r="375" spans="25:62" ht="15" thickBot="1" x14ac:dyDescent="0.35"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Y375" s="379">
        <v>191417</v>
      </c>
      <c r="AZ375" s="300">
        <v>94874</v>
      </c>
      <c r="BA375" s="311"/>
      <c r="BB375" s="312">
        <v>86558</v>
      </c>
      <c r="BC375" s="300">
        <v>24250</v>
      </c>
      <c r="BD375" s="49"/>
      <c r="BE375" s="48"/>
      <c r="BF375" s="48"/>
      <c r="BG375" s="48"/>
      <c r="BH375" s="48"/>
      <c r="BI375" s="49"/>
      <c r="BJ375" s="28"/>
    </row>
  </sheetData>
  <mergeCells count="51">
    <mergeCell ref="BB157:BF157"/>
    <mergeCell ref="A158:H158"/>
    <mergeCell ref="O158:U158"/>
    <mergeCell ref="Y158:AG158"/>
    <mergeCell ref="AM156:AT156"/>
    <mergeCell ref="A157:C157"/>
    <mergeCell ref="D157:E157"/>
    <mergeCell ref="P157:S157"/>
    <mergeCell ref="AB157:AF157"/>
    <mergeCell ref="AO157:AS157"/>
    <mergeCell ref="AO154:AS154"/>
    <mergeCell ref="Q155:S155"/>
    <mergeCell ref="AP155:AT155"/>
    <mergeCell ref="BB82:BF82"/>
    <mergeCell ref="A83:H83"/>
    <mergeCell ref="O83:U83"/>
    <mergeCell ref="Y83:AG83"/>
    <mergeCell ref="AM81:AT81"/>
    <mergeCell ref="A82:C82"/>
    <mergeCell ref="D82:E82"/>
    <mergeCell ref="P82:S82"/>
    <mergeCell ref="AB82:AF82"/>
    <mergeCell ref="AO82:AS82"/>
    <mergeCell ref="BB5:BF5"/>
    <mergeCell ref="A6:H6"/>
    <mergeCell ref="O6:U6"/>
    <mergeCell ref="Y6:AG6"/>
    <mergeCell ref="AO79:AS79"/>
    <mergeCell ref="A5:C5"/>
    <mergeCell ref="D5:E5"/>
    <mergeCell ref="Q80:S80"/>
    <mergeCell ref="AP80:AT80"/>
    <mergeCell ref="AO2:AS2"/>
    <mergeCell ref="Q3:S3"/>
    <mergeCell ref="AP3:AT3"/>
    <mergeCell ref="AM4:AT4"/>
    <mergeCell ref="P5:S5"/>
    <mergeCell ref="AB5:AF5"/>
    <mergeCell ref="AO5:AS5"/>
    <mergeCell ref="BB233:BF233"/>
    <mergeCell ref="A234:H234"/>
    <mergeCell ref="O234:U234"/>
    <mergeCell ref="Y234:AG234"/>
    <mergeCell ref="AO230:AS230"/>
    <mergeCell ref="Q231:S231"/>
    <mergeCell ref="AP231:AT231"/>
    <mergeCell ref="AM232:AT232"/>
    <mergeCell ref="A233:C233"/>
    <mergeCell ref="P233:S233"/>
    <mergeCell ref="AB233:AF233"/>
    <mergeCell ref="AO233:AS23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0926B-D537-4DF0-8AB8-9BE53FBC866D}">
  <dimension ref="A1:C66"/>
  <sheetViews>
    <sheetView workbookViewId="0">
      <selection activeCell="D27" sqref="D27"/>
    </sheetView>
  </sheetViews>
  <sheetFormatPr defaultRowHeight="14.4" x14ac:dyDescent="0.3"/>
  <cols>
    <col min="2" max="2" width="13.109375" bestFit="1" customWidth="1"/>
    <col min="3" max="3" width="12.5546875" bestFit="1" customWidth="1"/>
  </cols>
  <sheetData>
    <row r="1" spans="1:3" x14ac:dyDescent="0.3">
      <c r="B1" t="s">
        <v>2443</v>
      </c>
      <c r="C1" t="s">
        <v>2442</v>
      </c>
    </row>
    <row r="2" spans="1:3" x14ac:dyDescent="0.3">
      <c r="A2" t="s">
        <v>2377</v>
      </c>
      <c r="B2">
        <v>44891</v>
      </c>
      <c r="C2">
        <v>56478</v>
      </c>
    </row>
    <row r="3" spans="1:3" x14ac:dyDescent="0.3">
      <c r="A3" t="s">
        <v>2378</v>
      </c>
      <c r="B3">
        <v>41446</v>
      </c>
      <c r="C3">
        <v>41646</v>
      </c>
    </row>
    <row r="4" spans="1:3" x14ac:dyDescent="0.3">
      <c r="A4" t="s">
        <v>2379</v>
      </c>
      <c r="B4">
        <v>52201</v>
      </c>
      <c r="C4">
        <v>57193</v>
      </c>
    </row>
    <row r="5" spans="1:3" x14ac:dyDescent="0.3">
      <c r="A5" t="s">
        <v>2380</v>
      </c>
      <c r="B5">
        <v>47486</v>
      </c>
      <c r="C5">
        <v>51378</v>
      </c>
    </row>
    <row r="6" spans="1:3" x14ac:dyDescent="0.3">
      <c r="A6" t="s">
        <v>2381</v>
      </c>
      <c r="B6">
        <v>42911</v>
      </c>
      <c r="C6">
        <v>51720</v>
      </c>
    </row>
    <row r="7" spans="1:3" x14ac:dyDescent="0.3">
      <c r="A7" t="s">
        <v>2382</v>
      </c>
      <c r="B7">
        <v>58957</v>
      </c>
      <c r="C7">
        <v>52486</v>
      </c>
    </row>
    <row r="8" spans="1:3" x14ac:dyDescent="0.3">
      <c r="A8" t="s">
        <v>2383</v>
      </c>
      <c r="B8">
        <v>75881</v>
      </c>
      <c r="C8">
        <v>69673</v>
      </c>
    </row>
    <row r="9" spans="1:3" x14ac:dyDescent="0.3">
      <c r="A9" t="s">
        <v>2384</v>
      </c>
      <c r="B9">
        <v>62060</v>
      </c>
      <c r="C9">
        <v>77058</v>
      </c>
    </row>
    <row r="10" spans="1:3" x14ac:dyDescent="0.3">
      <c r="A10" t="s">
        <v>2385</v>
      </c>
      <c r="B10">
        <v>42852</v>
      </c>
      <c r="C10">
        <v>51094</v>
      </c>
    </row>
    <row r="11" spans="1:3" x14ac:dyDescent="0.3">
      <c r="A11" t="s">
        <v>2386</v>
      </c>
      <c r="B11">
        <v>40501</v>
      </c>
      <c r="C11">
        <v>44992</v>
      </c>
    </row>
    <row r="12" spans="1:3" x14ac:dyDescent="0.3">
      <c r="A12" t="s">
        <v>2387</v>
      </c>
      <c r="B12">
        <v>40732</v>
      </c>
      <c r="C12">
        <v>42919</v>
      </c>
    </row>
    <row r="13" spans="1:3" x14ac:dyDescent="0.3">
      <c r="A13" t="s">
        <v>2388</v>
      </c>
      <c r="B13">
        <v>62434</v>
      </c>
      <c r="C13">
        <v>45525</v>
      </c>
    </row>
    <row r="14" spans="1:3" x14ac:dyDescent="0.3">
      <c r="A14" t="s">
        <v>2389</v>
      </c>
      <c r="B14">
        <v>46597</v>
      </c>
      <c r="C14">
        <v>58582</v>
      </c>
    </row>
    <row r="15" spans="1:3" x14ac:dyDescent="0.3">
      <c r="A15" t="s">
        <v>2390</v>
      </c>
      <c r="B15">
        <v>42959</v>
      </c>
      <c r="C15">
        <v>44563</v>
      </c>
    </row>
    <row r="16" spans="1:3" x14ac:dyDescent="0.3">
      <c r="A16" t="s">
        <v>2391</v>
      </c>
      <c r="B16">
        <v>52526</v>
      </c>
      <c r="C16">
        <v>55261</v>
      </c>
    </row>
    <row r="17" spans="1:3" x14ac:dyDescent="0.3">
      <c r="A17" t="s">
        <v>2392</v>
      </c>
      <c r="B17">
        <v>45931</v>
      </c>
      <c r="C17">
        <v>54507</v>
      </c>
    </row>
    <row r="18" spans="1:3" x14ac:dyDescent="0.3">
      <c r="A18" t="s">
        <v>2393</v>
      </c>
      <c r="B18">
        <v>45292</v>
      </c>
      <c r="C18">
        <v>51263</v>
      </c>
    </row>
    <row r="19" spans="1:3" x14ac:dyDescent="0.3">
      <c r="A19" t="s">
        <v>2394</v>
      </c>
      <c r="B19">
        <v>57984</v>
      </c>
      <c r="C19">
        <v>52243</v>
      </c>
    </row>
    <row r="20" spans="1:3" x14ac:dyDescent="0.3">
      <c r="A20" t="s">
        <v>2395</v>
      </c>
      <c r="B20">
        <v>70889</v>
      </c>
      <c r="C20">
        <v>66955</v>
      </c>
    </row>
    <row r="21" spans="1:3" x14ac:dyDescent="0.3">
      <c r="A21" t="s">
        <v>2396</v>
      </c>
      <c r="B21">
        <v>61215</v>
      </c>
      <c r="C21">
        <v>71797</v>
      </c>
    </row>
    <row r="22" spans="1:3" x14ac:dyDescent="0.3">
      <c r="A22" t="s">
        <v>2397</v>
      </c>
      <c r="B22">
        <v>42540</v>
      </c>
      <c r="C22">
        <v>52881</v>
      </c>
    </row>
    <row r="23" spans="1:3" x14ac:dyDescent="0.3">
      <c r="A23" t="s">
        <v>2398</v>
      </c>
      <c r="B23">
        <v>38819</v>
      </c>
      <c r="C23">
        <v>46205</v>
      </c>
    </row>
    <row r="24" spans="1:3" x14ac:dyDescent="0.3">
      <c r="A24" t="s">
        <v>2399</v>
      </c>
      <c r="B24">
        <v>39258</v>
      </c>
      <c r="C24">
        <v>42957</v>
      </c>
    </row>
    <row r="25" spans="1:3" x14ac:dyDescent="0.3">
      <c r="A25" t="s">
        <v>2400</v>
      </c>
      <c r="B25">
        <v>54828</v>
      </c>
      <c r="C25">
        <v>45808</v>
      </c>
    </row>
    <row r="26" spans="1:3" x14ac:dyDescent="0.3">
      <c r="A26" t="s">
        <v>2401</v>
      </c>
      <c r="B26">
        <v>46014</v>
      </c>
      <c r="C26">
        <v>52960</v>
      </c>
    </row>
    <row r="27" spans="1:3" x14ac:dyDescent="0.3">
      <c r="A27" t="s">
        <v>2402</v>
      </c>
      <c r="B27">
        <v>38463</v>
      </c>
      <c r="C27">
        <v>43973</v>
      </c>
    </row>
    <row r="28" spans="1:3" x14ac:dyDescent="0.3">
      <c r="A28" t="s">
        <v>2403</v>
      </c>
      <c r="B28">
        <v>52150</v>
      </c>
      <c r="C28">
        <v>55867</v>
      </c>
    </row>
    <row r="29" spans="1:3" x14ac:dyDescent="0.3">
      <c r="A29" t="s">
        <v>2404</v>
      </c>
      <c r="B29">
        <v>42504</v>
      </c>
      <c r="C29">
        <v>53773</v>
      </c>
    </row>
    <row r="30" spans="1:3" x14ac:dyDescent="0.3">
      <c r="A30" t="s">
        <v>2405</v>
      </c>
      <c r="B30">
        <v>43989</v>
      </c>
      <c r="C30">
        <v>54722</v>
      </c>
    </row>
    <row r="31" spans="1:3" x14ac:dyDescent="0.3">
      <c r="A31" t="s">
        <v>2406</v>
      </c>
      <c r="B31">
        <v>60240</v>
      </c>
      <c r="C31">
        <v>60780</v>
      </c>
    </row>
    <row r="32" spans="1:3" x14ac:dyDescent="0.3">
      <c r="A32" t="s">
        <v>2407</v>
      </c>
      <c r="B32">
        <v>74956</v>
      </c>
      <c r="C32">
        <v>76075</v>
      </c>
    </row>
    <row r="33" spans="1:3" x14ac:dyDescent="0.3">
      <c r="A33" t="s">
        <v>2408</v>
      </c>
      <c r="B33">
        <v>68481</v>
      </c>
      <c r="C33">
        <v>82822</v>
      </c>
    </row>
    <row r="34" spans="1:3" x14ac:dyDescent="0.3">
      <c r="A34" t="s">
        <v>2409</v>
      </c>
      <c r="B34">
        <v>46434</v>
      </c>
      <c r="C34">
        <v>55195</v>
      </c>
    </row>
    <row r="35" spans="1:3" x14ac:dyDescent="0.3">
      <c r="A35" t="s">
        <v>2410</v>
      </c>
      <c r="B35">
        <v>38634</v>
      </c>
      <c r="C35">
        <v>46636</v>
      </c>
    </row>
    <row r="36" spans="1:3" x14ac:dyDescent="0.3">
      <c r="A36" t="s">
        <v>2411</v>
      </c>
      <c r="B36">
        <v>45561</v>
      </c>
      <c r="C36">
        <v>49021</v>
      </c>
    </row>
    <row r="37" spans="1:3" x14ac:dyDescent="0.3">
      <c r="A37" t="s">
        <v>2412</v>
      </c>
      <c r="B37">
        <v>64629</v>
      </c>
      <c r="C37">
        <v>51789</v>
      </c>
    </row>
    <row r="38" spans="1:3" x14ac:dyDescent="0.3">
      <c r="A38" t="s">
        <v>2413</v>
      </c>
      <c r="B38">
        <v>64629</v>
      </c>
      <c r="C38">
        <v>51789</v>
      </c>
    </row>
    <row r="39" spans="1:3" x14ac:dyDescent="0.3">
      <c r="A39" t="s">
        <v>2414</v>
      </c>
      <c r="B39">
        <v>40497</v>
      </c>
      <c r="C39">
        <v>46013</v>
      </c>
    </row>
    <row r="40" spans="1:3" x14ac:dyDescent="0.3">
      <c r="A40" t="s">
        <v>2415</v>
      </c>
      <c r="B40">
        <v>51337</v>
      </c>
      <c r="C40">
        <v>56206</v>
      </c>
    </row>
    <row r="41" spans="1:3" x14ac:dyDescent="0.3">
      <c r="A41" t="s">
        <v>2416</v>
      </c>
      <c r="B41">
        <v>49770</v>
      </c>
      <c r="C41">
        <v>55232</v>
      </c>
    </row>
    <row r="42" spans="1:3" x14ac:dyDescent="0.3">
      <c r="A42" t="s">
        <v>2417</v>
      </c>
      <c r="B42">
        <v>44235</v>
      </c>
      <c r="C42">
        <v>52556</v>
      </c>
    </row>
    <row r="43" spans="1:3" x14ac:dyDescent="0.3">
      <c r="A43" t="s">
        <v>2418</v>
      </c>
      <c r="B43">
        <v>59274</v>
      </c>
      <c r="C43">
        <v>57198</v>
      </c>
    </row>
    <row r="44" spans="1:3" x14ac:dyDescent="0.3">
      <c r="A44" t="s">
        <v>2419</v>
      </c>
      <c r="B44">
        <v>74605</v>
      </c>
      <c r="C44">
        <v>72676</v>
      </c>
    </row>
    <row r="45" spans="1:3" x14ac:dyDescent="0.3">
      <c r="A45" t="s">
        <v>2420</v>
      </c>
      <c r="B45">
        <v>66683</v>
      </c>
      <c r="C45">
        <v>78140</v>
      </c>
    </row>
    <row r="46" spans="1:3" x14ac:dyDescent="0.3">
      <c r="A46" t="s">
        <v>2421</v>
      </c>
      <c r="B46">
        <v>37832</v>
      </c>
      <c r="C46">
        <v>46801</v>
      </c>
    </row>
    <row r="47" spans="1:3" x14ac:dyDescent="0.3">
      <c r="A47" t="s">
        <v>2422</v>
      </c>
      <c r="B47">
        <v>39888</v>
      </c>
      <c r="C47">
        <v>47587</v>
      </c>
    </row>
    <row r="48" spans="1:3" x14ac:dyDescent="0.3">
      <c r="A48" t="s">
        <v>2423</v>
      </c>
      <c r="B48">
        <v>43937</v>
      </c>
      <c r="C48">
        <v>43974</v>
      </c>
    </row>
    <row r="49" spans="1:3" x14ac:dyDescent="0.3">
      <c r="A49" t="s">
        <v>2424</v>
      </c>
      <c r="B49">
        <v>61579</v>
      </c>
      <c r="C49">
        <v>47148</v>
      </c>
    </row>
    <row r="50" spans="1:3" x14ac:dyDescent="0.3">
      <c r="A50" t="s">
        <v>2425</v>
      </c>
      <c r="B50">
        <v>49358</v>
      </c>
      <c r="C50">
        <v>58952</v>
      </c>
    </row>
    <row r="51" spans="1:3" x14ac:dyDescent="0.3">
      <c r="A51" t="s">
        <v>2426</v>
      </c>
      <c r="B51">
        <v>43415</v>
      </c>
      <c r="C51">
        <v>47812</v>
      </c>
    </row>
    <row r="52" spans="1:3" x14ac:dyDescent="0.3">
      <c r="A52" t="s">
        <v>2427</v>
      </c>
      <c r="B52">
        <v>53331</v>
      </c>
      <c r="C52">
        <v>55747</v>
      </c>
    </row>
    <row r="53" spans="1:3" x14ac:dyDescent="0.3">
      <c r="A53" t="s">
        <v>2428</v>
      </c>
      <c r="B53">
        <v>46193</v>
      </c>
      <c r="C53">
        <v>56687</v>
      </c>
    </row>
    <row r="54" spans="1:3" x14ac:dyDescent="0.3">
      <c r="A54" t="s">
        <v>2429</v>
      </c>
      <c r="B54">
        <v>46253</v>
      </c>
      <c r="C54">
        <v>52748</v>
      </c>
    </row>
    <row r="55" spans="1:3" x14ac:dyDescent="0.3">
      <c r="A55" t="s">
        <v>2430</v>
      </c>
      <c r="B55">
        <v>63892</v>
      </c>
      <c r="C55">
        <v>57883</v>
      </c>
    </row>
    <row r="56" spans="1:3" x14ac:dyDescent="0.3">
      <c r="A56" t="s">
        <v>2431</v>
      </c>
      <c r="B56">
        <v>65677</v>
      </c>
      <c r="C56">
        <v>64149</v>
      </c>
    </row>
    <row r="57" spans="1:3" x14ac:dyDescent="0.3">
      <c r="A57" t="s">
        <v>2432</v>
      </c>
      <c r="B57">
        <v>66784</v>
      </c>
      <c r="C57">
        <v>74850</v>
      </c>
    </row>
    <row r="58" spans="1:3" x14ac:dyDescent="0.3">
      <c r="A58" t="s">
        <v>2433</v>
      </c>
      <c r="B58">
        <v>43018</v>
      </c>
      <c r="C58">
        <v>49865</v>
      </c>
    </row>
    <row r="59" spans="1:3" x14ac:dyDescent="0.3">
      <c r="A59" t="s">
        <v>2434</v>
      </c>
      <c r="B59">
        <v>39465</v>
      </c>
      <c r="C59">
        <v>45789</v>
      </c>
    </row>
    <row r="60" spans="1:3" x14ac:dyDescent="0.3">
      <c r="A60" t="s">
        <v>2435</v>
      </c>
      <c r="B60">
        <v>39263</v>
      </c>
      <c r="C60">
        <v>41321</v>
      </c>
    </row>
    <row r="61" spans="1:3" x14ac:dyDescent="0.3">
      <c r="A61" t="s">
        <v>2436</v>
      </c>
      <c r="B61">
        <v>55282</v>
      </c>
      <c r="C61">
        <v>42051</v>
      </c>
    </row>
    <row r="62" spans="1:3" x14ac:dyDescent="0.3">
      <c r="A62" t="s">
        <v>2437</v>
      </c>
      <c r="B62">
        <v>49225</v>
      </c>
      <c r="C62">
        <v>56085</v>
      </c>
    </row>
    <row r="63" spans="1:3" x14ac:dyDescent="0.3">
      <c r="A63" t="s">
        <v>2438</v>
      </c>
      <c r="B63">
        <v>23682</v>
      </c>
      <c r="C63">
        <v>33880</v>
      </c>
    </row>
    <row r="64" spans="1:3" x14ac:dyDescent="0.3">
      <c r="A64" t="s">
        <v>2439</v>
      </c>
      <c r="B64">
        <v>37335</v>
      </c>
      <c r="C64">
        <v>38839</v>
      </c>
    </row>
    <row r="65" spans="1:3" x14ac:dyDescent="0.3">
      <c r="A65" t="s">
        <v>2440</v>
      </c>
      <c r="B65">
        <v>37295</v>
      </c>
      <c r="C65">
        <v>38291</v>
      </c>
    </row>
    <row r="66" spans="1:3" x14ac:dyDescent="0.3">
      <c r="A66" t="s">
        <v>2441</v>
      </c>
      <c r="B66">
        <v>38412</v>
      </c>
      <c r="C66">
        <v>46107</v>
      </c>
    </row>
  </sheetData>
  <phoneticPr fontId="2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47FAB-E0DB-4423-9999-8621E4BCB551}">
  <dimension ref="A1:D4"/>
  <sheetViews>
    <sheetView tabSelected="1" workbookViewId="0">
      <selection activeCell="F2" sqref="F2"/>
    </sheetView>
  </sheetViews>
  <sheetFormatPr defaultRowHeight="14.4" x14ac:dyDescent="0.3"/>
  <cols>
    <col min="2" max="2" width="10.5546875" bestFit="1" customWidth="1"/>
  </cols>
  <sheetData>
    <row r="1" spans="1:4" x14ac:dyDescent="0.3">
      <c r="A1" t="s">
        <v>2444</v>
      </c>
      <c r="B1" t="s">
        <v>2448</v>
      </c>
      <c r="C1" t="s">
        <v>2449</v>
      </c>
      <c r="D1" t="s">
        <v>2450</v>
      </c>
    </row>
    <row r="2" spans="1:4" x14ac:dyDescent="0.3">
      <c r="A2" t="s">
        <v>2445</v>
      </c>
      <c r="B2">
        <v>5</v>
      </c>
      <c r="C2">
        <v>3</v>
      </c>
      <c r="D2">
        <v>2</v>
      </c>
    </row>
    <row r="3" spans="1:4" x14ac:dyDescent="0.3">
      <c r="A3" t="s">
        <v>2446</v>
      </c>
      <c r="B3">
        <v>10</v>
      </c>
      <c r="C3">
        <v>3</v>
      </c>
      <c r="D3">
        <v>1</v>
      </c>
    </row>
    <row r="4" spans="1:4" x14ac:dyDescent="0.3">
      <c r="A4" t="s">
        <v>2447</v>
      </c>
      <c r="B4">
        <v>6</v>
      </c>
      <c r="C4">
        <v>4</v>
      </c>
      <c r="D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2014</vt:lpstr>
      <vt:lpstr>2015</vt:lpstr>
      <vt:lpstr>2016</vt:lpstr>
      <vt:lpstr>2017</vt:lpstr>
      <vt:lpstr>2018</vt:lpstr>
      <vt:lpstr>DOMESTIC</vt:lpstr>
      <vt:lpstr>INT ("NON-REG")</vt:lpstr>
      <vt:lpstr>DOMESTIC 2</vt:lpstr>
      <vt:lpstr>INTL</vt:lpstr>
      <vt:lpstr>2019</vt:lpstr>
      <vt:lpstr>regular_passengers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Grégory PINCHINAT</cp:lastModifiedBy>
  <dcterms:created xsi:type="dcterms:W3CDTF">2017-02-10T18:36:47Z</dcterms:created>
  <dcterms:modified xsi:type="dcterms:W3CDTF">2020-08-09T04:31:59Z</dcterms:modified>
</cp:coreProperties>
</file>